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art A" sheetId="1" r:id="rId1"/>
    <sheet name="Part B" sheetId="2" r:id="rId2"/>
    <sheet name="Part C" sheetId="3" r:id="rId3"/>
    <sheet name="Data"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5">
    <numFmt numFmtId="56" formatCode="&quot;上午/下午 &quot;hh&quot;時&quot;mm&quot;分&quot;ss&quot;秒 &quot;"/>
    <numFmt numFmtId="164" formatCode="General"/>
    <numFmt numFmtId="165" formatCode="0"/>
    <numFmt numFmtId="166" formatCode="0.000"/>
    <numFmt numFmtId="167" formatCode="0.00"/>
    <numFmt numFmtId="168" formatCode="0.0000"/>
    <numFmt numFmtId="169" formatCode="0.000000"/>
    <numFmt numFmtId="170" formatCode="General"/>
    <numFmt numFmtId="171" formatCode="0.00E+00"/>
    <numFmt numFmtId="172" formatCode="0.0000000"/>
    <numFmt numFmtId="173" formatCode="0.00%"/>
    <numFmt numFmtId="174" formatCode="0.000%"/>
    <numFmt numFmtId="175" formatCode="0.0%"/>
    <numFmt numFmtId="176" formatCode="\$0.00"/>
    <numFmt numFmtId="177" formatCode="0.00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7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2"/>
  <sheetViews>
    <sheetView workbookViewId="0" rightToLeft="0"/>
  </sheetViews>
  <sheetData>
    <row r="1">
      <c r="A1" s="1" t="str">
        <v>PART A · Data and description</v>
      </c>
    </row>
    <row r="2">
      <c r="A2" s="1" t="str">
        <v>Dataset: 806 California wines, 2001 vintage (sheet 'Data'). Reference region = Generic California (all region dummies 0); reference variety = Zinfandel (all variety dummies 0). Helper columns P–Z of 'Data' are formulas.</v>
      </c>
    </row>
    <row r="4">
      <c r="A4" s="1" t="str">
        <v>A1 · Other users of the hedonic price model</v>
      </c>
    </row>
    <row r="5">
      <c r="A5" s="1" t="str">
        <v>1) Wine retailers / restaurants: set or check shelf prices — is a bottle over- or under-priced given its score, age and region?  2) Wineries outside Napa (e.g. Sonoma producers' association) or vineyard investors/banks: value a label, decide where to source grapes or buy land, using the implied price of each region and variety. (Full answer in report.)</v>
      </c>
    </row>
    <row r="7">
      <c r="A7" s="1" t="str">
        <v>A2 · Expected signs</v>
      </c>
    </row>
    <row r="8">
      <c r="A8" s="1" t="str">
        <v>Variable</v>
      </c>
      <c r="B8" s="1" t="str">
        <v>Expected sign</v>
      </c>
      <c r="C8" s="1" t="str">
        <v>Reason (one sentence)</v>
      </c>
    </row>
    <row r="9">
      <c r="A9" s="1" t="str">
        <v>Cases (000s)</v>
      </c>
      <c r="B9" s="1" t="str">
        <v>−</v>
      </c>
      <c r="C9" s="1" t="str">
        <v>Large-volume wines are mass-market, so scarcity is lower and price per bottle is lower.</v>
      </c>
    </row>
    <row r="10">
      <c r="A10" s="1" t="str">
        <v>Score</v>
      </c>
      <c r="B10" s="1" t="str">
        <v>+</v>
      </c>
      <c r="C10" s="1" t="str">
        <v>Buyers pay more for wines rated higher in blind tastings.</v>
      </c>
    </row>
    <row r="11">
      <c r="A11" s="1" t="str">
        <v>Age</v>
      </c>
      <c r="B11" s="1" t="str">
        <v>+</v>
      </c>
      <c r="C11" s="1" t="str">
        <v>Longer ageing costs the winery storage and capital, and aged wines are perceived as premium.</v>
      </c>
    </row>
    <row r="12">
      <c r="A12" s="1" t="str">
        <v>Region dummies</v>
      </c>
      <c r="B12" s="1" t="str">
        <v>+ (Napa largest)</v>
      </c>
      <c r="C12" s="1" t="str">
        <v>A certified AVA name signals origin and reputation versus a Generic California label.</v>
      </c>
    </row>
    <row r="13">
      <c r="A13" s="1" t="str">
        <v>Variety dummies</v>
      </c>
      <c r="B13" s="1" t="str">
        <v>+ for Cabernet/Pinot/Merlot; ? for Syrah</v>
      </c>
      <c r="C13" s="1" t="str">
        <v>Prestige varieties sell above the Zinfandel reference; Syrah was a newer, less established variety in 2001.</v>
      </c>
    </row>
    <row r="15">
      <c r="A15" s="1" t="str">
        <v>A3 · Summary statistics (formulas)</v>
      </c>
    </row>
    <row r="16">
      <c r="A16" s="1" t="str">
        <v>Statistic</v>
      </c>
      <c r="B16" s="1" t="str">
        <v>Price</v>
      </c>
      <c r="C16" s="1" t="str">
        <v>Cases</v>
      </c>
      <c r="D16" s="1" t="str">
        <v>Score</v>
      </c>
      <c r="E16" s="1" t="str">
        <v>Age</v>
      </c>
      <c r="F16" s="1" t="str">
        <v>ln(Price)</v>
      </c>
    </row>
    <row r="17">
      <c r="A17" s="1" t="str">
        <v>Count</v>
      </c>
      <c r="B17" s="1">
        <f>COUNT(Data!$B$2:$B$807)</f>
        <v>806</v>
      </c>
      <c r="C17" s="1">
        <f>COUNT(Data!$C$2:$C$807)</f>
        <v>806</v>
      </c>
      <c r="D17" s="1">
        <f>COUNT(Data!$D$2:$D$807)</f>
        <v>806</v>
      </c>
      <c r="E17" s="1">
        <f>COUNT(Data!$E$2:$E$807)</f>
        <v>806</v>
      </c>
      <c r="F17" s="1">
        <f>COUNT(Data!$P$2:$P$807)</f>
        <v>806</v>
      </c>
    </row>
    <row r="18">
      <c r="A18" s="1" t="str">
        <v>Mean</v>
      </c>
      <c r="B18" s="1">
        <f>AVERAGE(Data!$B$2:$B$807)</f>
        <v>29.5806451612903</v>
      </c>
      <c r="C18" s="1">
        <f>AVERAGE(Data!$C$2:$C$807)</f>
        <v>5.80798635235732</v>
      </c>
      <c r="D18" s="1">
        <f>AVERAGE(Data!$D$2:$D$807)</f>
        <v>86.7828784119107</v>
      </c>
      <c r="E18" s="1">
        <f>AVERAGE(Data!$E$2:$E$807)</f>
        <v>2.81761786600496</v>
      </c>
      <c r="F18" s="1">
        <f>AVERAGE(Data!$P$2:$P$807)</f>
        <v>3.15887106940601</v>
      </c>
    </row>
    <row r="19">
      <c r="A19" s="1" t="str">
        <v>Median</v>
      </c>
      <c r="B19" s="1">
        <f>MEDIAN(Data!$B$2:$B$807)</f>
        <v>22</v>
      </c>
      <c r="C19" s="1">
        <f>MEDIAN(Data!$C$2:$C$807)</f>
        <v>1.18</v>
      </c>
      <c r="D19" s="1">
        <f>MEDIAN(Data!$D$2:$D$807)</f>
        <v>87</v>
      </c>
      <c r="E19" s="1">
        <f>MEDIAN(Data!$E$2:$E$807)</f>
        <v>3</v>
      </c>
      <c r="F19" s="1">
        <f>MEDIAN(Data!$P$2:$P$807)</f>
        <v>3.09104245335832</v>
      </c>
    </row>
    <row r="20">
      <c r="A20" s="1" t="str">
        <v>Standard deviation</v>
      </c>
      <c r="B20" s="1">
        <f>STDEV.S(Data!$B$2:$B$807)</f>
        <v>34.1543492872493</v>
      </c>
      <c r="C20" s="1">
        <f>STDEV.S(Data!$C$2:$C$807)</f>
        <v>18.8546910461502</v>
      </c>
      <c r="D20" s="1">
        <f>STDEV.S(Data!$D$2:$D$807)</f>
        <v>3.90206247774546</v>
      </c>
      <c r="E20" s="1">
        <f>STDEV.S(Data!$E$2:$E$807)</f>
        <v>0.7310248284121</v>
      </c>
      <c r="F20" s="1">
        <f>STDEV.S(Data!$P$2:$P$807)</f>
        <v>0.595813804421248</v>
      </c>
    </row>
    <row r="21">
      <c r="A21" s="1" t="str">
        <v>Variance</v>
      </c>
      <c r="B21" s="1">
        <f>VAR.S(Data!$B$2:$B$807)</f>
        <v>1166.51957523542</v>
      </c>
      <c r="C21" s="1">
        <f>VAR.S(Data!$C$2:$C$807)</f>
        <v>355.499374445777</v>
      </c>
      <c r="D21" s="1">
        <f>VAR.S(Data!$D$2:$D$807)</f>
        <v>15.226091580229</v>
      </c>
      <c r="E21" s="1">
        <f>VAR.S(Data!$E$2:$E$807)</f>
        <v>0.534397299754941</v>
      </c>
      <c r="F21" s="1">
        <f>VAR.S(Data!$P$2:$P$807)</f>
        <v>0.354994089538921</v>
      </c>
    </row>
    <row r="22">
      <c r="A22" s="1" t="str">
        <v>Minimum</v>
      </c>
      <c r="B22" s="1">
        <f>MIN(Data!$B$2:$B$807)</f>
        <v>6</v>
      </c>
      <c r="C22" s="1">
        <f>MIN(Data!$C$2:$C$807)</f>
        <v>0.02</v>
      </c>
      <c r="D22" s="1">
        <f>MIN(Data!$D$2:$D$807)</f>
        <v>70</v>
      </c>
      <c r="E22" s="1">
        <f>MIN(Data!$E$2:$E$807)</f>
        <v>1</v>
      </c>
      <c r="F22" s="1">
        <f>MIN(Data!$P$2:$P$807)</f>
        <v>1.79175946922806</v>
      </c>
    </row>
    <row r="23">
      <c r="A23" s="1" t="str">
        <v>Maximum</v>
      </c>
      <c r="B23" s="1">
        <f>MAX(Data!$B$2:$B$807)</f>
        <v>440</v>
      </c>
      <c r="C23" s="1">
        <f>MAX(Data!$C$2:$C$807)</f>
        <v>365</v>
      </c>
      <c r="D23" s="1">
        <f>MAX(Data!$D$2:$D$807)</f>
        <v>97</v>
      </c>
      <c r="E23" s="1">
        <f>MAX(Data!$E$2:$E$807)</f>
        <v>5</v>
      </c>
      <c r="F23" s="1">
        <f>MAX(Data!$P$2:$P$807)</f>
        <v>6.08677472691231</v>
      </c>
    </row>
    <row r="24">
      <c r="A24" s="1" t="str">
        <v>Skewness</v>
      </c>
      <c r="B24" s="1">
        <f>SKEW(Data!$B$2:$B$807)</f>
        <v>7.87384594678597</v>
      </c>
      <c r="C24" s="1">
        <f>SKEW(Data!$C$2:$C$807)</f>
        <v>11.0360235692424</v>
      </c>
      <c r="D24" s="1">
        <f>SKEW(Data!$D$2:$D$807)</f>
        <v>-0.584816686827331</v>
      </c>
      <c r="E24" s="1">
        <f>SKEW(Data!$E$2:$E$807)</f>
        <v>0.373818455624652</v>
      </c>
      <c r="F24" s="1">
        <f>SKEW(Data!$P$2:$P$807)</f>
        <v>0.91494879795658</v>
      </c>
    </row>
    <row r="25">
      <c r="A25" s="1" t="str">
        <v>Mean − Median</v>
      </c>
      <c r="B25" s="1">
        <f>B18-B19</f>
        <v>7.58064516129032</v>
      </c>
      <c r="C25" s="1">
        <f>C18-C19</f>
        <v>4.62798635235732</v>
      </c>
      <c r="D25" s="1">
        <f>D18-D19</f>
        <v>-0.217121588089327</v>
      </c>
      <c r="E25" s="1">
        <f>E18-E19</f>
        <v>-0.182382133995037</v>
      </c>
      <c r="F25" s="1">
        <f>F18-F19</f>
        <v>0.0678286160476924</v>
      </c>
    </row>
    <row r="26">
      <c r="A26" s="1" t="str">
        <v>Price: mean ($29.58) is well above the median ($22) and skewness ≈ 7.9 → strongly right-skewed: a few very expensive bottles (max $440) pull the mean up. ln(Price) has skewness ≈ 0.9, much closer to symmetric.</v>
      </c>
    </row>
    <row r="28">
      <c r="A28" s="1" t="str">
        <v>A4 · Scatter plots (Price against Cases, Score, Age)</v>
      </c>
    </row>
    <row r="65">
      <c r="A65" s="1" t="str">
        <v>Cases: weak negative, not a straight line — prices are high only at tiny volumes; outliers at very large Cases (up to 365k) and very high prices. Score: clearly positive and curving upward (convex) — prices rise faster at high scores; outliers above $300. Age: mildly positive; Age takes only 5 values, so the points form vertical stripes; the $300+ wines are outliers.</v>
      </c>
    </row>
    <row r="67">
      <c r="A67" s="1" t="str">
        <v>A5 · Histograms of Price and ln(Price) (frequency tables by COUNTIFS)</v>
      </c>
    </row>
    <row r="68">
      <c r="A68" s="1" t="str">
        <v>Price bin (US$)</v>
      </c>
      <c r="B68" s="1" t="str">
        <v>Lower</v>
      </c>
      <c r="C68" s="1" t="str">
        <v>Upper</v>
      </c>
      <c r="D68" s="1" t="str">
        <v>Count</v>
      </c>
      <c r="F68" s="1" t="str">
        <v>ln(Price) bin</v>
      </c>
      <c r="G68" s="1" t="str">
        <v>Lower</v>
      </c>
      <c r="H68" s="1" t="str">
        <v>Upper</v>
      </c>
      <c r="I68" s="1" t="str">
        <v>Count</v>
      </c>
    </row>
    <row r="69">
      <c r="A69" s="1" t="str">
        <v>0–10</v>
      </c>
      <c r="B69" s="1">
        <v>0</v>
      </c>
      <c r="C69" s="1">
        <v>10</v>
      </c>
      <c r="D69" s="1">
        <f>COUNTIFS(Data!$B$2:$B$807,"&gt;="&amp;B69,Data!$B$2:$B$807,"&lt;"&amp;C69)</f>
        <v>38</v>
      </c>
      <c r="F69" s="1" t="str">
        <v>1.75–2.00</v>
      </c>
      <c r="G69" s="1">
        <v>1.75</v>
      </c>
      <c r="H69" s="1">
        <v>2</v>
      </c>
      <c r="I69" s="1">
        <f>COUNTIFS(Data!$P$2:$P$807,"&gt;="&amp;G69,Data!$P$2:$P$807,"&lt;"&amp;H69)</f>
        <v>7</v>
      </c>
    </row>
    <row r="70">
      <c r="A70" s="1" t="str">
        <v>10–20</v>
      </c>
      <c r="B70" s="1">
        <v>10</v>
      </c>
      <c r="C70" s="1">
        <v>20</v>
      </c>
      <c r="D70" s="1">
        <f>COUNTIFS(Data!$B$2:$B$807,"&gt;="&amp;B70,Data!$B$2:$B$807,"&lt;"&amp;C70)</f>
        <v>273</v>
      </c>
      <c r="F70" s="1" t="str">
        <v>2.00–2.25</v>
      </c>
      <c r="G70" s="1">
        <v>2</v>
      </c>
      <c r="H70" s="1">
        <v>2.25</v>
      </c>
      <c r="I70" s="1">
        <f>COUNTIFS(Data!$P$2:$P$807,"&gt;="&amp;G70,Data!$P$2:$P$807,"&lt;"&amp;H70)</f>
        <v>31</v>
      </c>
    </row>
    <row r="71">
      <c r="A71" s="1" t="str">
        <v>20–30</v>
      </c>
      <c r="B71" s="1">
        <v>20</v>
      </c>
      <c r="C71" s="1">
        <v>30</v>
      </c>
      <c r="D71" s="1">
        <f>COUNTIFS(Data!$B$2:$B$807,"&gt;="&amp;B71,Data!$B$2:$B$807,"&lt;"&amp;C71)</f>
        <v>242</v>
      </c>
      <c r="F71" s="1" t="str">
        <v>2.25–2.50</v>
      </c>
      <c r="G71" s="1">
        <v>2.25</v>
      </c>
      <c r="H71" s="1">
        <v>2.5</v>
      </c>
      <c r="I71" s="1">
        <f>COUNTIFS(Data!$P$2:$P$807,"&gt;="&amp;G71,Data!$P$2:$P$807,"&lt;"&amp;H71)</f>
        <v>66</v>
      </c>
    </row>
    <row r="72">
      <c r="A72" s="1" t="str">
        <v>30–40</v>
      </c>
      <c r="B72" s="1">
        <v>30</v>
      </c>
      <c r="C72" s="1">
        <v>40</v>
      </c>
      <c r="D72" s="1">
        <f>COUNTIFS(Data!$B$2:$B$807,"&gt;="&amp;B72,Data!$B$2:$B$807,"&lt;"&amp;C72)</f>
        <v>110</v>
      </c>
      <c r="F72" s="1" t="str">
        <v>2.50–2.75</v>
      </c>
      <c r="G72" s="1">
        <v>2.5</v>
      </c>
      <c r="H72" s="1">
        <v>2.75</v>
      </c>
      <c r="I72" s="1">
        <f>COUNTIFS(Data!$P$2:$P$807,"&gt;="&amp;G72,Data!$P$2:$P$807,"&lt;"&amp;H72)</f>
        <v>66</v>
      </c>
    </row>
    <row r="73">
      <c r="A73" s="1" t="str">
        <v>40–50</v>
      </c>
      <c r="B73" s="1">
        <v>40</v>
      </c>
      <c r="C73" s="1">
        <v>50</v>
      </c>
      <c r="D73" s="1">
        <f>COUNTIFS(Data!$B$2:$B$807,"&gt;="&amp;B73,Data!$B$2:$B$807,"&lt;"&amp;C73)</f>
        <v>58</v>
      </c>
      <c r="F73" s="1" t="str">
        <v>2.75–3.00</v>
      </c>
      <c r="G73" s="1">
        <v>2.75</v>
      </c>
      <c r="H73" s="1">
        <v>3</v>
      </c>
      <c r="I73" s="1">
        <f>COUNTIFS(Data!$P$2:$P$807,"&gt;="&amp;G73,Data!$P$2:$P$807,"&lt;"&amp;H73)</f>
        <v>194</v>
      </c>
    </row>
    <row r="74">
      <c r="A74" s="1" t="str">
        <v>50–60</v>
      </c>
      <c r="B74" s="1">
        <v>50</v>
      </c>
      <c r="C74" s="1">
        <v>60</v>
      </c>
      <c r="D74" s="1">
        <f>COUNTIFS(Data!$B$2:$B$807,"&gt;="&amp;B74,Data!$B$2:$B$807,"&lt;"&amp;C74)</f>
        <v>23</v>
      </c>
      <c r="F74" s="1" t="str">
        <v>3.00–3.25</v>
      </c>
      <c r="G74" s="1">
        <v>3</v>
      </c>
      <c r="H74" s="1">
        <v>3.25</v>
      </c>
      <c r="I74" s="1">
        <f>COUNTIFS(Data!$P$2:$P$807,"&gt;="&amp;G74,Data!$P$2:$P$807,"&lt;"&amp;H74)</f>
        <v>143</v>
      </c>
    </row>
    <row r="75">
      <c r="A75" s="1" t="str">
        <v>60–70</v>
      </c>
      <c r="B75" s="1">
        <v>60</v>
      </c>
      <c r="C75" s="1">
        <v>70</v>
      </c>
      <c r="D75" s="1">
        <f>COUNTIFS(Data!$B$2:$B$807,"&gt;="&amp;B75,Data!$B$2:$B$807,"&lt;"&amp;C75)</f>
        <v>25</v>
      </c>
      <c r="F75" s="1" t="str">
        <v>3.25–3.50</v>
      </c>
      <c r="G75" s="1">
        <v>3.25</v>
      </c>
      <c r="H75" s="1">
        <v>3.5</v>
      </c>
      <c r="I75" s="1">
        <f>COUNTIFS(Data!$P$2:$P$807,"&gt;="&amp;G75,Data!$P$2:$P$807,"&lt;"&amp;H75)</f>
        <v>107</v>
      </c>
    </row>
    <row r="76">
      <c r="A76" s="1" t="str">
        <v>70–80</v>
      </c>
      <c r="B76" s="1">
        <v>70</v>
      </c>
      <c r="C76" s="1">
        <v>80</v>
      </c>
      <c r="D76" s="1">
        <f>COUNTIFS(Data!$B$2:$B$807,"&gt;="&amp;B76,Data!$B$2:$B$807,"&lt;"&amp;C76)</f>
        <v>9</v>
      </c>
      <c r="F76" s="1" t="str">
        <v>3.50–3.75</v>
      </c>
      <c r="G76" s="1">
        <v>3.5</v>
      </c>
      <c r="H76" s="1">
        <v>3.75</v>
      </c>
      <c r="I76" s="1">
        <f>COUNTIFS(Data!$P$2:$P$807,"&gt;="&amp;G76,Data!$P$2:$P$807,"&lt;"&amp;H76)</f>
        <v>86</v>
      </c>
    </row>
    <row r="77">
      <c r="A77" s="1" t="str">
        <v>80–90</v>
      </c>
      <c r="B77" s="1">
        <v>80</v>
      </c>
      <c r="C77" s="1">
        <v>90</v>
      </c>
      <c r="D77" s="1">
        <f>COUNTIFS(Data!$B$2:$B$807,"&gt;="&amp;B77,Data!$B$2:$B$807,"&lt;"&amp;C77)</f>
        <v>8</v>
      </c>
      <c r="F77" s="1" t="str">
        <v>3.75–4.00</v>
      </c>
      <c r="G77" s="1">
        <v>3.75</v>
      </c>
      <c r="H77" s="1">
        <v>4</v>
      </c>
      <c r="I77" s="1">
        <f>COUNTIFS(Data!$P$2:$P$807,"&gt;="&amp;G77,Data!$P$2:$P$807,"&lt;"&amp;H77)</f>
        <v>39</v>
      </c>
    </row>
    <row r="78">
      <c r="A78" s="1" t="str">
        <v>90–100</v>
      </c>
      <c r="B78" s="1">
        <v>90</v>
      </c>
      <c r="C78" s="1">
        <v>100</v>
      </c>
      <c r="D78" s="1">
        <f>COUNTIFS(Data!$B$2:$B$807,"&gt;="&amp;B78,Data!$B$2:$B$807,"&lt;"&amp;C78)</f>
        <v>6</v>
      </c>
      <c r="F78" s="1" t="str">
        <v>4.00–4.25</v>
      </c>
      <c r="G78" s="1">
        <v>4</v>
      </c>
      <c r="H78" s="1">
        <v>4.25</v>
      </c>
      <c r="I78" s="1">
        <f>COUNTIFS(Data!$P$2:$P$807,"&gt;="&amp;G78,Data!$P$2:$P$807,"&lt;"&amp;H78)</f>
        <v>35</v>
      </c>
    </row>
    <row r="79">
      <c r="A79" s="1" t="str">
        <v>100–150</v>
      </c>
      <c r="B79" s="1">
        <v>100</v>
      </c>
      <c r="C79" s="1">
        <v>150</v>
      </c>
      <c r="D79" s="1">
        <f>COUNTIFS(Data!$B$2:$B$807,"&gt;="&amp;B79,Data!$B$2:$B$807,"&lt;"&amp;C79)</f>
        <v>8</v>
      </c>
      <c r="F79" s="1" t="str">
        <v>4.25–4.50</v>
      </c>
      <c r="G79" s="1">
        <v>4.25</v>
      </c>
      <c r="H79" s="1">
        <v>4.5</v>
      </c>
      <c r="I79" s="1">
        <f>COUNTIFS(Data!$P$2:$P$807,"&gt;="&amp;G79,Data!$P$2:$P$807,"&lt;"&amp;H79)</f>
        <v>15</v>
      </c>
    </row>
    <row r="80">
      <c r="A80" s="1" t="str">
        <v>150+</v>
      </c>
      <c r="B80" s="1">
        <v>150</v>
      </c>
      <c r="C80" s="1">
        <v>1000</v>
      </c>
      <c r="D80" s="1">
        <f>COUNTIFS(Data!$B$2:$B$807,"&gt;="&amp;B80,Data!$B$2:$B$807,"&lt;"&amp;C80)</f>
        <v>6</v>
      </c>
      <c r="F80" s="1" t="str">
        <v>4.50–4.75</v>
      </c>
      <c r="G80" s="1">
        <v>4.5</v>
      </c>
      <c r="H80" s="1">
        <v>4.75</v>
      </c>
      <c r="I80" s="1">
        <f>COUNTIFS(Data!$P$2:$P$807,"&gt;="&amp;G80,Data!$P$2:$P$807,"&lt;"&amp;H80)</f>
        <v>10</v>
      </c>
    </row>
    <row r="81">
      <c r="A81" s="1" t="str">
        <v>Total</v>
      </c>
      <c r="D81" s="1">
        <f>SUM(D69:D80)</f>
        <v>806</v>
      </c>
      <c r="F81" s="1" t="str">
        <v>4.75–5.00</v>
      </c>
      <c r="G81" s="1">
        <v>4.75</v>
      </c>
      <c r="H81" s="1">
        <v>5</v>
      </c>
      <c r="I81" s="1">
        <f>COUNTIFS(Data!$P$2:$P$807,"&gt;="&amp;G81,Data!$P$2:$P$807,"&lt;"&amp;H81)</f>
        <v>1</v>
      </c>
    </row>
    <row r="82">
      <c r="F82" s="1" t="str">
        <v>5.00–5.25</v>
      </c>
      <c r="G82" s="1">
        <v>5</v>
      </c>
      <c r="H82" s="1">
        <v>5.25</v>
      </c>
      <c r="I82" s="1">
        <f>COUNTIFS(Data!$P$2:$P$807,"&gt;="&amp;G82,Data!$P$2:$P$807,"&lt;"&amp;H82)</f>
        <v>0</v>
      </c>
    </row>
    <row r="83">
      <c r="F83" s="1" t="str">
        <v>5.25–5.50</v>
      </c>
      <c r="G83" s="1">
        <v>5.25</v>
      </c>
      <c r="H83" s="1">
        <v>5.5</v>
      </c>
      <c r="I83" s="1">
        <f>COUNTIFS(Data!$P$2:$P$807,"&gt;="&amp;G83,Data!$P$2:$P$807,"&lt;"&amp;H83)</f>
        <v>0</v>
      </c>
    </row>
    <row r="84">
      <c r="F84" s="1" t="str">
        <v>5.50–5.75</v>
      </c>
      <c r="G84" s="1">
        <v>5.5</v>
      </c>
      <c r="H84" s="1">
        <v>5.75</v>
      </c>
      <c r="I84" s="1">
        <f>COUNTIFS(Data!$P$2:$P$807,"&gt;="&amp;G84,Data!$P$2:$P$807,"&lt;"&amp;H84)</f>
        <v>1</v>
      </c>
    </row>
    <row r="85">
      <c r="F85" s="1" t="str">
        <v>5.75–6.00</v>
      </c>
      <c r="G85" s="1">
        <v>5.75</v>
      </c>
      <c r="H85" s="1">
        <v>6</v>
      </c>
      <c r="I85" s="1">
        <f>COUNTIFS(Data!$P$2:$P$807,"&gt;="&amp;G85,Data!$P$2:$P$807,"&lt;"&amp;H85)</f>
        <v>3</v>
      </c>
    </row>
    <row r="86">
      <c r="F86" s="1" t="str">
        <v>6.00–6.25</v>
      </c>
      <c r="G86" s="1">
        <v>6</v>
      </c>
      <c r="H86" s="1">
        <v>6.25</v>
      </c>
      <c r="I86" s="1">
        <f>COUNTIFS(Data!$P$2:$P$807,"&gt;="&amp;G86,Data!$P$2:$P$807,"&lt;"&amp;H86)</f>
        <v>2</v>
      </c>
    </row>
    <row r="87">
      <c r="F87" s="1" t="str">
        <v>Total</v>
      </c>
      <c r="I87" s="1">
        <f>SUM(I69:I86)</f>
        <v>806</v>
      </c>
    </row>
    <row r="107">
      <c r="A107" s="1" t="str">
        <v>ln(Price) is much closer to a normal (bell) shape; Price has a long right tail. We prefer ln(Price) as Y: residuals become more symmetric and with more constant spread, outliers lose leverage, and coefficients read as % price effects.</v>
      </c>
    </row>
    <row r="109">
      <c r="A109" s="1" t="str">
        <v>A6 · Does non-normal Price matter with n = 806?</v>
      </c>
    </row>
    <row r="110">
      <c r="A110" s="1" t="str">
        <v>Not much. With n = 806 the Central Limit Theorem makes the sampling distribution of the OLS coefficients (and of means) approximately normal even if Y or the errors are not, so t-tests and confidence intervals remain approximately valid. The bigger worries are outliers and non-constant error variance (see B5.3), not normality itself.</v>
      </c>
    </row>
    <row r="112">
      <c r="A112" s="1" t="str">
        <v>n</v>
      </c>
      <c r="B112" s="1">
        <f>COUNT(Data!$B$2:$B$807)</f>
        <v>806</v>
      </c>
    </row>
  </sheetData>
  <mergeCells count="12">
    <mergeCell ref="A2:J2"/>
    <mergeCell ref="A5:J5"/>
    <mergeCell ref="C8:J8"/>
    <mergeCell ref="C9:J9"/>
    <mergeCell ref="C10:J10"/>
    <mergeCell ref="C11:J11"/>
    <mergeCell ref="C12:J12"/>
    <mergeCell ref="C13:J13"/>
    <mergeCell ref="A26:J26"/>
    <mergeCell ref="A65:J65"/>
    <mergeCell ref="A107:J107"/>
    <mergeCell ref="A110:J110"/>
  </mergeCells>
  <pageMargins left="0.75" right="0.75" top="1" bottom="1" header="0.511811023622047" footer="0.511811023622047"/>
  <ignoredErrors>
    <ignoredError numberStoredAsText="1" sqref="A1:J112"/>
  </ignoredErrors>
</worksheet>
</file>

<file path=xl/worksheets/sheet2.xml><?xml version="1.0" encoding="utf-8"?>
<worksheet xmlns="http://schemas.openxmlformats.org/spreadsheetml/2006/main" xmlns:r="http://schemas.openxmlformats.org/officeDocument/2006/relationships">
  <dimension ref="A1:X271"/>
  <sheetViews>
    <sheetView workbookViewId="0" rightToLeft="0"/>
  </sheetViews>
  <sheetData>
    <row r="1">
      <c r="A1" s="1" t="str">
        <v>PART B · The modelling</v>
      </c>
    </row>
    <row r="3">
      <c r="A3" s="1" t="str">
        <v>B1 · Continuous Y, no X: mean of Price, 95% CI, test H0: μ = 25</v>
      </c>
    </row>
    <row r="4">
      <c r="A4" s="1" t="str">
        <v>n</v>
      </c>
      <c r="B4" s="1">
        <f>COUNT(Data!$B$2:$B$807)</f>
        <v>806</v>
      </c>
    </row>
    <row r="5">
      <c r="A5" s="1" t="str">
        <v>Mean (x̄)</v>
      </c>
      <c r="B5" s="1">
        <f>AVERAGE(Data!$B$2:$B$807)</f>
        <v>29.5806451612903</v>
      </c>
    </row>
    <row r="6">
      <c r="A6" s="1" t="str">
        <v>Standard deviation (s)</v>
      </c>
      <c r="B6" s="1">
        <f>STDEV.S(Data!$B$2:$B$807)</f>
        <v>34.1543492872493</v>
      </c>
    </row>
    <row r="7">
      <c r="A7" s="1" t="str">
        <v>Standard error s/√n</v>
      </c>
      <c r="B7" s="1">
        <f>B6/SQRT(B4)</f>
        <v>1.20303564301171</v>
      </c>
    </row>
    <row r="8">
      <c r="A8" s="1" t="str">
        <v>t critical (α=0.05, df=n−1)</v>
      </c>
      <c r="B8" s="1">
        <f>T.INV.2T(0.05,B4-1)</f>
        <v>1.96291526576599</v>
      </c>
    </row>
    <row r="9">
      <c r="A9" s="1" t="str">
        <v>95% CI lower</v>
      </c>
      <c r="B9" s="1">
        <f>B5-B8*B7</f>
        <v>27.219188132362</v>
      </c>
    </row>
    <row r="10">
      <c r="A10" s="1" t="str">
        <v>95% CI upper</v>
      </c>
      <c r="B10" s="1">
        <f>B5+B8*B7</f>
        <v>31.9421021902186</v>
      </c>
    </row>
    <row r="11">
      <c r="A11" s="1" t="str">
        <v>μ0 (H0 value)</v>
      </c>
      <c r="B11" s="1">
        <v>25</v>
      </c>
    </row>
    <row r="12">
      <c r="A12" s="1" t="str">
        <v>t statistic = (x̄−μ0)/SE</v>
      </c>
      <c r="B12" s="1">
        <f>(B5-B11)/B7</f>
        <v>3.80757227593275</v>
      </c>
    </row>
    <row r="13">
      <c r="A13" s="1" t="str">
        <v>p-value (two-sided) =T.DIST.2T</v>
      </c>
      <c r="B13" s="1">
        <f>T.DIST.2T(ABS(B12),B4-1)</f>
        <v>0.00015099993374529</v>
      </c>
    </row>
    <row r="14">
      <c r="A14" s="1" t="str">
        <v>Decision at α = 0.05</v>
      </c>
      <c r="B14" s="1" t="str">
        <f>IF(B13&lt;0.05,"Reject H0","Do not reject H0")</f>
        <v>Reject H0</v>
      </c>
    </row>
    <row r="15">
      <c r="A15" s="1" t="str">
        <v>CONFIDENCE.T half-width (check)</v>
      </c>
      <c r="B15" s="1">
        <f>CONFIDENCE.T(0.05,B6,B4)</f>
        <v>2.36145702892829</v>
      </c>
    </row>
    <row r="17">
      <c r="A17" s="1" t="str">
        <v>H0: μ = 25 vs H1: μ ≠ 25. One-sample t = 3.81, p = 0.00015 &lt; 0.05 → reject H0: the average bottle costs more than $25 (95% CI $27.22–$31.94). In Price = β0 + ε, OLS picks β0 to minimise Σ(Price − β0)², and that minimum is reached at β0 = x̄.</v>
      </c>
    </row>
    <row r="19">
      <c r="A19" s="1" t="str">
        <v>B2 · Continuous Y, one dummy X: Napa valley vs all other wines</v>
      </c>
    </row>
    <row r="20">
      <c r="B20" s="1" t="str">
        <v>Napa (=1)</v>
      </c>
      <c r="C20" s="1" t="str">
        <v>Other (=0)</v>
      </c>
    </row>
    <row r="21">
      <c r="A21" s="1" t="str">
        <v>n</v>
      </c>
      <c r="B21" s="1">
        <f>COUNT(Data!$U$2:$U$807)</f>
        <v>287</v>
      </c>
      <c r="C21" s="1">
        <f>COUNT(Data!$V$2:$V$807)</f>
        <v>519</v>
      </c>
    </row>
    <row r="22">
      <c r="A22" s="1" t="str">
        <v>Mean Price</v>
      </c>
      <c r="B22" s="1">
        <f>AVERAGE(Data!$U$2:$U$807)</f>
        <v>43.0592334494774</v>
      </c>
      <c r="C22" s="1">
        <f>AVERAGE(Data!$V$2:$V$807)</f>
        <v>22.1271676300578</v>
      </c>
    </row>
    <row r="23">
      <c r="A23" s="1" t="str">
        <v>Variance</v>
      </c>
      <c r="B23" s="1">
        <f>VAR.S(Data!$U$2:$U$807)</f>
        <v>2689.98598962014</v>
      </c>
      <c r="C23" s="1">
        <f>VAR.S(Data!$V$2:$V$807)</f>
        <v>171.311982502734</v>
      </c>
    </row>
    <row r="25">
      <c r="A25" s="1" t="str">
        <v>Welch t-test (unequal variances)</v>
      </c>
    </row>
    <row r="26">
      <c r="A26" s="1" t="str">
        <v>Difference in means (Napa − Other)</v>
      </c>
      <c r="B26" s="1">
        <f>B22-C22</f>
        <v>20.9320658194195</v>
      </c>
    </row>
    <row r="27">
      <c r="A27" s="1" t="str">
        <v>SE (Welch) = √(s1²/n1 + s2²/n2)</v>
      </c>
      <c r="B27" s="1">
        <f>SQRT(B23/B21+C23/C21)</f>
        <v>3.11494050892454</v>
      </c>
    </row>
    <row r="28">
      <c r="A28" s="1" t="str">
        <v>Welch t</v>
      </c>
      <c r="B28" s="1">
        <f>B26/B27</f>
        <v>6.71989264624721</v>
      </c>
    </row>
    <row r="29">
      <c r="A29" s="1" t="str">
        <v>Welch df (Satterthwaite)</v>
      </c>
      <c r="B29" s="1">
        <f>(B23/B21+C23/C21)^2/((B23/B21)^2/(B21-1)+(C23/C21)^2/(C21-1))</f>
        <v>306.289091536261</v>
      </c>
    </row>
    <row r="30">
      <c r="A30" s="1" t="str">
        <v>p-value two-sided =T.DIST.2T(t, df)</v>
      </c>
      <c r="B30" s="1">
        <f>T.DIST.2T(ABS(B28),B29)</f>
        <v>8.88614915806018e-11</v>
      </c>
    </row>
    <row r="31">
      <c r="A31" s="1" t="str">
        <v>p-value check =T.TEST(…,2,3)</v>
      </c>
      <c r="B31" s="1">
        <f>T.TEST(Data!$U$2:$U$807,Data!$V$2:$V$807,2,3)</f>
        <v>8.87400532286069e-11</v>
      </c>
    </row>
    <row r="32">
      <c r="A32" s="1" t="str">
        <v>Decision at α = 0.05</v>
      </c>
      <c r="B32" s="1" t="str">
        <f>IF(B30&lt;0.05,"Reject H0: means differ","Do not reject H0")</f>
        <v>Reject H0: means differ</v>
      </c>
    </row>
    <row r="34">
      <c r="A34" s="1" t="str">
        <v>Pooled (equal-variance) t-test — for B2.3</v>
      </c>
    </row>
    <row r="35">
      <c r="A35" s="1" t="str">
        <v>Pooled variance sp²</v>
      </c>
      <c r="B35" s="1">
        <f>((B21-1)*B23+(C21-1)*C23)/(B21+C21-2)</f>
        <v>1067.25820891514</v>
      </c>
    </row>
    <row r="36">
      <c r="A36" s="1" t="str">
        <v>SE pooled = sp·√(1/n1+1/n2)</v>
      </c>
      <c r="B36" s="1">
        <f>SQRT(B35*(1/B21+1/C21))</f>
        <v>2.40313210535115</v>
      </c>
    </row>
    <row r="37">
      <c r="A37" s="1" t="str">
        <v>Pooled t</v>
      </c>
      <c r="B37" s="1">
        <f>B26/B36</f>
        <v>8.71032673268744</v>
      </c>
    </row>
    <row r="38">
      <c r="A38" s="1" t="str">
        <v>df = n1+n2−2</v>
      </c>
      <c r="B38" s="1">
        <f>B21+C21-2</f>
        <v>804</v>
      </c>
    </row>
    <row r="39">
      <c r="A39" s="1" t="str">
        <v>p-value check =T.TEST(…,2,2)</v>
      </c>
      <c r="B39" s="1">
        <f>T.TEST(Data!$U$2:$U$807,Data!$V$2:$V$807,2,2)</f>
        <v>1.70824278070043e-17</v>
      </c>
    </row>
    <row r="41">
      <c r="A41" s="1" t="str">
        <v>Regression statistics — Price on Napa dummy</v>
      </c>
      <c r="K41" s="1" t="str">
        <v>Raw LINEST output (Price on Napa dummy)</v>
      </c>
    </row>
    <row r="42">
      <c r="A42" s="1" t="str">
        <v>R Square</v>
      </c>
      <c r="B42" s="1">
        <f>$K$44</f>
        <v>0.0862284311816251</v>
      </c>
      <c r="K42" s="1">
        <f t="array" ref="K42:L46">LINEST(Data!$B$2:$B$807,Data!$F$2:$F$807,TRUE(),TRUE())</f>
        <v>20.9320658194195</v>
      </c>
      <c r="L42" s="1">
        <v>22.1271676300578</v>
      </c>
    </row>
    <row r="43">
      <c r="A43" s="1" t="str">
        <v>Adjusted R Square</v>
      </c>
      <c r="B43" s="1">
        <f>1-(1-B42)*(B46-1)/B47</f>
        <v>0.0850918993796121</v>
      </c>
      <c r="K43" s="1">
        <v>2.40313210535115</v>
      </c>
      <c r="L43" s="1">
        <v>1.43400634527713</v>
      </c>
    </row>
    <row r="44">
      <c r="A44" s="1" t="str">
        <v>Standard Error</v>
      </c>
      <c r="B44" s="1">
        <f>$L$44</f>
        <v>32.6689180860821</v>
      </c>
      <c r="K44" s="1">
        <v>0.0862284311816251</v>
      </c>
      <c r="L44" s="1">
        <v>32.6689180860821</v>
      </c>
    </row>
    <row r="45">
      <c r="A45" s="1" t="str">
        <v>F</v>
      </c>
      <c r="B45" s="1">
        <f>$K$45</f>
        <v>75.8697917901694</v>
      </c>
      <c r="K45" s="1">
        <v>75.8697917901694</v>
      </c>
      <c r="L45" s="1">
        <v>804</v>
      </c>
    </row>
    <row r="46">
      <c r="A46" s="1" t="str">
        <v>Observations (n)</v>
      </c>
      <c r="B46" s="1">
        <f>B47+1+1</f>
        <v>806</v>
      </c>
      <c r="K46" s="1">
        <v>80972.6580967411</v>
      </c>
      <c r="L46" s="1">
        <v>858075.599967775</v>
      </c>
    </row>
    <row r="47">
      <c r="A47" s="1" t="str">
        <v>Residual df</v>
      </c>
      <c r="B47" s="1">
        <f>$L$45</f>
        <v>804</v>
      </c>
    </row>
    <row r="48">
      <c r="A48" s="1" t="str">
        <v>SS Regression (SSR)</v>
      </c>
      <c r="B48" s="1">
        <f>$K$46</f>
        <v>80972.6580967411</v>
      </c>
    </row>
    <row r="49">
      <c r="A49" s="1" t="str">
        <v>SS Residual (SSE)</v>
      </c>
      <c r="B49" s="1">
        <f>$L$46</f>
        <v>858075.599967775</v>
      </c>
    </row>
    <row r="50">
      <c r="A50" s="1" t="str">
        <v>Significance F (p)</v>
      </c>
      <c r="B50" s="1">
        <f>F.DIST.RT(B45,1,B47)</f>
        <v>1.70824278070043e-17</v>
      </c>
    </row>
    <row r="52">
      <c r="A52" s="1" t="str">
        <v>Variable</v>
      </c>
      <c r="B52" s="1" t="str">
        <v>Coefficient</v>
      </c>
      <c r="C52" s="1" t="str">
        <v>Std. Error</v>
      </c>
      <c r="D52" s="1" t="str">
        <v>t Stat</v>
      </c>
      <c r="E52" s="1" t="str">
        <v>P-value</v>
      </c>
      <c r="F52" s="1" t="str">
        <v>Lower 95%</v>
      </c>
      <c r="G52" s="1" t="str">
        <v>Upper 95%</v>
      </c>
      <c r="H52" s="1" t="str">
        <v>Sig. at 5%?</v>
      </c>
    </row>
    <row r="53">
      <c r="A53" s="1" t="str">
        <v>Intercept</v>
      </c>
      <c r="B53" s="1">
        <f>$L$42</f>
        <v>22.1271676300578</v>
      </c>
      <c r="C53" s="1">
        <f>$L$43</f>
        <v>1.43400634527713</v>
      </c>
      <c r="D53" s="1">
        <f>B53/C53</f>
        <v>15.4303136125814</v>
      </c>
      <c r="E53" s="1">
        <f>T.DIST.2T(ABS(D53),$B$47)</f>
        <v>3.03541237081707e-47</v>
      </c>
      <c r="F53" s="1">
        <f>B53-T.INV.2T(0.05,$B$47)*C53</f>
        <v>19.3123294120368</v>
      </c>
      <c r="G53" s="1">
        <f>B53+T.INV.2T(0.05,$B$47)*C53</f>
        <v>24.9420058480789</v>
      </c>
      <c r="H53" s="1" t="str">
        <f>IF(E53&lt;0.05,"Yes","No")</f>
        <v>Yes</v>
      </c>
    </row>
    <row r="54">
      <c r="A54" s="1" t="str">
        <v>Napa valley</v>
      </c>
      <c r="B54" s="1">
        <f>$K$42</f>
        <v>20.9320658194195</v>
      </c>
      <c r="C54" s="1">
        <f>$K$43</f>
        <v>2.40313210535115</v>
      </c>
      <c r="D54" s="1">
        <f>B54/C54</f>
        <v>8.71032673268744</v>
      </c>
      <c r="E54" s="1">
        <f>T.DIST.2T(ABS(D54),$B$47)</f>
        <v>1.70824278070043e-17</v>
      </c>
      <c r="F54" s="1">
        <f>B54-T.INV.2T(0.05,$B$47)*C54</f>
        <v>16.2149122898175</v>
      </c>
      <c r="G54" s="1">
        <f>B54+T.INV.2T(0.05,$B$47)*C54</f>
        <v>25.6492193490216</v>
      </c>
      <c r="H54" s="1" t="str">
        <f>IF(E54&lt;0.05,"Yes","No")</f>
        <v>Yes</v>
      </c>
    </row>
    <row r="56">
      <c r="A56" s="1" t="str">
        <v>Check: slope − (mean Napa − mean Other)</v>
      </c>
      <c r="B56" s="1">
        <f>B54-B26</f>
        <v>0</v>
      </c>
    </row>
    <row r="57">
      <c r="A57" s="1" t="str">
        <v>Check: intercept − mean Other</v>
      </c>
      <c r="B57" s="1">
        <f>B53-C22</f>
        <v>0</v>
      </c>
    </row>
    <row r="58">
      <c r="A58" s="1" t="str">
        <v>Check: slope t − pooled t</v>
      </c>
      <c r="B58" s="1">
        <f>D54-B37</f>
        <v>0</v>
      </c>
    </row>
    <row r="59">
      <c r="A59" s="1" t="str">
        <v>Slope = difference of group means; intercept = mean of non-Napa wines. The slope t (8.71) equals the POOLED t, not Welch's (6.72): OLS assumes one common error variance for all observations, which is exactly the pooled equal-variance assumption. Safer rank-based check given the skewed histogram: Wilcoxon rank-sum / Mann–Whitney U test.</v>
      </c>
    </row>
    <row r="61">
      <c r="A61" s="1" t="str">
        <v>B3 · Continuous Y, one X with 6 groups: one-way ANOVA of ln(Price) by Region</v>
      </c>
    </row>
    <row r="62">
      <c r="A62" s="1" t="str">
        <v>Region</v>
      </c>
      <c r="B62" s="1" t="str">
        <v>n</v>
      </c>
      <c r="C62" s="1" t="str">
        <v>Mean ln(Price)</v>
      </c>
      <c r="D62" s="1" t="str">
        <v>Variance</v>
      </c>
      <c r="E62" s="1" t="str">
        <v>n·(mean−grand)²</v>
      </c>
      <c r="F62" s="1" t="str">
        <v>(n−1)·var</v>
      </c>
      <c r="G62" s="1" t="str">
        <v>Mean Price $</v>
      </c>
    </row>
    <row r="63">
      <c r="A63" s="1" t="str">
        <v>Napa valley</v>
      </c>
      <c r="B63" s="1">
        <f>COUNTIF(Data!$R$2:$R$807,A63)</f>
        <v>287</v>
      </c>
      <c r="C63" s="1">
        <f>AVERAGEIF(Data!$R$2:$R$807,A63,Data!$P$2:$P$807)</f>
        <v>3.50587798333181</v>
      </c>
      <c r="D63" s="1">
        <f>SUMPRODUCT((Data!$R$2:$R$807=A63)*(Data!$P$2:$P$807-C63)^2)/(B63-1)</f>
        <v>0.371481610192217</v>
      </c>
      <c r="E63" s="1">
        <f>B63*(C63-$B$70)^2</f>
        <v>34.5587601156333</v>
      </c>
      <c r="F63" s="1">
        <f>(B63-1)*D63</f>
        <v>106.243740514974</v>
      </c>
      <c r="G63" s="1">
        <f>AVERAGEIF(Data!$R$2:$R$807,A63,Data!$B$2:$B$807)</f>
        <v>43.0592334494774</v>
      </c>
    </row>
    <row r="64">
      <c r="A64" s="1" t="str">
        <v>Bay area</v>
      </c>
      <c r="B64" s="1">
        <f>COUNTIF(Data!$R$2:$R$807,A64)</f>
        <v>62</v>
      </c>
      <c r="C64" s="1">
        <f>AVERAGEIF(Data!$R$2:$R$807,A64,Data!$P$2:$P$807)</f>
        <v>3.02120127850442</v>
      </c>
      <c r="D64" s="1">
        <f>SUMPRODUCT((Data!$R$2:$R$807=A64)*(Data!$P$2:$P$807-C64)^2)/(B64-1)</f>
        <v>0.26638070323215</v>
      </c>
      <c r="E64" s="1">
        <f>B64*(C64-$B$70)^2</f>
        <v>1.17508422226695</v>
      </c>
      <c r="F64" s="1">
        <f>(B64-1)*D64</f>
        <v>16.2492228971612</v>
      </c>
      <c r="G64" s="1">
        <f>AVERAGEIF(Data!$R$2:$R$807,A64,Data!$B$2:$B$807)</f>
        <v>23.7741935483871</v>
      </c>
    </row>
    <row r="65">
      <c r="A65" s="1" t="str">
        <v>Sonoma</v>
      </c>
      <c r="B65" s="1">
        <f>COUNTIF(Data!$R$2:$R$807,A65)</f>
        <v>284</v>
      </c>
      <c r="C65" s="1">
        <f>AVERAGEIF(Data!$R$2:$R$807,A65,Data!$P$2:$P$807)</f>
        <v>3.13183438129303</v>
      </c>
      <c r="D65" s="1">
        <f>SUMPRODUCT((Data!$R$2:$R$807=A65)*(Data!$P$2:$P$807-C65)^2)/(B65-1)</f>
        <v>0.176322663714555</v>
      </c>
      <c r="E65" s="1">
        <f>B65*(C65-$B$70)^2</f>
        <v>0.207599031169604</v>
      </c>
      <c r="F65" s="1">
        <f>(B65-1)*D65</f>
        <v>49.8993138312191</v>
      </c>
      <c r="G65" s="1">
        <f>AVERAGEIF(Data!$R$2:$R$807,A65,Data!$B$2:$B$807)</f>
        <v>25.2922535211268</v>
      </c>
    </row>
    <row r="66">
      <c r="A66" s="1" t="str">
        <v>Sierra/foothills</v>
      </c>
      <c r="B66" s="1">
        <f>COUNTIF(Data!$R$2:$R$807,A66)</f>
        <v>28</v>
      </c>
      <c r="C66" s="1">
        <f>AVERAGEIF(Data!$R$2:$R$807,A66,Data!$P$2:$P$807)</f>
        <v>2.73165427482629</v>
      </c>
      <c r="D66" s="1">
        <f>SUMPRODUCT((Data!$R$2:$R$807=A66)*(Data!$P$2:$P$807-C66)^2)/(B66-1)</f>
        <v>0.131916037193207</v>
      </c>
      <c r="E66" s="1">
        <f>B66*(C66-$B$70)^2</f>
        <v>5.11039730798724</v>
      </c>
      <c r="F66" s="1">
        <f>(B66-1)*D66</f>
        <v>3.5617330042166</v>
      </c>
      <c r="G66" s="1">
        <f>AVERAGEIF(Data!$R$2:$R$807,A66,Data!$B$2:$B$807)</f>
        <v>16.4285714285714</v>
      </c>
    </row>
    <row r="67">
      <c r="A67" s="1" t="str">
        <v>Mendocino/lake</v>
      </c>
      <c r="B67" s="1">
        <f>COUNTIF(Data!$R$2:$R$807,A67)</f>
        <v>43</v>
      </c>
      <c r="C67" s="1">
        <f>AVERAGEIF(Data!$R$2:$R$807,A67,Data!$P$2:$P$807)</f>
        <v>2.97024316682366</v>
      </c>
      <c r="D67" s="1">
        <f>SUMPRODUCT((Data!$R$2:$R$807=A67)*(Data!$P$2:$P$807-C67)^2)/(B67-1)</f>
        <v>0.172523045323015</v>
      </c>
      <c r="E67" s="1">
        <f>B67*(C67-$B$70)^2</f>
        <v>1.52996088220245</v>
      </c>
      <c r="F67" s="1">
        <f>(B67-1)*D67</f>
        <v>7.24596790356665</v>
      </c>
      <c r="G67" s="1">
        <f>AVERAGEIF(Data!$R$2:$R$807,A67,Data!$B$2:$B$807)</f>
        <v>21.1860465116279</v>
      </c>
    </row>
    <row r="68">
      <c r="A68" s="1" t="str">
        <v>Generic California</v>
      </c>
      <c r="B68" s="1">
        <f>COUNTIF(Data!$R$2:$R$807,A68)</f>
        <v>102</v>
      </c>
      <c r="C68" s="1">
        <f>AVERAGEIF(Data!$R$2:$R$807,A68,Data!$P$2:$P$807)</f>
        <v>2.53824393433297</v>
      </c>
      <c r="D68" s="1">
        <f>SUMPRODUCT((Data!$R$2:$R$807=A68)*(Data!$P$2:$P$807-C68)^2)/(B68-1)</f>
        <v>0.204953487207533</v>
      </c>
      <c r="E68" s="1">
        <f>B68*(C68-$B$70)^2</f>
        <v>39.2881601604741</v>
      </c>
      <c r="F68" s="1">
        <f>(B68-1)*D68</f>
        <v>20.7003022079609</v>
      </c>
      <c r="G68" s="1">
        <f>AVERAGEIF(Data!$R$2:$R$807,A68,Data!$B$2:$B$807)</f>
        <v>14.2745098039216</v>
      </c>
    </row>
    <row r="69">
      <c r="A69" s="1" t="str">
        <v>Total</v>
      </c>
      <c r="B69" s="1">
        <f>SUM(B63:B68)</f>
        <v>806</v>
      </c>
    </row>
    <row r="70">
      <c r="A70" s="1" t="str">
        <v>Grand mean ln(Price)</v>
      </c>
      <c r="B70" s="1">
        <f>AVERAGE(Data!$P$2:$P$807)</f>
        <v>3.15887106940601</v>
      </c>
    </row>
    <row r="72">
      <c r="A72" s="1" t="str">
        <v>ANOVA table</v>
      </c>
    </row>
    <row r="73">
      <c r="A73" s="1" t="str">
        <v>Source</v>
      </c>
      <c r="B73" s="1" t="str">
        <v>SS</v>
      </c>
      <c r="C73" s="1" t="str">
        <v>df</v>
      </c>
      <c r="D73" s="1" t="str">
        <v>MS</v>
      </c>
      <c r="E73" s="1" t="str">
        <v>F</v>
      </c>
      <c r="F73" s="1" t="str">
        <v>P-value</v>
      </c>
      <c r="G73" s="1" t="str">
        <v>F crit (5%)</v>
      </c>
    </row>
    <row r="74">
      <c r="A74" s="1" t="str">
        <v>Between regions (SSB)</v>
      </c>
      <c r="B74" s="1">
        <f>SUM(E63:E68)</f>
        <v>81.8699617197337</v>
      </c>
      <c r="C74" s="1">
        <f>6-1</f>
        <v>5</v>
      </c>
      <c r="D74" s="1">
        <f>B74/C74</f>
        <v>16.3739923439467</v>
      </c>
      <c r="E74" s="1">
        <f>D74/D75</f>
        <v>64.2431381265772</v>
      </c>
      <c r="F74" s="1">
        <f>F.DIST.RT(E74,C74,C75)</f>
        <v>2.14543447437718e-56</v>
      </c>
      <c r="G74" s="1">
        <f>F.INV.RT(0.05,C74,C75)</f>
        <v>2.22529646480453</v>
      </c>
    </row>
    <row r="75">
      <c r="A75" s="1" t="str">
        <v>Within regions (SSW)</v>
      </c>
      <c r="B75" s="1">
        <f>SUM(F63:F68)</f>
        <v>203.900280359099</v>
      </c>
      <c r="C75" s="1">
        <f>B69-6</f>
        <v>800</v>
      </c>
      <c r="D75" s="1">
        <f>B75/C75</f>
        <v>0.254875350448873</v>
      </c>
    </row>
    <row r="76">
      <c r="A76" s="1" t="str">
        <v>Total (SST)</v>
      </c>
      <c r="B76" s="1">
        <f>B74+B75</f>
        <v>285.770242078832</v>
      </c>
      <c r="C76" s="1">
        <f>B69-1</f>
        <v>805</v>
      </c>
    </row>
    <row r="77">
      <c r="A77" s="1" t="str">
        <v>Check: SST = DEVSQ(lnPrice)</v>
      </c>
      <c r="B77" s="1">
        <f>DEVSQ(Data!$P$2:$P$807)</f>
        <v>285.770242078831</v>
      </c>
    </row>
    <row r="78">
      <c r="A78" s="1" t="str">
        <v>Decision at α = 0.05</v>
      </c>
      <c r="B78" s="1" t="str">
        <f>IF(F74&lt;0.05,"Reject H0: not all regional means equal","Do not reject H0")</f>
        <v>Reject H0: not all regional means equal</v>
      </c>
    </row>
    <row r="80">
      <c r="A80" s="1" t="str">
        <v>Regression statistics — ln(Price) on 5 region dummies</v>
      </c>
      <c r="K80" s="1" t="str">
        <v>Raw LINEST output (ln(Price) on 5 region dummies)</v>
      </c>
    </row>
    <row r="81">
      <c r="A81" s="1" t="str">
        <v>R Square</v>
      </c>
      <c r="B81" s="1">
        <f>$K$83</f>
        <v>0.286488757976239</v>
      </c>
      <c r="K81" s="1">
        <f t="array" ref="K81:P85">LINEST(Data!$P$2:$P$807,Data!$F$2:$J$807,TRUE(),TRUE())</f>
        <v>0.431999232490687</v>
      </c>
      <c r="L81" s="1">
        <v>0.193410340493311</v>
      </c>
      <c r="M81" s="1">
        <v>0.593590446960058</v>
      </c>
      <c r="N81" s="1">
        <v>0.482957344171449</v>
      </c>
      <c r="O81" s="1">
        <v>0.967634048998839</v>
      </c>
      <c r="P81" s="1">
        <v>2.53824393433297</v>
      </c>
    </row>
    <row r="82">
      <c r="A82" s="1" t="str">
        <v>Adjusted R Square</v>
      </c>
      <c r="B82" s="1">
        <f>1-(1-B81)*(B85-1)/B86</f>
        <v>0.28202931271359</v>
      </c>
      <c r="K82" s="1">
        <v>0.0917938542438781</v>
      </c>
      <c r="L82" s="1">
        <v>0.107710115741452</v>
      </c>
      <c r="M82" s="1">
        <v>0.0582771512914855</v>
      </c>
      <c r="N82" s="1">
        <v>0.0812998812714543</v>
      </c>
      <c r="O82" s="1">
        <v>0.0581966095983606</v>
      </c>
      <c r="P82" s="1">
        <v>0.0499877779619897</v>
      </c>
    </row>
    <row r="83">
      <c r="A83" s="1" t="str">
        <v>Standard Error</v>
      </c>
      <c r="B83" s="1">
        <f>$L$83</f>
        <v>0.504851810384862</v>
      </c>
      <c r="K83" s="1">
        <v>0.286488757976239</v>
      </c>
      <c r="L83" s="1">
        <v>0.504851810384862</v>
      </c>
      <c r="M83" s="1" t="e">
        <v>#N/A</v>
      </c>
      <c r="N83" s="1" t="e">
        <v>#N/A</v>
      </c>
      <c r="O83" s="1" t="e">
        <v>#N/A</v>
      </c>
      <c r="P83" s="1" t="e">
        <v>#N/A</v>
      </c>
    </row>
    <row r="84">
      <c r="A84" s="1" t="str">
        <v>F</v>
      </c>
      <c r="B84" s="1">
        <f>$K$84</f>
        <v>64.2431381265772</v>
      </c>
      <c r="K84" s="1">
        <v>64.2431381265772</v>
      </c>
      <c r="L84" s="1">
        <v>800</v>
      </c>
      <c r="M84" s="1" t="e">
        <v>#N/A</v>
      </c>
      <c r="N84" s="1" t="e">
        <v>#N/A</v>
      </c>
      <c r="O84" s="1" t="e">
        <v>#N/A</v>
      </c>
      <c r="P84" s="1" t="e">
        <v>#N/A</v>
      </c>
    </row>
    <row r="85">
      <c r="A85" s="1" t="str">
        <v>Observations (n)</v>
      </c>
      <c r="B85" s="1">
        <f>B86+5+1</f>
        <v>806</v>
      </c>
      <c r="K85" s="1">
        <v>81.8699617197337</v>
      </c>
      <c r="L85" s="1">
        <v>203.900280359099</v>
      </c>
      <c r="M85" s="1" t="e">
        <v>#N/A</v>
      </c>
      <c r="N85" s="1" t="e">
        <v>#N/A</v>
      </c>
      <c r="O85" s="1" t="e">
        <v>#N/A</v>
      </c>
      <c r="P85" s="1" t="e">
        <v>#N/A</v>
      </c>
    </row>
    <row r="86">
      <c r="A86" s="1" t="str">
        <v>Residual df</v>
      </c>
      <c r="B86" s="1">
        <f>$L$84</f>
        <v>800</v>
      </c>
    </row>
    <row r="87">
      <c r="A87" s="1" t="str">
        <v>SS Regression (SSR)</v>
      </c>
      <c r="B87" s="1">
        <f>$K$85</f>
        <v>81.8699617197337</v>
      </c>
    </row>
    <row r="88">
      <c r="A88" s="1" t="str">
        <v>SS Residual (SSE)</v>
      </c>
      <c r="B88" s="1">
        <f>$L$85</f>
        <v>203.900280359099</v>
      </c>
    </row>
    <row r="89">
      <c r="A89" s="1" t="str">
        <v>Significance F (p)</v>
      </c>
      <c r="B89" s="1">
        <f>F.DIST.RT(B84,5,B86)</f>
        <v>2.14543447437718e-56</v>
      </c>
    </row>
    <row r="91">
      <c r="A91" s="1" t="str">
        <v>Variable</v>
      </c>
      <c r="B91" s="1" t="str">
        <v>Coefficient</v>
      </c>
      <c r="C91" s="1" t="str">
        <v>Std. Error</v>
      </c>
      <c r="D91" s="1" t="str">
        <v>t Stat</v>
      </c>
      <c r="E91" s="1" t="str">
        <v>P-value</v>
      </c>
      <c r="F91" s="1" t="str">
        <v>Lower 95%</v>
      </c>
      <c r="G91" s="1" t="str">
        <v>Upper 95%</v>
      </c>
      <c r="H91" s="1" t="str">
        <v>Sig. at 5%?</v>
      </c>
    </row>
    <row r="92">
      <c r="A92" s="1" t="str">
        <v>Intercept</v>
      </c>
      <c r="B92" s="1">
        <f>$P$81</f>
        <v>2.53824393433297</v>
      </c>
      <c r="C92" s="1">
        <f>$P$82</f>
        <v>0.0499877779619897</v>
      </c>
      <c r="D92" s="1">
        <f>B92/C92</f>
        <v>50.7772907262058</v>
      </c>
      <c r="E92" s="1">
        <f>T.DIST.2T(ABS(D92),$B$86)</f>
        <v>1.83557777359172e-252</v>
      </c>
      <c r="F92" s="1">
        <f>B92-T.INV.2T(0.05,$B$86)*C92</f>
        <v>2.44012123844735</v>
      </c>
      <c r="G92" s="1">
        <f>B92+T.INV.2T(0.05,$B$86)*C92</f>
        <v>2.63636663021859</v>
      </c>
      <c r="H92" s="1" t="str">
        <f>IF(E92&lt;0.05,"Yes","No")</f>
        <v>Yes</v>
      </c>
    </row>
    <row r="93">
      <c r="A93" s="1" t="str">
        <v>Napa valley</v>
      </c>
      <c r="B93" s="1">
        <f>$O$81</f>
        <v>0.967634048998839</v>
      </c>
      <c r="C93" s="1">
        <f>$O$82</f>
        <v>0.0581966095983606</v>
      </c>
      <c r="D93" s="1">
        <f>B93/C93</f>
        <v>16.6269831812693</v>
      </c>
      <c r="E93" s="1">
        <f>T.DIST.2T(ABS(D93),$B$86)</f>
        <v>1.51803129825683e-53</v>
      </c>
      <c r="F93" s="1">
        <f>B93-T.INV.2T(0.05,$B$86)*C93</f>
        <v>0.85339796053865</v>
      </c>
      <c r="G93" s="1">
        <f>B93+T.INV.2T(0.05,$B$86)*C93</f>
        <v>1.08187013745903</v>
      </c>
      <c r="H93" s="1" t="str">
        <f>IF(E93&lt;0.05,"Yes","No")</f>
        <v>Yes</v>
      </c>
    </row>
    <row r="94">
      <c r="A94" s="1" t="str">
        <v>bay area</v>
      </c>
      <c r="B94" s="1">
        <f>$N$81</f>
        <v>0.482957344171449</v>
      </c>
      <c r="C94" s="1">
        <f>$N$82</f>
        <v>0.0812998812714543</v>
      </c>
      <c r="D94" s="1">
        <f>B94/C94</f>
        <v>5.9404434129355</v>
      </c>
      <c r="E94" s="1">
        <f>T.DIST.2T(ABS(D94),$B$86)</f>
        <v>4.23803305822787e-9</v>
      </c>
      <c r="F94" s="1">
        <f>B94-T.INV.2T(0.05,$B$86)*C94</f>
        <v>0.323371064269151</v>
      </c>
      <c r="G94" s="1">
        <f>B94+T.INV.2T(0.05,$B$86)*C94</f>
        <v>0.642543624073746</v>
      </c>
      <c r="H94" s="1" t="str">
        <f>IF(E94&lt;0.05,"Yes","No")</f>
        <v>Yes</v>
      </c>
    </row>
    <row r="95">
      <c r="A95" s="1" t="str">
        <v>sonoma</v>
      </c>
      <c r="B95" s="1">
        <f>$M$81</f>
        <v>0.593590446960058</v>
      </c>
      <c r="C95" s="1">
        <f>$M$82</f>
        <v>0.0582771512914855</v>
      </c>
      <c r="D95" s="1">
        <f>B95/C95</f>
        <v>10.1856462405153</v>
      </c>
      <c r="E95" s="1">
        <f>T.DIST.2T(ABS(D95),$B$86)</f>
        <v>5.41236147434943e-23</v>
      </c>
      <c r="F95" s="1">
        <f>B95-T.INV.2T(0.05,$B$86)*C95</f>
        <v>0.47919626049306</v>
      </c>
      <c r="G95" s="1">
        <f>B95+T.INV.2T(0.05,$B$86)*C95</f>
        <v>0.707984633427056</v>
      </c>
      <c r="H95" s="1" t="str">
        <f>IF(E95&lt;0.05,"Yes","No")</f>
        <v>Yes</v>
      </c>
    </row>
    <row r="96">
      <c r="A96" s="1" t="str">
        <v>sierra/foothills</v>
      </c>
      <c r="B96" s="1">
        <f>$L$81</f>
        <v>0.193410340493311</v>
      </c>
      <c r="C96" s="1">
        <f>$L$82</f>
        <v>0.107710115741452</v>
      </c>
      <c r="D96" s="1">
        <f>B96/C96</f>
        <v>1.79565623118979</v>
      </c>
      <c r="E96" s="1">
        <f>T.DIST.2T(ABS(D96),$B$86)</f>
        <v>0.072926480803701</v>
      </c>
      <c r="F96" s="1">
        <f>B96-T.INV.2T(0.05,$B$86)*C96</f>
        <v>-0.0180174796978545</v>
      </c>
      <c r="G96" s="1">
        <f>B96+T.INV.2T(0.05,$B$86)*C96</f>
        <v>0.404838160684477</v>
      </c>
      <c r="H96" s="1" t="str">
        <f>IF(E96&lt;0.05,"Yes","No")</f>
        <v>No</v>
      </c>
    </row>
    <row r="97">
      <c r="A97" s="1" t="str">
        <v>mendocino / lake</v>
      </c>
      <c r="B97" s="1">
        <f>$K$81</f>
        <v>0.431999232490687</v>
      </c>
      <c r="C97" s="1">
        <f>$K$82</f>
        <v>0.0917938542438781</v>
      </c>
      <c r="D97" s="1">
        <f>B97/C97</f>
        <v>4.70618905861553</v>
      </c>
      <c r="E97" s="1">
        <f>T.DIST.2T(ABS(D97),$B$86)</f>
        <v>0.00000297354894030163</v>
      </c>
      <c r="F97" s="1">
        <f>B97-T.INV.2T(0.05,$B$86)*C97</f>
        <v>0.251813978987522</v>
      </c>
      <c r="G97" s="1">
        <f>B97+T.INV.2T(0.05,$B$86)*C97</f>
        <v>0.612184485993853</v>
      </c>
      <c r="H97" s="1" t="str">
        <f>IF(E97&lt;0.05,"Yes","No")</f>
        <v>Yes</v>
      </c>
    </row>
    <row r="99">
      <c r="A99" s="1" t="str">
        <v>ANOVA vs regression</v>
      </c>
    </row>
    <row r="100">
      <c r="A100" s="1" t="str">
        <v>Quantity</v>
      </c>
      <c r="B100" s="1" t="str">
        <v>ANOVA</v>
      </c>
      <c r="C100" s="1" t="str">
        <v>Regression</v>
      </c>
      <c r="D100" s="1" t="str">
        <v>Difference</v>
      </c>
    </row>
    <row r="101">
      <c r="A101" s="1" t="str">
        <v>SSR = SSB</v>
      </c>
      <c r="B101" s="1">
        <f>B74</f>
        <v>81.8699617197337</v>
      </c>
      <c r="C101" s="1">
        <f>B87</f>
        <v>81.8699617197337</v>
      </c>
      <c r="D101" s="1">
        <f>B101-C101</f>
        <v>0</v>
      </c>
    </row>
    <row r="102">
      <c r="A102" s="1" t="str">
        <v>SSE = SSW</v>
      </c>
      <c r="B102" s="1">
        <f>B75</f>
        <v>203.900280359099</v>
      </c>
      <c r="C102" s="1">
        <f>B88</f>
        <v>203.900280359099</v>
      </c>
      <c r="D102" s="1">
        <f>B102-C102</f>
        <v>0</v>
      </c>
    </row>
    <row r="103">
      <c r="A103" s="1" t="str">
        <v>F</v>
      </c>
      <c r="B103" s="1">
        <f>E74</f>
        <v>64.2431381265772</v>
      </c>
      <c r="C103" s="1">
        <f>B84</f>
        <v>64.2431381265772</v>
      </c>
      <c r="D103" s="1">
        <f>B103-C103</f>
        <v>0</v>
      </c>
    </row>
    <row r="104">
      <c r="A104" s="1" t="str">
        <v>η² = R²</v>
      </c>
      <c r="B104" s="1">
        <f>B74/B76</f>
        <v>0.286488757976239</v>
      </c>
      <c r="C104" s="1">
        <f>B81</f>
        <v>0.286488757976239</v>
      </c>
      <c r="D104" s="1">
        <f>B104-C104</f>
        <v>0</v>
      </c>
    </row>
    <row r="106">
      <c r="A106" s="1" t="str">
        <v>Napa coefficient (Generic reference)</v>
      </c>
      <c r="B106" s="1">
        <f>B93</f>
        <v>0.967634048998839</v>
      </c>
    </row>
    <row r="107">
      <c r="A107" s="1" t="str">
        <v xml:space="preserve">  = mean ln(Price) Napa − Generic</v>
      </c>
      <c r="B107" s="1">
        <f>C63-C68</f>
        <v>0.967634048998839</v>
      </c>
    </row>
    <row r="108">
      <c r="A108" s="1" t="str">
        <v xml:space="preserve">  as % premium =EXP(b)−1</v>
      </c>
      <c r="B108" s="1">
        <f>EXP(B106)-1</f>
        <v>1.63171058944287</v>
      </c>
    </row>
    <row r="109">
      <c r="A109" s="1" t="str">
        <v>B3.4: Napa coef if Sonoma were the reference</v>
      </c>
      <c r="B109" s="1">
        <f>B93-B95</f>
        <v>0.374043602038781</v>
      </c>
    </row>
    <row r="110">
      <c r="A110" s="1" t="str">
        <v xml:space="preserve">  as % =EXP(b)−1</v>
      </c>
      <c r="B110" s="1">
        <f>EXP(B109)-1</f>
        <v>0.453600529021763</v>
      </c>
    </row>
    <row r="111">
      <c r="A111" s="1" t="str">
        <v>Six groups need only 5 dummies: with all 6, the dummies add up to 1 = the intercept column (dummy-variable trap). Napa coef 0.968: average ln(Price) of Napa wines is 0.968 higher than Generic California → about 163% more expensive (unadjusted). With Sonoma as reference the Napa coefficient = 0.968 − 0.594 = 0.374 (≈ +45% vs Sonoma).</v>
      </c>
    </row>
    <row r="113">
      <c r="A113" s="1" t="str">
        <v>B4 · Continuous Y, one continuous X: Score</v>
      </c>
    </row>
    <row r="114">
      <c r="A114" s="1" t="str">
        <v>Correlation Price–Score =CORREL</v>
      </c>
      <c r="B114" s="1">
        <f>CORREL(Data!$B$2:$B$807,Data!$D$2:$D$807)</f>
        <v>0.42274236656445</v>
      </c>
    </row>
    <row r="115">
      <c r="A115" s="1" t="str">
        <v>Correlation ln(Price)–Score =CORREL</v>
      </c>
      <c r="B115" s="1">
        <f>CORREL(Data!$P$2:$P$807,Data!$D$2:$D$807)</f>
        <v>0.590501281899545</v>
      </c>
    </row>
    <row r="117">
      <c r="A117" s="1" t="str">
        <v>Regression statistics — ln(Price) on Score</v>
      </c>
      <c r="K117" s="1" t="str">
        <v>Raw LINEST output (ln(Price) on Score)</v>
      </c>
    </row>
    <row r="118">
      <c r="A118" s="1" t="str">
        <v>R Square</v>
      </c>
      <c r="B118" s="1">
        <f>$K$120</f>
        <v>0.348691763925006</v>
      </c>
      <c r="K118" s="1">
        <f t="array" ref="K118:L122">LINEST(Data!$P$2:$P$807,Data!$D$2:$D$807,TRUE(),TRUE())</f>
        <v>0.0901648339284082</v>
      </c>
      <c r="L118" s="1">
        <v>-4.66589275043315</v>
      </c>
    </row>
    <row r="119">
      <c r="A119" s="1" t="str">
        <v>Adjusted R Square</v>
      </c>
      <c r="B119" s="1">
        <f>1-(1-B118)*(B122-1)/B123</f>
        <v>0.347881679054266</v>
      </c>
      <c r="K119" s="1">
        <v>0.00434591875397657</v>
      </c>
      <c r="L119" s="1">
        <v>0.377531920395346</v>
      </c>
    </row>
    <row r="120">
      <c r="A120" s="1" t="str">
        <v>Standard Error</v>
      </c>
      <c r="B120" s="1">
        <f>$L$120</f>
        <v>0.48114254604616</v>
      </c>
      <c r="K120" s="1">
        <v>0.348691763925006</v>
      </c>
      <c r="L120" s="1">
        <v>0.48114254604616</v>
      </c>
    </row>
    <row r="121">
      <c r="A121" s="1" t="str">
        <v>F</v>
      </c>
      <c r="B121" s="1">
        <f>$K$121</f>
        <v>430.438558377795</v>
      </c>
      <c r="K121" s="1">
        <v>430.438558377795</v>
      </c>
      <c r="L121" s="1">
        <v>804</v>
      </c>
    </row>
    <row r="122">
      <c r="A122" s="1" t="str">
        <v>Observations (n)</v>
      </c>
      <c r="B122" s="1">
        <f>B123+1+1</f>
        <v>806</v>
      </c>
      <c r="K122" s="1">
        <v>99.6457297877439</v>
      </c>
      <c r="L122" s="1">
        <v>186.124512291088</v>
      </c>
    </row>
    <row r="123">
      <c r="A123" s="1" t="str">
        <v>Residual df</v>
      </c>
      <c r="B123" s="1">
        <f>$L$121</f>
        <v>804</v>
      </c>
    </row>
    <row r="124">
      <c r="A124" s="1" t="str">
        <v>SS Regression (SSR)</v>
      </c>
      <c r="B124" s="1">
        <f>$K$122</f>
        <v>99.6457297877439</v>
      </c>
    </row>
    <row r="125">
      <c r="A125" s="1" t="str">
        <v>SS Residual (SSE)</v>
      </c>
      <c r="B125" s="1">
        <f>$L$122</f>
        <v>186.124512291088</v>
      </c>
    </row>
    <row r="126">
      <c r="A126" s="1" t="str">
        <v>Significance F (p)</v>
      </c>
      <c r="B126" s="1">
        <f>F.DIST.RT(B121,1,B123)</f>
        <v>6.59411634025277e-77</v>
      </c>
    </row>
    <row r="128">
      <c r="A128" s="1" t="str">
        <v>Variable</v>
      </c>
      <c r="B128" s="1" t="str">
        <v>Coefficient</v>
      </c>
      <c r="C128" s="1" t="str">
        <v>Std. Error</v>
      </c>
      <c r="D128" s="1" t="str">
        <v>t Stat</v>
      </c>
      <c r="E128" s="1" t="str">
        <v>P-value</v>
      </c>
      <c r="F128" s="1" t="str">
        <v>Lower 95%</v>
      </c>
      <c r="G128" s="1" t="str">
        <v>Upper 95%</v>
      </c>
      <c r="H128" s="1" t="str">
        <v>Sig. at 5%?</v>
      </c>
    </row>
    <row r="129">
      <c r="A129" s="1" t="str">
        <v>Intercept</v>
      </c>
      <c r="B129" s="1">
        <f>$L$118</f>
        <v>-4.66589275043315</v>
      </c>
      <c r="C129" s="1">
        <f>$L$119</f>
        <v>0.377531920395346</v>
      </c>
      <c r="D129" s="1">
        <f>B129/C129</f>
        <v>-12.3589357571331</v>
      </c>
      <c r="E129" s="1">
        <f>T.DIST.2T(ABS(D129),$B$123)</f>
        <v>3.00588473260608e-32</v>
      </c>
      <c r="F129" s="1">
        <f>B129-T.INV.2T(0.05,$B$123)*C129</f>
        <v>-5.40695730816796</v>
      </c>
      <c r="G129" s="1">
        <f>B129+T.INV.2T(0.05,$B$123)*C129</f>
        <v>-3.92482819269835</v>
      </c>
      <c r="H129" s="1" t="str">
        <f>IF(E129&lt;0.05,"Yes","No")</f>
        <v>Yes</v>
      </c>
    </row>
    <row r="130">
      <c r="A130" s="1" t="str">
        <v>Score</v>
      </c>
      <c r="B130" s="1">
        <f>$K$118</f>
        <v>0.0901648339284082</v>
      </c>
      <c r="C130" s="1">
        <f>$K$119</f>
        <v>0.00434591875397657</v>
      </c>
      <c r="D130" s="1">
        <f>B130/C130</f>
        <v>20.7470132399291</v>
      </c>
      <c r="E130" s="1">
        <f>T.DIST.2T(ABS(D130),$B$123)</f>
        <v>6.59411634025277e-77</v>
      </c>
      <c r="F130" s="1">
        <f>B130-T.INV.2T(0.05,$B$123)*C130</f>
        <v>0.0816341476860516</v>
      </c>
      <c r="G130" s="1">
        <f>B130+T.INV.2T(0.05,$B$123)*C130</f>
        <v>0.0986955201707648</v>
      </c>
      <c r="H130" s="1" t="str">
        <f>IF(E130&lt;0.05,"Yes","No")</f>
        <v>Yes</v>
      </c>
    </row>
    <row r="132">
      <c r="A132" s="1" t="str">
        <v>Slope ×100 (approx. % per point)</v>
      </c>
      <c r="B132" s="1">
        <f>100*B130</f>
        <v>9.01648339284082</v>
      </c>
    </row>
    <row r="133">
      <c r="A133" s="1" t="str">
        <v>Exact % per point =EXP(b)−1</v>
      </c>
      <c r="B133" s="1">
        <f>EXP(B130)-1</f>
        <v>0.0943546556160535</v>
      </c>
    </row>
    <row r="134">
      <c r="A134" s="1" t="str">
        <v>Check: R² = r²</v>
      </c>
      <c r="B134" s="1">
        <f>B115^2-B118</f>
        <v>0</v>
      </c>
    </row>
    <row r="135">
      <c r="A135" s="1" t="str">
        <v>ln(Price) is more strongly correlated with Score (0.59 vs 0.42): price rises by roughly a constant PERCENTAGE per point (a convex curve in dollars), which the log turns into a straight line; logs also tame the outliers that weaken r. Each extra Score point ≈ +9.4% in price.</v>
      </c>
    </row>
    <row r="137">
      <c r="A137" s="1" t="str">
        <v>B5.1 · Linear model: Price on all 13 explanatory variables</v>
      </c>
    </row>
    <row r="138">
      <c r="A138" s="1" t="str">
        <v>Regression statistics — Price, linear</v>
      </c>
      <c r="K138" s="1" t="str">
        <v>Raw LINEST output (Price, linear)</v>
      </c>
    </row>
    <row r="139">
      <c r="A139" s="1" t="str">
        <v>R Square</v>
      </c>
      <c r="B139" s="1">
        <f>$K$141</f>
        <v>0.267289779333411</v>
      </c>
      <c r="K139" s="1">
        <f t="array" ref="K139:X143">LINEST(Data!$B$2:$B$807,Data!$C$2:$O$807,TRUE(),TRUE())</f>
        <v>-0.406287200566019</v>
      </c>
      <c r="L139" s="1">
        <v>7.6602095543636</v>
      </c>
      <c r="M139" s="1">
        <v>12.6272536421902</v>
      </c>
      <c r="N139" s="1">
        <v>9.45425952667785</v>
      </c>
      <c r="O139" s="1">
        <v>20.2877934073402</v>
      </c>
      <c r="P139" s="1">
        <v>0.881539559002554</v>
      </c>
      <c r="Q139" s="1">
        <v>5.02397277588161</v>
      </c>
      <c r="R139" s="1">
        <v>-0.835443386467626</v>
      </c>
      <c r="S139" s="1">
        <v>2.27887772692736</v>
      </c>
      <c r="T139" s="1">
        <v>7.06100443332961</v>
      </c>
      <c r="U139" s="1">
        <v>6.61960475837805</v>
      </c>
      <c r="V139" s="1">
        <v>3.14509709236065</v>
      </c>
      <c r="W139" s="1">
        <v>-0.0949137696300506</v>
      </c>
      <c r="X139" s="1">
        <v>-272.467103460461</v>
      </c>
    </row>
    <row r="140">
      <c r="A140" s="1" t="str">
        <v>Adjusted R Square</v>
      </c>
      <c r="B140" s="1">
        <f>1-(1-B139)*(B143-1)/B144</f>
        <v>0.255262970155803</v>
      </c>
      <c r="K140" s="1">
        <v>5.18328359180679</v>
      </c>
      <c r="L140" s="1">
        <v>3.47805267989801</v>
      </c>
      <c r="M140" s="1">
        <v>3.15222957868469</v>
      </c>
      <c r="N140" s="1">
        <v>3.66039282087736</v>
      </c>
      <c r="O140" s="1">
        <v>4.67816738973266</v>
      </c>
      <c r="P140" s="1">
        <v>5.63020845062405</v>
      </c>
      <c r="Q140" s="1">
        <v>6.50359305825197</v>
      </c>
      <c r="R140" s="1">
        <v>3.6858010087675</v>
      </c>
      <c r="S140" s="1">
        <v>4.94258478115594</v>
      </c>
      <c r="T140" s="1">
        <v>3.91922293045619</v>
      </c>
      <c r="U140" s="1">
        <v>1.61023744931944</v>
      </c>
      <c r="V140" s="1">
        <v>0.303029699796847</v>
      </c>
      <c r="W140" s="1">
        <v>0.0588065341758679</v>
      </c>
      <c r="X140" s="1">
        <v>26.3202490771594</v>
      </c>
    </row>
    <row r="141">
      <c r="A141" s="1" t="str">
        <v>Standard Error</v>
      </c>
      <c r="B141" s="1">
        <f>$L$141</f>
        <v>29.4745707978241</v>
      </c>
      <c r="K141" s="1">
        <v>0.267289779333411</v>
      </c>
      <c r="L141" s="1">
        <v>29.4745707978241</v>
      </c>
      <c r="M141" s="1" t="e">
        <v>#N/A</v>
      </c>
      <c r="N141" s="1" t="e">
        <v>#N/A</v>
      </c>
      <c r="O141" s="1" t="e">
        <v>#N/A</v>
      </c>
      <c r="P141" s="1" t="e">
        <v>#N/A</v>
      </c>
      <c r="Q141" s="1" t="e">
        <v>#N/A</v>
      </c>
      <c r="R141" s="1" t="e">
        <v>#N/A</v>
      </c>
      <c r="S141" s="1" t="e">
        <v>#N/A</v>
      </c>
      <c r="T141" s="1" t="e">
        <v>#N/A</v>
      </c>
      <c r="U141" s="1" t="e">
        <v>#N/A</v>
      </c>
      <c r="V141" s="1" t="e">
        <v>#N/A</v>
      </c>
      <c r="W141" s="1" t="e">
        <v>#N/A</v>
      </c>
      <c r="X141" s="1" t="e">
        <v>#N/A</v>
      </c>
    </row>
    <row r="142">
      <c r="A142" s="1" t="str">
        <v>F</v>
      </c>
      <c r="B142" s="1">
        <f>$K$142</f>
        <v>22.2244965714646</v>
      </c>
      <c r="K142" s="1">
        <v>22.2244965714646</v>
      </c>
      <c r="L142" s="1">
        <v>792</v>
      </c>
      <c r="M142" s="1" t="e">
        <v>#N/A</v>
      </c>
      <c r="N142" s="1" t="e">
        <v>#N/A</v>
      </c>
      <c r="O142" s="1" t="e">
        <v>#N/A</v>
      </c>
      <c r="P142" s="1" t="e">
        <v>#N/A</v>
      </c>
      <c r="Q142" s="1" t="e">
        <v>#N/A</v>
      </c>
      <c r="R142" s="1" t="e">
        <v>#N/A</v>
      </c>
      <c r="S142" s="1" t="e">
        <v>#N/A</v>
      </c>
      <c r="T142" s="1" t="e">
        <v>#N/A</v>
      </c>
      <c r="U142" s="1" t="e">
        <v>#N/A</v>
      </c>
      <c r="V142" s="1" t="e">
        <v>#N/A</v>
      </c>
      <c r="W142" s="1" t="e">
        <v>#N/A</v>
      </c>
      <c r="X142" s="1" t="e">
        <v>#N/A</v>
      </c>
    </row>
    <row r="143">
      <c r="A143" s="1" t="str">
        <v>Observations (n)</v>
      </c>
      <c r="B143" s="1">
        <f>B144+13+1</f>
        <v>806</v>
      </c>
      <c r="K143" s="1">
        <v>250998.001681489</v>
      </c>
      <c r="L143" s="1">
        <v>688050.256383027</v>
      </c>
      <c r="M143" s="1" t="e">
        <v>#N/A</v>
      </c>
      <c r="N143" s="1" t="e">
        <v>#N/A</v>
      </c>
      <c r="O143" s="1" t="e">
        <v>#N/A</v>
      </c>
      <c r="P143" s="1" t="e">
        <v>#N/A</v>
      </c>
      <c r="Q143" s="1" t="e">
        <v>#N/A</v>
      </c>
      <c r="R143" s="1" t="e">
        <v>#N/A</v>
      </c>
      <c r="S143" s="1" t="e">
        <v>#N/A</v>
      </c>
      <c r="T143" s="1" t="e">
        <v>#N/A</v>
      </c>
      <c r="U143" s="1" t="e">
        <v>#N/A</v>
      </c>
      <c r="V143" s="1" t="e">
        <v>#N/A</v>
      </c>
      <c r="W143" s="1" t="e">
        <v>#N/A</v>
      </c>
      <c r="X143" s="1" t="e">
        <v>#N/A</v>
      </c>
    </row>
    <row r="144">
      <c r="A144" s="1" t="str">
        <v>Residual df</v>
      </c>
      <c r="B144" s="1">
        <f>$L$142</f>
        <v>792</v>
      </c>
    </row>
    <row r="145">
      <c r="A145" s="1" t="str">
        <v>SS Regression (SSR)</v>
      </c>
      <c r="B145" s="1">
        <f>$K$143</f>
        <v>250998.001681489</v>
      </c>
    </row>
    <row r="146">
      <c r="A146" s="1" t="str">
        <v>SS Residual (SSE)</v>
      </c>
      <c r="B146" s="1">
        <f>$L$143</f>
        <v>688050.256383027</v>
      </c>
    </row>
    <row r="147">
      <c r="A147" s="1" t="str">
        <v>Significance F (p)</v>
      </c>
      <c r="B147" s="1">
        <f>F.DIST.RT(B142,13,B144)</f>
        <v>1.68219051042713e-45</v>
      </c>
    </row>
    <row r="149">
      <c r="A149" s="1" t="str">
        <v>Variable</v>
      </c>
      <c r="B149" s="1" t="str">
        <v>Coefficient</v>
      </c>
      <c r="C149" s="1" t="str">
        <v>Std. Error</v>
      </c>
      <c r="D149" s="1" t="str">
        <v>t Stat</v>
      </c>
      <c r="E149" s="1" t="str">
        <v>P-value</v>
      </c>
      <c r="F149" s="1" t="str">
        <v>Lower 95%</v>
      </c>
      <c r="G149" s="1" t="str">
        <v>Upper 95%</v>
      </c>
      <c r="H149" s="1" t="str">
        <v>Sig. at 5%?</v>
      </c>
    </row>
    <row r="150">
      <c r="A150" s="1" t="str">
        <v>Intercept</v>
      </c>
      <c r="B150" s="1">
        <f>$X$139</f>
        <v>-272.467103460461</v>
      </c>
      <c r="C150" s="1">
        <f>$X$140</f>
        <v>26.3202490771594</v>
      </c>
      <c r="D150" s="1">
        <f>B150/C150</f>
        <v>-10.3519956312612</v>
      </c>
      <c r="E150" s="1">
        <f>T.DIST.2T(ABS(D150),$B$144)</f>
        <v>1.21725626212273e-23</v>
      </c>
      <c r="F150" s="1">
        <f>B150-T.INV.2T(0.05,$B$144)*C150</f>
        <v>-324.132799114886</v>
      </c>
      <c r="G150" s="1">
        <f>B150+T.INV.2T(0.05,$B$144)*C150</f>
        <v>-220.801407806035</v>
      </c>
      <c r="H150" s="1" t="str">
        <f>IF(E150&lt;0.05,"Yes","No")</f>
        <v>Yes</v>
      </c>
    </row>
    <row r="151">
      <c r="A151" s="1" t="str">
        <v>Cases</v>
      </c>
      <c r="B151" s="1">
        <f>$W$139</f>
        <v>-0.0949137696300506</v>
      </c>
      <c r="C151" s="1">
        <f>$W$140</f>
        <v>0.0588065341758679</v>
      </c>
      <c r="D151" s="1">
        <f>B151/C151</f>
        <v>-1.61400039910871</v>
      </c>
      <c r="E151" s="1">
        <f>T.DIST.2T(ABS(D151),$B$144)</f>
        <v>0.106925656619665</v>
      </c>
      <c r="F151" s="1">
        <f>B151-T.INV.2T(0.05,$B$144)*C151</f>
        <v>-0.210348866323666</v>
      </c>
      <c r="G151" s="1">
        <f>B151+T.INV.2T(0.05,$B$144)*C151</f>
        <v>0.0205213270635652</v>
      </c>
      <c r="H151" s="1" t="str">
        <f>IF(E151&lt;0.05,"Yes","No")</f>
        <v>No</v>
      </c>
    </row>
    <row r="152">
      <c r="A152" s="1" t="str">
        <v>Score</v>
      </c>
      <c r="B152" s="1">
        <f>$V$139</f>
        <v>3.14509709236065</v>
      </c>
      <c r="C152" s="1">
        <f>$V$140</f>
        <v>0.303029699796847</v>
      </c>
      <c r="D152" s="1">
        <f>B152/C152</f>
        <v>10.3788410656419</v>
      </c>
      <c r="E152" s="1">
        <f>T.DIST.2T(ABS(D152),$B$144)</f>
        <v>9.50602269122692e-24</v>
      </c>
      <c r="F152" s="1">
        <f>B152-T.INV.2T(0.05,$B$144)*C152</f>
        <v>2.5502607669878</v>
      </c>
      <c r="G152" s="1">
        <f>B152+T.INV.2T(0.05,$B$144)*C152</f>
        <v>3.73993341773351</v>
      </c>
      <c r="H152" s="1" t="str">
        <f>IF(E152&lt;0.05,"Yes","No")</f>
        <v>Yes</v>
      </c>
    </row>
    <row r="153">
      <c r="A153" s="1" t="str">
        <v>Age</v>
      </c>
      <c r="B153" s="1">
        <f>$U$139</f>
        <v>6.61960475837805</v>
      </c>
      <c r="C153" s="1">
        <f>$U$140</f>
        <v>1.61023744931944</v>
      </c>
      <c r="D153" s="1">
        <f>B153/C153</f>
        <v>4.11094945107369</v>
      </c>
      <c r="E153" s="1">
        <f>T.DIST.2T(ABS(D153),$B$144)</f>
        <v>0.0000435144005962522</v>
      </c>
      <c r="F153" s="1">
        <f>B153-T.INV.2T(0.05,$B$144)*C153</f>
        <v>3.45876696599972</v>
      </c>
      <c r="G153" s="1">
        <f>B153+T.INV.2T(0.05,$B$144)*C153</f>
        <v>9.78044255075638</v>
      </c>
      <c r="H153" s="1" t="str">
        <f>IF(E153&lt;0.05,"Yes","No")</f>
        <v>Yes</v>
      </c>
    </row>
    <row r="154">
      <c r="A154" s="1" t="str">
        <v>Napa valley</v>
      </c>
      <c r="B154" s="1">
        <f>$T$139</f>
        <v>7.06100443332961</v>
      </c>
      <c r="C154" s="1">
        <f>$T$140</f>
        <v>3.91922293045619</v>
      </c>
      <c r="D154" s="1">
        <f>B154/C154</f>
        <v>1.80163378267123</v>
      </c>
      <c r="E154" s="1">
        <f>T.DIST.2T(ABS(D154),$B$144)</f>
        <v>0.0719832370485986</v>
      </c>
      <c r="F154" s="1">
        <f>B154-T.INV.2T(0.05,$B$144)*C154</f>
        <v>-0.632288230170039</v>
      </c>
      <c r="G154" s="1">
        <f>B154+T.INV.2T(0.05,$B$144)*C154</f>
        <v>14.7542970968293</v>
      </c>
      <c r="H154" s="1" t="str">
        <f>IF(E154&lt;0.05,"Yes","No")</f>
        <v>No</v>
      </c>
    </row>
    <row r="155">
      <c r="A155" s="1" t="str">
        <v>bay area</v>
      </c>
      <c r="B155" s="1">
        <f>$S$139</f>
        <v>2.27887772692736</v>
      </c>
      <c r="C155" s="1">
        <f>$S$140</f>
        <v>4.94258478115594</v>
      </c>
      <c r="D155" s="1">
        <f>B155/C155</f>
        <v>0.461070032752051</v>
      </c>
      <c r="E155" s="1">
        <f>T.DIST.2T(ABS(D155),$B$144)</f>
        <v>0.644874948091451</v>
      </c>
      <c r="F155" s="1">
        <f>B155-T.INV.2T(0.05,$B$144)*C155</f>
        <v>-7.42323718470541</v>
      </c>
      <c r="G155" s="1">
        <f>B155+T.INV.2T(0.05,$B$144)*C155</f>
        <v>11.9809926385601</v>
      </c>
      <c r="H155" s="1" t="str">
        <f>IF(E155&lt;0.05,"Yes","No")</f>
        <v>No</v>
      </c>
    </row>
    <row r="156">
      <c r="A156" s="1" t="str">
        <v>sonoma</v>
      </c>
      <c r="B156" s="1">
        <f>$R$139</f>
        <v>-0.835443386467626</v>
      </c>
      <c r="C156" s="1">
        <f>$R$140</f>
        <v>3.6858010087675</v>
      </c>
      <c r="D156" s="1">
        <f>B156/C156</f>
        <v>-0.22666535292609</v>
      </c>
      <c r="E156" s="1">
        <f>T.DIST.2T(ABS(D156),$B$144)</f>
        <v>0.820742458828407</v>
      </c>
      <c r="F156" s="1">
        <f>B156-T.INV.2T(0.05,$B$144)*C156</f>
        <v>-8.0705372719206</v>
      </c>
      <c r="G156" s="1">
        <f>B156+T.INV.2T(0.05,$B$144)*C156</f>
        <v>6.39965049898535</v>
      </c>
      <c r="H156" s="1" t="str">
        <f>IF(E156&lt;0.05,"Yes","No")</f>
        <v>No</v>
      </c>
    </row>
    <row r="157">
      <c r="A157" s="1" t="str">
        <v>sierra/foothills</v>
      </c>
      <c r="B157" s="1">
        <f>$Q$139</f>
        <v>5.02397277588161</v>
      </c>
      <c r="C157" s="1">
        <f>$Q$140</f>
        <v>6.50359305825197</v>
      </c>
      <c r="D157" s="1">
        <f>B157/C157</f>
        <v>0.772491871936395</v>
      </c>
      <c r="E157" s="1">
        <f>T.DIST.2T(ABS(D157),$B$144)</f>
        <v>0.44005361644075</v>
      </c>
      <c r="F157" s="1">
        <f>B157-T.INV.2T(0.05,$B$144)*C157</f>
        <v>-7.74234484606936</v>
      </c>
      <c r="G157" s="1">
        <f>B157+T.INV.2T(0.05,$B$144)*C157</f>
        <v>17.7902903978326</v>
      </c>
      <c r="H157" s="1" t="str">
        <f>IF(E157&lt;0.05,"Yes","No")</f>
        <v>No</v>
      </c>
    </row>
    <row r="158">
      <c r="A158" s="1" t="str">
        <v>mendocino / lake</v>
      </c>
      <c r="B158" s="1">
        <f>$P$139</f>
        <v>0.881539559002554</v>
      </c>
      <c r="C158" s="1">
        <f>$P$140</f>
        <v>5.63020845062405</v>
      </c>
      <c r="D158" s="1">
        <f>B158/C158</f>
        <v>0.15657316540471</v>
      </c>
      <c r="E158" s="1">
        <f>T.DIST.2T(ABS(D158),$B$144)</f>
        <v>0.875621154813769</v>
      </c>
      <c r="F158" s="1">
        <f>B158-T.INV.2T(0.05,$B$144)*C158</f>
        <v>-10.1703557109912</v>
      </c>
      <c r="G158" s="1">
        <f>B158+T.INV.2T(0.05,$B$144)*C158</f>
        <v>11.9334348289963</v>
      </c>
      <c r="H158" s="1" t="str">
        <f>IF(E158&lt;0.05,"Yes","No")</f>
        <v>No</v>
      </c>
    </row>
    <row r="159">
      <c r="A159" s="1" t="str">
        <v>Nonvarietal</v>
      </c>
      <c r="B159" s="1">
        <f>$O$139</f>
        <v>20.2877934073402</v>
      </c>
      <c r="C159" s="1">
        <f>$O$140</f>
        <v>4.67816738973266</v>
      </c>
      <c r="D159" s="1">
        <f>B159/C159</f>
        <v>4.3366967697365</v>
      </c>
      <c r="E159" s="1">
        <f>T.DIST.2T(ABS(D159),$B$144)</f>
        <v>0.0000163313791132753</v>
      </c>
      <c r="F159" s="1">
        <f>B159-T.INV.2T(0.05,$B$144)*C159</f>
        <v>11.1047202582289</v>
      </c>
      <c r="G159" s="1">
        <f>B159+T.INV.2T(0.05,$B$144)*C159</f>
        <v>29.4708665564515</v>
      </c>
      <c r="H159" s="1" t="str">
        <f>IF(E159&lt;0.05,"Yes","No")</f>
        <v>Yes</v>
      </c>
    </row>
    <row r="160">
      <c r="A160" s="1" t="str">
        <v>Pinot noir</v>
      </c>
      <c r="B160" s="1">
        <f>$N$139</f>
        <v>9.45425952667785</v>
      </c>
      <c r="C160" s="1">
        <f>$N$140</f>
        <v>3.66039282087736</v>
      </c>
      <c r="D160" s="1">
        <f>B160/C160</f>
        <v>2.58285380540435</v>
      </c>
      <c r="E160" s="1">
        <f>T.DIST.2T(ABS(D160),$B$144)</f>
        <v>0.0099769647495382</v>
      </c>
      <c r="F160" s="1">
        <f>B160-T.INV.2T(0.05,$B$144)*C160</f>
        <v>2.26904099380281</v>
      </c>
      <c r="G160" s="1">
        <f>B160+T.INV.2T(0.05,$B$144)*C160</f>
        <v>16.6394780595529</v>
      </c>
      <c r="H160" s="1" t="str">
        <f>IF(E160&lt;0.05,"Yes","No")</f>
        <v>Yes</v>
      </c>
    </row>
    <row r="161">
      <c r="A161" s="1" t="str">
        <v>Cabernet</v>
      </c>
      <c r="B161" s="1">
        <f>$M$139</f>
        <v>12.6272536421902</v>
      </c>
      <c r="C161" s="1">
        <f>$M$140</f>
        <v>3.15222957868469</v>
      </c>
      <c r="D161" s="1">
        <f>B161/C161</f>
        <v>4.0058166218525</v>
      </c>
      <c r="E161" s="1">
        <f>T.DIST.2T(ABS(D161),$B$144)</f>
        <v>0.0000676251463435086</v>
      </c>
      <c r="F161" s="1">
        <f>B161-T.INV.2T(0.05,$B$144)*C161</f>
        <v>6.4395411487499</v>
      </c>
      <c r="G161" s="1">
        <f>B161+T.INV.2T(0.05,$B$144)*C161</f>
        <v>18.8149661356305</v>
      </c>
      <c r="H161" s="1" t="str">
        <f>IF(E161&lt;0.05,"Yes","No")</f>
        <v>Yes</v>
      </c>
    </row>
    <row r="162">
      <c r="A162" s="1" t="str">
        <v>Merlot</v>
      </c>
      <c r="B162" s="1">
        <f>$L$139</f>
        <v>7.6602095543636</v>
      </c>
      <c r="C162" s="1">
        <f>$L$140</f>
        <v>3.47805267989801</v>
      </c>
      <c r="D162" s="1">
        <f>B162/C162</f>
        <v>2.20244207301317</v>
      </c>
      <c r="E162" s="1">
        <f>T.DIST.2T(ABS(D162),$B$144)</f>
        <v>0.0279215245509835</v>
      </c>
      <c r="F162" s="1">
        <f>B162-T.INV.2T(0.05,$B$144)*C162</f>
        <v>0.832918114116251</v>
      </c>
      <c r="G162" s="1">
        <f>B162+T.INV.2T(0.05,$B$144)*C162</f>
        <v>14.4875009946109</v>
      </c>
      <c r="H162" s="1" t="str">
        <f>IF(E162&lt;0.05,"Yes","No")</f>
        <v>Yes</v>
      </c>
    </row>
    <row r="163">
      <c r="A163" s="1" t="str">
        <v>Shyrah</v>
      </c>
      <c r="B163" s="1">
        <f>$K$139</f>
        <v>-0.406287200566019</v>
      </c>
      <c r="C163" s="1">
        <f>$K$140</f>
        <v>5.18328359180679</v>
      </c>
      <c r="D163" s="1">
        <f>B163/C163</f>
        <v>-0.0783841349541893</v>
      </c>
      <c r="E163" s="1">
        <f>T.DIST.2T(ABS(D163),$B$144)</f>
        <v>0.937542292029132</v>
      </c>
      <c r="F163" s="1">
        <f>B163-T.INV.2T(0.05,$B$144)*C163</f>
        <v>-10.5808851597191</v>
      </c>
      <c r="G163" s="1">
        <f>B163+T.INV.2T(0.05,$B$144)*C163</f>
        <v>9.76831075858702</v>
      </c>
      <c r="H163" s="1" t="str">
        <f>IF(E163&lt;0.05,"Yes","No")</f>
        <v>No</v>
      </c>
    </row>
    <row r="164">
      <c r="A164" s="1" t="str">
        <v>Coefficients in data-column order (C..O) →</v>
      </c>
      <c r="B164" s="1">
        <f>B151</f>
        <v>-0.0949137696300506</v>
      </c>
      <c r="C164" s="1">
        <f>B152</f>
        <v>3.14509709236065</v>
      </c>
      <c r="D164" s="1">
        <f>B153</f>
        <v>6.61960475837805</v>
      </c>
      <c r="E164" s="1">
        <f>B154</f>
        <v>7.06100443332961</v>
      </c>
      <c r="F164" s="1">
        <f>B155</f>
        <v>2.27887772692736</v>
      </c>
      <c r="G164" s="1">
        <f>B156</f>
        <v>-0.835443386467626</v>
      </c>
      <c r="H164" s="1">
        <f>B157</f>
        <v>5.02397277588161</v>
      </c>
      <c r="I164" s="1">
        <f>B158</f>
        <v>0.881539559002554</v>
      </c>
      <c r="J164" s="1">
        <f>B159</f>
        <v>20.2877934073402</v>
      </c>
      <c r="K164" s="1">
        <f>B160</f>
        <v>9.45425952667785</v>
      </c>
      <c r="L164" s="1">
        <f>B161</f>
        <v>12.6272536421902</v>
      </c>
      <c r="M164" s="1">
        <f>B162</f>
        <v>7.6602095543636</v>
      </c>
      <c r="N164" s="1">
        <f>B163</f>
        <v>-0.406287200566019</v>
      </c>
    </row>
    <row r="166">
      <c r="A166" s="1" t="str">
        <v>B5.2 · Log-linear model: ln(Price) on all 13 explanatory variables</v>
      </c>
    </row>
    <row r="167">
      <c r="A167" s="1" t="str">
        <v>Regression statistics — ln(Price), log-linear</v>
      </c>
      <c r="K167" s="1" t="str">
        <v>Raw LINEST output (ln(Price), log-linear)</v>
      </c>
    </row>
    <row r="168">
      <c r="A168" s="1" t="str">
        <v>R Square</v>
      </c>
      <c r="B168" s="1">
        <f>$K$170</f>
        <v>0.597052247019673</v>
      </c>
      <c r="K168" s="1">
        <f t="array" ref="K168:X172">LINEST(Data!$P$2:$P$807,Data!$C$2:$O$807,TRUE(),TRUE())</f>
        <v>0.0432339512401637</v>
      </c>
      <c r="L168" s="1">
        <v>0.28451472986833</v>
      </c>
      <c r="M168" s="1">
        <v>0.320995660387372</v>
      </c>
      <c r="N168" s="1">
        <v>0.346522278064314</v>
      </c>
      <c r="O168" s="1">
        <v>0.478587464021177</v>
      </c>
      <c r="P168" s="1">
        <v>0.237226908925058</v>
      </c>
      <c r="Q168" s="1">
        <v>0.251234516985788</v>
      </c>
      <c r="R168" s="1">
        <v>0.281931847973431</v>
      </c>
      <c r="S168" s="1">
        <v>0.254986972787972</v>
      </c>
      <c r="T168" s="1">
        <v>0.429719412873601</v>
      </c>
      <c r="U168" s="1">
        <v>0.183085282441609</v>
      </c>
      <c r="V168" s="1">
        <v>0.0699613687974267</v>
      </c>
      <c r="W168" s="1">
        <v>-0.00427906714508353</v>
      </c>
      <c r="X168" s="1">
        <v>-3.94132418535385</v>
      </c>
    </row>
    <row r="169">
      <c r="A169" s="1" t="str">
        <v>Adjusted R Square</v>
      </c>
      <c r="B169" s="1">
        <f>1-(1-B168)*(B172-1)/B173</f>
        <v>0.590438205619743</v>
      </c>
      <c r="K169" s="1">
        <v>0.0670544741302491</v>
      </c>
      <c r="L169" s="1">
        <v>0.0449944498148844</v>
      </c>
      <c r="M169" s="1">
        <v>0.0407793810608072</v>
      </c>
      <c r="N169" s="1">
        <v>0.0473533256220143</v>
      </c>
      <c r="O169" s="1">
        <v>0.0605199481478606</v>
      </c>
      <c r="P169" s="1">
        <v>0.0728361974052592</v>
      </c>
      <c r="Q169" s="1">
        <v>0.0841348934037796</v>
      </c>
      <c r="R169" s="1">
        <v>0.0476820231835888</v>
      </c>
      <c r="S169" s="1">
        <v>0.0639406309676868</v>
      </c>
      <c r="T169" s="1">
        <v>0.0507017275721443</v>
      </c>
      <c r="U169" s="1">
        <v>0.0208311244168895</v>
      </c>
      <c r="V169" s="1">
        <v>0.00392019784482637</v>
      </c>
      <c r="W169" s="1">
        <v>0.000760761234600094</v>
      </c>
      <c r="X169" s="1">
        <v>0.340496604051505</v>
      </c>
    </row>
    <row r="170">
      <c r="A170" s="1" t="str">
        <v>Standard Error</v>
      </c>
      <c r="B170" s="1">
        <f>$L$170</f>
        <v>0.381303050480778</v>
      </c>
      <c r="K170" s="1">
        <v>0.597052247019673</v>
      </c>
      <c r="L170" s="1">
        <v>0.381303050480778</v>
      </c>
      <c r="M170" s="1" t="e">
        <v>#N/A</v>
      </c>
      <c r="N170" s="1" t="e">
        <v>#N/A</v>
      </c>
      <c r="O170" s="1" t="e">
        <v>#N/A</v>
      </c>
      <c r="P170" s="1" t="e">
        <v>#N/A</v>
      </c>
      <c r="Q170" s="1" t="e">
        <v>#N/A</v>
      </c>
      <c r="R170" s="1" t="e">
        <v>#N/A</v>
      </c>
      <c r="S170" s="1" t="e">
        <v>#N/A</v>
      </c>
      <c r="T170" s="1" t="e">
        <v>#N/A</v>
      </c>
      <c r="U170" s="1" t="e">
        <v>#N/A</v>
      </c>
      <c r="V170" s="1" t="e">
        <v>#N/A</v>
      </c>
      <c r="W170" s="1" t="e">
        <v>#N/A</v>
      </c>
      <c r="X170" s="1" t="e">
        <v>#N/A</v>
      </c>
    </row>
    <row r="171">
      <c r="A171" s="1" t="str">
        <v>F</v>
      </c>
      <c r="B171" s="1">
        <f>$K$171</f>
        <v>90.2704127352494</v>
      </c>
      <c r="K171" s="1">
        <v>90.2704127352494</v>
      </c>
      <c r="L171" s="1">
        <v>792</v>
      </c>
      <c r="M171" s="1" t="e">
        <v>#N/A</v>
      </c>
      <c r="N171" s="1" t="e">
        <v>#N/A</v>
      </c>
      <c r="O171" s="1" t="e">
        <v>#N/A</v>
      </c>
      <c r="P171" s="1" t="e">
        <v>#N/A</v>
      </c>
      <c r="Q171" s="1" t="e">
        <v>#N/A</v>
      </c>
      <c r="R171" s="1" t="e">
        <v>#N/A</v>
      </c>
      <c r="S171" s="1" t="e">
        <v>#N/A</v>
      </c>
      <c r="T171" s="1" t="e">
        <v>#N/A</v>
      </c>
      <c r="U171" s="1" t="e">
        <v>#N/A</v>
      </c>
      <c r="V171" s="1" t="e">
        <v>#N/A</v>
      </c>
      <c r="W171" s="1" t="e">
        <v>#N/A</v>
      </c>
      <c r="X171" s="1" t="e">
        <v>#N/A</v>
      </c>
    </row>
    <row r="172">
      <c r="A172" s="1" t="str">
        <v>Observations (n)</v>
      </c>
      <c r="B172" s="1">
        <f>B173+13+1</f>
        <v>806</v>
      </c>
      <c r="K172" s="1">
        <v>170.619765164523</v>
      </c>
      <c r="L172" s="1">
        <v>115.15047691431</v>
      </c>
      <c r="M172" s="1" t="e">
        <v>#N/A</v>
      </c>
      <c r="N172" s="1" t="e">
        <v>#N/A</v>
      </c>
      <c r="O172" s="1" t="e">
        <v>#N/A</v>
      </c>
      <c r="P172" s="1" t="e">
        <v>#N/A</v>
      </c>
      <c r="Q172" s="1" t="e">
        <v>#N/A</v>
      </c>
      <c r="R172" s="1" t="e">
        <v>#N/A</v>
      </c>
      <c r="S172" s="1" t="e">
        <v>#N/A</v>
      </c>
      <c r="T172" s="1" t="e">
        <v>#N/A</v>
      </c>
      <c r="U172" s="1" t="e">
        <v>#N/A</v>
      </c>
      <c r="V172" s="1" t="e">
        <v>#N/A</v>
      </c>
      <c r="W172" s="1" t="e">
        <v>#N/A</v>
      </c>
      <c r="X172" s="1" t="e">
        <v>#N/A</v>
      </c>
    </row>
    <row r="173">
      <c r="A173" s="1" t="str">
        <v>Residual df</v>
      </c>
      <c r="B173" s="1">
        <f>$L$171</f>
        <v>792</v>
      </c>
    </row>
    <row r="174">
      <c r="A174" s="1" t="str">
        <v>SS Regression (SSR)</v>
      </c>
      <c r="B174" s="1">
        <f>$K$172</f>
        <v>170.619765164523</v>
      </c>
    </row>
    <row r="175">
      <c r="A175" s="1" t="str">
        <v>SS Residual (SSE)</v>
      </c>
      <c r="B175" s="1">
        <f>$L$172</f>
        <v>115.15047691431</v>
      </c>
    </row>
    <row r="176">
      <c r="A176" s="1" t="str">
        <v>Significance F (p)</v>
      </c>
      <c r="B176" s="1">
        <f>F.DIST.RT(B171,13,B173)</f>
        <v>1.98723956090353e-146</v>
      </c>
    </row>
    <row r="178">
      <c r="A178" s="1" t="str">
        <v>Variable</v>
      </c>
      <c r="B178" s="1" t="str">
        <v>Coefficient</v>
      </c>
      <c r="C178" s="1" t="str">
        <v>Std. Error</v>
      </c>
      <c r="D178" s="1" t="str">
        <v>t Stat</v>
      </c>
      <c r="E178" s="1" t="str">
        <v>P-value</v>
      </c>
      <c r="F178" s="1" t="str">
        <v>Lower 95%</v>
      </c>
      <c r="G178" s="1" t="str">
        <v>Upper 95%</v>
      </c>
      <c r="H178" s="1" t="str">
        <v>Sig. at 5%?</v>
      </c>
      <c r="I178" s="1" t="str">
        <v>% effect =EXP(b)−1</v>
      </c>
    </row>
    <row r="179">
      <c r="A179" s="1" t="str">
        <v>Intercept</v>
      </c>
      <c r="B179" s="1">
        <f>$X$168</f>
        <v>-3.94132418535385</v>
      </c>
      <c r="C179" s="1">
        <f>$X$169</f>
        <v>0.340496604051505</v>
      </c>
      <c r="D179" s="1">
        <f>B179/C179</f>
        <v>-11.5752231841868</v>
      </c>
      <c r="E179" s="1">
        <f>T.DIST.2T(ABS(D179),$B$173)</f>
        <v>9.74760486530553e-29</v>
      </c>
      <c r="F179" s="1">
        <f>B179-T.INV.2T(0.05,$B$173)*C179</f>
        <v>-4.6097066867777</v>
      </c>
      <c r="G179" s="1">
        <f>B179+T.INV.2T(0.05,$B$173)*C179</f>
        <v>-3.27294168393001</v>
      </c>
      <c r="H179" s="1" t="str">
        <f>IF(E179&lt;0.05,"Yes","No")</f>
        <v>Yes</v>
      </c>
    </row>
    <row r="180">
      <c r="A180" s="1" t="str">
        <v>Cases</v>
      </c>
      <c r="B180" s="1">
        <f>$W$168</f>
        <v>-0.00427906714508353</v>
      </c>
      <c r="C180" s="1">
        <f>$W$169</f>
        <v>0.000760761234600094</v>
      </c>
      <c r="D180" s="1">
        <f>B180/C180</f>
        <v>-5.62471765183052</v>
      </c>
      <c r="E180" s="1">
        <f>T.DIST.2T(ABS(D180),$B$173)</f>
        <v>2.57712938161699e-8</v>
      </c>
      <c r="F180" s="1">
        <f>B180-T.INV.2T(0.05,$B$173)*C180</f>
        <v>-0.00577241389485431</v>
      </c>
      <c r="G180" s="1">
        <f>B180+T.INV.2T(0.05,$B$173)*C180</f>
        <v>-0.00278572039531275</v>
      </c>
      <c r="H180" s="1" t="str">
        <f>IF(E180&lt;0.05,"Yes","No")</f>
        <v>Yes</v>
      </c>
      <c r="I180" s="1">
        <f>EXP(B180)-1</f>
        <v>-0.00426992498189271</v>
      </c>
    </row>
    <row r="181">
      <c r="A181" s="1" t="str">
        <v>Score</v>
      </c>
      <c r="B181" s="1">
        <f>$V$168</f>
        <v>0.0699613687974267</v>
      </c>
      <c r="C181" s="1">
        <f>$V$169</f>
        <v>0.00392019784482637</v>
      </c>
      <c r="D181" s="1">
        <f>B181/C181</f>
        <v>17.8463872403168</v>
      </c>
      <c r="E181" s="1">
        <f>T.DIST.2T(ABS(D181),$B$173)</f>
        <v>3.91850341148565e-60</v>
      </c>
      <c r="F181" s="1">
        <f>B181-T.INV.2T(0.05,$B$173)*C181</f>
        <v>0.0622661624123284</v>
      </c>
      <c r="G181" s="1">
        <f>B181+T.INV.2T(0.05,$B$173)*C181</f>
        <v>0.0776565751825249</v>
      </c>
      <c r="H181" s="1" t="str">
        <f>IF(E181&lt;0.05,"Yes","No")</f>
        <v>Yes</v>
      </c>
      <c r="I181" s="1">
        <f>EXP(B181)-1</f>
        <v>0.072466749773684</v>
      </c>
    </row>
    <row r="182">
      <c r="A182" s="1" t="str">
        <v>Age</v>
      </c>
      <c r="B182" s="1">
        <f>$U$168</f>
        <v>0.183085282441609</v>
      </c>
      <c r="C182" s="1">
        <f>$U$169</f>
        <v>0.0208311244168895</v>
      </c>
      <c r="D182" s="1">
        <f>B182/C182</f>
        <v>8.78902543989259</v>
      </c>
      <c r="E182" s="1">
        <f>T.DIST.2T(ABS(D182),$B$173)</f>
        <v>9.27051938135304e-18</v>
      </c>
      <c r="F182" s="1">
        <f>B182-T.INV.2T(0.05,$B$173)*C182</f>
        <v>0.142194539686578</v>
      </c>
      <c r="G182" s="1">
        <f>B182+T.INV.2T(0.05,$B$173)*C182</f>
        <v>0.223976025196641</v>
      </c>
      <c r="H182" s="1" t="str">
        <f>IF(E182&lt;0.05,"Yes","No")</f>
        <v>Yes</v>
      </c>
      <c r="I182" s="1">
        <f>EXP(B182)-1</f>
        <v>0.200916820832414</v>
      </c>
    </row>
    <row r="183">
      <c r="A183" s="1" t="str">
        <v>Napa valley</v>
      </c>
      <c r="B183" s="1">
        <f>$T$168</f>
        <v>0.429719412873601</v>
      </c>
      <c r="C183" s="1">
        <f>$T$169</f>
        <v>0.0507017275721443</v>
      </c>
      <c r="D183" s="1">
        <f>B183/C183</f>
        <v>8.47543926904949</v>
      </c>
      <c r="E183" s="1">
        <f>T.DIST.2T(ABS(D183),$B$173)</f>
        <v>1.13662918621352e-16</v>
      </c>
      <c r="F183" s="1">
        <f>B183-T.INV.2T(0.05,$B$173)*C183</f>
        <v>0.330193757997895</v>
      </c>
      <c r="G183" s="1">
        <f>B183+T.INV.2T(0.05,$B$173)*C183</f>
        <v>0.529245067749307</v>
      </c>
      <c r="H183" s="1" t="str">
        <f>IF(E183&lt;0.05,"Yes","No")</f>
        <v>Yes</v>
      </c>
      <c r="I183" s="1">
        <f>EXP(B183)-1</f>
        <v>0.536826249385033</v>
      </c>
    </row>
    <row r="184">
      <c r="A184" s="1" t="str">
        <v>bay area</v>
      </c>
      <c r="B184" s="1">
        <f>$S$168</f>
        <v>0.254986972787972</v>
      </c>
      <c r="C184" s="1">
        <f>$S$169</f>
        <v>0.0639406309676868</v>
      </c>
      <c r="D184" s="1">
        <f>B184/C184</f>
        <v>3.9878707627523</v>
      </c>
      <c r="E184" s="1">
        <f>T.DIST.2T(ABS(D184),$B$173)</f>
        <v>0.0000728390211598436</v>
      </c>
      <c r="F184" s="1">
        <f>B184-T.INV.2T(0.05,$B$173)*C184</f>
        <v>0.1294738300421</v>
      </c>
      <c r="G184" s="1">
        <f>B184+T.INV.2T(0.05,$B$173)*C184</f>
        <v>0.380500115533845</v>
      </c>
      <c r="H184" s="1" t="str">
        <f>IF(E184&lt;0.05,"Yes","No")</f>
        <v>Yes</v>
      </c>
      <c r="I184" s="1">
        <f>EXP(B184)-1</f>
        <v>0.290444809865242</v>
      </c>
    </row>
    <row r="185">
      <c r="A185" s="1" t="str">
        <v>sonoma</v>
      </c>
      <c r="B185" s="1">
        <f>$R$168</f>
        <v>0.281931847973431</v>
      </c>
      <c r="C185" s="1">
        <f>$R$169</f>
        <v>0.0476820231835888</v>
      </c>
      <c r="D185" s="1">
        <f>B185/C185</f>
        <v>5.91274927424779</v>
      </c>
      <c r="E185" s="1">
        <f>T.DIST.2T(ABS(D185),$B$173)</f>
        <v>4.99991992547028e-9</v>
      </c>
      <c r="F185" s="1">
        <f>B185-T.INV.2T(0.05,$B$173)*C185</f>
        <v>0.188333763442826</v>
      </c>
      <c r="G185" s="1">
        <f>B185+T.INV.2T(0.05,$B$173)*C185</f>
        <v>0.375529932504036</v>
      </c>
      <c r="H185" s="1" t="str">
        <f>IF(E185&lt;0.05,"Yes","No")</f>
        <v>Yes</v>
      </c>
      <c r="I185" s="1">
        <f>EXP(B185)-1</f>
        <v>0.325688368559094</v>
      </c>
    </row>
    <row r="186">
      <c r="A186" s="1" t="str">
        <v>sierra/foothills</v>
      </c>
      <c r="B186" s="1">
        <f>$Q$168</f>
        <v>0.251234516985788</v>
      </c>
      <c r="C186" s="1">
        <f>$Q$169</f>
        <v>0.0841348934037796</v>
      </c>
      <c r="D186" s="1">
        <f>B186/C186</f>
        <v>2.98609182019242</v>
      </c>
      <c r="E186" s="1">
        <f>T.DIST.2T(ABS(D186),$B$173)</f>
        <v>0.00291274872686817</v>
      </c>
      <c r="F186" s="1">
        <f>B186-T.INV.2T(0.05,$B$173)*C186</f>
        <v>0.0860807684869031</v>
      </c>
      <c r="G186" s="1">
        <f>B186+T.INV.2T(0.05,$B$173)*C186</f>
        <v>0.416388265484673</v>
      </c>
      <c r="H186" s="1" t="str">
        <f>IF(E186&lt;0.05,"Yes","No")</f>
        <v>Yes</v>
      </c>
      <c r="I186" s="1">
        <f>EXP(B186)-1</f>
        <v>0.28561154672562</v>
      </c>
    </row>
    <row r="187">
      <c r="A187" s="1" t="str">
        <v>mendocino / lake</v>
      </c>
      <c r="B187" s="1">
        <f>$P$168</f>
        <v>0.237226908925058</v>
      </c>
      <c r="C187" s="1">
        <f>$P$169</f>
        <v>0.0728361974052592</v>
      </c>
      <c r="D187" s="1">
        <f>B187/C187</f>
        <v>3.25699195422205</v>
      </c>
      <c r="E187" s="1">
        <f>T.DIST.2T(ABS(D187),$B$173)</f>
        <v>0.00117392476155832</v>
      </c>
      <c r="F187" s="1">
        <f>B187-T.INV.2T(0.05,$B$173)*C187</f>
        <v>0.0942520914476894</v>
      </c>
      <c r="G187" s="1">
        <f>B187+T.INV.2T(0.05,$B$173)*C187</f>
        <v>0.380201726402428</v>
      </c>
      <c r="H187" s="1" t="str">
        <f>IF(E187&lt;0.05,"Yes","No")</f>
        <v>Yes</v>
      </c>
      <c r="I187" s="1">
        <f>EXP(B187)-1</f>
        <v>0.26772874410815</v>
      </c>
    </row>
    <row r="188">
      <c r="A188" s="1" t="str">
        <v>Nonvarietal</v>
      </c>
      <c r="B188" s="1">
        <f>$O$168</f>
        <v>0.478587464021177</v>
      </c>
      <c r="C188" s="1">
        <f>$O$169</f>
        <v>0.0605199481478606</v>
      </c>
      <c r="D188" s="1">
        <f>B188/C188</f>
        <v>7.90792918149742</v>
      </c>
      <c r="E188" s="1">
        <f>T.DIST.2T(ABS(D188),$B$173)</f>
        <v>8.78317108291856e-15</v>
      </c>
      <c r="F188" s="1">
        <f>B188-T.INV.2T(0.05,$B$173)*C188</f>
        <v>0.359788997758091</v>
      </c>
      <c r="G188" s="1">
        <f>B188+T.INV.2T(0.05,$B$173)*C188</f>
        <v>0.597385930284264</v>
      </c>
      <c r="H188" s="1" t="str">
        <f>IF(E188&lt;0.05,"Yes","No")</f>
        <v>Yes</v>
      </c>
      <c r="I188" s="1">
        <f>EXP(B188)-1</f>
        <v>0.613793250439095</v>
      </c>
    </row>
    <row r="189">
      <c r="A189" s="1" t="str">
        <v>Pinot noir</v>
      </c>
      <c r="B189" s="1">
        <f>$N$168</f>
        <v>0.346522278064314</v>
      </c>
      <c r="C189" s="1">
        <f>$N$169</f>
        <v>0.0473533256220143</v>
      </c>
      <c r="D189" s="1">
        <f>B189/C189</f>
        <v>7.31780236155616</v>
      </c>
      <c r="E189" s="1">
        <f>T.DIST.2T(ABS(D189),$B$173)</f>
        <v>6.19226338077418e-13</v>
      </c>
      <c r="F189" s="1">
        <f>B189-T.INV.2T(0.05,$B$173)*C189</f>
        <v>0.253569414942096</v>
      </c>
      <c r="G189" s="1">
        <f>B189+T.INV.2T(0.05,$B$173)*C189</f>
        <v>0.439475141186532</v>
      </c>
      <c r="H189" s="1" t="str">
        <f>IF(E189&lt;0.05,"Yes","No")</f>
        <v>Yes</v>
      </c>
      <c r="I189" s="1">
        <f>EXP(B189)-1</f>
        <v>0.414140997803536</v>
      </c>
    </row>
    <row r="190">
      <c r="A190" s="1" t="str">
        <v>Cabernet</v>
      </c>
      <c r="B190" s="1">
        <f>$M$168</f>
        <v>0.320995660387372</v>
      </c>
      <c r="C190" s="1">
        <f>$M$169</f>
        <v>0.0407793810608072</v>
      </c>
      <c r="D190" s="1">
        <f>B190/C190</f>
        <v>7.87151869491907</v>
      </c>
      <c r="E190" s="1">
        <f>T.DIST.2T(ABS(D190),$B$173)</f>
        <v>1.151113260587e-14</v>
      </c>
      <c r="F190" s="1">
        <f>B190-T.INV.2T(0.05,$B$173)*C190</f>
        <v>0.240947212339369</v>
      </c>
      <c r="G190" s="1">
        <f>B190+T.INV.2T(0.05,$B$173)*C190</f>
        <v>0.401044108435375</v>
      </c>
      <c r="H190" s="1" t="str">
        <f>IF(E190&lt;0.05,"Yes","No")</f>
        <v>Yes</v>
      </c>
      <c r="I190" s="1">
        <f>EXP(B190)-1</f>
        <v>0.378499598726508</v>
      </c>
    </row>
    <row r="191">
      <c r="A191" s="1" t="str">
        <v>Merlot</v>
      </c>
      <c r="B191" s="1">
        <f>$L$168</f>
        <v>0.28451472986833</v>
      </c>
      <c r="C191" s="1">
        <f>$L$169</f>
        <v>0.0449944498148844</v>
      </c>
      <c r="D191" s="1">
        <f>B191/C191</f>
        <v>6.32332945594127</v>
      </c>
      <c r="E191" s="1">
        <f>T.DIST.2T(ABS(D191),$B$173)</f>
        <v>4.27425864678232e-10</v>
      </c>
      <c r="F191" s="1">
        <f>B191-T.INV.2T(0.05,$B$173)*C191</f>
        <v>0.196192254520197</v>
      </c>
      <c r="G191" s="1">
        <f>B191+T.INV.2T(0.05,$B$173)*C191</f>
        <v>0.372837205216463</v>
      </c>
      <c r="H191" s="1" t="str">
        <f>IF(E191&lt;0.05,"Yes","No")</f>
        <v>Yes</v>
      </c>
      <c r="I191" s="1">
        <f>EXP(B191)-1</f>
        <v>0.329116890872576</v>
      </c>
    </row>
    <row r="192">
      <c r="A192" s="1" t="str">
        <v>Shyrah</v>
      </c>
      <c r="B192" s="1">
        <f>$K$168</f>
        <v>0.0432339512401637</v>
      </c>
      <c r="C192" s="1">
        <f>$K$169</f>
        <v>0.0670544741302491</v>
      </c>
      <c r="D192" s="1">
        <f>B192/C192</f>
        <v>0.64475863543698</v>
      </c>
      <c r="E192" s="1">
        <f>T.DIST.2T(ABS(D192),$B$173)</f>
        <v>0.519270317636898</v>
      </c>
      <c r="F192" s="1">
        <f>B192-T.INV.2T(0.05,$B$173)*C192</f>
        <v>-0.0883915528546051</v>
      </c>
      <c r="G192" s="1">
        <f>B192+T.INV.2T(0.05,$B$173)*C192</f>
        <v>0.174859455334933</v>
      </c>
      <c r="H192" s="1" t="str">
        <f>IF(E192&lt;0.05,"Yes","No")</f>
        <v>No</v>
      </c>
      <c r="I192" s="1">
        <f>EXP(B192)-1</f>
        <v>0.0441821539870166</v>
      </c>
    </row>
    <row r="193">
      <c r="A193" s="1" t="str">
        <v>Coefficients in data-column order (C..O) →</v>
      </c>
      <c r="B193" s="1">
        <f>B180</f>
        <v>-0.00427906714508353</v>
      </c>
      <c r="C193" s="1">
        <f>B181</f>
        <v>0.0699613687974267</v>
      </c>
      <c r="D193" s="1">
        <f>B182</f>
        <v>0.183085282441609</v>
      </c>
      <c r="E193" s="1">
        <f>B183</f>
        <v>0.429719412873601</v>
      </c>
      <c r="F193" s="1">
        <f>B184</f>
        <v>0.254986972787972</v>
      </c>
      <c r="G193" s="1">
        <f>B185</f>
        <v>0.281931847973431</v>
      </c>
      <c r="H193" s="1">
        <f>B186</f>
        <v>0.251234516985788</v>
      </c>
      <c r="I193" s="1">
        <f>B187</f>
        <v>0.237226908925058</v>
      </c>
      <c r="J193" s="1">
        <f>B188</f>
        <v>0.478587464021177</v>
      </c>
      <c r="K193" s="1">
        <f>B189</f>
        <v>0.346522278064314</v>
      </c>
      <c r="L193" s="1">
        <f>B190</f>
        <v>0.320995660387372</v>
      </c>
      <c r="M193" s="1">
        <f>B191</f>
        <v>0.28451472986833</v>
      </c>
      <c r="N193" s="1">
        <f>B192</f>
        <v>0.0432339512401637</v>
      </c>
    </row>
    <row r="195">
      <c r="A195" s="1" t="str">
        <v>Linear: R² = 0.267, F = 22.2 (p ≈ 1.7E−45). Score, Age and 4 variety dummies significant; NO region dummy significant at 5% (Napa p = 0.072). Log-linear: R² = 0.597, F = 90.3 (p ≈ 2E−146); every variable except Syrah significant. Log reading: +1 Score point → +7.2% price; +1 year Age → +20.1%; +1,000 cases → −0.43%; Napa → +53.7% vs Generic; Cabernet → +37.9% vs Zinfandel, other things equal.</v>
      </c>
    </row>
    <row r="197">
      <c r="A197" s="1" t="str">
        <v>B5.3 · Residuals vs predicted values</v>
      </c>
    </row>
    <row r="198">
      <c r="A198" s="1" t="str">
        <v>Check: Σ residuals (linear)</v>
      </c>
      <c r="B198" s="1">
        <f>SUM(Data!$X$2:$X$807)</f>
        <v>1.31592514662771e-11</v>
      </c>
    </row>
    <row r="199">
      <c r="A199" s="1" t="str">
        <v>Check: Σ residual² − SSE (linear)</v>
      </c>
      <c r="B199" s="1">
        <f>SUMSQ(Data!$X$2:$X$807)-B146</f>
        <v>0</v>
      </c>
    </row>
    <row r="200">
      <c r="A200" s="1" t="str">
        <v>Check: Σ residual² − SSE (log)</v>
      </c>
      <c r="B200" s="1">
        <f>SUMSQ(Data!$Z$2:$Z$807)-B175</f>
        <v>0</v>
      </c>
    </row>
    <row r="220">
      <c r="A220" s="1" t="str">
        <v>Linear residuals fan out as predicted price rises (heteroscedasticity), are strongly right-skewed with huge positive outliers (up to ≈ +$370) and curve. In the log model the band is roughly even in width and symmetric around 0: the log fixed the unequal spread, the skew and most of the outlier problem.</v>
      </c>
    </row>
    <row r="222">
      <c r="A222" s="1" t="str">
        <v>B5.4 · Why the Napa coefficient shrinks (0.968 in B3 → 0.430 in B5.2)</v>
      </c>
    </row>
    <row r="223">
      <c r="A223" s="1" t="str">
        <v>Region</v>
      </c>
      <c r="B223" s="1" t="str">
        <v>Mean Score</v>
      </c>
      <c r="C223" s="1" t="str">
        <v>Mean Age</v>
      </c>
      <c r="D223" s="1" t="str">
        <v>Share Cabernet</v>
      </c>
      <c r="E223" s="1" t="str">
        <v>Mean Cases</v>
      </c>
    </row>
    <row r="224">
      <c r="A224" s="1" t="str">
        <v>Napa valley</v>
      </c>
      <c r="B224" s="1">
        <f>AVERAGEIF(Data!$R$2:$R$807,A224,Data!$D$2:$D$807)</f>
        <v>88.5087108013937</v>
      </c>
      <c r="C224" s="1">
        <f>AVERAGEIF(Data!$R$2:$R$807,A224,Data!$E$2:$E$807)</f>
        <v>3.05923344947735</v>
      </c>
      <c r="D224" s="1">
        <f>AVERAGEIF(Data!$R$2:$R$807,A224,Data!$M$2:$M$807)</f>
        <v>0.480836236933798</v>
      </c>
      <c r="E224" s="1">
        <f>AVERAGEIF(Data!$R$2:$R$807,A224,Data!$C$2:$C$807)</f>
        <v>3.67545296167247</v>
      </c>
    </row>
    <row r="225">
      <c r="A225" s="1" t="str">
        <v>Bay area</v>
      </c>
      <c r="B225" s="1">
        <f>AVERAGEIF(Data!$R$2:$R$807,A225,Data!$D$2:$D$807)</f>
        <v>84.8225806451613</v>
      </c>
      <c r="C225" s="1">
        <f>AVERAGEIF(Data!$R$2:$R$807,A225,Data!$E$2:$E$807)</f>
        <v>2.82258064516129</v>
      </c>
      <c r="D225" s="1">
        <f>AVERAGEIF(Data!$R$2:$R$807,A225,Data!$M$2:$M$807)</f>
        <v>0.274193548387097</v>
      </c>
      <c r="E225" s="1">
        <f>AVERAGEIF(Data!$R$2:$R$807,A225,Data!$C$2:$C$807)</f>
        <v>2.17737096774194</v>
      </c>
    </row>
    <row r="226">
      <c r="A226" s="1" t="str">
        <v>Sonoma</v>
      </c>
      <c r="B226" s="1">
        <f>AVERAGEIF(Data!$R$2:$R$807,A226,Data!$D$2:$D$807)</f>
        <v>86.8345070422535</v>
      </c>
      <c r="C226" s="1">
        <f>AVERAGEIF(Data!$R$2:$R$807,A226,Data!$E$2:$E$807)</f>
        <v>2.77112676056338</v>
      </c>
      <c r="D226" s="1">
        <f>AVERAGEIF(Data!$R$2:$R$807,A226,Data!$M$2:$M$807)</f>
        <v>0.257042253521127</v>
      </c>
      <c r="E226" s="1">
        <f>AVERAGEIF(Data!$R$2:$R$807,A226,Data!$C$2:$C$807)</f>
        <v>4.31839436619718</v>
      </c>
    </row>
    <row r="227">
      <c r="A227" s="1" t="str">
        <v>Sierra/foothills</v>
      </c>
      <c r="B227" s="1">
        <f>AVERAGEIF(Data!$R$2:$R$807,A227,Data!$D$2:$D$807)</f>
        <v>84.1071428571429</v>
      </c>
      <c r="C227" s="1">
        <f>AVERAGEIF(Data!$R$2:$R$807,A227,Data!$E$2:$E$807)</f>
        <v>2.53571428571429</v>
      </c>
      <c r="D227" s="1">
        <f>AVERAGEIF(Data!$R$2:$R$807,A227,Data!$M$2:$M$807)</f>
        <v>0.142857142857143</v>
      </c>
      <c r="E227" s="1">
        <f>AVERAGEIF(Data!$R$2:$R$807,A227,Data!$C$2:$C$807)</f>
        <v>1.77360714285714</v>
      </c>
    </row>
    <row r="228">
      <c r="A228" s="1" t="str">
        <v>Mendocino/lake</v>
      </c>
      <c r="B228" s="1">
        <f>AVERAGEIF(Data!$R$2:$R$807,A228,Data!$D$2:$D$807)</f>
        <v>85.9069767441861</v>
      </c>
      <c r="C228" s="1">
        <f>AVERAGEIF(Data!$R$2:$R$807,A228,Data!$E$2:$E$807)</f>
        <v>2.6046511627907</v>
      </c>
      <c r="D228" s="1">
        <f>AVERAGEIF(Data!$R$2:$R$807,A228,Data!$M$2:$M$807)</f>
        <v>0.116279069767442</v>
      </c>
      <c r="E228" s="1">
        <f>AVERAGEIF(Data!$R$2:$R$807,A228,Data!$C$2:$C$807)</f>
        <v>2.04206976744186</v>
      </c>
    </row>
    <row r="229">
      <c r="A229" s="1" t="str">
        <v>Generic California</v>
      </c>
      <c r="B229" s="1">
        <f>AVERAGEIF(Data!$R$2:$R$807,A229,Data!$D$2:$D$807)</f>
        <v>84.078431372549</v>
      </c>
      <c r="C229" s="1">
        <f>AVERAGEIF(Data!$R$2:$R$807,A229,Data!$E$2:$E$807)</f>
        <v>2.43137254901961</v>
      </c>
      <c r="D229" s="1">
        <f>AVERAGEIF(Data!$R$2:$R$807,A229,Data!$M$2:$M$807)</f>
        <v>0.352941176470588</v>
      </c>
      <c r="E229" s="1">
        <f>AVERAGEIF(Data!$R$2:$R$807,A229,Data!$C$2:$C$807)</f>
        <v>20.8577549019608</v>
      </c>
    </row>
    <row r="231">
      <c r="A231" s="1" t="str">
        <v>Napa coef simple (B3)</v>
      </c>
      <c r="B231" s="1">
        <f>B93</f>
        <v>0.967634048998839</v>
      </c>
    </row>
    <row r="232">
      <c r="A232" s="1" t="str">
        <v>Napa coef with controls (B5.2)</v>
      </c>
      <c r="B232" s="1">
        <f>B183</f>
        <v>0.429719412873601</v>
      </c>
    </row>
    <row r="233">
      <c r="A233" s="1" t="str">
        <v>Score gap Napa − Generic × Score coef</v>
      </c>
      <c r="B233" s="1">
        <f>(B224-B229)*B181</f>
        <v>0.309948412997058</v>
      </c>
    </row>
    <row r="234">
      <c r="A234" s="1" t="str">
        <v>Napa wines score 4.4 points higher than Generic, are older and more often Cabernet. B3 credited all of that to the Napa name; B5.2 compares wines of EQUAL score, age, volume and variety. Score matters most: 4.43 points × 0.070 ≈ 0.31 of the 0.54 drop.</v>
      </c>
    </row>
    <row r="236">
      <c r="A236" s="1" t="str">
        <v>B6 · Crosstab Region × Variety and χ² test of independence</v>
      </c>
    </row>
    <row r="237">
      <c r="A237" s="1" t="str">
        <v>Observed counts (COUNTIFS)</v>
      </c>
    </row>
    <row r="238">
      <c r="A238" s="1" t="str">
        <v>Region \ Variety</v>
      </c>
      <c r="B238" s="1" t="str">
        <v>Cabernet</v>
      </c>
      <c r="C238" s="1" t="str">
        <v>Merlot</v>
      </c>
      <c r="D238" s="1" t="str">
        <v>Pinot noir</v>
      </c>
      <c r="E238" s="1" t="str">
        <v>Other</v>
      </c>
      <c r="F238" s="1" t="str">
        <v>Total</v>
      </c>
    </row>
    <row r="239">
      <c r="A239" s="1" t="str">
        <v>Napa valley</v>
      </c>
      <c r="B239" s="1">
        <f>COUNTIFS(Data!$S$2:$S$807,$A239,Data!$T$2:$T$807,B$238)</f>
        <v>138</v>
      </c>
      <c r="C239" s="1">
        <f>COUNTIFS(Data!$S$2:$S$807,$A239,Data!$T$2:$T$807,C$238)</f>
        <v>62</v>
      </c>
      <c r="D239" s="1">
        <f>COUNTIFS(Data!$S$2:$S$807,$A239,Data!$T$2:$T$807,D$238)</f>
        <v>13</v>
      </c>
      <c r="E239" s="1">
        <f>COUNTIFS(Data!$S$2:$S$807,$A239,Data!$T$2:$T$807,E$238)</f>
        <v>74</v>
      </c>
      <c r="F239" s="1">
        <f>SUM(B239:E239)</f>
        <v>287</v>
      </c>
    </row>
    <row r="240">
      <c r="A240" s="1" t="str">
        <v>Sonoma</v>
      </c>
      <c r="B240" s="1">
        <f>COUNTIFS(Data!$S$2:$S$807,$A240,Data!$T$2:$T$807,B$238)</f>
        <v>73</v>
      </c>
      <c r="C240" s="1">
        <f>COUNTIFS(Data!$S$2:$S$807,$A240,Data!$T$2:$T$807,C$238)</f>
        <v>50</v>
      </c>
      <c r="D240" s="1">
        <f>COUNTIFS(Data!$S$2:$S$807,$A240,Data!$T$2:$T$807,D$238)</f>
        <v>51</v>
      </c>
      <c r="E240" s="1">
        <f>COUNTIFS(Data!$S$2:$S$807,$A240,Data!$T$2:$T$807,E$238)</f>
        <v>110</v>
      </c>
      <c r="F240" s="1">
        <f>SUM(B240:E240)</f>
        <v>284</v>
      </c>
    </row>
    <row r="241">
      <c r="A241" s="1" t="str">
        <v>Other</v>
      </c>
      <c r="B241" s="1">
        <f>COUNTIFS(Data!$S$2:$S$807,$A241,Data!$T$2:$T$807,B$238)</f>
        <v>62</v>
      </c>
      <c r="C241" s="1">
        <f>COUNTIFS(Data!$S$2:$S$807,$A241,Data!$T$2:$T$807,C$238)</f>
        <v>35</v>
      </c>
      <c r="D241" s="1">
        <f>COUNTIFS(Data!$S$2:$S$807,$A241,Data!$T$2:$T$807,D$238)</f>
        <v>47</v>
      </c>
      <c r="E241" s="1">
        <f>COUNTIFS(Data!$S$2:$S$807,$A241,Data!$T$2:$T$807,E$238)</f>
        <v>91</v>
      </c>
      <c r="F241" s="1">
        <f>SUM(B241:E241)</f>
        <v>235</v>
      </c>
    </row>
    <row r="242">
      <c r="A242" s="1" t="str">
        <v>Total</v>
      </c>
      <c r="B242" s="1">
        <f>SUM(B239:B241)</f>
        <v>273</v>
      </c>
      <c r="C242" s="1">
        <f>SUM(C239:C241)</f>
        <v>147</v>
      </c>
      <c r="D242" s="1">
        <f>SUM(D239:D241)</f>
        <v>111</v>
      </c>
      <c r="E242" s="1">
        <f>SUM(E239:E241)</f>
        <v>275</v>
      </c>
      <c r="F242" s="1">
        <f>SUM(F239:F241)</f>
        <v>806</v>
      </c>
    </row>
    <row r="244">
      <c r="A244" s="1" t="str">
        <v>Row percentages</v>
      </c>
    </row>
    <row r="245">
      <c r="A245" s="1" t="str">
        <v>Region \ Variety</v>
      </c>
      <c r="B245" s="1" t="str">
        <v>Cabernet</v>
      </c>
      <c r="C245" s="1" t="str">
        <v>Merlot</v>
      </c>
      <c r="D245" s="1" t="str">
        <v>Pinot noir</v>
      </c>
      <c r="E245" s="1" t="str">
        <v>Other</v>
      </c>
      <c r="F245" s="1" t="str">
        <v>Total</v>
      </c>
    </row>
    <row r="246">
      <c r="A246" s="1" t="str">
        <f>A239</f>
        <v>Napa valley</v>
      </c>
      <c r="B246" s="1">
        <f>B239/$F239</f>
        <v>0.480836236933798</v>
      </c>
      <c r="C246" s="1">
        <f>C239/$F239</f>
        <v>0.21602787456446</v>
      </c>
      <c r="D246" s="1">
        <f>D239/$F239</f>
        <v>0.0452961672473868</v>
      </c>
      <c r="E246" s="1">
        <f>E239/$F239</f>
        <v>0.257839721254355</v>
      </c>
      <c r="F246" s="1">
        <f>F239/$F239</f>
        <v>1</v>
      </c>
    </row>
    <row r="247">
      <c r="A247" s="1" t="str">
        <f>A240</f>
        <v>Sonoma</v>
      </c>
      <c r="B247" s="1">
        <f>B240/$F240</f>
        <v>0.257042253521127</v>
      </c>
      <c r="C247" s="1">
        <f>C240/$F240</f>
        <v>0.176056338028169</v>
      </c>
      <c r="D247" s="1">
        <f>D240/$F240</f>
        <v>0.179577464788732</v>
      </c>
      <c r="E247" s="1">
        <f>E240/$F240</f>
        <v>0.387323943661972</v>
      </c>
      <c r="F247" s="1">
        <f>F240/$F240</f>
        <v>1</v>
      </c>
    </row>
    <row r="248">
      <c r="A248" s="1" t="str">
        <f>A241</f>
        <v>Other</v>
      </c>
      <c r="B248" s="1">
        <f>B241/$F241</f>
        <v>0.263829787234043</v>
      </c>
      <c r="C248" s="1">
        <f>C241/$F241</f>
        <v>0.148936170212766</v>
      </c>
      <c r="D248" s="1">
        <f>D241/$F241</f>
        <v>0.2</v>
      </c>
      <c r="E248" s="1">
        <f>E241/$F241</f>
        <v>0.387234042553191</v>
      </c>
      <c r="F248" s="1">
        <f>F241/$F241</f>
        <v>1</v>
      </c>
    </row>
    <row r="249">
      <c r="A249" s="1" t="str">
        <f>A242</f>
        <v>Total</v>
      </c>
      <c r="B249" s="1">
        <f>B242/$F242</f>
        <v>0.338709677419355</v>
      </c>
      <c r="C249" s="1">
        <f>C242/$F242</f>
        <v>0.182382133995037</v>
      </c>
      <c r="D249" s="1">
        <f>D242/$F242</f>
        <v>0.137717121588089</v>
      </c>
      <c r="E249" s="1">
        <f>E242/$F242</f>
        <v>0.341191066997519</v>
      </c>
      <c r="F249" s="1">
        <f>F242/$F242</f>
        <v>1</v>
      </c>
    </row>
    <row r="251">
      <c r="A251" s="1" t="str">
        <v>Expected counts = row total × column total / n</v>
      </c>
    </row>
    <row r="252">
      <c r="A252" s="1" t="str">
        <v>Region \ Variety</v>
      </c>
      <c r="B252" s="1" t="str">
        <v>Cabernet</v>
      </c>
      <c r="C252" s="1" t="str">
        <v>Merlot</v>
      </c>
      <c r="D252" s="1" t="str">
        <v>Pinot noir</v>
      </c>
      <c r="E252" s="1" t="str">
        <v>Other</v>
      </c>
    </row>
    <row r="253">
      <c r="A253" s="1" t="str">
        <f>A239</f>
        <v>Napa valley</v>
      </c>
      <c r="B253" s="1">
        <f>$F239*B$242/$F$242</f>
        <v>97.2096774193548</v>
      </c>
      <c r="C253" s="1">
        <f>$F239*C$242/$F$242</f>
        <v>52.3436724565757</v>
      </c>
      <c r="D253" s="1">
        <f>$F239*D$242/$F$242</f>
        <v>39.5248138957816</v>
      </c>
      <c r="E253" s="1">
        <f>$F239*E$242/$F$242</f>
        <v>97.9218362282878</v>
      </c>
    </row>
    <row r="254">
      <c r="A254" s="1" t="str">
        <f>A240</f>
        <v>Sonoma</v>
      </c>
      <c r="B254" s="1">
        <f>$F240*B$242/$F$242</f>
        <v>96.1935483870968</v>
      </c>
      <c r="C254" s="1">
        <f>$F240*C$242/$F$242</f>
        <v>51.7965260545906</v>
      </c>
      <c r="D254" s="1">
        <f>$F240*D$242/$F$242</f>
        <v>39.1116625310174</v>
      </c>
      <c r="E254" s="1">
        <f>$F240*E$242/$F$242</f>
        <v>96.8982630272953</v>
      </c>
    </row>
    <row r="255">
      <c r="A255" s="1" t="str">
        <f>A241</f>
        <v>Other</v>
      </c>
      <c r="B255" s="1">
        <f>$F241*B$242/$F$242</f>
        <v>79.5967741935484</v>
      </c>
      <c r="C255" s="1">
        <f>$F241*C$242/$F$242</f>
        <v>42.8598014888337</v>
      </c>
      <c r="D255" s="1">
        <f>$F241*D$242/$F$242</f>
        <v>32.363523573201</v>
      </c>
      <c r="E255" s="1">
        <f>$F241*E$242/$F$242</f>
        <v>80.1799007444169</v>
      </c>
    </row>
    <row r="257">
      <c r="A257" s="1" t="str">
        <v>(O − E)² / E</v>
      </c>
    </row>
    <row r="258">
      <c r="A258" s="1" t="str">
        <f>A239</f>
        <v>Napa valley</v>
      </c>
      <c r="B258" s="1">
        <f>(B239-B253)^2/B253</f>
        <v>17.1160985243822</v>
      </c>
      <c r="C258" s="1">
        <f>(C239-C253)^2/C253</f>
        <v>1.78139318946814</v>
      </c>
      <c r="D258" s="1">
        <f>(D239-D253)^2/D253</f>
        <v>17.8006088545034</v>
      </c>
      <c r="E258" s="1">
        <f>(E239-E253)^2/E253</f>
        <v>5.8439901719052</v>
      </c>
    </row>
    <row r="259">
      <c r="A259" s="1" t="str">
        <f>A240</f>
        <v>Sonoma</v>
      </c>
      <c r="B259" s="1">
        <f>(B240-B254)^2/B254</f>
        <v>5.59227407455485</v>
      </c>
      <c r="C259" s="1">
        <f>(C240-C254)^2/C254</f>
        <v>0.0623112419049332</v>
      </c>
      <c r="D259" s="1">
        <f>(D240-D254)^2/D254</f>
        <v>3.61356584277983</v>
      </c>
      <c r="E259" s="1">
        <f>(E240-E254)^2/E254</f>
        <v>1.771502463915</v>
      </c>
    </row>
    <row r="260">
      <c r="A260" s="1" t="str">
        <f>A241</f>
        <v>Other</v>
      </c>
      <c r="B260" s="1">
        <f>(B241-B255)^2/B255</f>
        <v>3.89018858057979</v>
      </c>
      <c r="C260" s="1">
        <f>(C241-C255)^2/C255</f>
        <v>1.44136177252169</v>
      </c>
      <c r="D260" s="1">
        <f>(D241-D255)^2/D255</f>
        <v>6.61937942905685</v>
      </c>
      <c r="E260" s="1">
        <f>(E241-E255)^2/E255</f>
        <v>1.4601483266219</v>
      </c>
    </row>
    <row r="262">
      <c r="A262" s="1" t="str">
        <v>Smallest expected count (must be ≥ 5)</v>
      </c>
      <c r="B262" s="1">
        <f>MIN(B253:E255)</f>
        <v>32.363523573201</v>
      </c>
    </row>
    <row r="263">
      <c r="A263" s="1" t="str">
        <v>All expected ≥ 5?</v>
      </c>
      <c r="B263" s="1" t="str">
        <f>IF(B262&gt;=5,"Yes","No")</f>
        <v>Yes</v>
      </c>
    </row>
    <row r="264">
      <c r="A264" s="1" t="str">
        <v>χ² statistic = Σ(O−E)²/E</v>
      </c>
      <c r="B264" s="1">
        <f>SUM(B258:E260)</f>
        <v>66.9928224721939</v>
      </c>
    </row>
    <row r="265">
      <c r="A265" s="1" t="str">
        <v>Degrees of freedom (r−1)(c−1)</v>
      </c>
      <c r="B265" s="1">
        <f>(3-1)*(4-1)</f>
        <v>6</v>
      </c>
    </row>
    <row r="266">
      <c r="A266" s="1" t="str">
        <v>p-value =CHISQ.DIST.RT(χ², df)</v>
      </c>
      <c r="B266" s="1">
        <f>CHISQ.DIST.RT(B264,B265)</f>
        <v>1.68879165102145e-12</v>
      </c>
    </row>
    <row r="267">
      <c r="A267" s="1" t="str">
        <v>p-value check =CHISQ.TEST(O, E)</v>
      </c>
      <c r="B267" s="1">
        <f>CHISQ.TEST(B239:E241,B253:E255)</f>
        <v>1.68879165102145e-12</v>
      </c>
    </row>
    <row r="268">
      <c r="A268" s="1" t="str">
        <v>χ² critical (5%) =CHISQ.INV.RT</v>
      </c>
      <c r="B268" s="1">
        <f>CHISQ.INV.RT(0.05,B265)</f>
        <v>12.591587243744</v>
      </c>
    </row>
    <row r="269">
      <c r="A269" s="1" t="str">
        <v>Decision at α = 0.05</v>
      </c>
      <c r="B269" s="1" t="str">
        <f>IF(B266&lt;0.05,"Reject H0: variety mix depends on region","Do not reject H0")</f>
        <v>Reject H0: variety mix depends on region</v>
      </c>
    </row>
    <row r="271">
      <c r="A271" s="1" t="str">
        <v>Region and variety are not independent: 48% of Napa wines are Cabernet (the priciest red after Nonvarietal blends) vs ≈ 26% elsewhere. So the raw Napa-vs-others gap in B2 mixes a region effect with a variety-mix effect — one reason (with Score, B5.4) why the Napa coefficient falls once variety and quality are controlled.</v>
      </c>
    </row>
  </sheetData>
  <mergeCells count="8">
    <mergeCell ref="A17:J17"/>
    <mergeCell ref="A59:J59"/>
    <mergeCell ref="A111:J111"/>
    <mergeCell ref="A135:J135"/>
    <mergeCell ref="A195:J195"/>
    <mergeCell ref="A220:J220"/>
    <mergeCell ref="A234:J234"/>
    <mergeCell ref="A271:J271"/>
  </mergeCells>
  <pageMargins left="0.75" right="0.75" top="1" bottom="1" header="0.511811023622047" footer="0.511811023622047"/>
  <ignoredErrors>
    <ignoredError numberStoredAsText="1" sqref="A1:X271"/>
  </ignoredErrors>
</worksheet>
</file>

<file path=xl/worksheets/sheet3.xml><?xml version="1.0" encoding="utf-8"?>
<worksheet xmlns="http://schemas.openxmlformats.org/spreadsheetml/2006/main" xmlns:r="http://schemas.openxmlformats.org/officeDocument/2006/relationships">
  <dimension ref="A1:X89"/>
  <sheetViews>
    <sheetView workbookViewId="0" rightToLeft="0"/>
  </sheetViews>
  <sheetData>
    <row r="1">
      <c r="A1" s="1" t="str">
        <v>PART C · Conclusions for the Napa association</v>
      </c>
    </row>
    <row r="3">
      <c r="A3" s="1" t="str">
        <v>C1 · Model choice: LOG-LINEAR model (B5.2). Reference region = Generic California; reference variety = Zinfandel</v>
      </c>
    </row>
    <row r="4">
      <c r="A4" s="1" t="str">
        <v>Evidence</v>
      </c>
      <c r="B4" s="1" t="str">
        <v>Linear (B5.1)</v>
      </c>
      <c r="C4" s="1" t="str">
        <v>Log-linear (B5.2)</v>
      </c>
    </row>
    <row r="5">
      <c r="A5" s="1" t="str">
        <v>R Square</v>
      </c>
      <c r="B5" s="1">
        <f>'Part B'!B139</f>
        <v>0.267289779333411</v>
      </c>
      <c r="C5" s="1">
        <f>'Part B'!B168</f>
        <v>0.597052247019673</v>
      </c>
    </row>
    <row r="6">
      <c r="A6" s="1" t="str">
        <v>Adjusted R Square</v>
      </c>
      <c r="B6" s="1">
        <f>'Part B'!B140</f>
        <v>0.255262970155803</v>
      </c>
      <c r="C6" s="1">
        <f>'Part B'!B169</f>
        <v>0.590438205619743</v>
      </c>
    </row>
    <row r="7">
      <c r="A7" s="1" t="str">
        <v>Overall F</v>
      </c>
      <c r="B7" s="1">
        <f>'Part B'!B142</f>
        <v>22.2244965714646</v>
      </c>
      <c r="C7" s="1">
        <f>'Part B'!B171</f>
        <v>90.2704127352494</v>
      </c>
    </row>
    <row r="8">
      <c r="A8" s="1" t="str">
        <v>Skewness of Y (Price vs ln Price)</v>
      </c>
      <c r="B8" s="1">
        <f>'Part A'!B24</f>
        <v>7.87384594678597</v>
      </c>
      <c r="C8" s="1">
        <f>'Part A'!F24</f>
        <v>0.91494879795658</v>
      </c>
    </row>
    <row r="9">
      <c r="A9" s="1" t="str">
        <v>Skewness of residuals</v>
      </c>
      <c r="B9" s="1">
        <f>SKEW(Data!$X$2:$X$807)</f>
        <v>8.34587007562329</v>
      </c>
      <c r="C9" s="1">
        <f>SKEW(Data!$Z$2:$Z$807)</f>
        <v>1.02627396383265</v>
      </c>
    </row>
    <row r="10">
      <c r="A10" s="1" t="str">
        <v>Napa dummy p-value</v>
      </c>
      <c r="B10" s="1">
        <f>'Part B'!E154</f>
        <v>0.0719832370485986</v>
      </c>
      <c r="C10" s="1">
        <f>'Part B'!E183</f>
        <v>1.13662918621352e-16</v>
      </c>
    </row>
    <row r="11">
      <c r="A11" s="1" t="str">
        <v>No. of region dummies significant at 5%</v>
      </c>
      <c r="B11" s="1">
        <f>COUNTIFS('Part B'!E154:E158,"&lt;0.05")</f>
        <v>0</v>
      </c>
      <c r="C11" s="1">
        <f>COUNTIFS('Part B'!E183:E187,"&lt;0.05")</f>
        <v>5</v>
      </c>
    </row>
    <row r="12">
      <c r="A12" s="1" t="str">
        <v>Choice: log-linear. Price is heavily right-skewed while ln(Price) is near-symmetric (A3, A5); R² more than doubles (0.27 → 0.60); residuals are even and symmetric instead of fanning out (B5.3); the regional effects become precise. Premia are naturally proportional.</v>
      </c>
    </row>
    <row r="14">
      <c r="A14" s="1" t="str">
        <v>C2 · Napa premium vs Generic California, in dollars</v>
      </c>
    </row>
    <row r="15">
      <c r="A15" s="1" t="str">
        <v>Baseline: predicted price of a Generic California wine with the sample-average Cases, Score, Age and variety mix</v>
      </c>
    </row>
    <row r="16">
      <c r="A16" s="1" t="str">
        <v>Variable</v>
      </c>
      <c r="B16" s="1" t="str">
        <v>Log coef</v>
      </c>
      <c r="C16" s="1" t="str">
        <v>Sample mean</v>
      </c>
      <c r="D16" s="1" t="str">
        <v>coef × mean</v>
      </c>
    </row>
    <row r="17">
      <c r="A17" s="1" t="str">
        <v>Cases</v>
      </c>
      <c r="B17" s="1">
        <f>'Part B'!B180</f>
        <v>-0.00427906714508353</v>
      </c>
      <c r="C17" s="1">
        <f>AVERAGE(Data!$C$2:$C$807)</f>
        <v>5.80798635235732</v>
      </c>
      <c r="D17" s="1">
        <f>B17*C17</f>
        <v>-0.0248527635794657</v>
      </c>
    </row>
    <row r="18">
      <c r="A18" s="1" t="str">
        <v>Score</v>
      </c>
      <c r="B18" s="1">
        <f>'Part B'!B181</f>
        <v>0.0699613687974267</v>
      </c>
      <c r="C18" s="1">
        <f>AVERAGE(Data!$D$2:$D$807)</f>
        <v>86.7828784119107</v>
      </c>
      <c r="D18" s="1">
        <f>B18*C18</f>
        <v>6.07144896187792</v>
      </c>
    </row>
    <row r="19">
      <c r="A19" s="1" t="str">
        <v>Age</v>
      </c>
      <c r="B19" s="1">
        <f>'Part B'!B182</f>
        <v>0.183085282441609</v>
      </c>
      <c r="C19" s="1">
        <f>AVERAGE(Data!$E$2:$E$807)</f>
        <v>2.81761786600496</v>
      </c>
      <c r="D19" s="1">
        <f>B19*C19</f>
        <v>0.515864362810043</v>
      </c>
    </row>
    <row r="20">
      <c r="A20" s="1" t="str">
        <v>Nonvarietal</v>
      </c>
      <c r="B20" s="1">
        <f>'Part B'!B188</f>
        <v>0.478587464021177</v>
      </c>
      <c r="C20" s="1">
        <f>AVERAGE(Data!$K$2:$K$807)</f>
        <v>0.0707196029776675</v>
      </c>
      <c r="D20" s="1">
        <f>B20*C20</f>
        <v>0.0338455154456664</v>
      </c>
    </row>
    <row r="21">
      <c r="A21" s="1" t="str">
        <v>Pinot noir</v>
      </c>
      <c r="B21" s="1">
        <f>'Part B'!B189</f>
        <v>0.346522278064314</v>
      </c>
      <c r="C21" s="1">
        <f>AVERAGE(Data!$L$2:$L$807)</f>
        <v>0.137717121588089</v>
      </c>
      <c r="D21" s="1">
        <f>B21*C21</f>
        <v>0.0477220507011649</v>
      </c>
    </row>
    <row r="22">
      <c r="A22" s="1" t="str">
        <v>Cabernet</v>
      </c>
      <c r="B22" s="1">
        <f>'Part B'!B190</f>
        <v>0.320995660387372</v>
      </c>
      <c r="C22" s="1">
        <f>AVERAGE(Data!$M$2:$M$807)</f>
        <v>0.338709677419355</v>
      </c>
      <c r="D22" s="1">
        <f>B22*C22</f>
        <v>0.10872433658282</v>
      </c>
    </row>
    <row r="23">
      <c r="A23" s="1" t="str">
        <v>Merlot</v>
      </c>
      <c r="B23" s="1">
        <f>'Part B'!B191</f>
        <v>0.28451472986833</v>
      </c>
      <c r="C23" s="1">
        <f>AVERAGE(Data!$N$2:$N$807)</f>
        <v>0.182382133995037</v>
      </c>
      <c r="D23" s="1">
        <f>B23*C23</f>
        <v>0.0518904035864076</v>
      </c>
    </row>
    <row r="24">
      <c r="A24" s="1" t="str">
        <v>Shyrah</v>
      </c>
      <c r="B24" s="1">
        <f>'Part B'!B192</f>
        <v>0.0432339512401637</v>
      </c>
      <c r="C24" s="1">
        <f>AVERAGE(Data!$O$2:$O$807)</f>
        <v>0.0508684863523573</v>
      </c>
      <c r="D24" s="1">
        <f>B24*C24</f>
        <v>0.00219924565861875</v>
      </c>
    </row>
    <row r="25">
      <c r="A25" s="1" t="str">
        <v>Intercept</v>
      </c>
      <c r="B25" s="1">
        <f>'Part B'!B179</f>
        <v>-3.94132418535385</v>
      </c>
      <c r="D25" s="1">
        <f>B25</f>
        <v>-3.94132418535385</v>
      </c>
    </row>
    <row r="26">
      <c r="A26" s="1" t="str">
        <v>Predicted ln(Price), Generic, average wine</v>
      </c>
      <c r="D26" s="1">
        <f>SUM(D17:D25)</f>
        <v>2.86551792772932</v>
      </c>
    </row>
    <row r="27">
      <c r="A27" s="1" t="str">
        <v>Baseline price P_G = EXP(…)</v>
      </c>
      <c r="D27" s="1">
        <f>EXP(D26)</f>
        <v>17.5581447000301</v>
      </c>
    </row>
    <row r="28">
      <c r="A28" s="1" t="str">
        <v>Sample median price (comparison)</v>
      </c>
      <c r="D28" s="1">
        <f>MEDIAN(Data!$B$2:$B$807)</f>
        <v>22</v>
      </c>
    </row>
    <row r="29">
      <c r="A29" s="1" t="str">
        <v>Mean price of Generic California wines (comparison)</v>
      </c>
      <c r="D29" s="1">
        <f>AVERAGEIF(Data!$R$2:$R$807,"Generic California",Data!$B$2:$B$807)</f>
        <v>14.2745098039216</v>
      </c>
    </row>
    <row r="31">
      <c r="A31" s="1" t="str">
        <v>Premium vs Generic</v>
      </c>
      <c r="B31" s="1" t="str">
        <v>Log coef</v>
      </c>
      <c r="C31" s="1" t="str">
        <v>p-value</v>
      </c>
      <c r="D31" s="1" t="str">
        <v>% =EXP(b)−1</v>
      </c>
      <c r="E31" s="1" t="str">
        <v>$ = P_G × %</v>
      </c>
      <c r="F31" s="1" t="str">
        <v>$ low (95% CI)</v>
      </c>
      <c r="G31" s="1" t="str">
        <v>$ high (95% CI)</v>
      </c>
      <c r="H31" s="1" t="str">
        <v>Napa price $</v>
      </c>
    </row>
    <row r="32">
      <c r="A32" s="1" t="str">
        <v>Napa Valley</v>
      </c>
      <c r="B32" s="1">
        <f>'Part B'!B183</f>
        <v>0.429719412873601</v>
      </c>
      <c r="C32" s="1">
        <f>'Part B'!E183</f>
        <v>1.13662918621352e-16</v>
      </c>
      <c r="D32" s="1">
        <f>EXP(B32)-1</f>
        <v>0.536826249385033</v>
      </c>
      <c r="E32" s="1">
        <f>$D$27*D32</f>
        <v>9.42567296547686</v>
      </c>
      <c r="F32" s="1">
        <f>$D$27*(EXP('Part B'!F183)-1)</f>
        <v>6.86940754778208</v>
      </c>
      <c r="G32" s="1">
        <f>$D$27*(EXP('Part B'!G183)-1)</f>
        <v>12.2494434045267</v>
      </c>
      <c r="H32" s="1">
        <f>$D$27*EXP(B32)</f>
        <v>26.983817665507</v>
      </c>
    </row>
    <row r="33">
      <c r="A33" s="1" t="str">
        <v>Sonoma</v>
      </c>
      <c r="B33" s="1">
        <f>'Part B'!B185</f>
        <v>0.281931847973431</v>
      </c>
      <c r="C33" s="1">
        <f>'Part B'!E185</f>
        <v>4.99991992547028e-9</v>
      </c>
      <c r="D33" s="1">
        <f>EXP(B33)-1</f>
        <v>0.325688368559094</v>
      </c>
      <c r="E33" s="1">
        <f>$D$27*D33</f>
        <v>5.7184835022773</v>
      </c>
      <c r="F33" s="1">
        <f>$D$27*(EXP('Part B'!F185)-1)</f>
        <v>3.63868633811722</v>
      </c>
      <c r="G33" s="1">
        <f>$D$27*(EXP('Part B'!G185)-1)</f>
        <v>8.0023468420022</v>
      </c>
      <c r="H33" s="1">
        <f>$D$27*EXP(B33)</f>
        <v>23.2766282023074</v>
      </c>
    </row>
    <row r="35">
      <c r="A35" s="1" t="str">
        <v>Sensitivity: Napa $ premium at the median bottle price</v>
      </c>
      <c r="E35" s="1">
        <f>D28*D32</f>
        <v>11.8101774864707</v>
      </c>
    </row>
    <row r="36">
      <c r="A36" s="1" t="str">
        <v>A Napa label raises price by e^0.430 − 1 = 53.7% vs an otherwise identical Generic California wine (p ≈ 1E−16, significant). Applied to the price of an average Generic wine ($17.56, predicted at sample-average characteristics — the 'other things equal' comparison point) this is ≈ $9.43 per bottle (95% CI ≈ $6.87–$12.25).</v>
      </c>
    </row>
    <row r="38">
      <c r="A38" s="1" t="str">
        <v>C3 · Napa vs Sonoma — re-estimated with Sonoma as the left-out region</v>
      </c>
    </row>
    <row r="39">
      <c r="A39" s="1" t="str">
        <v>Regression statistics — ln(Price), Sonoma = reference</v>
      </c>
      <c r="K39" s="1" t="str">
        <v>Raw LINEST output (ln(Price), Sonoma = reference)</v>
      </c>
    </row>
    <row r="40">
      <c r="A40" s="1" t="str">
        <v>R Square</v>
      </c>
      <c r="B40" s="1">
        <f>$K$42</f>
        <v>0.597052247019673</v>
      </c>
      <c r="K40" s="1">
        <f t="array" ref="K40:X44">LINEST(Data!$P$2:$P$807,Data!$AB$2:$AN$807,TRUE(),TRUE())</f>
        <v>0.0432339512401637</v>
      </c>
      <c r="L40" s="1">
        <v>0.28451472986833</v>
      </c>
      <c r="M40" s="1">
        <v>0.320995660387372</v>
      </c>
      <c r="N40" s="1">
        <v>0.346522278064314</v>
      </c>
      <c r="O40" s="1">
        <v>0.478587464021177</v>
      </c>
      <c r="P40" s="1">
        <v>-0.281931847973431</v>
      </c>
      <c r="Q40" s="1">
        <v>-0.044704939048372</v>
      </c>
      <c r="R40" s="1">
        <v>-0.0306973309876427</v>
      </c>
      <c r="S40" s="1">
        <v>-0.0269448751854582</v>
      </c>
      <c r="T40" s="1">
        <v>0.147787564900171</v>
      </c>
      <c r="U40" s="1">
        <v>0.183085282441609</v>
      </c>
      <c r="V40" s="1">
        <v>0.0699613687974267</v>
      </c>
      <c r="W40" s="1">
        <v>-0.00427906714508353</v>
      </c>
      <c r="X40" s="1">
        <v>-3.65939233738042</v>
      </c>
    </row>
    <row r="41">
      <c r="A41" s="1" t="str">
        <v>Adjusted R Square</v>
      </c>
      <c r="B41" s="1">
        <f>1-(1-B40)*(B44-1)/B45</f>
        <v>0.590438205619743</v>
      </c>
      <c r="K41" s="1">
        <v>0.0670544741302491</v>
      </c>
      <c r="L41" s="1">
        <v>0.0449944498148844</v>
      </c>
      <c r="M41" s="1">
        <v>0.0407793810608072</v>
      </c>
      <c r="N41" s="1">
        <v>0.0473533256220143</v>
      </c>
      <c r="O41" s="1">
        <v>0.0605199481478606</v>
      </c>
      <c r="P41" s="1">
        <v>0.0476820231835888</v>
      </c>
      <c r="Q41" s="1">
        <v>0.0640739528529415</v>
      </c>
      <c r="R41" s="1">
        <v>0.0781797342844385</v>
      </c>
      <c r="S41" s="1">
        <v>0.0542408345492184</v>
      </c>
      <c r="T41" s="1">
        <v>0.034096657313494</v>
      </c>
      <c r="U41" s="1">
        <v>0.0208311244168895</v>
      </c>
      <c r="V41" s="1">
        <v>0.00392019784482637</v>
      </c>
      <c r="W41" s="1">
        <v>0.000760761234600094</v>
      </c>
      <c r="X41" s="1">
        <v>0.35026261976672</v>
      </c>
    </row>
    <row r="42">
      <c r="A42" s="1" t="str">
        <v>Standard Error</v>
      </c>
      <c r="B42" s="1">
        <f>$L$42</f>
        <v>0.381303050480778</v>
      </c>
      <c r="K42" s="1">
        <v>0.597052247019673</v>
      </c>
      <c r="L42" s="1">
        <v>0.381303050480778</v>
      </c>
      <c r="M42" s="1" t="e">
        <v>#N/A</v>
      </c>
      <c r="N42" s="1" t="e">
        <v>#N/A</v>
      </c>
      <c r="O42" s="1" t="e">
        <v>#N/A</v>
      </c>
      <c r="P42" s="1" t="e">
        <v>#N/A</v>
      </c>
      <c r="Q42" s="1" t="e">
        <v>#N/A</v>
      </c>
      <c r="R42" s="1" t="e">
        <v>#N/A</v>
      </c>
      <c r="S42" s="1" t="e">
        <v>#N/A</v>
      </c>
      <c r="T42" s="1" t="e">
        <v>#N/A</v>
      </c>
      <c r="U42" s="1" t="e">
        <v>#N/A</v>
      </c>
      <c r="V42" s="1" t="e">
        <v>#N/A</v>
      </c>
      <c r="W42" s="1" t="e">
        <v>#N/A</v>
      </c>
      <c r="X42" s="1" t="e">
        <v>#N/A</v>
      </c>
    </row>
    <row r="43">
      <c r="A43" s="1" t="str">
        <v>F</v>
      </c>
      <c r="B43" s="1">
        <f>$K$43</f>
        <v>90.2704127352494</v>
      </c>
      <c r="K43" s="1">
        <v>90.2704127352494</v>
      </c>
      <c r="L43" s="1">
        <v>792</v>
      </c>
      <c r="M43" s="1" t="e">
        <v>#N/A</v>
      </c>
      <c r="N43" s="1" t="e">
        <v>#N/A</v>
      </c>
      <c r="O43" s="1" t="e">
        <v>#N/A</v>
      </c>
      <c r="P43" s="1" t="e">
        <v>#N/A</v>
      </c>
      <c r="Q43" s="1" t="e">
        <v>#N/A</v>
      </c>
      <c r="R43" s="1" t="e">
        <v>#N/A</v>
      </c>
      <c r="S43" s="1" t="e">
        <v>#N/A</v>
      </c>
      <c r="T43" s="1" t="e">
        <v>#N/A</v>
      </c>
      <c r="U43" s="1" t="e">
        <v>#N/A</v>
      </c>
      <c r="V43" s="1" t="e">
        <v>#N/A</v>
      </c>
      <c r="W43" s="1" t="e">
        <v>#N/A</v>
      </c>
      <c r="X43" s="1" t="e">
        <v>#N/A</v>
      </c>
    </row>
    <row r="44">
      <c r="A44" s="1" t="str">
        <v>Observations (n)</v>
      </c>
      <c r="B44" s="1">
        <f>B45+13+1</f>
        <v>806</v>
      </c>
      <c r="K44" s="1">
        <v>170.619765164523</v>
      </c>
      <c r="L44" s="1">
        <v>115.15047691431</v>
      </c>
      <c r="M44" s="1" t="e">
        <v>#N/A</v>
      </c>
      <c r="N44" s="1" t="e">
        <v>#N/A</v>
      </c>
      <c r="O44" s="1" t="e">
        <v>#N/A</v>
      </c>
      <c r="P44" s="1" t="e">
        <v>#N/A</v>
      </c>
      <c r="Q44" s="1" t="e">
        <v>#N/A</v>
      </c>
      <c r="R44" s="1" t="e">
        <v>#N/A</v>
      </c>
      <c r="S44" s="1" t="e">
        <v>#N/A</v>
      </c>
      <c r="T44" s="1" t="e">
        <v>#N/A</v>
      </c>
      <c r="U44" s="1" t="e">
        <v>#N/A</v>
      </c>
      <c r="V44" s="1" t="e">
        <v>#N/A</v>
      </c>
      <c r="W44" s="1" t="e">
        <v>#N/A</v>
      </c>
      <c r="X44" s="1" t="e">
        <v>#N/A</v>
      </c>
    </row>
    <row r="45">
      <c r="A45" s="1" t="str">
        <v>Residual df</v>
      </c>
      <c r="B45" s="1">
        <f>$L$43</f>
        <v>792</v>
      </c>
    </row>
    <row r="46">
      <c r="A46" s="1" t="str">
        <v>SS Regression (SSR)</v>
      </c>
      <c r="B46" s="1">
        <f>$K$44</f>
        <v>170.619765164523</v>
      </c>
    </row>
    <row r="47">
      <c r="A47" s="1" t="str">
        <v>SS Residual (SSE)</v>
      </c>
      <c r="B47" s="1">
        <f>$L$44</f>
        <v>115.15047691431</v>
      </c>
    </row>
    <row r="48">
      <c r="A48" s="1" t="str">
        <v>Significance F (p)</v>
      </c>
      <c r="B48" s="1">
        <f>F.DIST.RT(B43,13,B45)</f>
        <v>1.98723956090353e-146</v>
      </c>
    </row>
    <row r="50">
      <c r="A50" s="1" t="str">
        <v>Variable</v>
      </c>
      <c r="B50" s="1" t="str">
        <v>Coefficient</v>
      </c>
      <c r="C50" s="1" t="str">
        <v>Std. Error</v>
      </c>
      <c r="D50" s="1" t="str">
        <v>t Stat</v>
      </c>
      <c r="E50" s="1" t="str">
        <v>P-value</v>
      </c>
      <c r="F50" s="1" t="str">
        <v>Lower 95%</v>
      </c>
      <c r="G50" s="1" t="str">
        <v>Upper 95%</v>
      </c>
      <c r="H50" s="1" t="str">
        <v>Sig. at 5%?</v>
      </c>
    </row>
    <row r="51">
      <c r="A51" s="1" t="str">
        <v>Intercept</v>
      </c>
      <c r="B51" s="1">
        <f>$X$40</f>
        <v>-3.65939233738042</v>
      </c>
      <c r="C51" s="1">
        <f>$X$41</f>
        <v>0.35026261976672</v>
      </c>
      <c r="D51" s="1">
        <f>B51/C51</f>
        <v>-10.4475674275994</v>
      </c>
      <c r="E51" s="1">
        <f>T.DIST.2T(ABS(D51),$B$45)</f>
        <v>5.03674070288146e-24</v>
      </c>
      <c r="F51" s="1">
        <f>B51-T.INV.2T(0.05,$B$45)*C51</f>
        <v>-4.34694517394127</v>
      </c>
      <c r="G51" s="1">
        <f>B51+T.INV.2T(0.05,$B$45)*C51</f>
        <v>-2.97183950081957</v>
      </c>
      <c r="H51" s="1" t="str">
        <f>IF(E51&lt;0.05,"Yes","No")</f>
        <v>Yes</v>
      </c>
    </row>
    <row r="52">
      <c r="A52" s="1" t="str">
        <v>Cases</v>
      </c>
      <c r="B52" s="1">
        <f>$W$40</f>
        <v>-0.00427906714508353</v>
      </c>
      <c r="C52" s="1">
        <f>$W$41</f>
        <v>0.000760761234600094</v>
      </c>
      <c r="D52" s="1">
        <f>B52/C52</f>
        <v>-5.62471765183052</v>
      </c>
      <c r="E52" s="1">
        <f>T.DIST.2T(ABS(D52),$B$45)</f>
        <v>2.57712938161699e-8</v>
      </c>
      <c r="F52" s="1">
        <f>B52-T.INV.2T(0.05,$B$45)*C52</f>
        <v>-0.00577241389485431</v>
      </c>
      <c r="G52" s="1">
        <f>B52+T.INV.2T(0.05,$B$45)*C52</f>
        <v>-0.00278572039531275</v>
      </c>
      <c r="H52" s="1" t="str">
        <f>IF(E52&lt;0.05,"Yes","No")</f>
        <v>Yes</v>
      </c>
    </row>
    <row r="53">
      <c r="A53" s="1" t="str">
        <v>Score</v>
      </c>
      <c r="B53" s="1">
        <f>$V$40</f>
        <v>0.0699613687974267</v>
      </c>
      <c r="C53" s="1">
        <f>$V$41</f>
        <v>0.00392019784482637</v>
      </c>
      <c r="D53" s="1">
        <f>B53/C53</f>
        <v>17.8463872403168</v>
      </c>
      <c r="E53" s="1">
        <f>T.DIST.2T(ABS(D53),$B$45)</f>
        <v>3.91850341148565e-60</v>
      </c>
      <c r="F53" s="1">
        <f>B53-T.INV.2T(0.05,$B$45)*C53</f>
        <v>0.0622661624123284</v>
      </c>
      <c r="G53" s="1">
        <f>B53+T.INV.2T(0.05,$B$45)*C53</f>
        <v>0.0776565751825249</v>
      </c>
      <c r="H53" s="1" t="str">
        <f>IF(E53&lt;0.05,"Yes","No")</f>
        <v>Yes</v>
      </c>
    </row>
    <row r="54">
      <c r="A54" s="1" t="str">
        <v>Age</v>
      </c>
      <c r="B54" s="1">
        <f>$U$40</f>
        <v>0.183085282441609</v>
      </c>
      <c r="C54" s="1">
        <f>$U$41</f>
        <v>0.0208311244168895</v>
      </c>
      <c r="D54" s="1">
        <f>B54/C54</f>
        <v>8.78902543989259</v>
      </c>
      <c r="E54" s="1">
        <f>T.DIST.2T(ABS(D54),$B$45)</f>
        <v>9.27051938135304e-18</v>
      </c>
      <c r="F54" s="1">
        <f>B54-T.INV.2T(0.05,$B$45)*C54</f>
        <v>0.142194539686578</v>
      </c>
      <c r="G54" s="1">
        <f>B54+T.INV.2T(0.05,$B$45)*C54</f>
        <v>0.223976025196641</v>
      </c>
      <c r="H54" s="1" t="str">
        <f>IF(E54&lt;0.05,"Yes","No")</f>
        <v>Yes</v>
      </c>
    </row>
    <row r="55">
      <c r="A55" s="1" t="str">
        <v>Napa valley</v>
      </c>
      <c r="B55" s="1">
        <f>$T$40</f>
        <v>0.147787564900171</v>
      </c>
      <c r="C55" s="1">
        <f>$T$41</f>
        <v>0.034096657313494</v>
      </c>
      <c r="D55" s="1">
        <f>B55/C55</f>
        <v>4.33437106580189</v>
      </c>
      <c r="E55" s="1">
        <f>T.DIST.2T(ABS(D55),$B$45)</f>
        <v>0.0000165009158134838</v>
      </c>
      <c r="F55" s="1">
        <f>B55-T.INV.2T(0.05,$B$45)*C55</f>
        <v>0.080857061528873</v>
      </c>
      <c r="G55" s="1">
        <f>B55+T.INV.2T(0.05,$B$45)*C55</f>
        <v>0.214718068271469</v>
      </c>
      <c r="H55" s="1" t="str">
        <f>IF(E55&lt;0.05,"Yes","No")</f>
        <v>Yes</v>
      </c>
    </row>
    <row r="56">
      <c r="A56" s="1" t="str">
        <v>bay area</v>
      </c>
      <c r="B56" s="1">
        <f>$S$40</f>
        <v>-0.0269448751854582</v>
      </c>
      <c r="C56" s="1">
        <f>$S$41</f>
        <v>0.0542408345492184</v>
      </c>
      <c r="D56" s="1">
        <f>B56/C56</f>
        <v>-0.496763654346215</v>
      </c>
      <c r="E56" s="1">
        <f>T.DIST.2T(ABS(D56),$B$45)</f>
        <v>0.61949358307146</v>
      </c>
      <c r="F56" s="1">
        <f>B56-T.INV.2T(0.05,$B$45)*C56</f>
        <v>-0.133417668875464</v>
      </c>
      <c r="G56" s="1">
        <f>B56+T.INV.2T(0.05,$B$45)*C56</f>
        <v>0.0795279185045474</v>
      </c>
      <c r="H56" s="1" t="str">
        <f>IF(E56&lt;0.05,"Yes","No")</f>
        <v>No</v>
      </c>
    </row>
    <row r="57">
      <c r="A57" s="1" t="str">
        <v>sierra/foothills</v>
      </c>
      <c r="B57" s="1">
        <f>$R$40</f>
        <v>-0.0306973309876427</v>
      </c>
      <c r="C57" s="1">
        <f>$R$41</f>
        <v>0.0781797342844385</v>
      </c>
      <c r="D57" s="1">
        <f>B57/C57</f>
        <v>-0.392650745984345</v>
      </c>
      <c r="E57" s="1">
        <f>T.DIST.2T(ABS(D57),$B$45)</f>
        <v>0.69468310537746</v>
      </c>
      <c r="F57" s="1">
        <f>B57-T.INV.2T(0.05,$B$45)*C57</f>
        <v>-0.184161317823118</v>
      </c>
      <c r="G57" s="1">
        <f>B57+T.INV.2T(0.05,$B$45)*C57</f>
        <v>0.122766655847833</v>
      </c>
      <c r="H57" s="1" t="str">
        <f>IF(E57&lt;0.05,"Yes","No")</f>
        <v>No</v>
      </c>
    </row>
    <row r="58">
      <c r="A58" s="1" t="str">
        <v>mendocino / lake</v>
      </c>
      <c r="B58" s="1">
        <f>$Q$40</f>
        <v>-0.044704939048372</v>
      </c>
      <c r="C58" s="1">
        <f>$Q$41</f>
        <v>0.0640739528529415</v>
      </c>
      <c r="D58" s="1">
        <f>B58/C58</f>
        <v>-0.697708461205382</v>
      </c>
      <c r="E58" s="1">
        <f>T.DIST.2T(ABS(D58),$B$45)</f>
        <v>0.485564307408825</v>
      </c>
      <c r="F58" s="1">
        <f>B58-T.INV.2T(0.05,$B$45)*C58</f>
        <v>-0.17047978782626</v>
      </c>
      <c r="G58" s="1">
        <f>B58+T.INV.2T(0.05,$B$45)*C58</f>
        <v>0.0810699097295159</v>
      </c>
      <c r="H58" s="1" t="str">
        <f>IF(E58&lt;0.05,"Yes","No")</f>
        <v>No</v>
      </c>
    </row>
    <row r="59">
      <c r="A59" s="1" t="str">
        <v>Generic</v>
      </c>
      <c r="B59" s="1">
        <f>$P$40</f>
        <v>-0.281931847973431</v>
      </c>
      <c r="C59" s="1">
        <f>$P$41</f>
        <v>0.0476820231835888</v>
      </c>
      <c r="D59" s="1">
        <f>B59/C59</f>
        <v>-5.91274927424779</v>
      </c>
      <c r="E59" s="1">
        <f>T.DIST.2T(ABS(D59),$B$45)</f>
        <v>4.99991992547028e-9</v>
      </c>
      <c r="F59" s="1">
        <f>B59-T.INV.2T(0.05,$B$45)*C59</f>
        <v>-0.375529932504036</v>
      </c>
      <c r="G59" s="1">
        <f>B59+T.INV.2T(0.05,$B$45)*C59</f>
        <v>-0.188333763442826</v>
      </c>
      <c r="H59" s="1" t="str">
        <f>IF(E59&lt;0.05,"Yes","No")</f>
        <v>Yes</v>
      </c>
    </row>
    <row r="60">
      <c r="A60" s="1" t="str">
        <v>Nonvarietal</v>
      </c>
      <c r="B60" s="1">
        <f>$O$40</f>
        <v>0.478587464021177</v>
      </c>
      <c r="C60" s="1">
        <f>$O$41</f>
        <v>0.0605199481478606</v>
      </c>
      <c r="D60" s="1">
        <f>B60/C60</f>
        <v>7.90792918149742</v>
      </c>
      <c r="E60" s="1">
        <f>T.DIST.2T(ABS(D60),$B$45)</f>
        <v>8.78317108291856e-15</v>
      </c>
      <c r="F60" s="1">
        <f>B60-T.INV.2T(0.05,$B$45)*C60</f>
        <v>0.359788997758091</v>
      </c>
      <c r="G60" s="1">
        <f>B60+T.INV.2T(0.05,$B$45)*C60</f>
        <v>0.597385930284264</v>
      </c>
      <c r="H60" s="1" t="str">
        <f>IF(E60&lt;0.05,"Yes","No")</f>
        <v>Yes</v>
      </c>
    </row>
    <row r="61">
      <c r="A61" s="1" t="str">
        <v>Pinot noir</v>
      </c>
      <c r="B61" s="1">
        <f>$N$40</f>
        <v>0.346522278064314</v>
      </c>
      <c r="C61" s="1">
        <f>$N$41</f>
        <v>0.0473533256220143</v>
      </c>
      <c r="D61" s="1">
        <f>B61/C61</f>
        <v>7.31780236155616</v>
      </c>
      <c r="E61" s="1">
        <f>T.DIST.2T(ABS(D61),$B$45)</f>
        <v>6.19226338077418e-13</v>
      </c>
      <c r="F61" s="1">
        <f>B61-T.INV.2T(0.05,$B$45)*C61</f>
        <v>0.253569414942096</v>
      </c>
      <c r="G61" s="1">
        <f>B61+T.INV.2T(0.05,$B$45)*C61</f>
        <v>0.439475141186532</v>
      </c>
      <c r="H61" s="1" t="str">
        <f>IF(E61&lt;0.05,"Yes","No")</f>
        <v>Yes</v>
      </c>
    </row>
    <row r="62">
      <c r="A62" s="1" t="str">
        <v>Cabernet</v>
      </c>
      <c r="B62" s="1">
        <f>$M$40</f>
        <v>0.320995660387372</v>
      </c>
      <c r="C62" s="1">
        <f>$M$41</f>
        <v>0.0407793810608072</v>
      </c>
      <c r="D62" s="1">
        <f>B62/C62</f>
        <v>7.87151869491907</v>
      </c>
      <c r="E62" s="1">
        <f>T.DIST.2T(ABS(D62),$B$45)</f>
        <v>1.151113260587e-14</v>
      </c>
      <c r="F62" s="1">
        <f>B62-T.INV.2T(0.05,$B$45)*C62</f>
        <v>0.240947212339369</v>
      </c>
      <c r="G62" s="1">
        <f>B62+T.INV.2T(0.05,$B$45)*C62</f>
        <v>0.401044108435375</v>
      </c>
      <c r="H62" s="1" t="str">
        <f>IF(E62&lt;0.05,"Yes","No")</f>
        <v>Yes</v>
      </c>
    </row>
    <row r="63">
      <c r="A63" s="1" t="str">
        <v>Merlot</v>
      </c>
      <c r="B63" s="1">
        <f>$L$40</f>
        <v>0.28451472986833</v>
      </c>
      <c r="C63" s="1">
        <f>$L$41</f>
        <v>0.0449944498148844</v>
      </c>
      <c r="D63" s="1">
        <f>B63/C63</f>
        <v>6.32332945594127</v>
      </c>
      <c r="E63" s="1">
        <f>T.DIST.2T(ABS(D63),$B$45)</f>
        <v>4.27425864678232e-10</v>
      </c>
      <c r="F63" s="1">
        <f>B63-T.INV.2T(0.05,$B$45)*C63</f>
        <v>0.196192254520197</v>
      </c>
      <c r="G63" s="1">
        <f>B63+T.INV.2T(0.05,$B$45)*C63</f>
        <v>0.372837205216463</v>
      </c>
      <c r="H63" s="1" t="str">
        <f>IF(E63&lt;0.05,"Yes","No")</f>
        <v>Yes</v>
      </c>
    </row>
    <row r="64">
      <c r="A64" s="1" t="str">
        <v>Shyrah</v>
      </c>
      <c r="B64" s="1">
        <f>$K$40</f>
        <v>0.0432339512401637</v>
      </c>
      <c r="C64" s="1">
        <f>$K$41</f>
        <v>0.0670544741302491</v>
      </c>
      <c r="D64" s="1">
        <f>B64/C64</f>
        <v>0.64475863543698</v>
      </c>
      <c r="E64" s="1">
        <f>T.DIST.2T(ABS(D64),$B$45)</f>
        <v>0.519270317636898</v>
      </c>
      <c r="F64" s="1">
        <f>B64-T.INV.2T(0.05,$B$45)*C64</f>
        <v>-0.0883915528546052</v>
      </c>
      <c r="G64" s="1">
        <f>B64+T.INV.2T(0.05,$B$45)*C64</f>
        <v>0.174859455334933</v>
      </c>
      <c r="H64" s="1" t="str">
        <f>IF(E64&lt;0.05,"Yes","No")</f>
        <v>No</v>
      </c>
    </row>
    <row r="66">
      <c r="A66" s="1" t="str">
        <v>Napa − Sonoma (log points)</v>
      </c>
      <c r="B66" s="1">
        <f>B55</f>
        <v>0.147787564900171</v>
      </c>
    </row>
    <row r="67">
      <c r="A67" s="1" t="str">
        <v>p-value (two-sided)</v>
      </c>
      <c r="B67" s="1">
        <f>E55</f>
        <v>0.0000165009158134838</v>
      </c>
    </row>
    <row r="68">
      <c r="A68" s="1" t="str">
        <v>p-value (one-sided, H1: Napa &gt; Sonoma)</v>
      </c>
      <c r="B68" s="1">
        <f>IF(B66&gt;0,B67/2,1-B67/2)</f>
        <v>0.00000825045790674192</v>
      </c>
    </row>
    <row r="69">
      <c r="A69" s="1" t="str">
        <v>Check: = Napa coef − Sonoma coef in B5.2</v>
      </c>
      <c r="B69" s="1">
        <f>'Part B'!B183-'Part B'!B185</f>
        <v>0.147787564900171</v>
      </c>
    </row>
    <row r="70">
      <c r="A70" s="1" t="str">
        <v>Napa vs Sonoma % =EXP(b)−1</v>
      </c>
      <c r="B70" s="1">
        <f>EXP(B66)-1</f>
        <v>0.159266601286868</v>
      </c>
    </row>
    <row r="71">
      <c r="A71" s="1" t="str">
        <v>Napa $ premium − Sonoma $ premium (at P_G)</v>
      </c>
      <c r="B71" s="1">
        <f>E32-E33</f>
        <v>3.70718946319955</v>
      </c>
    </row>
    <row r="72">
      <c r="A72" s="1" t="str">
        <v>Decision at α = 0.05</v>
      </c>
      <c r="B72" s="1" t="str">
        <f>IF(B68&lt;0.05,"Reject H0: Napa premium &gt; Sonoma premium","Do not reject H0")</f>
        <v>Reject H0: Napa premium &gt; Sonoma premium</v>
      </c>
    </row>
    <row r="73">
      <c r="A73" s="1" t="str">
        <v>H0: β_Napa − β_Sonoma = 0 vs H1: β_Napa − β_Sonoma &gt; 0. With Sonoma as the reference the Napa coefficient is 0.148 (t = 4.33, p = 1.7E−05): a Napa wine sells ≈ 15.9% above an otherwise identical Sonoma wine. R², F and all non-region coefficients are identical to B5.2 — only the reference changed.</v>
      </c>
    </row>
    <row r="75">
      <c r="A75" s="1" t="str">
        <v>C4 · Significant is not important</v>
      </c>
    </row>
    <row r="76">
      <c r="A76" s="1" t="str">
        <v>Change</v>
      </c>
      <c r="B76" s="1" t="str">
        <v>Log coef</v>
      </c>
      <c r="C76" s="1" t="str">
        <v>p-value</v>
      </c>
      <c r="D76" s="1" t="str">
        <v>Δ ln(Price)</v>
      </c>
      <c r="E76" s="1" t="str">
        <v>% change =EXP(Δ)−1</v>
      </c>
      <c r="F76" s="1" t="str">
        <v>$ at baseline P_G</v>
      </c>
    </row>
    <row r="77">
      <c r="A77" s="1" t="str">
        <v>+10 units of Cases (10,000 cases)</v>
      </c>
      <c r="B77" s="1">
        <f>'Part B'!B180</f>
        <v>-0.00427906714508353</v>
      </c>
      <c r="C77" s="1">
        <f>'Part B'!E180</f>
        <v>2.57712938161699e-8</v>
      </c>
      <c r="D77" s="1">
        <f>10*B77</f>
        <v>-0.0427906714508353</v>
      </c>
      <c r="E77" s="1">
        <f>EXP(D77)-1</f>
        <v>-0.0418880707429017</v>
      </c>
      <c r="F77" s="1">
        <f>$D$27*E77</f>
        <v>-0.735476807308965</v>
      </c>
    </row>
    <row r="78">
      <c r="A78" s="1" t="str">
        <v>+1 Score point</v>
      </c>
      <c r="B78" s="1">
        <f>'Part B'!B181</f>
        <v>0.0699613687974267</v>
      </c>
      <c r="C78" s="1">
        <f>'Part B'!E181</f>
        <v>3.91850341148565e-60</v>
      </c>
      <c r="D78" s="1">
        <f>1*B78</f>
        <v>0.0699613687974267</v>
      </c>
      <c r="E78" s="1">
        <f>EXP(D78)-1</f>
        <v>0.072466749773684</v>
      </c>
      <c r="F78" s="1">
        <f>$D$27*E78</f>
        <v>1.27238167846722</v>
      </c>
    </row>
    <row r="79">
      <c r="A79" s="1" t="str">
        <v>+1 year of Age</v>
      </c>
      <c r="B79" s="1">
        <f>'Part B'!B182</f>
        <v>0.183085282441609</v>
      </c>
      <c r="C79" s="1">
        <f>'Part B'!E182</f>
        <v>9.27051938135304e-18</v>
      </c>
      <c r="D79" s="1">
        <f>1*B79</f>
        <v>0.183085282441609</v>
      </c>
      <c r="E79" s="1">
        <f>EXP(D79)-1</f>
        <v>0.200916820832414</v>
      </c>
      <c r="F79" s="1">
        <f>$D$27*E79</f>
        <v>3.52772661284555</v>
      </c>
    </row>
    <row r="80">
      <c r="A80" s="1" t="str">
        <v>Syrah instead of Zinfandel (not significant)</v>
      </c>
      <c r="B80" s="1">
        <f>'Part B'!B192</f>
        <v>0.0432339512401637</v>
      </c>
      <c r="C80" s="1">
        <f>'Part B'!E192</f>
        <v>0.519270317636898</v>
      </c>
      <c r="D80" s="1">
        <f>1*B80</f>
        <v>0.0432339512401637</v>
      </c>
      <c r="E80" s="1">
        <f>EXP(D80)-1</f>
        <v>0.0441821539870166</v>
      </c>
      <c r="F80" s="1">
        <f>$D$27*E80</f>
        <v>0.77575665286305</v>
      </c>
    </row>
    <row r="81">
      <c r="A81" s="1" t="str">
        <v>Std. dev. of Cases (thousands)</v>
      </c>
      <c r="B81" s="1">
        <f>'Part A'!C20</f>
        <v>18.8546910461502</v>
      </c>
    </row>
    <row r="82">
      <c r="A82" s="1" t="str">
        <v>Median Cases (thousands)</v>
      </c>
      <c r="B82" s="1">
        <f>'Part A'!C19</f>
        <v>1.18</v>
      </c>
    </row>
    <row r="83">
      <c r="A83" s="1" t="str">
        <v>Cases has a tiny p-value (≈ 3E−08) yet 10,000 more cases cut price by only ≈ 4.2% (≈ $0.74 on a $17.56 bottle) — and 10,000 cases is 8× the median winery's output. Significance reflects precision (n = 806), not size. In contrast Syrah has a +4.4% point estimate that is not significant (p = 0.52): we cannot distinguish it from zero.</v>
      </c>
    </row>
    <row r="85">
      <c r="A85" s="1" t="str">
        <v>C5 · Premium or quality?</v>
      </c>
    </row>
    <row r="86">
      <c r="A86" s="1" t="str">
        <v>No. Score (blind-tasting quality), Age, volume and variety are held constant, so the Napa coefficient measures the extra price buyers pay for the Napa NAME/ORIGIN among wines of the same rated quality, age, production and grape — a reputation/label premium, not proof of higher quality. Higher Napa quality shows up separately through the Score variable (Napa avg 88.5 vs 84.1 Generic).</v>
      </c>
    </row>
    <row r="88">
      <c r="A88" s="1" t="str">
        <v>C6 · Message to the board (≤150 words) — see report</v>
      </c>
    </row>
    <row r="89">
      <c r="A89" s="1" t="str">
        <v>Yes, buyers pay extra for the Napa Valley name. Comparing wines with the same tasting score, age, production volume and grape, a bottle labelled Napa Valley sells for about 54% more than a similar California wine with no regional name: roughly $9 more on a typical $17–18 bottle. Sonoma also earns a premium, about 33% or $6 a bottle, so Napa's advantage over Sonoma is about $3–4 per bottle, and this gap is too large to be put down to chance. Limits: the data cover only 2001-vintage wines reviewed by one magazine, prices are list prices, and part of the premium may come from things we could not measure, such as vineyard quality, winery reputation or marketing. The figures show what buyers currently pay for the label, not a guaranteed gain for any single winery.</v>
      </c>
    </row>
  </sheetData>
  <mergeCells count="6">
    <mergeCell ref="A12:J12"/>
    <mergeCell ref="A36:J36"/>
    <mergeCell ref="A73:J73"/>
    <mergeCell ref="A83:J83"/>
    <mergeCell ref="A86:J86"/>
    <mergeCell ref="A89:J89"/>
  </mergeCells>
  <pageMargins left="0.75" right="0.75" top="1" bottom="1" header="0.511811023622047" footer="0.511811023622047"/>
  <ignoredErrors>
    <ignoredError numberStoredAsText="1" sqref="A1:X89"/>
  </ignoredErrors>
</worksheet>
</file>

<file path=xl/worksheets/sheet4.xml><?xml version="1.0" encoding="utf-8"?>
<worksheet xmlns="http://schemas.openxmlformats.org/spreadsheetml/2006/main" xmlns:r="http://schemas.openxmlformats.org/officeDocument/2006/relationships">
  <dimension ref="A1:AN807"/>
  <sheetViews>
    <sheetView workbookViewId="0" rightToLeft="0"/>
  </sheetViews>
  <sheetData>
    <row r="1">
      <c r="A1" s="1" t="str">
        <v>ID</v>
      </c>
      <c r="B1" s="1" t="str">
        <v>Price</v>
      </c>
      <c r="C1" s="1" t="str">
        <v>Cases</v>
      </c>
      <c r="D1" s="1" t="str">
        <v>Score</v>
      </c>
      <c r="E1" s="1" t="str">
        <v>Age</v>
      </c>
      <c r="F1" s="1" t="str">
        <v>Napa valley</v>
      </c>
      <c r="G1" s="1" t="str">
        <v>bay area</v>
      </c>
      <c r="H1" s="1" t="str">
        <v>sonoma</v>
      </c>
      <c r="I1" s="1" t="str">
        <v>sierra/foothills</v>
      </c>
      <c r="J1" s="1" t="str">
        <v>mendocino / lake</v>
      </c>
      <c r="K1" s="1" t="str">
        <v>Nonvarietal</v>
      </c>
      <c r="L1" s="1" t="str">
        <v>Pinot noir</v>
      </c>
      <c r="M1" s="1" t="str">
        <v>Cabernet</v>
      </c>
      <c r="N1" s="1" t="str">
        <v>Merlot</v>
      </c>
      <c r="O1" s="1" t="str">
        <v>Shyrah</v>
      </c>
      <c r="P1" s="1" t="str">
        <v>lnPrice</v>
      </c>
      <c r="Q1" s="1" t="str">
        <v>Generic</v>
      </c>
      <c r="R1" s="1" t="str">
        <v>Region (6 groups)</v>
      </c>
      <c r="S1" s="1" t="str">
        <v>Region3</v>
      </c>
      <c r="T1" s="1" t="str">
        <v>Variety4</v>
      </c>
      <c r="U1" s="1" t="str">
        <v>Price if Napa</v>
      </c>
      <c r="V1" s="1" t="str">
        <v>Price if not Napa</v>
      </c>
      <c r="W1" s="1" t="str">
        <v>Pred Price (B5.1)</v>
      </c>
      <c r="X1" s="1" t="str">
        <v>Resid Price (B5.1)</v>
      </c>
      <c r="Y1" s="1" t="str">
        <v>Pred lnPrice (B5.2)</v>
      </c>
      <c r="Z1" s="1" t="str">
        <v>Resid lnPrice (B5.2)</v>
      </c>
      <c r="AA1" s="1" t="str">
        <v>X block, Sonoma as reference -&gt;</v>
      </c>
      <c r="AB1" s="1" t="str">
        <v>Cases</v>
      </c>
      <c r="AC1" s="1" t="str">
        <v>Score</v>
      </c>
      <c r="AD1" s="1" t="str">
        <v>Age</v>
      </c>
      <c r="AE1" s="1" t="str">
        <v>Napa valley</v>
      </c>
      <c r="AF1" s="1" t="str">
        <v>bay area</v>
      </c>
      <c r="AG1" s="1" t="str">
        <v>sierra/foothills</v>
      </c>
      <c r="AH1" s="1" t="str">
        <v>mendocino / lake</v>
      </c>
      <c r="AI1" s="1" t="str">
        <v>Generic</v>
      </c>
      <c r="AJ1" s="1" t="str">
        <v>Nonvarietal</v>
      </c>
      <c r="AK1" s="1" t="str">
        <v>Pinot noir</v>
      </c>
      <c r="AL1" s="1" t="str">
        <v>Cabernet</v>
      </c>
      <c r="AM1" s="1" t="str">
        <v>Merlot</v>
      </c>
      <c r="AN1" s="1" t="str">
        <v>Shyrah</v>
      </c>
    </row>
    <row r="2">
      <c r="A2" s="1">
        <v>1</v>
      </c>
      <c r="B2" s="1">
        <v>6</v>
      </c>
      <c r="C2" s="1">
        <v>6.7</v>
      </c>
      <c r="D2" s="1">
        <v>85</v>
      </c>
      <c r="E2" s="1">
        <v>2</v>
      </c>
      <c r="F2" s="1">
        <v>0</v>
      </c>
      <c r="G2" s="1">
        <v>0</v>
      </c>
      <c r="H2" s="1">
        <v>0</v>
      </c>
      <c r="I2" s="1">
        <v>0</v>
      </c>
      <c r="J2" s="1">
        <v>0</v>
      </c>
      <c r="K2" s="1">
        <v>0</v>
      </c>
      <c r="L2" s="1">
        <v>0</v>
      </c>
      <c r="M2" s="1">
        <v>0</v>
      </c>
      <c r="N2" s="1">
        <v>0</v>
      </c>
      <c r="O2" s="1">
        <v>0</v>
      </c>
      <c r="P2" s="1">
        <f>LN(B2)</f>
        <v>1.79175946922806</v>
      </c>
      <c r="Q2" s="1">
        <f>1-SUM(F2:J2)</f>
        <v>1</v>
      </c>
      <c r="R2" s="1" t="str">
        <f>IF(F2=1,"Napa valley",IF(G2=1,"Bay area",IF(H2=1,"Sonoma",IF(I2=1,"Sierra/foothills",IF(J2=1,"Mendocino/lake","Generic California")))))</f>
        <v>Generic California</v>
      </c>
      <c r="S2" s="1" t="str">
        <f>IF(F2=1,"Napa valley",IF(H2=1,"Sonoma","Other"))</f>
        <v>Other</v>
      </c>
      <c r="T2" s="1" t="str">
        <f>IF(M2=1,"Cabernet",IF(N2=1,"Merlot",IF(L2=1,"Pinot noir","Other")))</f>
        <v>Other</v>
      </c>
      <c r="U2" s="1" t="str">
        <f>IF(F2=1,B2,"")</f>
        <v/>
      </c>
      <c r="V2" s="1">
        <f>IF(F2=0,B2,"")</f>
        <v>6</v>
      </c>
      <c r="W2" s="1">
        <f>'Part B'!$B$150+SUMPRODUCT('Part B'!$B$164:$N$164,C2:O2)</f>
        <v>7.46943665042949</v>
      </c>
      <c r="X2" s="1">
        <f>B2-W2</f>
        <v>-1.46943665042949</v>
      </c>
      <c r="Y2" s="1">
        <f>'Part B'!$B$179+SUMPRODUCT('Part B'!$B$193:$N$193,C2:O2)</f>
        <v>2.34289297743857</v>
      </c>
      <c r="Z2" s="1">
        <f>P2-Y2</f>
        <v>-0.551133508210516</v>
      </c>
      <c r="AB2" s="1">
        <f>C2</f>
        <v>6.7</v>
      </c>
      <c r="AC2" s="1">
        <f>D2</f>
        <v>85</v>
      </c>
      <c r="AD2" s="1">
        <f>E2</f>
        <v>2</v>
      </c>
      <c r="AE2" s="1">
        <f>F2</f>
        <v>0</v>
      </c>
      <c r="AF2" s="1">
        <f>G2</f>
        <v>0</v>
      </c>
      <c r="AG2" s="1">
        <f>I2</f>
        <v>0</v>
      </c>
      <c r="AH2" s="1">
        <f>J2</f>
        <v>0</v>
      </c>
      <c r="AI2" s="1">
        <f>Q2</f>
        <v>1</v>
      </c>
      <c r="AJ2" s="1">
        <f>K2</f>
        <v>0</v>
      </c>
      <c r="AK2" s="1">
        <f>L2</f>
        <v>0</v>
      </c>
      <c r="AL2" s="1">
        <f>M2</f>
        <v>0</v>
      </c>
      <c r="AM2" s="1">
        <f>N2</f>
        <v>0</v>
      </c>
      <c r="AN2" s="1">
        <f>O2</f>
        <v>0</v>
      </c>
    </row>
    <row r="3">
      <c r="A3" s="1">
        <v>2</v>
      </c>
      <c r="B3" s="1">
        <v>6</v>
      </c>
      <c r="C3" s="1">
        <v>6.7</v>
      </c>
      <c r="D3" s="1">
        <v>80</v>
      </c>
      <c r="E3" s="1">
        <v>1</v>
      </c>
      <c r="F3" s="1">
        <v>0</v>
      </c>
      <c r="G3" s="1">
        <v>0</v>
      </c>
      <c r="H3" s="1">
        <v>0</v>
      </c>
      <c r="I3" s="1">
        <v>0</v>
      </c>
      <c r="J3" s="1">
        <v>0</v>
      </c>
      <c r="K3" s="1">
        <v>0</v>
      </c>
      <c r="L3" s="1">
        <v>0</v>
      </c>
      <c r="M3" s="1">
        <v>0</v>
      </c>
      <c r="N3" s="1">
        <v>1</v>
      </c>
      <c r="O3" s="1">
        <v>0</v>
      </c>
      <c r="P3" s="1">
        <f>LN(B3)</f>
        <v>1.79175946922806</v>
      </c>
      <c r="Q3" s="1">
        <f>1-SUM(F3:J3)</f>
        <v>1</v>
      </c>
      <c r="R3" s="1" t="str">
        <f>IF(F3=1,"Napa valley",IF(G3=1,"Bay area",IF(H3=1,"Sonoma",IF(I3=1,"Sierra/foothills",IF(J3=1,"Mendocino/lake","Generic California")))))</f>
        <v>Generic California</v>
      </c>
      <c r="S3" s="1" t="str">
        <f>IF(F3=1,"Napa valley",IF(H3=1,"Sonoma","Other"))</f>
        <v>Other</v>
      </c>
      <c r="T3" s="1" t="str">
        <f>IF(M3=1,"Cabernet",IF(N3=1,"Merlot",IF(L3=1,"Pinot noir","Other")))</f>
        <v>Merlot</v>
      </c>
      <c r="U3" s="1" t="str">
        <f>IF(F3=1,B3,"")</f>
        <v/>
      </c>
      <c r="V3" s="1">
        <f>IF(F3=0,B3,"")</f>
        <v>6</v>
      </c>
      <c r="W3" s="1">
        <f>'Part B'!$B$150+SUMPRODUCT('Part B'!$B$164:$N$164,C3:O3)</f>
        <v>-7.21544401538824</v>
      </c>
      <c r="X3" s="1">
        <f>B3-W3</f>
        <v>13.2154440153882</v>
      </c>
      <c r="Y3" s="1">
        <f>'Part B'!$B$179+SUMPRODUCT('Part B'!$B$193:$N$193,C3:O3)</f>
        <v>2.09451558087816</v>
      </c>
      <c r="Z3" s="1">
        <f>P3-Y3</f>
        <v>-0.302756111650103</v>
      </c>
      <c r="AB3" s="1">
        <f>C3</f>
        <v>6.7</v>
      </c>
      <c r="AC3" s="1">
        <f>D3</f>
        <v>80</v>
      </c>
      <c r="AD3" s="1">
        <f>E3</f>
        <v>1</v>
      </c>
      <c r="AE3" s="1">
        <f>F3</f>
        <v>0</v>
      </c>
      <c r="AF3" s="1">
        <f>G3</f>
        <v>0</v>
      </c>
      <c r="AG3" s="1">
        <f>I3</f>
        <v>0</v>
      </c>
      <c r="AH3" s="1">
        <f>J3</f>
        <v>0</v>
      </c>
      <c r="AI3" s="1">
        <f>Q3</f>
        <v>1</v>
      </c>
      <c r="AJ3" s="1">
        <f>K3</f>
        <v>0</v>
      </c>
      <c r="AK3" s="1">
        <f>L3</f>
        <v>0</v>
      </c>
      <c r="AL3" s="1">
        <f>M3</f>
        <v>0</v>
      </c>
      <c r="AM3" s="1">
        <f>N3</f>
        <v>1</v>
      </c>
      <c r="AN3" s="1">
        <f>O3</f>
        <v>0</v>
      </c>
    </row>
    <row r="4">
      <c r="A4" s="1">
        <v>3</v>
      </c>
      <c r="B4" s="1">
        <v>7</v>
      </c>
      <c r="C4" s="1">
        <v>6.7</v>
      </c>
      <c r="D4" s="1">
        <v>84</v>
      </c>
      <c r="E4" s="1">
        <v>2</v>
      </c>
      <c r="F4" s="1">
        <v>0</v>
      </c>
      <c r="G4" s="1">
        <v>0</v>
      </c>
      <c r="H4" s="1">
        <v>0</v>
      </c>
      <c r="I4" s="1">
        <v>0</v>
      </c>
      <c r="J4" s="1">
        <v>0</v>
      </c>
      <c r="K4" s="1">
        <v>0</v>
      </c>
      <c r="L4" s="1">
        <v>0</v>
      </c>
      <c r="M4" s="1">
        <v>1</v>
      </c>
      <c r="N4" s="1">
        <v>0</v>
      </c>
      <c r="O4" s="1">
        <v>0</v>
      </c>
      <c r="P4" s="1">
        <f>LN(B4)</f>
        <v>1.94591014905531</v>
      </c>
      <c r="Q4" s="1">
        <f>1-SUM(F4:J4)</f>
        <v>1</v>
      </c>
      <c r="R4" s="1" t="str">
        <f>IF(F4=1,"Napa valley",IF(G4=1,"Bay area",IF(H4=1,"Sonoma",IF(I4=1,"Sierra/foothills",IF(J4=1,"Mendocino/lake","Generic California")))))</f>
        <v>Generic California</v>
      </c>
      <c r="S4" s="1" t="str">
        <f>IF(F4=1,"Napa valley",IF(H4=1,"Sonoma","Other"))</f>
        <v>Other</v>
      </c>
      <c r="T4" s="1" t="str">
        <f>IF(M4=1,"Cabernet",IF(N4=1,"Merlot",IF(L4=1,"Pinot noir","Other")))</f>
        <v>Cabernet</v>
      </c>
      <c r="U4" s="1" t="str">
        <f>IF(F4=1,B4,"")</f>
        <v/>
      </c>
      <c r="V4" s="1">
        <f>IF(F4=0,B4,"")</f>
        <v>7</v>
      </c>
      <c r="W4" s="1">
        <f>'Part B'!$B$150+SUMPRODUCT('Part B'!$B$164:$N$164,C4:O4)</f>
        <v>16.9515932002591</v>
      </c>
      <c r="X4" s="1">
        <f>B4-W4</f>
        <v>-9.95159320025908</v>
      </c>
      <c r="Y4" s="1">
        <f>'Part B'!$B$179+SUMPRODUCT('Part B'!$B$193:$N$193,C4:O4)</f>
        <v>2.59392726902852</v>
      </c>
      <c r="Z4" s="1">
        <f>P4-Y4</f>
        <v>-0.648017119973203</v>
      </c>
      <c r="AB4" s="1">
        <f>C4</f>
        <v>6.7</v>
      </c>
      <c r="AC4" s="1">
        <f>D4</f>
        <v>84</v>
      </c>
      <c r="AD4" s="1">
        <f>E4</f>
        <v>2</v>
      </c>
      <c r="AE4" s="1">
        <f>F4</f>
        <v>0</v>
      </c>
      <c r="AF4" s="1">
        <f>G4</f>
        <v>0</v>
      </c>
      <c r="AG4" s="1">
        <f>I4</f>
        <v>0</v>
      </c>
      <c r="AH4" s="1">
        <f>J4</f>
        <v>0</v>
      </c>
      <c r="AI4" s="1">
        <f>Q4</f>
        <v>1</v>
      </c>
      <c r="AJ4" s="1">
        <f>K4</f>
        <v>0</v>
      </c>
      <c r="AK4" s="1">
        <f>L4</f>
        <v>0</v>
      </c>
      <c r="AL4" s="1">
        <f>M4</f>
        <v>1</v>
      </c>
      <c r="AM4" s="1">
        <f>N4</f>
        <v>0</v>
      </c>
      <c r="AN4" s="1">
        <f>O4</f>
        <v>0</v>
      </c>
    </row>
    <row r="5">
      <c r="A5" s="1">
        <v>4</v>
      </c>
      <c r="B5" s="1">
        <v>7</v>
      </c>
      <c r="C5" s="1">
        <v>0.08</v>
      </c>
      <c r="D5" s="1">
        <v>82</v>
      </c>
      <c r="E5" s="1">
        <v>2</v>
      </c>
      <c r="F5" s="1">
        <v>0</v>
      </c>
      <c r="G5" s="1">
        <v>1</v>
      </c>
      <c r="H5" s="1">
        <v>0</v>
      </c>
      <c r="I5" s="1">
        <v>0</v>
      </c>
      <c r="J5" s="1">
        <v>0</v>
      </c>
      <c r="K5" s="1">
        <v>0</v>
      </c>
      <c r="L5" s="1">
        <v>0</v>
      </c>
      <c r="M5" s="1">
        <v>1</v>
      </c>
      <c r="N5" s="1">
        <v>0</v>
      </c>
      <c r="O5" s="1">
        <v>0</v>
      </c>
      <c r="P5" s="1">
        <f>LN(B5)</f>
        <v>1.94591014905531</v>
      </c>
      <c r="Q5" s="1">
        <f>1-SUM(F5:J5)</f>
        <v>0</v>
      </c>
      <c r="R5" s="1" t="str">
        <f>IF(F5=1,"Napa valley",IF(G5=1,"Bay area",IF(H5=1,"Sonoma",IF(I5=1,"Sierra/foothills",IF(J5=1,"Mendocino/lake","Generic California")))))</f>
        <v>Bay area</v>
      </c>
      <c r="S5" s="1" t="str">
        <f>IF(F5=1,"Napa valley",IF(H5=1,"Sonoma","Other"))</f>
        <v>Other</v>
      </c>
      <c r="T5" s="1" t="str">
        <f>IF(M5=1,"Cabernet",IF(N5=1,"Merlot",IF(L5=1,"Pinot noir","Other")))</f>
        <v>Cabernet</v>
      </c>
      <c r="U5" s="1" t="str">
        <f>IF(F5=1,B5,"")</f>
        <v/>
      </c>
      <c r="V5" s="1">
        <f>IF(F5=0,B5,"")</f>
        <v>7</v>
      </c>
      <c r="W5" s="1">
        <f>'Part B'!$B$150+SUMPRODUCT('Part B'!$B$164:$N$164,C5:O5)</f>
        <v>13.568605897416</v>
      </c>
      <c r="X5" s="1">
        <f>B5-W5</f>
        <v>-6.56860589741603</v>
      </c>
      <c r="Y5" s="1">
        <f>'Part B'!$B$179+SUMPRODUCT('Part B'!$B$193:$N$193,C5:O5)</f>
        <v>2.73731892872209</v>
      </c>
      <c r="Z5" s="1">
        <f>P5-Y5</f>
        <v>-0.791408779666776</v>
      </c>
      <c r="AB5" s="1">
        <f>C5</f>
        <v>0.08</v>
      </c>
      <c r="AC5" s="1">
        <f>D5</f>
        <v>82</v>
      </c>
      <c r="AD5" s="1">
        <f>E5</f>
        <v>2</v>
      </c>
      <c r="AE5" s="1">
        <f>F5</f>
        <v>0</v>
      </c>
      <c r="AF5" s="1">
        <f>G5</f>
        <v>1</v>
      </c>
      <c r="AG5" s="1">
        <f>I5</f>
        <v>0</v>
      </c>
      <c r="AH5" s="1">
        <f>J5</f>
        <v>0</v>
      </c>
      <c r="AI5" s="1">
        <f>Q5</f>
        <v>0</v>
      </c>
      <c r="AJ5" s="1">
        <f>K5</f>
        <v>0</v>
      </c>
      <c r="AK5" s="1">
        <f>L5</f>
        <v>0</v>
      </c>
      <c r="AL5" s="1">
        <f>M5</f>
        <v>1</v>
      </c>
      <c r="AM5" s="1">
        <f>N5</f>
        <v>0</v>
      </c>
      <c r="AN5" s="1">
        <f>O5</f>
        <v>0</v>
      </c>
    </row>
    <row r="6">
      <c r="A6" s="1">
        <v>5</v>
      </c>
      <c r="B6" s="1">
        <v>7</v>
      </c>
      <c r="C6" s="1">
        <v>15.045</v>
      </c>
      <c r="D6" s="1">
        <v>82</v>
      </c>
      <c r="E6" s="1">
        <v>2</v>
      </c>
      <c r="F6" s="1">
        <v>0</v>
      </c>
      <c r="G6" s="1">
        <v>0</v>
      </c>
      <c r="H6" s="1">
        <v>0</v>
      </c>
      <c r="I6" s="1">
        <v>0</v>
      </c>
      <c r="J6" s="1">
        <v>0</v>
      </c>
      <c r="K6" s="1">
        <v>0</v>
      </c>
      <c r="L6" s="1">
        <v>0</v>
      </c>
      <c r="M6" s="1">
        <v>1</v>
      </c>
      <c r="N6" s="1">
        <v>0</v>
      </c>
      <c r="O6" s="1">
        <v>0</v>
      </c>
      <c r="P6" s="1">
        <f>LN(B6)</f>
        <v>1.94591014905531</v>
      </c>
      <c r="Q6" s="1">
        <f>1-SUM(F6:J6)</f>
        <v>1</v>
      </c>
      <c r="R6" s="1" t="str">
        <f>IF(F6=1,"Napa valley",IF(G6=1,"Bay area",IF(H6=1,"Sonoma",IF(I6=1,"Sierra/foothills",IF(J6=1,"Mendocino/lake","Generic California")))))</f>
        <v>Generic California</v>
      </c>
      <c r="S6" s="1" t="str">
        <f>IF(F6=1,"Napa valley",IF(H6=1,"Sonoma","Other"))</f>
        <v>Other</v>
      </c>
      <c r="T6" s="1" t="str">
        <f>IF(M6=1,"Cabernet",IF(N6=1,"Merlot",IF(L6=1,"Pinot noir","Other")))</f>
        <v>Cabernet</v>
      </c>
      <c r="U6" s="1" t="str">
        <f>IF(F6=1,B6,"")</f>
        <v/>
      </c>
      <c r="V6" s="1">
        <f>IF(F6=0,B6,"")</f>
        <v>7</v>
      </c>
      <c r="W6" s="1">
        <f>'Part B'!$B$150+SUMPRODUCT('Part B'!$B$164:$N$164,C6:O6)</f>
        <v>9.869343607975</v>
      </c>
      <c r="X6" s="1">
        <f>B6-W6</f>
        <v>-2.869343607975</v>
      </c>
      <c r="Y6" s="1">
        <f>'Part B'!$B$179+SUMPRODUCT('Part B'!$B$193:$N$193,C6:O6)</f>
        <v>2.41829571610794</v>
      </c>
      <c r="Z6" s="1">
        <f>P6-Y6</f>
        <v>-0.472385567052628</v>
      </c>
      <c r="AB6" s="1">
        <f>C6</f>
        <v>15.045</v>
      </c>
      <c r="AC6" s="1">
        <f>D6</f>
        <v>82</v>
      </c>
      <c r="AD6" s="1">
        <f>E6</f>
        <v>2</v>
      </c>
      <c r="AE6" s="1">
        <f>F6</f>
        <v>0</v>
      </c>
      <c r="AF6" s="1">
        <f>G6</f>
        <v>0</v>
      </c>
      <c r="AG6" s="1">
        <f>I6</f>
        <v>0</v>
      </c>
      <c r="AH6" s="1">
        <f>J6</f>
        <v>0</v>
      </c>
      <c r="AI6" s="1">
        <f>Q6</f>
        <v>1</v>
      </c>
      <c r="AJ6" s="1">
        <f>K6</f>
        <v>0</v>
      </c>
      <c r="AK6" s="1">
        <f>L6</f>
        <v>0</v>
      </c>
      <c r="AL6" s="1">
        <f>M6</f>
        <v>1</v>
      </c>
      <c r="AM6" s="1">
        <f>N6</f>
        <v>0</v>
      </c>
      <c r="AN6" s="1">
        <f>O6</f>
        <v>0</v>
      </c>
    </row>
    <row r="7">
      <c r="A7" s="1">
        <v>6</v>
      </c>
      <c r="B7" s="1">
        <v>7</v>
      </c>
      <c r="C7" s="1">
        <v>38</v>
      </c>
      <c r="D7" s="1">
        <v>83</v>
      </c>
      <c r="E7" s="1">
        <v>2</v>
      </c>
      <c r="F7" s="1">
        <v>0</v>
      </c>
      <c r="G7" s="1">
        <v>0</v>
      </c>
      <c r="H7" s="1">
        <v>0</v>
      </c>
      <c r="I7" s="1">
        <v>0</v>
      </c>
      <c r="J7" s="1">
        <v>0</v>
      </c>
      <c r="K7" s="1">
        <v>0</v>
      </c>
      <c r="L7" s="1">
        <v>0</v>
      </c>
      <c r="M7" s="1">
        <v>1</v>
      </c>
      <c r="N7" s="1">
        <v>0</v>
      </c>
      <c r="O7" s="1">
        <v>0</v>
      </c>
      <c r="P7" s="1">
        <f>LN(B7)</f>
        <v>1.94591014905531</v>
      </c>
      <c r="Q7" s="1">
        <f>1-SUM(F7:J7)</f>
        <v>1</v>
      </c>
      <c r="R7" s="1" t="str">
        <f>IF(F7=1,"Napa valley",IF(G7=1,"Bay area",IF(H7=1,"Sonoma",IF(I7=1,"Sierra/foothills",IF(J7=1,"Mendocino/lake","Generic California")))))</f>
        <v>Generic California</v>
      </c>
      <c r="S7" s="1" t="str">
        <f>IF(F7=1,"Napa valley",IF(H7=1,"Sonoma","Other"))</f>
        <v>Other</v>
      </c>
      <c r="T7" s="1" t="str">
        <f>IF(M7=1,"Cabernet",IF(N7=1,"Merlot",IF(L7=1,"Pinot noir","Other")))</f>
        <v>Cabernet</v>
      </c>
      <c r="U7" s="1" t="str">
        <f>IF(F7=1,B7,"")</f>
        <v/>
      </c>
      <c r="V7" s="1">
        <f>IF(F7=0,B7,"")</f>
        <v>7</v>
      </c>
      <c r="W7" s="1">
        <f>'Part B'!$B$150+SUMPRODUCT('Part B'!$B$164:$N$164,C7:O7)</f>
        <v>10.8356951184778</v>
      </c>
      <c r="X7" s="1">
        <f>B7-W7</f>
        <v>-3.83569511847782</v>
      </c>
      <c r="Y7" s="1">
        <f>'Part B'!$B$179+SUMPRODUCT('Part B'!$B$193:$N$193,C7:O7)</f>
        <v>2.39003109858998</v>
      </c>
      <c r="Z7" s="1">
        <f>P7-Y7</f>
        <v>-0.444120949534663</v>
      </c>
      <c r="AB7" s="1">
        <f>C7</f>
        <v>38</v>
      </c>
      <c r="AC7" s="1">
        <f>D7</f>
        <v>83</v>
      </c>
      <c r="AD7" s="1">
        <f>E7</f>
        <v>2</v>
      </c>
      <c r="AE7" s="1">
        <f>F7</f>
        <v>0</v>
      </c>
      <c r="AF7" s="1">
        <f>G7</f>
        <v>0</v>
      </c>
      <c r="AG7" s="1">
        <f>I7</f>
        <v>0</v>
      </c>
      <c r="AH7" s="1">
        <f>J7</f>
        <v>0</v>
      </c>
      <c r="AI7" s="1">
        <f>Q7</f>
        <v>1</v>
      </c>
      <c r="AJ7" s="1">
        <f>K7</f>
        <v>0</v>
      </c>
      <c r="AK7" s="1">
        <f>L7</f>
        <v>0</v>
      </c>
      <c r="AL7" s="1">
        <f>M7</f>
        <v>1</v>
      </c>
      <c r="AM7" s="1">
        <f>N7</f>
        <v>0</v>
      </c>
      <c r="AN7" s="1">
        <f>O7</f>
        <v>0</v>
      </c>
    </row>
    <row r="8">
      <c r="A8" s="1">
        <v>7</v>
      </c>
      <c r="B8" s="1">
        <v>7</v>
      </c>
      <c r="C8" s="1">
        <v>8</v>
      </c>
      <c r="D8" s="1">
        <v>82</v>
      </c>
      <c r="E8" s="1">
        <v>2</v>
      </c>
      <c r="F8" s="1">
        <v>0</v>
      </c>
      <c r="G8" s="1">
        <v>0</v>
      </c>
      <c r="H8" s="1">
        <v>0</v>
      </c>
      <c r="I8" s="1">
        <v>0</v>
      </c>
      <c r="J8" s="1">
        <v>0</v>
      </c>
      <c r="K8" s="1">
        <v>0</v>
      </c>
      <c r="L8" s="1">
        <v>0</v>
      </c>
      <c r="M8" s="1">
        <v>0</v>
      </c>
      <c r="N8" s="1">
        <v>0</v>
      </c>
      <c r="O8" s="1">
        <v>0</v>
      </c>
      <c r="P8" s="1">
        <f>LN(B8)</f>
        <v>1.94591014905531</v>
      </c>
      <c r="Q8" s="1">
        <f>1-SUM(F8:J8)</f>
        <v>1</v>
      </c>
      <c r="R8" s="1" t="str">
        <f>IF(F8=1,"Napa valley",IF(G8=1,"Bay area",IF(H8=1,"Sonoma",IF(I8=1,"Sierra/foothills",IF(J8=1,"Mendocino/lake","Generic California")))))</f>
        <v>Generic California</v>
      </c>
      <c r="S8" s="1" t="str">
        <f>IF(F8=1,"Napa valley",IF(H8=1,"Sonoma","Other"))</f>
        <v>Other</v>
      </c>
      <c r="T8" s="1" t="str">
        <f>IF(M8=1,"Cabernet",IF(N8=1,"Merlot",IF(L8=1,"Pinot noir","Other")))</f>
        <v>Other</v>
      </c>
      <c r="U8" s="1" t="str">
        <f>IF(F8=1,B8,"")</f>
        <v/>
      </c>
      <c r="V8" s="1">
        <f>IF(F8=0,B8,"")</f>
        <v>7</v>
      </c>
      <c r="W8" s="1">
        <f>'Part B'!$B$150+SUMPRODUCT('Part B'!$B$164:$N$164,C8:O8)</f>
        <v>-2.08924252717151</v>
      </c>
      <c r="X8" s="1">
        <f>B8-W8</f>
        <v>9.08924252717151</v>
      </c>
      <c r="Y8" s="1">
        <f>'Part B'!$B$179+SUMPRODUCT('Part B'!$B$193:$N$193,C8:O8)</f>
        <v>2.12744608375768</v>
      </c>
      <c r="Z8" s="1">
        <f>P8-Y8</f>
        <v>-0.18153593470237</v>
      </c>
      <c r="AB8" s="1">
        <f>C8</f>
        <v>8</v>
      </c>
      <c r="AC8" s="1">
        <f>D8</f>
        <v>82</v>
      </c>
      <c r="AD8" s="1">
        <f>E8</f>
        <v>2</v>
      </c>
      <c r="AE8" s="1">
        <f>F8</f>
        <v>0</v>
      </c>
      <c r="AF8" s="1">
        <f>G8</f>
        <v>0</v>
      </c>
      <c r="AG8" s="1">
        <f>I8</f>
        <v>0</v>
      </c>
      <c r="AH8" s="1">
        <f>J8</f>
        <v>0</v>
      </c>
      <c r="AI8" s="1">
        <f>Q8</f>
        <v>1</v>
      </c>
      <c r="AJ8" s="1">
        <f>K8</f>
        <v>0</v>
      </c>
      <c r="AK8" s="1">
        <f>L8</f>
        <v>0</v>
      </c>
      <c r="AL8" s="1">
        <f>M8</f>
        <v>0</v>
      </c>
      <c r="AM8" s="1">
        <f>N8</f>
        <v>0</v>
      </c>
      <c r="AN8" s="1">
        <f>O8</f>
        <v>0</v>
      </c>
    </row>
    <row r="9">
      <c r="A9" s="1">
        <v>8</v>
      </c>
      <c r="B9" s="1">
        <v>8</v>
      </c>
      <c r="C9" s="1">
        <v>10.5</v>
      </c>
      <c r="D9" s="1">
        <v>75</v>
      </c>
      <c r="E9" s="1">
        <v>3</v>
      </c>
      <c r="F9" s="1">
        <v>0</v>
      </c>
      <c r="G9" s="1">
        <v>0</v>
      </c>
      <c r="H9" s="1">
        <v>0</v>
      </c>
      <c r="I9" s="1">
        <v>0</v>
      </c>
      <c r="J9" s="1">
        <v>0</v>
      </c>
      <c r="K9" s="1">
        <v>0</v>
      </c>
      <c r="L9" s="1">
        <v>0</v>
      </c>
      <c r="M9" s="1">
        <v>1</v>
      </c>
      <c r="N9" s="1">
        <v>0</v>
      </c>
      <c r="O9" s="1">
        <v>0</v>
      </c>
      <c r="P9" s="1">
        <f>LN(B9)</f>
        <v>2.07944154167984</v>
      </c>
      <c r="Q9" s="1">
        <f>1-SUM(F9:J9)</f>
        <v>1</v>
      </c>
      <c r="R9" s="1" t="str">
        <f>IF(F9=1,"Napa valley",IF(G9=1,"Bay area",IF(H9=1,"Sonoma",IF(I9=1,"Sierra/foothills",IF(J9=1,"Mendocino/lake","Generic California")))))</f>
        <v>Generic California</v>
      </c>
      <c r="S9" s="1" t="str">
        <f>IF(F9=1,"Napa valley",IF(H9=1,"Sonoma","Other"))</f>
        <v>Other</v>
      </c>
      <c r="T9" s="1" t="str">
        <f>IF(M9=1,"Cabernet",IF(N9=1,"Merlot",IF(L9=1,"Pinot noir","Other")))</f>
        <v>Cabernet</v>
      </c>
      <c r="U9" s="1" t="str">
        <f>IF(F9=1,B9,"")</f>
        <v/>
      </c>
      <c r="V9" s="1">
        <f>IF(F9=0,B9,"")</f>
        <v>8</v>
      </c>
      <c r="W9" s="1">
        <f>'Part B'!$B$150+SUMPRODUCT('Part B'!$B$164:$N$164,C9:O9)</f>
        <v>-5.09534819720295</v>
      </c>
      <c r="X9" s="1">
        <f>B9-W9</f>
        <v>13.095348197203</v>
      </c>
      <c r="Y9" s="1">
        <f>'Part B'!$B$179+SUMPRODUCT('Part B'!$B$193:$N$193,C9:O9)</f>
        <v>2.13109977714197</v>
      </c>
      <c r="Z9" s="1">
        <f>P9-Y9</f>
        <v>-0.0516582354621336</v>
      </c>
      <c r="AB9" s="1">
        <f>C9</f>
        <v>10.5</v>
      </c>
      <c r="AC9" s="1">
        <f>D9</f>
        <v>75</v>
      </c>
      <c r="AD9" s="1">
        <f>E9</f>
        <v>3</v>
      </c>
      <c r="AE9" s="1">
        <f>F9</f>
        <v>0</v>
      </c>
      <c r="AF9" s="1">
        <f>G9</f>
        <v>0</v>
      </c>
      <c r="AG9" s="1">
        <f>I9</f>
        <v>0</v>
      </c>
      <c r="AH9" s="1">
        <f>J9</f>
        <v>0</v>
      </c>
      <c r="AI9" s="1">
        <f>Q9</f>
        <v>1</v>
      </c>
      <c r="AJ9" s="1">
        <f>K9</f>
        <v>0</v>
      </c>
      <c r="AK9" s="1">
        <f>L9</f>
        <v>0</v>
      </c>
      <c r="AL9" s="1">
        <f>M9</f>
        <v>1</v>
      </c>
      <c r="AM9" s="1">
        <f>N9</f>
        <v>0</v>
      </c>
      <c r="AN9" s="1">
        <f>O9</f>
        <v>0</v>
      </c>
    </row>
    <row r="10">
      <c r="A10" s="1">
        <v>9</v>
      </c>
      <c r="B10" s="1">
        <v>8</v>
      </c>
      <c r="C10" s="1">
        <v>150</v>
      </c>
      <c r="D10" s="1">
        <v>78</v>
      </c>
      <c r="E10" s="1">
        <v>3</v>
      </c>
      <c r="F10" s="1">
        <v>0</v>
      </c>
      <c r="G10" s="1">
        <v>0</v>
      </c>
      <c r="H10" s="1">
        <v>0</v>
      </c>
      <c r="I10" s="1">
        <v>0</v>
      </c>
      <c r="J10" s="1">
        <v>0</v>
      </c>
      <c r="K10" s="1">
        <v>0</v>
      </c>
      <c r="L10" s="1">
        <v>0</v>
      </c>
      <c r="M10" s="1">
        <v>1</v>
      </c>
      <c r="N10" s="1">
        <v>0</v>
      </c>
      <c r="O10" s="1">
        <v>0</v>
      </c>
      <c r="P10" s="1">
        <f>LN(B10)</f>
        <v>2.07944154167984</v>
      </c>
      <c r="Q10" s="1">
        <f>1-SUM(F10:J10)</f>
        <v>1</v>
      </c>
      <c r="R10" s="1" t="str">
        <f>IF(F10=1,"Napa valley",IF(G10=1,"Bay area",IF(H10=1,"Sonoma",IF(I10=1,"Sierra/foothills",IF(J10=1,"Mendocino/lake","Generic California")))))</f>
        <v>Generic California</v>
      </c>
      <c r="S10" s="1" t="str">
        <f>IF(F10=1,"Napa valley",IF(H10=1,"Sonoma","Other"))</f>
        <v>Other</v>
      </c>
      <c r="T10" s="1" t="str">
        <f>IF(M10=1,"Cabernet",IF(N10=1,"Merlot",IF(L10=1,"Pinot noir","Other")))</f>
        <v>Cabernet</v>
      </c>
      <c r="U10" s="1" t="str">
        <f>IF(F10=1,B10,"")</f>
        <v/>
      </c>
      <c r="V10" s="1">
        <f>IF(F10=0,B10,"")</f>
        <v>8</v>
      </c>
      <c r="W10" s="1">
        <f>'Part B'!$B$150+SUMPRODUCT('Part B'!$B$164:$N$164,C10:O10)</f>
        <v>-8.90052778351304</v>
      </c>
      <c r="X10" s="1">
        <f>B10-W10</f>
        <v>16.900527783513</v>
      </c>
      <c r="Y10" s="1">
        <f>'Part B'!$B$179+SUMPRODUCT('Part B'!$B$193:$N$193,C10:O10)</f>
        <v>1.7440540167951</v>
      </c>
      <c r="Z10" s="1">
        <f>P10-Y10</f>
        <v>0.33538752488474</v>
      </c>
      <c r="AB10" s="1">
        <f>C10</f>
        <v>150</v>
      </c>
      <c r="AC10" s="1">
        <f>D10</f>
        <v>78</v>
      </c>
      <c r="AD10" s="1">
        <f>E10</f>
        <v>3</v>
      </c>
      <c r="AE10" s="1">
        <f>F10</f>
        <v>0</v>
      </c>
      <c r="AF10" s="1">
        <f>G10</f>
        <v>0</v>
      </c>
      <c r="AG10" s="1">
        <f>I10</f>
        <v>0</v>
      </c>
      <c r="AH10" s="1">
        <f>J10</f>
        <v>0</v>
      </c>
      <c r="AI10" s="1">
        <f>Q10</f>
        <v>1</v>
      </c>
      <c r="AJ10" s="1">
        <f>K10</f>
        <v>0</v>
      </c>
      <c r="AK10" s="1">
        <f>L10</f>
        <v>0</v>
      </c>
      <c r="AL10" s="1">
        <f>M10</f>
        <v>1</v>
      </c>
      <c r="AM10" s="1">
        <f>N10</f>
        <v>0</v>
      </c>
      <c r="AN10" s="1">
        <f>O10</f>
        <v>0</v>
      </c>
    </row>
    <row r="11">
      <c r="A11" s="1">
        <v>10</v>
      </c>
      <c r="B11" s="1">
        <v>8</v>
      </c>
      <c r="C11" s="1">
        <v>54</v>
      </c>
      <c r="D11" s="1">
        <v>85</v>
      </c>
      <c r="E11" s="1">
        <v>3</v>
      </c>
      <c r="F11" s="1">
        <v>0</v>
      </c>
      <c r="G11" s="1">
        <v>0</v>
      </c>
      <c r="H11" s="1">
        <v>0</v>
      </c>
      <c r="I11" s="1">
        <v>0</v>
      </c>
      <c r="J11" s="1">
        <v>0</v>
      </c>
      <c r="K11" s="1">
        <v>0</v>
      </c>
      <c r="L11" s="1">
        <v>0</v>
      </c>
      <c r="M11" s="1">
        <v>1</v>
      </c>
      <c r="N11" s="1">
        <v>0</v>
      </c>
      <c r="O11" s="1">
        <v>0</v>
      </c>
      <c r="P11" s="1">
        <f>LN(B11)</f>
        <v>2.07944154167984</v>
      </c>
      <c r="Q11" s="1">
        <f>1-SUM(F11:J11)</f>
        <v>1</v>
      </c>
      <c r="R11" s="1" t="str">
        <f>IF(F11=1,"Napa valley",IF(G11=1,"Bay area",IF(H11=1,"Sonoma",IF(I11=1,"Sierra/foothills",IF(J11=1,"Mendocino/lake","Generic California")))))</f>
        <v>Generic California</v>
      </c>
      <c r="S11" s="1" t="str">
        <f>IF(F11=1,"Napa valley",IF(H11=1,"Sonoma","Other"))</f>
        <v>Other</v>
      </c>
      <c r="T11" s="1" t="str">
        <f>IF(M11=1,"Cabernet",IF(N11=1,"Merlot",IF(L11=1,"Pinot noir","Other")))</f>
        <v>Cabernet</v>
      </c>
      <c r="U11" s="1" t="str">
        <f>IF(F11=1,B11,"")</f>
        <v/>
      </c>
      <c r="V11" s="1">
        <f>IF(F11=0,B11,"")</f>
        <v>8</v>
      </c>
      <c r="W11" s="1">
        <f>'Part B'!$B$150+SUMPRODUCT('Part B'!$B$164:$N$164,C11:O11)</f>
        <v>22.2268737474964</v>
      </c>
      <c r="X11" s="1">
        <f>B11-W11</f>
        <v>-14.2268737474964</v>
      </c>
      <c r="Y11" s="1">
        <f>'Part B'!$B$179+SUMPRODUCT('Part B'!$B$193:$N$193,C11:O11)</f>
        <v>2.6445740443051</v>
      </c>
      <c r="Z11" s="1">
        <f>P11-Y11</f>
        <v>-0.565132502625266</v>
      </c>
      <c r="AB11" s="1">
        <f>C11</f>
        <v>54</v>
      </c>
      <c r="AC11" s="1">
        <f>D11</f>
        <v>85</v>
      </c>
      <c r="AD11" s="1">
        <f>E11</f>
        <v>3</v>
      </c>
      <c r="AE11" s="1">
        <f>F11</f>
        <v>0</v>
      </c>
      <c r="AF11" s="1">
        <f>G11</f>
        <v>0</v>
      </c>
      <c r="AG11" s="1">
        <f>I11</f>
        <v>0</v>
      </c>
      <c r="AH11" s="1">
        <f>J11</f>
        <v>0</v>
      </c>
      <c r="AI11" s="1">
        <f>Q11</f>
        <v>1</v>
      </c>
      <c r="AJ11" s="1">
        <f>K11</f>
        <v>0</v>
      </c>
      <c r="AK11" s="1">
        <f>L11</f>
        <v>0</v>
      </c>
      <c r="AL11" s="1">
        <f>M11</f>
        <v>1</v>
      </c>
      <c r="AM11" s="1">
        <f>N11</f>
        <v>0</v>
      </c>
      <c r="AN11" s="1">
        <f>O11</f>
        <v>0</v>
      </c>
    </row>
    <row r="12">
      <c r="A12" s="1">
        <v>11</v>
      </c>
      <c r="B12" s="1">
        <v>8</v>
      </c>
      <c r="C12" s="1">
        <v>18</v>
      </c>
      <c r="D12" s="1">
        <v>78</v>
      </c>
      <c r="E12" s="1">
        <v>2</v>
      </c>
      <c r="F12" s="1">
        <v>0</v>
      </c>
      <c r="G12" s="1">
        <v>0</v>
      </c>
      <c r="H12" s="1">
        <v>0</v>
      </c>
      <c r="I12" s="1">
        <v>0</v>
      </c>
      <c r="J12" s="1">
        <v>0</v>
      </c>
      <c r="K12" s="1">
        <v>0</v>
      </c>
      <c r="L12" s="1">
        <v>0</v>
      </c>
      <c r="M12" s="1">
        <v>1</v>
      </c>
      <c r="N12" s="1">
        <v>0</v>
      </c>
      <c r="O12" s="1">
        <v>0</v>
      </c>
      <c r="P12" s="1">
        <f>LN(B12)</f>
        <v>2.07944154167984</v>
      </c>
      <c r="Q12" s="1">
        <f>1-SUM(F12:J12)</f>
        <v>1</v>
      </c>
      <c r="R12" s="1" t="str">
        <f>IF(F12=1,"Napa valley",IF(G12=1,"Bay area",IF(H12=1,"Sonoma",IF(I12=1,"Sierra/foothills",IF(J12=1,"Mendocino/lake","Generic California")))))</f>
        <v>Generic California</v>
      </c>
      <c r="S12" s="1" t="str">
        <f>IF(F12=1,"Napa valley",IF(H12=1,"Sonoma","Other"))</f>
        <v>Other</v>
      </c>
      <c r="T12" s="1" t="str">
        <f>IF(M12=1,"Cabernet",IF(N12=1,"Merlot",IF(L12=1,"Pinot noir","Other")))</f>
        <v>Cabernet</v>
      </c>
      <c r="U12" s="1" t="str">
        <f>IF(F12=1,B12,"")</f>
        <v/>
      </c>
      <c r="V12" s="1">
        <f>IF(F12=0,B12,"")</f>
        <v>8</v>
      </c>
      <c r="W12" s="1">
        <f>'Part B'!$B$150+SUMPRODUCT('Part B'!$B$164:$N$164,C12:O12)</f>
        <v>-2.99151495072442</v>
      </c>
      <c r="X12" s="1">
        <f>B12-W12</f>
        <v>10.9915149507244</v>
      </c>
      <c r="Y12" s="1">
        <f>'Part B'!$B$179+SUMPRODUCT('Part B'!$B$193:$N$193,C12:O12)</f>
        <v>2.12580559750451</v>
      </c>
      <c r="Z12" s="1">
        <f>P12-Y12</f>
        <v>-0.0463640558246774</v>
      </c>
      <c r="AB12" s="1">
        <f>C12</f>
        <v>18</v>
      </c>
      <c r="AC12" s="1">
        <f>D12</f>
        <v>78</v>
      </c>
      <c r="AD12" s="1">
        <f>E12</f>
        <v>2</v>
      </c>
      <c r="AE12" s="1">
        <f>F12</f>
        <v>0</v>
      </c>
      <c r="AF12" s="1">
        <f>G12</f>
        <v>0</v>
      </c>
      <c r="AG12" s="1">
        <f>I12</f>
        <v>0</v>
      </c>
      <c r="AH12" s="1">
        <f>J12</f>
        <v>0</v>
      </c>
      <c r="AI12" s="1">
        <f>Q12</f>
        <v>1</v>
      </c>
      <c r="AJ12" s="1">
        <f>K12</f>
        <v>0</v>
      </c>
      <c r="AK12" s="1">
        <f>L12</f>
        <v>0</v>
      </c>
      <c r="AL12" s="1">
        <f>M12</f>
        <v>1</v>
      </c>
      <c r="AM12" s="1">
        <f>N12</f>
        <v>0</v>
      </c>
      <c r="AN12" s="1">
        <f>O12</f>
        <v>0</v>
      </c>
    </row>
    <row r="13">
      <c r="A13" s="1">
        <v>12</v>
      </c>
      <c r="B13" s="1">
        <v>8</v>
      </c>
      <c r="C13" s="1">
        <v>65</v>
      </c>
      <c r="D13" s="1">
        <v>86</v>
      </c>
      <c r="E13" s="1">
        <v>2</v>
      </c>
      <c r="F13" s="1">
        <v>0</v>
      </c>
      <c r="G13" s="1">
        <v>0</v>
      </c>
      <c r="H13" s="1">
        <v>0</v>
      </c>
      <c r="I13" s="1">
        <v>0</v>
      </c>
      <c r="J13" s="1">
        <v>0</v>
      </c>
      <c r="K13" s="1">
        <v>0</v>
      </c>
      <c r="L13" s="1">
        <v>0</v>
      </c>
      <c r="M13" s="1">
        <v>1</v>
      </c>
      <c r="N13" s="1">
        <v>0</v>
      </c>
      <c r="O13" s="1">
        <v>0</v>
      </c>
      <c r="P13" s="1">
        <f>LN(B13)</f>
        <v>2.07944154167984</v>
      </c>
      <c r="Q13" s="1">
        <f>1-SUM(F13:J13)</f>
        <v>1</v>
      </c>
      <c r="R13" s="1" t="str">
        <f>IF(F13=1,"Napa valley",IF(G13=1,"Bay area",IF(H13=1,"Sonoma",IF(I13=1,"Sierra/foothills",IF(J13=1,"Mendocino/lake","Generic California")))))</f>
        <v>Generic California</v>
      </c>
      <c r="S13" s="1" t="str">
        <f>IF(F13=1,"Napa valley",IF(H13=1,"Sonoma","Other"))</f>
        <v>Other</v>
      </c>
      <c r="T13" s="1" t="str">
        <f>IF(M13=1,"Cabernet",IF(N13=1,"Merlot",IF(L13=1,"Pinot noir","Other")))</f>
        <v>Cabernet</v>
      </c>
      <c r="U13" s="1" t="str">
        <f>IF(F13=1,B13,"")</f>
        <v/>
      </c>
      <c r="V13" s="1">
        <f>IF(F13=0,B13,"")</f>
        <v>8</v>
      </c>
      <c r="W13" s="1">
        <f>'Part B'!$B$150+SUMPRODUCT('Part B'!$B$164:$N$164,C13:O13)</f>
        <v>17.7083146155484</v>
      </c>
      <c r="X13" s="1">
        <f>B13-W13</f>
        <v>-9.70831461554843</v>
      </c>
      <c r="Y13" s="1">
        <f>'Part B'!$B$179+SUMPRODUCT('Part B'!$B$193:$N$193,C13:O13)</f>
        <v>2.484380392065</v>
      </c>
      <c r="Z13" s="1">
        <f>P13-Y13</f>
        <v>-0.404938850385164</v>
      </c>
      <c r="AB13" s="1">
        <f>C13</f>
        <v>65</v>
      </c>
      <c r="AC13" s="1">
        <f>D13</f>
        <v>86</v>
      </c>
      <c r="AD13" s="1">
        <f>E13</f>
        <v>2</v>
      </c>
      <c r="AE13" s="1">
        <f>F13</f>
        <v>0</v>
      </c>
      <c r="AF13" s="1">
        <f>G13</f>
        <v>0</v>
      </c>
      <c r="AG13" s="1">
        <f>I13</f>
        <v>0</v>
      </c>
      <c r="AH13" s="1">
        <f>J13</f>
        <v>0</v>
      </c>
      <c r="AI13" s="1">
        <f>Q13</f>
        <v>1</v>
      </c>
      <c r="AJ13" s="1">
        <f>K13</f>
        <v>0</v>
      </c>
      <c r="AK13" s="1">
        <f>L13</f>
        <v>0</v>
      </c>
      <c r="AL13" s="1">
        <f>M13</f>
        <v>1</v>
      </c>
      <c r="AM13" s="1">
        <f>N13</f>
        <v>0</v>
      </c>
      <c r="AN13" s="1">
        <f>O13</f>
        <v>0</v>
      </c>
    </row>
    <row r="14">
      <c r="A14" s="1">
        <v>13</v>
      </c>
      <c r="B14" s="1">
        <v>8</v>
      </c>
      <c r="C14" s="1">
        <v>365</v>
      </c>
      <c r="D14" s="1">
        <v>81</v>
      </c>
      <c r="E14" s="1">
        <v>2</v>
      </c>
      <c r="F14" s="1">
        <v>0</v>
      </c>
      <c r="G14" s="1">
        <v>0</v>
      </c>
      <c r="H14" s="1">
        <v>0</v>
      </c>
      <c r="I14" s="1">
        <v>0</v>
      </c>
      <c r="J14" s="1">
        <v>0</v>
      </c>
      <c r="K14" s="1">
        <v>0</v>
      </c>
      <c r="L14" s="1">
        <v>0</v>
      </c>
      <c r="M14" s="1">
        <v>0</v>
      </c>
      <c r="N14" s="1">
        <v>1</v>
      </c>
      <c r="O14" s="1">
        <v>0</v>
      </c>
      <c r="P14" s="1">
        <f>LN(B14)</f>
        <v>2.07944154167984</v>
      </c>
      <c r="Q14" s="1">
        <f>1-SUM(F14:J14)</f>
        <v>1</v>
      </c>
      <c r="R14" s="1" t="str">
        <f>IF(F14=1,"Napa valley",IF(G14=1,"Bay area",IF(H14=1,"Sonoma",IF(I14=1,"Sierra/foothills",IF(J14=1,"Mendocino/lake","Generic California")))))</f>
        <v>Generic California</v>
      </c>
      <c r="S14" s="1" t="str">
        <f>IF(F14=1,"Napa valley",IF(H14=1,"Sonoma","Other"))</f>
        <v>Other</v>
      </c>
      <c r="T14" s="1" t="str">
        <f>IF(M14=1,"Cabernet",IF(N14=1,"Merlot",IF(L14=1,"Pinot noir","Other")))</f>
        <v>Merlot</v>
      </c>
      <c r="U14" s="1" t="str">
        <f>IF(F14=1,B14,"")</f>
        <v/>
      </c>
      <c r="V14" s="1">
        <f>IF(F14=0,B14,"")</f>
        <v>8</v>
      </c>
      <c r="W14" s="1">
        <f>'Part B'!$B$150+SUMPRODUCT('Part B'!$B$164:$N$164,C14:O14)</f>
        <v>-31.4583458230966</v>
      </c>
      <c r="X14" s="1">
        <f>B14-W14</f>
        <v>39.4583458230966</v>
      </c>
      <c r="Y14" s="1">
        <f>'Part B'!$B$179+SUMPRODUCT('Part B'!$B$193:$N$193,C14:O14)</f>
        <v>0.814372474033765</v>
      </c>
      <c r="Z14" s="1">
        <f>P14-Y14</f>
        <v>1.26506906764607</v>
      </c>
      <c r="AB14" s="1">
        <f>C14</f>
        <v>365</v>
      </c>
      <c r="AC14" s="1">
        <f>D14</f>
        <v>81</v>
      </c>
      <c r="AD14" s="1">
        <f>E14</f>
        <v>2</v>
      </c>
      <c r="AE14" s="1">
        <f>F14</f>
        <v>0</v>
      </c>
      <c r="AF14" s="1">
        <f>G14</f>
        <v>0</v>
      </c>
      <c r="AG14" s="1">
        <f>I14</f>
        <v>0</v>
      </c>
      <c r="AH14" s="1">
        <f>J14</f>
        <v>0</v>
      </c>
      <c r="AI14" s="1">
        <f>Q14</f>
        <v>1</v>
      </c>
      <c r="AJ14" s="1">
        <f>K14</f>
        <v>0</v>
      </c>
      <c r="AK14" s="1">
        <f>L14</f>
        <v>0</v>
      </c>
      <c r="AL14" s="1">
        <f>M14</f>
        <v>0</v>
      </c>
      <c r="AM14" s="1">
        <f>N14</f>
        <v>1</v>
      </c>
      <c r="AN14" s="1">
        <f>O14</f>
        <v>0</v>
      </c>
    </row>
    <row r="15">
      <c r="A15" s="1">
        <v>14</v>
      </c>
      <c r="B15" s="1">
        <v>8</v>
      </c>
      <c r="C15" s="1">
        <v>4.5</v>
      </c>
      <c r="D15" s="1">
        <v>82</v>
      </c>
      <c r="E15" s="1">
        <v>2</v>
      </c>
      <c r="F15" s="1">
        <v>0</v>
      </c>
      <c r="G15" s="1">
        <v>0</v>
      </c>
      <c r="H15" s="1">
        <v>0</v>
      </c>
      <c r="I15" s="1">
        <v>1</v>
      </c>
      <c r="J15" s="1">
        <v>0</v>
      </c>
      <c r="K15" s="1">
        <v>0</v>
      </c>
      <c r="L15" s="1">
        <v>0</v>
      </c>
      <c r="M15" s="1">
        <v>0</v>
      </c>
      <c r="N15" s="1">
        <v>0</v>
      </c>
      <c r="O15" s="1">
        <v>0</v>
      </c>
      <c r="P15" s="1">
        <f>LN(B15)</f>
        <v>2.07944154167984</v>
      </c>
      <c r="Q15" s="1">
        <f>1-SUM(F15:J15)</f>
        <v>0</v>
      </c>
      <c r="R15" s="1" t="str">
        <f>IF(F15=1,"Napa valley",IF(G15=1,"Bay area",IF(H15=1,"Sonoma",IF(I15=1,"Sierra/foothills",IF(J15=1,"Mendocino/lake","Generic California")))))</f>
        <v>Sierra/foothills</v>
      </c>
      <c r="S15" s="1" t="str">
        <f>IF(F15=1,"Napa valley",IF(H15=1,"Sonoma","Other"))</f>
        <v>Other</v>
      </c>
      <c r="T15" s="1" t="str">
        <f>IF(M15=1,"Cabernet",IF(N15=1,"Merlot",IF(L15=1,"Pinot noir","Other")))</f>
        <v>Other</v>
      </c>
      <c r="U15" s="1" t="str">
        <f>IF(F15=1,B15,"")</f>
        <v/>
      </c>
      <c r="V15" s="1">
        <f>IF(F15=0,B15,"")</f>
        <v>8</v>
      </c>
      <c r="W15" s="1">
        <f>'Part B'!$B$150+SUMPRODUCT('Part B'!$B$164:$N$164,C15:O15)</f>
        <v>3.26692844241529</v>
      </c>
      <c r="X15" s="1">
        <f>B15-W15</f>
        <v>4.73307155758471</v>
      </c>
      <c r="Y15" s="1">
        <f>'Part B'!$B$179+SUMPRODUCT('Part B'!$B$193:$N$193,C15:O15)</f>
        <v>2.39365733575126</v>
      </c>
      <c r="Z15" s="1">
        <f>P15-Y15</f>
        <v>-0.314215794071428</v>
      </c>
      <c r="AB15" s="1">
        <f>C15</f>
        <v>4.5</v>
      </c>
      <c r="AC15" s="1">
        <f>D15</f>
        <v>82</v>
      </c>
      <c r="AD15" s="1">
        <f>E15</f>
        <v>2</v>
      </c>
      <c r="AE15" s="1">
        <f>F15</f>
        <v>0</v>
      </c>
      <c r="AF15" s="1">
        <f>G15</f>
        <v>0</v>
      </c>
      <c r="AG15" s="1">
        <f>I15</f>
        <v>1</v>
      </c>
      <c r="AH15" s="1">
        <f>J15</f>
        <v>0</v>
      </c>
      <c r="AI15" s="1">
        <f>Q15</f>
        <v>0</v>
      </c>
      <c r="AJ15" s="1">
        <f>K15</f>
        <v>0</v>
      </c>
      <c r="AK15" s="1">
        <f>L15</f>
        <v>0</v>
      </c>
      <c r="AL15" s="1">
        <f>M15</f>
        <v>0</v>
      </c>
      <c r="AM15" s="1">
        <f>N15</f>
        <v>0</v>
      </c>
      <c r="AN15" s="1">
        <f>O15</f>
        <v>0</v>
      </c>
    </row>
    <row r="16">
      <c r="A16" s="1">
        <v>16</v>
      </c>
      <c r="B16" s="1">
        <v>8</v>
      </c>
      <c r="C16" s="1">
        <v>6.7</v>
      </c>
      <c r="D16" s="1">
        <v>84</v>
      </c>
      <c r="E16" s="1">
        <v>2</v>
      </c>
      <c r="F16" s="1">
        <v>0</v>
      </c>
      <c r="G16" s="1">
        <v>0</v>
      </c>
      <c r="H16" s="1">
        <v>1</v>
      </c>
      <c r="I16" s="1">
        <v>0</v>
      </c>
      <c r="J16" s="1">
        <v>0</v>
      </c>
      <c r="K16" s="1">
        <v>0</v>
      </c>
      <c r="L16" s="1">
        <v>1</v>
      </c>
      <c r="M16" s="1">
        <v>0</v>
      </c>
      <c r="N16" s="1">
        <v>0</v>
      </c>
      <c r="O16" s="1">
        <v>0</v>
      </c>
      <c r="P16" s="1">
        <f>LN(B16)</f>
        <v>2.07944154167984</v>
      </c>
      <c r="Q16" s="1">
        <f>1-SUM(F16:J16)</f>
        <v>0</v>
      </c>
      <c r="R16" s="1" t="str">
        <f>IF(F16=1,"Napa valley",IF(G16=1,"Bay area",IF(H16=1,"Sonoma",IF(I16=1,"Sierra/foothills",IF(J16=1,"Mendocino/lake","Generic California")))))</f>
        <v>Sonoma</v>
      </c>
      <c r="S16" s="1" t="str">
        <f>IF(F16=1,"Napa valley",IF(H16=1,"Sonoma","Other"))</f>
        <v>Sonoma</v>
      </c>
      <c r="T16" s="1" t="str">
        <f>IF(M16=1,"Cabernet",IF(N16=1,"Merlot",IF(L16=1,"Pinot noir","Other")))</f>
        <v>Pinot noir</v>
      </c>
      <c r="U16" s="1" t="str">
        <f>IF(F16=1,B16,"")</f>
        <v/>
      </c>
      <c r="V16" s="1">
        <f>IF(F16=0,B16,"")</f>
        <v>8</v>
      </c>
      <c r="W16" s="1">
        <f>'Part B'!$B$150+SUMPRODUCT('Part B'!$B$164:$N$164,C16:O16)</f>
        <v>12.9431556982791</v>
      </c>
      <c r="X16" s="1">
        <f>B16-W16</f>
        <v>-4.9431556982791</v>
      </c>
      <c r="Y16" s="1">
        <f>'Part B'!$B$179+SUMPRODUCT('Part B'!$B$193:$N$193,C16:O16)</f>
        <v>2.90138573467889</v>
      </c>
      <c r="Z16" s="1">
        <f>P16-Y16</f>
        <v>-0.821944192999054</v>
      </c>
      <c r="AB16" s="1">
        <f>C16</f>
        <v>6.7</v>
      </c>
      <c r="AC16" s="1">
        <f>D16</f>
        <v>84</v>
      </c>
      <c r="AD16" s="1">
        <f>E16</f>
        <v>2</v>
      </c>
      <c r="AE16" s="1">
        <f>F16</f>
        <v>0</v>
      </c>
      <c r="AF16" s="1">
        <f>G16</f>
        <v>0</v>
      </c>
      <c r="AG16" s="1">
        <f>I16</f>
        <v>0</v>
      </c>
      <c r="AH16" s="1">
        <f>J16</f>
        <v>0</v>
      </c>
      <c r="AI16" s="1">
        <f>Q16</f>
        <v>0</v>
      </c>
      <c r="AJ16" s="1">
        <f>K16</f>
        <v>0</v>
      </c>
      <c r="AK16" s="1">
        <f>L16</f>
        <v>1</v>
      </c>
      <c r="AL16" s="1">
        <f>M16</f>
        <v>0</v>
      </c>
      <c r="AM16" s="1">
        <f>N16</f>
        <v>0</v>
      </c>
      <c r="AN16" s="1">
        <f>O16</f>
        <v>0</v>
      </c>
    </row>
    <row r="17">
      <c r="A17" s="1">
        <v>17</v>
      </c>
      <c r="B17" s="1">
        <v>8</v>
      </c>
      <c r="C17" s="1">
        <v>6.7</v>
      </c>
      <c r="D17" s="1">
        <v>79</v>
      </c>
      <c r="E17" s="1">
        <v>2</v>
      </c>
      <c r="F17" s="1">
        <v>0</v>
      </c>
      <c r="G17" s="1">
        <v>0</v>
      </c>
      <c r="H17" s="1">
        <v>0</v>
      </c>
      <c r="I17" s="1">
        <v>0</v>
      </c>
      <c r="J17" s="1">
        <v>0</v>
      </c>
      <c r="K17" s="1">
        <v>0</v>
      </c>
      <c r="L17" s="1">
        <v>0</v>
      </c>
      <c r="M17" s="1">
        <v>1</v>
      </c>
      <c r="N17" s="1">
        <v>0</v>
      </c>
      <c r="O17" s="1">
        <v>0</v>
      </c>
      <c r="P17" s="1">
        <f>LN(B17)</f>
        <v>2.07944154167984</v>
      </c>
      <c r="Q17" s="1">
        <f>1-SUM(F17:J17)</f>
        <v>1</v>
      </c>
      <c r="R17" s="1" t="str">
        <f>IF(F17=1,"Napa valley",IF(G17=1,"Bay area",IF(H17=1,"Sonoma",IF(I17=1,"Sierra/foothills",IF(J17=1,"Mendocino/lake","Generic California")))))</f>
        <v>Generic California</v>
      </c>
      <c r="S17" s="1" t="str">
        <f>IF(F17=1,"Napa valley",IF(H17=1,"Sonoma","Other"))</f>
        <v>Other</v>
      </c>
      <c r="T17" s="1" t="str">
        <f>IF(M17=1,"Cabernet",IF(N17=1,"Merlot",IF(L17=1,"Pinot noir","Other")))</f>
        <v>Cabernet</v>
      </c>
      <c r="U17" s="1" t="str">
        <f>IF(F17=1,B17,"")</f>
        <v/>
      </c>
      <c r="V17" s="1">
        <f>IF(F17=0,B17,"")</f>
        <v>8</v>
      </c>
      <c r="W17" s="1">
        <f>'Part B'!$B$150+SUMPRODUCT('Part B'!$B$164:$N$164,C17:O17)</f>
        <v>1.22610773845582</v>
      </c>
      <c r="X17" s="1">
        <f>B17-W17</f>
        <v>6.77389226154418</v>
      </c>
      <c r="Y17" s="1">
        <f>'Part B'!$B$179+SUMPRODUCT('Part B'!$B$193:$N$193,C17:O17)</f>
        <v>2.24412042504138</v>
      </c>
      <c r="Z17" s="1">
        <f>P17-Y17</f>
        <v>-0.164678883361547</v>
      </c>
      <c r="AB17" s="1">
        <f>C17</f>
        <v>6.7</v>
      </c>
      <c r="AC17" s="1">
        <f>D17</f>
        <v>79</v>
      </c>
      <c r="AD17" s="1">
        <f>E17</f>
        <v>2</v>
      </c>
      <c r="AE17" s="1">
        <f>F17</f>
        <v>0</v>
      </c>
      <c r="AF17" s="1">
        <f>G17</f>
        <v>0</v>
      </c>
      <c r="AG17" s="1">
        <f>I17</f>
        <v>0</v>
      </c>
      <c r="AH17" s="1">
        <f>J17</f>
        <v>0</v>
      </c>
      <c r="AI17" s="1">
        <f>Q17</f>
        <v>1</v>
      </c>
      <c r="AJ17" s="1">
        <f>K17</f>
        <v>0</v>
      </c>
      <c r="AK17" s="1">
        <f>L17</f>
        <v>0</v>
      </c>
      <c r="AL17" s="1">
        <f>M17</f>
        <v>1</v>
      </c>
      <c r="AM17" s="1">
        <f>N17</f>
        <v>0</v>
      </c>
      <c r="AN17" s="1">
        <f>O17</f>
        <v>0</v>
      </c>
    </row>
    <row r="18">
      <c r="A18" s="1">
        <v>18</v>
      </c>
      <c r="B18" s="1">
        <v>8</v>
      </c>
      <c r="C18" s="1">
        <v>4.243</v>
      </c>
      <c r="D18" s="1">
        <v>85</v>
      </c>
      <c r="E18" s="1">
        <v>1</v>
      </c>
      <c r="F18" s="1">
        <v>0</v>
      </c>
      <c r="G18" s="1">
        <v>0</v>
      </c>
      <c r="H18" s="1">
        <v>0</v>
      </c>
      <c r="I18" s="1">
        <v>0</v>
      </c>
      <c r="J18" s="1">
        <v>0</v>
      </c>
      <c r="K18" s="1">
        <v>0</v>
      </c>
      <c r="L18" s="1">
        <v>0</v>
      </c>
      <c r="M18" s="1">
        <v>0</v>
      </c>
      <c r="N18" s="1">
        <v>1</v>
      </c>
      <c r="O18" s="1">
        <v>0</v>
      </c>
      <c r="P18" s="1">
        <f>LN(B18)</f>
        <v>2.07944154167984</v>
      </c>
      <c r="Q18" s="1">
        <f>1-SUM(F18:J18)</f>
        <v>1</v>
      </c>
      <c r="R18" s="1" t="str">
        <f>IF(F18=1,"Napa valley",IF(G18=1,"Bay area",IF(H18=1,"Sonoma",IF(I18=1,"Sierra/foothills",IF(J18=1,"Mendocino/lake","Generic California")))))</f>
        <v>Generic California</v>
      </c>
      <c r="S18" s="1" t="str">
        <f>IF(F18=1,"Napa valley",IF(H18=1,"Sonoma","Other"))</f>
        <v>Other</v>
      </c>
      <c r="T18" s="1" t="str">
        <f>IF(M18=1,"Cabernet",IF(N18=1,"Merlot",IF(L18=1,"Pinot noir","Other")))</f>
        <v>Merlot</v>
      </c>
      <c r="U18" s="1" t="str">
        <f>IF(F18=1,B18,"")</f>
        <v/>
      </c>
      <c r="V18" s="1">
        <f>IF(F18=0,B18,"")</f>
        <v>8</v>
      </c>
      <c r="W18" s="1">
        <f>'Part B'!$B$150+SUMPRODUCT('Part B'!$B$164:$N$164,C18:O18)</f>
        <v>8.74324457839606</v>
      </c>
      <c r="X18" s="1">
        <f>B18-W18</f>
        <v>-0.743244578396059</v>
      </c>
      <c r="Y18" s="1">
        <f>'Part B'!$B$179+SUMPRODUCT('Part B'!$B$193:$N$193,C18:O18)</f>
        <v>2.45483609284076</v>
      </c>
      <c r="Z18" s="1">
        <f>P18-Y18</f>
        <v>-0.375394551160926</v>
      </c>
      <c r="AB18" s="1">
        <f>C18</f>
        <v>4.243</v>
      </c>
      <c r="AC18" s="1">
        <f>D18</f>
        <v>85</v>
      </c>
      <c r="AD18" s="1">
        <f>E18</f>
        <v>1</v>
      </c>
      <c r="AE18" s="1">
        <f>F18</f>
        <v>0</v>
      </c>
      <c r="AF18" s="1">
        <f>G18</f>
        <v>0</v>
      </c>
      <c r="AG18" s="1">
        <f>I18</f>
        <v>0</v>
      </c>
      <c r="AH18" s="1">
        <f>J18</f>
        <v>0</v>
      </c>
      <c r="AI18" s="1">
        <f>Q18</f>
        <v>1</v>
      </c>
      <c r="AJ18" s="1">
        <f>K18</f>
        <v>0</v>
      </c>
      <c r="AK18" s="1">
        <f>L18</f>
        <v>0</v>
      </c>
      <c r="AL18" s="1">
        <f>M18</f>
        <v>0</v>
      </c>
      <c r="AM18" s="1">
        <f>N18</f>
        <v>1</v>
      </c>
      <c r="AN18" s="1">
        <f>O18</f>
        <v>0</v>
      </c>
    </row>
    <row r="19">
      <c r="A19" s="1">
        <v>19</v>
      </c>
      <c r="B19" s="1">
        <v>9</v>
      </c>
      <c r="C19" s="1">
        <v>155.627</v>
      </c>
      <c r="D19" s="1">
        <v>84</v>
      </c>
      <c r="E19" s="1">
        <v>3</v>
      </c>
      <c r="F19" s="1">
        <v>0</v>
      </c>
      <c r="G19" s="1">
        <v>0</v>
      </c>
      <c r="H19" s="1">
        <v>0</v>
      </c>
      <c r="I19" s="1">
        <v>0</v>
      </c>
      <c r="J19" s="1">
        <v>0</v>
      </c>
      <c r="K19" s="1">
        <v>0</v>
      </c>
      <c r="L19" s="1">
        <v>0</v>
      </c>
      <c r="M19" s="1">
        <v>1</v>
      </c>
      <c r="N19" s="1">
        <v>0</v>
      </c>
      <c r="O19" s="1">
        <v>0</v>
      </c>
      <c r="P19" s="1">
        <f>LN(B19)</f>
        <v>2.19722457733622</v>
      </c>
      <c r="Q19" s="1">
        <f>1-SUM(F19:J19)</f>
        <v>1</v>
      </c>
      <c r="R19" s="1" t="str">
        <f>IF(F19=1,"Napa valley",IF(G19=1,"Bay area",IF(H19=1,"Sonoma",IF(I19=1,"Sierra/foothills",IF(J19=1,"Mendocino/lake","Generic California")))))</f>
        <v>Generic California</v>
      </c>
      <c r="S19" s="1" t="str">
        <f>IF(F19=1,"Napa valley",IF(H19=1,"Sonoma","Other"))</f>
        <v>Other</v>
      </c>
      <c r="T19" s="1" t="str">
        <f>IF(M19=1,"Cabernet",IF(N19=1,"Merlot",IF(L19=1,"Pinot noir","Other")))</f>
        <v>Cabernet</v>
      </c>
      <c r="U19" s="1" t="str">
        <f>IF(F19=1,B19,"")</f>
        <v/>
      </c>
      <c r="V19" s="1">
        <f>IF(F19=0,B19,"")</f>
        <v>9</v>
      </c>
      <c r="W19" s="1">
        <f>'Part B'!$B$150+SUMPRODUCT('Part B'!$B$164:$N$164,C19:O19)</f>
        <v>9.43597498894258</v>
      </c>
      <c r="X19" s="1">
        <f>B19-W19</f>
        <v>-0.435974988942576</v>
      </c>
      <c r="Y19" s="1">
        <f>'Part B'!$B$179+SUMPRODUCT('Part B'!$B$193:$N$193,C19:O19)</f>
        <v>2.13974391875427</v>
      </c>
      <c r="Z19" s="1">
        <f>P19-Y19</f>
        <v>0.0574806585819485</v>
      </c>
      <c r="AB19" s="1">
        <f>C19</f>
        <v>155.627</v>
      </c>
      <c r="AC19" s="1">
        <f>D19</f>
        <v>84</v>
      </c>
      <c r="AD19" s="1">
        <f>E19</f>
        <v>3</v>
      </c>
      <c r="AE19" s="1">
        <f>F19</f>
        <v>0</v>
      </c>
      <c r="AF19" s="1">
        <f>G19</f>
        <v>0</v>
      </c>
      <c r="AG19" s="1">
        <f>I19</f>
        <v>0</v>
      </c>
      <c r="AH19" s="1">
        <f>J19</f>
        <v>0</v>
      </c>
      <c r="AI19" s="1">
        <f>Q19</f>
        <v>1</v>
      </c>
      <c r="AJ19" s="1">
        <f>K19</f>
        <v>0</v>
      </c>
      <c r="AK19" s="1">
        <f>L19</f>
        <v>0</v>
      </c>
      <c r="AL19" s="1">
        <f>M19</f>
        <v>1</v>
      </c>
      <c r="AM19" s="1">
        <f>N19</f>
        <v>0</v>
      </c>
      <c r="AN19" s="1">
        <f>O19</f>
        <v>0</v>
      </c>
    </row>
    <row r="20">
      <c r="A20" s="1">
        <v>20</v>
      </c>
      <c r="B20" s="1">
        <v>9</v>
      </c>
      <c r="C20" s="1">
        <v>4.5</v>
      </c>
      <c r="D20" s="1">
        <v>82</v>
      </c>
      <c r="E20" s="1">
        <v>3</v>
      </c>
      <c r="F20" s="1">
        <v>0</v>
      </c>
      <c r="G20" s="1">
        <v>1</v>
      </c>
      <c r="H20" s="1">
        <v>0</v>
      </c>
      <c r="I20" s="1">
        <v>0</v>
      </c>
      <c r="J20" s="1">
        <v>0</v>
      </c>
      <c r="K20" s="1">
        <v>0</v>
      </c>
      <c r="L20" s="1">
        <v>0</v>
      </c>
      <c r="M20" s="1">
        <v>0</v>
      </c>
      <c r="N20" s="1">
        <v>1</v>
      </c>
      <c r="O20" s="1">
        <v>0</v>
      </c>
      <c r="P20" s="1">
        <f>LN(B20)</f>
        <v>2.19722457733622</v>
      </c>
      <c r="Q20" s="1">
        <f>1-SUM(F20:J20)</f>
        <v>0</v>
      </c>
      <c r="R20" s="1" t="str">
        <f>IF(F20=1,"Napa valley",IF(G20=1,"Bay area",IF(H20=1,"Sonoma",IF(I20=1,"Sierra/foothills",IF(J20=1,"Mendocino/lake","Generic California")))))</f>
        <v>Bay area</v>
      </c>
      <c r="S20" s="1" t="str">
        <f>IF(F20=1,"Napa valley",IF(H20=1,"Sonoma","Other"))</f>
        <v>Other</v>
      </c>
      <c r="T20" s="1" t="str">
        <f>IF(M20=1,"Cabernet",IF(N20=1,"Merlot",IF(L20=1,"Pinot noir","Other")))</f>
        <v>Merlot</v>
      </c>
      <c r="U20" s="1" t="str">
        <f>IF(F20=1,B20,"")</f>
        <v/>
      </c>
      <c r="V20" s="1">
        <f>IF(F20=0,B20,"")</f>
        <v>9</v>
      </c>
      <c r="W20" s="1">
        <f>'Part B'!$B$150+SUMPRODUCT('Part B'!$B$164:$N$164,C20:O20)</f>
        <v>14.8016477062027</v>
      </c>
      <c r="X20" s="1">
        <f>B20-W20</f>
        <v>-5.80164770620269</v>
      </c>
      <c r="Y20" s="1">
        <f>'Part B'!$B$179+SUMPRODUCT('Part B'!$B$193:$N$193,C20:O20)</f>
        <v>2.86500980386339</v>
      </c>
      <c r="Z20" s="1">
        <f>P20-Y20</f>
        <v>-0.667785226527168</v>
      </c>
      <c r="AB20" s="1">
        <f>C20</f>
        <v>4.5</v>
      </c>
      <c r="AC20" s="1">
        <f>D20</f>
        <v>82</v>
      </c>
      <c r="AD20" s="1">
        <f>E20</f>
        <v>3</v>
      </c>
      <c r="AE20" s="1">
        <f>F20</f>
        <v>0</v>
      </c>
      <c r="AF20" s="1">
        <f>G20</f>
        <v>1</v>
      </c>
      <c r="AG20" s="1">
        <f>I20</f>
        <v>0</v>
      </c>
      <c r="AH20" s="1">
        <f>J20</f>
        <v>0</v>
      </c>
      <c r="AI20" s="1">
        <f>Q20</f>
        <v>0</v>
      </c>
      <c r="AJ20" s="1">
        <f>K20</f>
        <v>0</v>
      </c>
      <c r="AK20" s="1">
        <f>L20</f>
        <v>0</v>
      </c>
      <c r="AL20" s="1">
        <f>M20</f>
        <v>0</v>
      </c>
      <c r="AM20" s="1">
        <f>N20</f>
        <v>1</v>
      </c>
      <c r="AN20" s="1">
        <f>O20</f>
        <v>0</v>
      </c>
    </row>
    <row r="21">
      <c r="A21" s="1">
        <v>21</v>
      </c>
      <c r="B21" s="1">
        <v>9</v>
      </c>
      <c r="C21" s="1">
        <v>12</v>
      </c>
      <c r="D21" s="1">
        <v>75</v>
      </c>
      <c r="E21" s="1">
        <v>3</v>
      </c>
      <c r="F21" s="1">
        <v>0</v>
      </c>
      <c r="G21" s="1">
        <v>0</v>
      </c>
      <c r="H21" s="1">
        <v>0</v>
      </c>
      <c r="I21" s="1">
        <v>0</v>
      </c>
      <c r="J21" s="1">
        <v>0</v>
      </c>
      <c r="K21" s="1">
        <v>0</v>
      </c>
      <c r="L21" s="1">
        <v>0</v>
      </c>
      <c r="M21" s="1">
        <v>1</v>
      </c>
      <c r="N21" s="1">
        <v>0</v>
      </c>
      <c r="O21" s="1">
        <v>0</v>
      </c>
      <c r="P21" s="1">
        <f>LN(B21)</f>
        <v>2.19722457733622</v>
      </c>
      <c r="Q21" s="1">
        <f>1-SUM(F21:J21)</f>
        <v>1</v>
      </c>
      <c r="R21" s="1" t="str">
        <f>IF(F21=1,"Napa valley",IF(G21=1,"Bay area",IF(H21=1,"Sonoma",IF(I21=1,"Sierra/foothills",IF(J21=1,"Mendocino/lake","Generic California")))))</f>
        <v>Generic California</v>
      </c>
      <c r="S21" s="1" t="str">
        <f>IF(F21=1,"Napa valley",IF(H21=1,"Sonoma","Other"))</f>
        <v>Other</v>
      </c>
      <c r="T21" s="1" t="str">
        <f>IF(M21=1,"Cabernet",IF(N21=1,"Merlot",IF(L21=1,"Pinot noir","Other")))</f>
        <v>Cabernet</v>
      </c>
      <c r="U21" s="1" t="str">
        <f>IF(F21=1,B21,"")</f>
        <v/>
      </c>
      <c r="V21" s="1">
        <f>IF(F21=0,B21,"")</f>
        <v>9</v>
      </c>
      <c r="W21" s="1">
        <f>'Part B'!$B$150+SUMPRODUCT('Part B'!$B$164:$N$164,C21:O21)</f>
        <v>-5.23771885164803</v>
      </c>
      <c r="X21" s="1">
        <f>B21-W21</f>
        <v>14.237718851648</v>
      </c>
      <c r="Y21" s="1">
        <f>'Part B'!$B$179+SUMPRODUCT('Part B'!$B$193:$N$193,C21:O21)</f>
        <v>2.12468117642434</v>
      </c>
      <c r="Z21" s="1">
        <f>P21-Y21</f>
        <v>0.0725434009118762</v>
      </c>
      <c r="AB21" s="1">
        <f>C21</f>
        <v>12</v>
      </c>
      <c r="AC21" s="1">
        <f>D21</f>
        <v>75</v>
      </c>
      <c r="AD21" s="1">
        <f>E21</f>
        <v>3</v>
      </c>
      <c r="AE21" s="1">
        <f>F21</f>
        <v>0</v>
      </c>
      <c r="AF21" s="1">
        <f>G21</f>
        <v>0</v>
      </c>
      <c r="AG21" s="1">
        <f>I21</f>
        <v>0</v>
      </c>
      <c r="AH21" s="1">
        <f>J21</f>
        <v>0</v>
      </c>
      <c r="AI21" s="1">
        <f>Q21</f>
        <v>1</v>
      </c>
      <c r="AJ21" s="1">
        <f>K21</f>
        <v>0</v>
      </c>
      <c r="AK21" s="1">
        <f>L21</f>
        <v>0</v>
      </c>
      <c r="AL21" s="1">
        <f>M21</f>
        <v>1</v>
      </c>
      <c r="AM21" s="1">
        <f>N21</f>
        <v>0</v>
      </c>
      <c r="AN21" s="1">
        <f>O21</f>
        <v>0</v>
      </c>
    </row>
    <row r="22">
      <c r="A22" s="1">
        <v>22</v>
      </c>
      <c r="B22" s="1">
        <v>9</v>
      </c>
      <c r="C22" s="1">
        <v>5</v>
      </c>
      <c r="D22" s="1">
        <v>79</v>
      </c>
      <c r="E22" s="1">
        <v>3</v>
      </c>
      <c r="F22" s="1">
        <v>0</v>
      </c>
      <c r="G22" s="1">
        <v>0</v>
      </c>
      <c r="H22" s="1">
        <v>0</v>
      </c>
      <c r="I22" s="1">
        <v>0</v>
      </c>
      <c r="J22" s="1">
        <v>0</v>
      </c>
      <c r="K22" s="1">
        <v>0</v>
      </c>
      <c r="L22" s="1">
        <v>1</v>
      </c>
      <c r="M22" s="1">
        <v>0</v>
      </c>
      <c r="N22" s="1">
        <v>0</v>
      </c>
      <c r="O22" s="1">
        <v>0</v>
      </c>
      <c r="P22" s="1">
        <f>LN(B22)</f>
        <v>2.19722457733622</v>
      </c>
      <c r="Q22" s="1">
        <f>1-SUM(F22:J22)</f>
        <v>1</v>
      </c>
      <c r="R22" s="1" t="str">
        <f>IF(F22=1,"Napa valley",IF(G22=1,"Bay area",IF(H22=1,"Sonoma",IF(I22=1,"Sierra/foothills",IF(J22=1,"Mendocino/lake","Generic California")))))</f>
        <v>Generic California</v>
      </c>
      <c r="S22" s="1" t="str">
        <f>IF(F22=1,"Napa valley",IF(H22=1,"Sonoma","Other"))</f>
        <v>Other</v>
      </c>
      <c r="T22" s="1" t="str">
        <f>IF(M22=1,"Cabernet",IF(N22=1,"Merlot",IF(L22=1,"Pinot noir","Other")))</f>
        <v>Pinot noir</v>
      </c>
      <c r="U22" s="1" t="str">
        <f>IF(F22=1,B22,"")</f>
        <v/>
      </c>
      <c r="V22" s="1">
        <f>IF(F22=0,B22,"")</f>
        <v>9</v>
      </c>
      <c r="W22" s="1">
        <f>'Part B'!$B$150+SUMPRODUCT('Part B'!$B$164:$N$164,C22:O22)</f>
        <v>4.83407178969259</v>
      </c>
      <c r="X22" s="1">
        <f>B22-W22</f>
        <v>4.16592821030741</v>
      </c>
      <c r="Y22" s="1">
        <f>'Part B'!$B$179+SUMPRODUCT('Part B'!$B$193:$N$193,C22:O22)</f>
        <v>2.46000673930658</v>
      </c>
      <c r="Z22" s="1">
        <f>P22-Y22</f>
        <v>-0.262782161970357</v>
      </c>
      <c r="AB22" s="1">
        <f>C22</f>
        <v>5</v>
      </c>
      <c r="AC22" s="1">
        <f>D22</f>
        <v>79</v>
      </c>
      <c r="AD22" s="1">
        <f>E22</f>
        <v>3</v>
      </c>
      <c r="AE22" s="1">
        <f>F22</f>
        <v>0</v>
      </c>
      <c r="AF22" s="1">
        <f>G22</f>
        <v>0</v>
      </c>
      <c r="AG22" s="1">
        <f>I22</f>
        <v>0</v>
      </c>
      <c r="AH22" s="1">
        <f>J22</f>
        <v>0</v>
      </c>
      <c r="AI22" s="1">
        <f>Q22</f>
        <v>1</v>
      </c>
      <c r="AJ22" s="1">
        <f>K22</f>
        <v>0</v>
      </c>
      <c r="AK22" s="1">
        <f>L22</f>
        <v>1</v>
      </c>
      <c r="AL22" s="1">
        <f>M22</f>
        <v>0</v>
      </c>
      <c r="AM22" s="1">
        <f>N22</f>
        <v>0</v>
      </c>
      <c r="AN22" s="1">
        <f>O22</f>
        <v>0</v>
      </c>
    </row>
    <row r="23">
      <c r="A23" s="1">
        <v>23</v>
      </c>
      <c r="B23" s="1">
        <v>9</v>
      </c>
      <c r="C23" s="1">
        <v>3.5</v>
      </c>
      <c r="D23" s="1">
        <v>82</v>
      </c>
      <c r="E23" s="1">
        <v>3</v>
      </c>
      <c r="F23" s="1">
        <v>0</v>
      </c>
      <c r="G23" s="1">
        <v>0</v>
      </c>
      <c r="H23" s="1">
        <v>0</v>
      </c>
      <c r="I23" s="1">
        <v>0</v>
      </c>
      <c r="J23" s="1">
        <v>1</v>
      </c>
      <c r="K23" s="1">
        <v>0</v>
      </c>
      <c r="L23" s="1">
        <v>0</v>
      </c>
      <c r="M23" s="1">
        <v>0</v>
      </c>
      <c r="N23" s="1">
        <v>0</v>
      </c>
      <c r="O23" s="1">
        <v>0</v>
      </c>
      <c r="P23" s="1">
        <f>LN(B23)</f>
        <v>2.19722457733622</v>
      </c>
      <c r="Q23" s="1">
        <f>1-SUM(F23:J23)</f>
        <v>0</v>
      </c>
      <c r="R23" s="1" t="str">
        <f>IF(F23=1,"Napa valley",IF(G23=1,"Bay area",IF(H23=1,"Sonoma",IF(I23=1,"Sierra/foothills",IF(J23=1,"Mendocino/lake","Generic California")))))</f>
        <v>Mendocino/lake</v>
      </c>
      <c r="S23" s="1" t="str">
        <f>IF(F23=1,"Napa valley",IF(H23=1,"Sonoma","Other"))</f>
        <v>Other</v>
      </c>
      <c r="T23" s="1" t="str">
        <f>IF(M23=1,"Cabernet",IF(N23=1,"Merlot",IF(L23=1,"Pinot noir","Other")))</f>
        <v>Other</v>
      </c>
      <c r="U23" s="1" t="str">
        <f>IF(F23=1,B23,"")</f>
        <v/>
      </c>
      <c r="V23" s="1">
        <f>IF(F23=0,B23,"")</f>
        <v>9</v>
      </c>
      <c r="W23" s="1">
        <f>'Part B'!$B$150+SUMPRODUCT('Part B'!$B$164:$N$164,C23:O23)</f>
        <v>5.83901375354429</v>
      </c>
      <c r="X23" s="1">
        <f>B23-W23</f>
        <v>3.16098624645571</v>
      </c>
      <c r="Y23" s="1">
        <f>'Part B'!$B$179+SUMPRODUCT('Part B'!$B$193:$N$193,C23:O23)</f>
        <v>2.56701407727723</v>
      </c>
      <c r="Z23" s="1">
        <f>P23-Y23</f>
        <v>-0.369789499941007</v>
      </c>
      <c r="AB23" s="1">
        <f>C23</f>
        <v>3.5</v>
      </c>
      <c r="AC23" s="1">
        <f>D23</f>
        <v>82</v>
      </c>
      <c r="AD23" s="1">
        <f>E23</f>
        <v>3</v>
      </c>
      <c r="AE23" s="1">
        <f>F23</f>
        <v>0</v>
      </c>
      <c r="AF23" s="1">
        <f>G23</f>
        <v>0</v>
      </c>
      <c r="AG23" s="1">
        <f>I23</f>
        <v>0</v>
      </c>
      <c r="AH23" s="1">
        <f>J23</f>
        <v>1</v>
      </c>
      <c r="AI23" s="1">
        <f>Q23</f>
        <v>0</v>
      </c>
      <c r="AJ23" s="1">
        <f>K23</f>
        <v>0</v>
      </c>
      <c r="AK23" s="1">
        <f>L23</f>
        <v>0</v>
      </c>
      <c r="AL23" s="1">
        <f>M23</f>
        <v>0</v>
      </c>
      <c r="AM23" s="1">
        <f>N23</f>
        <v>0</v>
      </c>
      <c r="AN23" s="1">
        <f>O23</f>
        <v>0</v>
      </c>
    </row>
    <row r="24">
      <c r="A24" s="1">
        <v>24</v>
      </c>
      <c r="B24" s="1">
        <v>9</v>
      </c>
      <c r="C24" s="1">
        <v>6.7</v>
      </c>
      <c r="D24" s="1">
        <v>77</v>
      </c>
      <c r="E24" s="1">
        <v>3</v>
      </c>
      <c r="F24" s="1">
        <v>0</v>
      </c>
      <c r="G24" s="1">
        <v>0</v>
      </c>
      <c r="H24" s="1">
        <v>0</v>
      </c>
      <c r="I24" s="1">
        <v>0</v>
      </c>
      <c r="J24" s="1">
        <v>0</v>
      </c>
      <c r="K24" s="1">
        <v>0</v>
      </c>
      <c r="L24" s="1">
        <v>0</v>
      </c>
      <c r="M24" s="1">
        <v>1</v>
      </c>
      <c r="N24" s="1">
        <v>0</v>
      </c>
      <c r="O24" s="1">
        <v>0</v>
      </c>
      <c r="P24" s="1">
        <f>LN(B24)</f>
        <v>2.19722457733622</v>
      </c>
      <c r="Q24" s="1">
        <f>1-SUM(F24:J24)</f>
        <v>1</v>
      </c>
      <c r="R24" s="1" t="str">
        <f>IF(F24=1,"Napa valley",IF(G24=1,"Bay area",IF(H24=1,"Sonoma",IF(I24=1,"Sierra/foothills",IF(J24=1,"Mendocino/lake","Generic California")))))</f>
        <v>Generic California</v>
      </c>
      <c r="S24" s="1" t="str">
        <f>IF(F24=1,"Napa valley",IF(H24=1,"Sonoma","Other"))</f>
        <v>Other</v>
      </c>
      <c r="T24" s="1" t="str">
        <f>IF(M24=1,"Cabernet",IF(N24=1,"Merlot",IF(L24=1,"Pinot noir","Other")))</f>
        <v>Cabernet</v>
      </c>
      <c r="U24" s="1" t="str">
        <f>IF(F24=1,B24,"")</f>
        <v/>
      </c>
      <c r="V24" s="1">
        <f>IF(F24=0,B24,"")</f>
        <v>9</v>
      </c>
      <c r="W24" s="1">
        <f>'Part B'!$B$150+SUMPRODUCT('Part B'!$B$164:$N$164,C24:O24)</f>
        <v>1.55551831211255</v>
      </c>
      <c r="X24" s="1">
        <f>B24-W24</f>
        <v>7.44448168788745</v>
      </c>
      <c r="Y24" s="1">
        <f>'Part B'!$B$179+SUMPRODUCT('Part B'!$B$193:$N$193,C24:O24)</f>
        <v>2.28728296988814</v>
      </c>
      <c r="Z24" s="1">
        <f>P24-Y24</f>
        <v>-0.0900583925519203</v>
      </c>
      <c r="AB24" s="1">
        <f>C24</f>
        <v>6.7</v>
      </c>
      <c r="AC24" s="1">
        <f>D24</f>
        <v>77</v>
      </c>
      <c r="AD24" s="1">
        <f>E24</f>
        <v>3</v>
      </c>
      <c r="AE24" s="1">
        <f>F24</f>
        <v>0</v>
      </c>
      <c r="AF24" s="1">
        <f>G24</f>
        <v>0</v>
      </c>
      <c r="AG24" s="1">
        <f>I24</f>
        <v>0</v>
      </c>
      <c r="AH24" s="1">
        <f>J24</f>
        <v>0</v>
      </c>
      <c r="AI24" s="1">
        <f>Q24</f>
        <v>1</v>
      </c>
      <c r="AJ24" s="1">
        <f>K24</f>
        <v>0</v>
      </c>
      <c r="AK24" s="1">
        <f>L24</f>
        <v>0</v>
      </c>
      <c r="AL24" s="1">
        <f>M24</f>
        <v>1</v>
      </c>
      <c r="AM24" s="1">
        <f>N24</f>
        <v>0</v>
      </c>
      <c r="AN24" s="1">
        <f>O24</f>
        <v>0</v>
      </c>
    </row>
    <row r="25">
      <c r="A25" s="1">
        <v>25</v>
      </c>
      <c r="B25" s="1">
        <v>9</v>
      </c>
      <c r="C25" s="1">
        <v>30</v>
      </c>
      <c r="D25" s="1">
        <v>86</v>
      </c>
      <c r="E25" s="1">
        <v>3</v>
      </c>
      <c r="F25" s="1">
        <v>0</v>
      </c>
      <c r="G25" s="1">
        <v>0</v>
      </c>
      <c r="H25" s="1">
        <v>0</v>
      </c>
      <c r="I25" s="1">
        <v>0</v>
      </c>
      <c r="J25" s="1">
        <v>0</v>
      </c>
      <c r="K25" s="1">
        <v>0</v>
      </c>
      <c r="L25" s="1">
        <v>0</v>
      </c>
      <c r="M25" s="1">
        <v>0</v>
      </c>
      <c r="N25" s="1">
        <v>0</v>
      </c>
      <c r="O25" s="1">
        <v>0</v>
      </c>
      <c r="P25" s="1">
        <f>LN(B25)</f>
        <v>2.19722457733622</v>
      </c>
      <c r="Q25" s="1">
        <f>1-SUM(F25:J25)</f>
        <v>1</v>
      </c>
      <c r="R25" s="1" t="str">
        <f>IF(F25=1,"Napa valley",IF(G25=1,"Bay area",IF(H25=1,"Sonoma",IF(I25=1,"Sierra/foothills",IF(J25=1,"Mendocino/lake","Generic California")))))</f>
        <v>Generic California</v>
      </c>
      <c r="S25" s="1" t="str">
        <f>IF(F25=1,"Napa valley",IF(H25=1,"Sonoma","Other"))</f>
        <v>Other</v>
      </c>
      <c r="T25" s="1" t="str">
        <f>IF(M25=1,"Cabernet",IF(N25=1,"Merlot",IF(L25=1,"Pinot noir","Other")))</f>
        <v>Other</v>
      </c>
      <c r="U25" s="1" t="str">
        <f>IF(F25=1,B25,"")</f>
        <v/>
      </c>
      <c r="V25" s="1">
        <f>IF(F25=0,B25,"")</f>
        <v>9</v>
      </c>
      <c r="W25" s="1">
        <f>'Part B'!$B$150+SUMPRODUCT('Part B'!$B$164:$N$164,C25:O25)</f>
        <v>15.0226476687881</v>
      </c>
      <c r="X25" s="1">
        <f>B25-W25</f>
        <v>-6.02264766878807</v>
      </c>
      <c r="Y25" s="1">
        <f>'Part B'!$B$179+SUMPRODUCT('Part B'!$B$193:$N$193,C25:O25)</f>
        <v>2.49623736419716</v>
      </c>
      <c r="Z25" s="1">
        <f>P25-Y25</f>
        <v>-0.299012786860941</v>
      </c>
      <c r="AB25" s="1">
        <f>C25</f>
        <v>30</v>
      </c>
      <c r="AC25" s="1">
        <f>D25</f>
        <v>86</v>
      </c>
      <c r="AD25" s="1">
        <f>E25</f>
        <v>3</v>
      </c>
      <c r="AE25" s="1">
        <f>F25</f>
        <v>0</v>
      </c>
      <c r="AF25" s="1">
        <f>G25</f>
        <v>0</v>
      </c>
      <c r="AG25" s="1">
        <f>I25</f>
        <v>0</v>
      </c>
      <c r="AH25" s="1">
        <f>J25</f>
        <v>0</v>
      </c>
      <c r="AI25" s="1">
        <f>Q25</f>
        <v>1</v>
      </c>
      <c r="AJ25" s="1">
        <f>K25</f>
        <v>0</v>
      </c>
      <c r="AK25" s="1">
        <f>L25</f>
        <v>0</v>
      </c>
      <c r="AL25" s="1">
        <f>M25</f>
        <v>0</v>
      </c>
      <c r="AM25" s="1">
        <f>N25</f>
        <v>0</v>
      </c>
      <c r="AN25" s="1">
        <f>O25</f>
        <v>0</v>
      </c>
    </row>
    <row r="26">
      <c r="A26" s="1">
        <v>26</v>
      </c>
      <c r="B26" s="1">
        <v>9</v>
      </c>
      <c r="C26" s="1">
        <v>6.7</v>
      </c>
      <c r="D26" s="1">
        <v>85</v>
      </c>
      <c r="E26" s="1">
        <v>3</v>
      </c>
      <c r="F26" s="1">
        <v>0</v>
      </c>
      <c r="G26" s="1">
        <v>0</v>
      </c>
      <c r="H26" s="1">
        <v>0</v>
      </c>
      <c r="I26" s="1">
        <v>0</v>
      </c>
      <c r="J26" s="1">
        <v>0</v>
      </c>
      <c r="K26" s="1">
        <v>0</v>
      </c>
      <c r="L26" s="1">
        <v>0</v>
      </c>
      <c r="M26" s="1">
        <v>1</v>
      </c>
      <c r="N26" s="1">
        <v>0</v>
      </c>
      <c r="O26" s="1">
        <v>0</v>
      </c>
      <c r="P26" s="1">
        <f>LN(B26)</f>
        <v>2.19722457733622</v>
      </c>
      <c r="Q26" s="1">
        <f>1-SUM(F26:J26)</f>
        <v>1</v>
      </c>
      <c r="R26" s="1" t="str">
        <f>IF(F26=1,"Napa valley",IF(G26=1,"Bay area",IF(H26=1,"Sonoma",IF(I26=1,"Sierra/foothills",IF(J26=1,"Mendocino/lake","Generic California")))))</f>
        <v>Generic California</v>
      </c>
      <c r="S26" s="1" t="str">
        <f>IF(F26=1,"Napa valley",IF(H26=1,"Sonoma","Other"))</f>
        <v>Other</v>
      </c>
      <c r="T26" s="1" t="str">
        <f>IF(M26=1,"Cabernet",IF(N26=1,"Merlot",IF(L26=1,"Pinot noir","Other")))</f>
        <v>Cabernet</v>
      </c>
      <c r="U26" s="1" t="str">
        <f>IF(F26=1,B26,"")</f>
        <v/>
      </c>
      <c r="V26" s="1">
        <f>IF(F26=0,B26,"")</f>
        <v>9</v>
      </c>
      <c r="W26" s="1">
        <f>'Part B'!$B$150+SUMPRODUCT('Part B'!$B$164:$N$164,C26:O26)</f>
        <v>26.7162950509978</v>
      </c>
      <c r="X26" s="1">
        <f>B26-W26</f>
        <v>-17.7162950509978</v>
      </c>
      <c r="Y26" s="1">
        <f>'Part B'!$B$179+SUMPRODUCT('Part B'!$B$193:$N$193,C26:O26)</f>
        <v>2.84697392026755</v>
      </c>
      <c r="Z26" s="1">
        <f>P26-Y26</f>
        <v>-0.649749342931333</v>
      </c>
      <c r="AB26" s="1">
        <f>C26</f>
        <v>6.7</v>
      </c>
      <c r="AC26" s="1">
        <f>D26</f>
        <v>85</v>
      </c>
      <c r="AD26" s="1">
        <f>E26</f>
        <v>3</v>
      </c>
      <c r="AE26" s="1">
        <f>F26</f>
        <v>0</v>
      </c>
      <c r="AF26" s="1">
        <f>G26</f>
        <v>0</v>
      </c>
      <c r="AG26" s="1">
        <f>I26</f>
        <v>0</v>
      </c>
      <c r="AH26" s="1">
        <f>J26</f>
        <v>0</v>
      </c>
      <c r="AI26" s="1">
        <f>Q26</f>
        <v>1</v>
      </c>
      <c r="AJ26" s="1">
        <f>K26</f>
        <v>0</v>
      </c>
      <c r="AK26" s="1">
        <f>L26</f>
        <v>0</v>
      </c>
      <c r="AL26" s="1">
        <f>M26</f>
        <v>1</v>
      </c>
      <c r="AM26" s="1">
        <f>N26</f>
        <v>0</v>
      </c>
      <c r="AN26" s="1">
        <f>O26</f>
        <v>0</v>
      </c>
    </row>
    <row r="27">
      <c r="A27" s="1">
        <v>27</v>
      </c>
      <c r="B27" s="1">
        <v>9</v>
      </c>
      <c r="C27" s="1">
        <v>40</v>
      </c>
      <c r="D27" s="1">
        <v>83</v>
      </c>
      <c r="E27" s="1">
        <v>2</v>
      </c>
      <c r="F27" s="1">
        <v>0</v>
      </c>
      <c r="G27" s="1">
        <v>0</v>
      </c>
      <c r="H27" s="1">
        <v>0</v>
      </c>
      <c r="I27" s="1">
        <v>0</v>
      </c>
      <c r="J27" s="1">
        <v>0</v>
      </c>
      <c r="K27" s="1">
        <v>0</v>
      </c>
      <c r="L27" s="1">
        <v>0</v>
      </c>
      <c r="M27" s="1">
        <v>0</v>
      </c>
      <c r="N27" s="1">
        <v>1</v>
      </c>
      <c r="O27" s="1">
        <v>0</v>
      </c>
      <c r="P27" s="1">
        <f>LN(B27)</f>
        <v>2.19722457733622</v>
      </c>
      <c r="Q27" s="1">
        <f>1-SUM(F27:J27)</f>
        <v>1</v>
      </c>
      <c r="R27" s="1" t="str">
        <f>IF(F27=1,"Napa valley",IF(G27=1,"Bay area",IF(H27=1,"Sonoma",IF(I27=1,"Sierra/foothills",IF(J27=1,"Mendocino/lake","Generic California")))))</f>
        <v>Generic California</v>
      </c>
      <c r="S27" s="1" t="str">
        <f>IF(F27=1,"Napa valley",IF(H27=1,"Sonoma","Other"))</f>
        <v>Other</v>
      </c>
      <c r="T27" s="1" t="str">
        <f>IF(M27=1,"Cabernet",IF(N27=1,"Merlot",IF(L27=1,"Pinot noir","Other")))</f>
        <v>Merlot</v>
      </c>
      <c r="U27" s="1" t="str">
        <f>IF(F27=1,B27,"")</f>
        <v/>
      </c>
      <c r="V27" s="1">
        <f>IF(F27=0,B27,"")</f>
        <v>9</v>
      </c>
      <c r="W27" s="1">
        <f>'Part B'!$B$150+SUMPRODUCT('Part B'!$B$164:$N$164,C27:O27)</f>
        <v>5.67882349139109</v>
      </c>
      <c r="X27" s="1">
        <f>B27-W27</f>
        <v>3.32117650860891</v>
      </c>
      <c r="Y27" s="1">
        <f>'Part B'!$B$179+SUMPRODUCT('Part B'!$B$193:$N$193,C27:O27)</f>
        <v>2.34499203378077</v>
      </c>
      <c r="Z27" s="1">
        <f>P27-Y27</f>
        <v>-0.147767456444547</v>
      </c>
      <c r="AB27" s="1">
        <f>C27</f>
        <v>40</v>
      </c>
      <c r="AC27" s="1">
        <f>D27</f>
        <v>83</v>
      </c>
      <c r="AD27" s="1">
        <f>E27</f>
        <v>2</v>
      </c>
      <c r="AE27" s="1">
        <f>F27</f>
        <v>0</v>
      </c>
      <c r="AF27" s="1">
        <f>G27</f>
        <v>0</v>
      </c>
      <c r="AG27" s="1">
        <f>I27</f>
        <v>0</v>
      </c>
      <c r="AH27" s="1">
        <f>J27</f>
        <v>0</v>
      </c>
      <c r="AI27" s="1">
        <f>Q27</f>
        <v>1</v>
      </c>
      <c r="AJ27" s="1">
        <f>K27</f>
        <v>0</v>
      </c>
      <c r="AK27" s="1">
        <f>L27</f>
        <v>0</v>
      </c>
      <c r="AL27" s="1">
        <f>M27</f>
        <v>0</v>
      </c>
      <c r="AM27" s="1">
        <f>N27</f>
        <v>1</v>
      </c>
      <c r="AN27" s="1">
        <f>O27</f>
        <v>0</v>
      </c>
    </row>
    <row r="28">
      <c r="A28" s="1">
        <v>28</v>
      </c>
      <c r="B28" s="1">
        <v>9</v>
      </c>
      <c r="C28" s="1">
        <v>6.7</v>
      </c>
      <c r="D28" s="1">
        <v>80</v>
      </c>
      <c r="E28" s="1">
        <v>2</v>
      </c>
      <c r="F28" s="1">
        <v>0</v>
      </c>
      <c r="G28" s="1">
        <v>0</v>
      </c>
      <c r="H28" s="1">
        <v>0</v>
      </c>
      <c r="I28" s="1">
        <v>0</v>
      </c>
      <c r="J28" s="1">
        <v>0</v>
      </c>
      <c r="K28" s="1">
        <v>0</v>
      </c>
      <c r="L28" s="1">
        <v>0</v>
      </c>
      <c r="M28" s="1">
        <v>0</v>
      </c>
      <c r="N28" s="1">
        <v>1</v>
      </c>
      <c r="O28" s="1">
        <v>0</v>
      </c>
      <c r="P28" s="1">
        <f>LN(B28)</f>
        <v>2.19722457733622</v>
      </c>
      <c r="Q28" s="1">
        <f>1-SUM(F28:J28)</f>
        <v>1</v>
      </c>
      <c r="R28" s="1" t="str">
        <f>IF(F28=1,"Napa valley",IF(G28=1,"Bay area",IF(H28=1,"Sonoma",IF(I28=1,"Sierra/foothills",IF(J28=1,"Mendocino/lake","Generic California")))))</f>
        <v>Generic California</v>
      </c>
      <c r="S28" s="1" t="str">
        <f>IF(F28=1,"Napa valley",IF(H28=1,"Sonoma","Other"))</f>
        <v>Other</v>
      </c>
      <c r="T28" s="1" t="str">
        <f>IF(M28=1,"Cabernet",IF(N28=1,"Merlot",IF(L28=1,"Pinot noir","Other")))</f>
        <v>Merlot</v>
      </c>
      <c r="U28" s="1" t="str">
        <f>IF(F28=1,B28,"")</f>
        <v/>
      </c>
      <c r="V28" s="1">
        <f>IF(F28=0,B28,"")</f>
        <v>9</v>
      </c>
      <c r="W28" s="1">
        <f>'Part B'!$B$150+SUMPRODUCT('Part B'!$B$164:$N$164,C28:O28)</f>
        <v>-0.595839257010198</v>
      </c>
      <c r="X28" s="1">
        <f>B28-W28</f>
        <v>9.5958392570102</v>
      </c>
      <c r="Y28" s="1">
        <f>'Part B'!$B$179+SUMPRODUCT('Part B'!$B$193:$N$193,C28:O28)</f>
        <v>2.27760086331977</v>
      </c>
      <c r="Z28" s="1">
        <f>P28-Y28</f>
        <v>-0.0803762859835477</v>
      </c>
      <c r="AB28" s="1">
        <f>C28</f>
        <v>6.7</v>
      </c>
      <c r="AC28" s="1">
        <f>D28</f>
        <v>80</v>
      </c>
      <c r="AD28" s="1">
        <f>E28</f>
        <v>2</v>
      </c>
      <c r="AE28" s="1">
        <f>F28</f>
        <v>0</v>
      </c>
      <c r="AF28" s="1">
        <f>G28</f>
        <v>0</v>
      </c>
      <c r="AG28" s="1">
        <f>I28</f>
        <v>0</v>
      </c>
      <c r="AH28" s="1">
        <f>J28</f>
        <v>0</v>
      </c>
      <c r="AI28" s="1">
        <f>Q28</f>
        <v>1</v>
      </c>
      <c r="AJ28" s="1">
        <f>K28</f>
        <v>0</v>
      </c>
      <c r="AK28" s="1">
        <f>L28</f>
        <v>0</v>
      </c>
      <c r="AL28" s="1">
        <f>M28</f>
        <v>0</v>
      </c>
      <c r="AM28" s="1">
        <f>N28</f>
        <v>1</v>
      </c>
      <c r="AN28" s="1">
        <f>O28</f>
        <v>0</v>
      </c>
    </row>
    <row r="29">
      <c r="A29" s="1">
        <v>29</v>
      </c>
      <c r="B29" s="1">
        <v>9</v>
      </c>
      <c r="C29" s="1">
        <v>6.7</v>
      </c>
      <c r="D29" s="1">
        <v>87</v>
      </c>
      <c r="E29" s="1">
        <v>2</v>
      </c>
      <c r="F29" s="1">
        <v>0</v>
      </c>
      <c r="G29" s="1">
        <v>0</v>
      </c>
      <c r="H29" s="1">
        <v>0</v>
      </c>
      <c r="I29" s="1">
        <v>0</v>
      </c>
      <c r="J29" s="1">
        <v>0</v>
      </c>
      <c r="K29" s="1">
        <v>0</v>
      </c>
      <c r="L29" s="1">
        <v>1</v>
      </c>
      <c r="M29" s="1">
        <v>0</v>
      </c>
      <c r="N29" s="1">
        <v>0</v>
      </c>
      <c r="O29" s="1">
        <v>0</v>
      </c>
      <c r="P29" s="1">
        <f>LN(B29)</f>
        <v>2.19722457733622</v>
      </c>
      <c r="Q29" s="1">
        <f>1-SUM(F29:J29)</f>
        <v>1</v>
      </c>
      <c r="R29" s="1" t="str">
        <f>IF(F29=1,"Napa valley",IF(G29=1,"Bay area",IF(H29=1,"Sonoma",IF(I29=1,"Sierra/foothills",IF(J29=1,"Mendocino/lake","Generic California")))))</f>
        <v>Generic California</v>
      </c>
      <c r="S29" s="1" t="str">
        <f>IF(F29=1,"Napa valley",IF(H29=1,"Sonoma","Other"))</f>
        <v>Other</v>
      </c>
      <c r="T29" s="1" t="str">
        <f>IF(M29=1,"Cabernet",IF(N29=1,"Merlot",IF(L29=1,"Pinot noir","Other")))</f>
        <v>Pinot noir</v>
      </c>
      <c r="U29" s="1" t="str">
        <f>IF(F29=1,B29,"")</f>
        <v/>
      </c>
      <c r="V29" s="1">
        <f>IF(F29=0,B29,"")</f>
        <v>9</v>
      </c>
      <c r="W29" s="1">
        <f>'Part B'!$B$150+SUMPRODUCT('Part B'!$B$164:$N$164,C29:O29)</f>
        <v>23.2138903618286</v>
      </c>
      <c r="X29" s="1">
        <f>B29-W29</f>
        <v>-14.2138903618286</v>
      </c>
      <c r="Y29" s="1">
        <f>'Part B'!$B$179+SUMPRODUCT('Part B'!$B$193:$N$193,C29:O29)</f>
        <v>2.82933799309774</v>
      </c>
      <c r="Z29" s="1">
        <f>P29-Y29</f>
        <v>-0.632113415761519</v>
      </c>
      <c r="AB29" s="1">
        <f>C29</f>
        <v>6.7</v>
      </c>
      <c r="AC29" s="1">
        <f>D29</f>
        <v>87</v>
      </c>
      <c r="AD29" s="1">
        <f>E29</f>
        <v>2</v>
      </c>
      <c r="AE29" s="1">
        <f>F29</f>
        <v>0</v>
      </c>
      <c r="AF29" s="1">
        <f>G29</f>
        <v>0</v>
      </c>
      <c r="AG29" s="1">
        <f>I29</f>
        <v>0</v>
      </c>
      <c r="AH29" s="1">
        <f>J29</f>
        <v>0</v>
      </c>
      <c r="AI29" s="1">
        <f>Q29</f>
        <v>1</v>
      </c>
      <c r="AJ29" s="1">
        <f>K29</f>
        <v>0</v>
      </c>
      <c r="AK29" s="1">
        <f>L29</f>
        <v>1</v>
      </c>
      <c r="AL29" s="1">
        <f>M29</f>
        <v>0</v>
      </c>
      <c r="AM29" s="1">
        <f>N29</f>
        <v>0</v>
      </c>
      <c r="AN29" s="1">
        <f>O29</f>
        <v>0</v>
      </c>
    </row>
    <row r="30">
      <c r="A30" s="1">
        <v>30</v>
      </c>
      <c r="B30" s="1">
        <v>9</v>
      </c>
      <c r="C30" s="1">
        <v>6.7</v>
      </c>
      <c r="D30" s="1">
        <v>80</v>
      </c>
      <c r="E30" s="1">
        <v>2</v>
      </c>
      <c r="F30" s="1">
        <v>0</v>
      </c>
      <c r="G30" s="1">
        <v>0</v>
      </c>
      <c r="H30" s="1">
        <v>0</v>
      </c>
      <c r="I30" s="1">
        <v>0</v>
      </c>
      <c r="J30" s="1">
        <v>0</v>
      </c>
      <c r="K30" s="1">
        <v>0</v>
      </c>
      <c r="L30" s="1">
        <v>0</v>
      </c>
      <c r="M30" s="1">
        <v>0</v>
      </c>
      <c r="N30" s="1">
        <v>0</v>
      </c>
      <c r="O30" s="1">
        <v>0</v>
      </c>
      <c r="P30" s="1">
        <f>LN(B30)</f>
        <v>2.19722457733622</v>
      </c>
      <c r="Q30" s="1">
        <f>1-SUM(F30:J30)</f>
        <v>1</v>
      </c>
      <c r="R30" s="1" t="str">
        <f>IF(F30=1,"Napa valley",IF(G30=1,"Bay area",IF(H30=1,"Sonoma",IF(I30=1,"Sierra/foothills",IF(J30=1,"Mendocino/lake","Generic California")))))</f>
        <v>Generic California</v>
      </c>
      <c r="S30" s="1" t="str">
        <f>IF(F30=1,"Napa valley",IF(H30=1,"Sonoma","Other"))</f>
        <v>Other</v>
      </c>
      <c r="T30" s="1" t="str">
        <f>IF(M30=1,"Cabernet",IF(N30=1,"Merlot",IF(L30=1,"Pinot noir","Other")))</f>
        <v>Other</v>
      </c>
      <c r="U30" s="1" t="str">
        <f>IF(F30=1,B30,"")</f>
        <v/>
      </c>
      <c r="V30" s="1">
        <f>IF(F30=0,B30,"")</f>
        <v>9</v>
      </c>
      <c r="W30" s="1">
        <f>'Part B'!$B$150+SUMPRODUCT('Part B'!$B$164:$N$164,C30:O30)</f>
        <v>-8.25604881137377</v>
      </c>
      <c r="X30" s="1">
        <f>B30-W30</f>
        <v>17.2560488113738</v>
      </c>
      <c r="Y30" s="1">
        <f>'Part B'!$B$179+SUMPRODUCT('Part B'!$B$193:$N$193,C30:O30)</f>
        <v>1.99308613345144</v>
      </c>
      <c r="Z30" s="1">
        <f>P30-Y30</f>
        <v>0.204138443884782</v>
      </c>
      <c r="AB30" s="1">
        <f>C30</f>
        <v>6.7</v>
      </c>
      <c r="AC30" s="1">
        <f>D30</f>
        <v>80</v>
      </c>
      <c r="AD30" s="1">
        <f>E30</f>
        <v>2</v>
      </c>
      <c r="AE30" s="1">
        <f>F30</f>
        <v>0</v>
      </c>
      <c r="AF30" s="1">
        <f>G30</f>
        <v>0</v>
      </c>
      <c r="AG30" s="1">
        <f>I30</f>
        <v>0</v>
      </c>
      <c r="AH30" s="1">
        <f>J30</f>
        <v>0</v>
      </c>
      <c r="AI30" s="1">
        <f>Q30</f>
        <v>1</v>
      </c>
      <c r="AJ30" s="1">
        <f>K30</f>
        <v>0</v>
      </c>
      <c r="AK30" s="1">
        <f>L30</f>
        <v>0</v>
      </c>
      <c r="AL30" s="1">
        <f>M30</f>
        <v>0</v>
      </c>
      <c r="AM30" s="1">
        <f>N30</f>
        <v>0</v>
      </c>
      <c r="AN30" s="1">
        <f>O30</f>
        <v>0</v>
      </c>
    </row>
    <row r="31">
      <c r="A31" s="1">
        <v>31</v>
      </c>
      <c r="B31" s="1">
        <v>9</v>
      </c>
      <c r="C31" s="1">
        <v>4.3</v>
      </c>
      <c r="D31" s="1">
        <v>84</v>
      </c>
      <c r="E31" s="1">
        <v>2</v>
      </c>
      <c r="F31" s="1">
        <v>0</v>
      </c>
      <c r="G31" s="1">
        <v>0</v>
      </c>
      <c r="H31" s="1">
        <v>0</v>
      </c>
      <c r="I31" s="1">
        <v>0</v>
      </c>
      <c r="J31" s="1">
        <v>0</v>
      </c>
      <c r="K31" s="1">
        <v>0</v>
      </c>
      <c r="L31" s="1">
        <v>0</v>
      </c>
      <c r="M31" s="1">
        <v>1</v>
      </c>
      <c r="N31" s="1">
        <v>0</v>
      </c>
      <c r="O31" s="1">
        <v>0</v>
      </c>
      <c r="P31" s="1">
        <f>LN(B31)</f>
        <v>2.19722457733622</v>
      </c>
      <c r="Q31" s="1">
        <f>1-SUM(F31:J31)</f>
        <v>1</v>
      </c>
      <c r="R31" s="1" t="str">
        <f>IF(F31=1,"Napa valley",IF(G31=1,"Bay area",IF(H31=1,"Sonoma",IF(I31=1,"Sierra/foothills",IF(J31=1,"Mendocino/lake","Generic California")))))</f>
        <v>Generic California</v>
      </c>
      <c r="S31" s="1" t="str">
        <f>IF(F31=1,"Napa valley",IF(H31=1,"Sonoma","Other"))</f>
        <v>Other</v>
      </c>
      <c r="T31" s="1" t="str">
        <f>IF(M31=1,"Cabernet",IF(N31=1,"Merlot",IF(L31=1,"Pinot noir","Other")))</f>
        <v>Cabernet</v>
      </c>
      <c r="U31" s="1" t="str">
        <f>IF(F31=1,B31,"")</f>
        <v/>
      </c>
      <c r="V31" s="1">
        <f>IF(F31=0,B31,"")</f>
        <v>9</v>
      </c>
      <c r="W31" s="1">
        <f>'Part B'!$B$150+SUMPRODUCT('Part B'!$B$164:$N$164,C31:O31)</f>
        <v>17.1793862473712</v>
      </c>
      <c r="X31" s="1">
        <f>B31-W31</f>
        <v>-8.17938624737121</v>
      </c>
      <c r="Y31" s="1">
        <f>'Part B'!$B$179+SUMPRODUCT('Part B'!$B$193:$N$193,C31:O31)</f>
        <v>2.60419703017672</v>
      </c>
      <c r="Z31" s="1">
        <f>P31-Y31</f>
        <v>-0.406972452840498</v>
      </c>
      <c r="AB31" s="1">
        <f>C31</f>
        <v>4.3</v>
      </c>
      <c r="AC31" s="1">
        <f>D31</f>
        <v>84</v>
      </c>
      <c r="AD31" s="1">
        <f>E31</f>
        <v>2</v>
      </c>
      <c r="AE31" s="1">
        <f>F31</f>
        <v>0</v>
      </c>
      <c r="AF31" s="1">
        <f>G31</f>
        <v>0</v>
      </c>
      <c r="AG31" s="1">
        <f>I31</f>
        <v>0</v>
      </c>
      <c r="AH31" s="1">
        <f>J31</f>
        <v>0</v>
      </c>
      <c r="AI31" s="1">
        <f>Q31</f>
        <v>1</v>
      </c>
      <c r="AJ31" s="1">
        <f>K31</f>
        <v>0</v>
      </c>
      <c r="AK31" s="1">
        <f>L31</f>
        <v>0</v>
      </c>
      <c r="AL31" s="1">
        <f>M31</f>
        <v>1</v>
      </c>
      <c r="AM31" s="1">
        <f>N31</f>
        <v>0</v>
      </c>
      <c r="AN31" s="1">
        <f>O31</f>
        <v>0</v>
      </c>
    </row>
    <row r="32">
      <c r="A32" s="1">
        <v>32</v>
      </c>
      <c r="B32" s="1">
        <v>9</v>
      </c>
      <c r="C32" s="1">
        <v>95</v>
      </c>
      <c r="D32" s="1">
        <v>87</v>
      </c>
      <c r="E32" s="1">
        <v>2</v>
      </c>
      <c r="F32" s="1">
        <v>0</v>
      </c>
      <c r="G32" s="1">
        <v>0</v>
      </c>
      <c r="H32" s="1">
        <v>0</v>
      </c>
      <c r="I32" s="1">
        <v>0</v>
      </c>
      <c r="J32" s="1">
        <v>0</v>
      </c>
      <c r="K32" s="1">
        <v>0</v>
      </c>
      <c r="L32" s="1">
        <v>0</v>
      </c>
      <c r="M32" s="1">
        <v>1</v>
      </c>
      <c r="N32" s="1">
        <v>0</v>
      </c>
      <c r="O32" s="1">
        <v>0</v>
      </c>
      <c r="P32" s="1">
        <f>LN(B32)</f>
        <v>2.19722457733622</v>
      </c>
      <c r="Q32" s="1">
        <f>1-SUM(F32:J32)</f>
        <v>1</v>
      </c>
      <c r="R32" s="1" t="str">
        <f>IF(F32=1,"Napa valley",IF(G32=1,"Bay area",IF(H32=1,"Sonoma",IF(I32=1,"Sierra/foothills",IF(J32=1,"Mendocino/lake","Generic California")))))</f>
        <v>Generic California</v>
      </c>
      <c r="S32" s="1" t="str">
        <f>IF(F32=1,"Napa valley",IF(H32=1,"Sonoma","Other"))</f>
        <v>Other</v>
      </c>
      <c r="T32" s="1" t="str">
        <f>IF(M32=1,"Cabernet",IF(N32=1,"Merlot",IF(L32=1,"Pinot noir","Other")))</f>
        <v>Cabernet</v>
      </c>
      <c r="U32" s="1" t="str">
        <f>IF(F32=1,B32,"")</f>
        <v/>
      </c>
      <c r="V32" s="1">
        <f>IF(F32=0,B32,"")</f>
        <v>9</v>
      </c>
      <c r="W32" s="1">
        <f>'Part B'!$B$150+SUMPRODUCT('Part B'!$B$164:$N$164,C32:O32)</f>
        <v>18.0059986190075</v>
      </c>
      <c r="X32" s="1">
        <f>B32-W32</f>
        <v>-9.00599861900753</v>
      </c>
      <c r="Y32" s="1">
        <f>'Part B'!$B$179+SUMPRODUCT('Part B'!$B$193:$N$193,C32:O32)</f>
        <v>2.42596974650992</v>
      </c>
      <c r="Z32" s="1">
        <f>P32-Y32</f>
        <v>-0.228745169173701</v>
      </c>
      <c r="AB32" s="1">
        <f>C32</f>
        <v>95</v>
      </c>
      <c r="AC32" s="1">
        <f>D32</f>
        <v>87</v>
      </c>
      <c r="AD32" s="1">
        <f>E32</f>
        <v>2</v>
      </c>
      <c r="AE32" s="1">
        <f>F32</f>
        <v>0</v>
      </c>
      <c r="AF32" s="1">
        <f>G32</f>
        <v>0</v>
      </c>
      <c r="AG32" s="1">
        <f>I32</f>
        <v>0</v>
      </c>
      <c r="AH32" s="1">
        <f>J32</f>
        <v>0</v>
      </c>
      <c r="AI32" s="1">
        <f>Q32</f>
        <v>1</v>
      </c>
      <c r="AJ32" s="1">
        <f>K32</f>
        <v>0</v>
      </c>
      <c r="AK32" s="1">
        <f>L32</f>
        <v>0</v>
      </c>
      <c r="AL32" s="1">
        <f>M32</f>
        <v>1</v>
      </c>
      <c r="AM32" s="1">
        <f>N32</f>
        <v>0</v>
      </c>
      <c r="AN32" s="1">
        <f>O32</f>
        <v>0</v>
      </c>
    </row>
    <row r="33">
      <c r="A33" s="1">
        <v>33</v>
      </c>
      <c r="B33" s="1">
        <v>9</v>
      </c>
      <c r="C33" s="1">
        <v>22.5</v>
      </c>
      <c r="D33" s="1">
        <v>86</v>
      </c>
      <c r="E33" s="1">
        <v>2</v>
      </c>
      <c r="F33" s="1">
        <v>0</v>
      </c>
      <c r="G33" s="1">
        <v>0</v>
      </c>
      <c r="H33" s="1">
        <v>0</v>
      </c>
      <c r="I33" s="1">
        <v>0</v>
      </c>
      <c r="J33" s="1">
        <v>0</v>
      </c>
      <c r="K33" s="1">
        <v>0</v>
      </c>
      <c r="L33" s="1">
        <v>0</v>
      </c>
      <c r="M33" s="1">
        <v>0</v>
      </c>
      <c r="N33" s="1">
        <v>0</v>
      </c>
      <c r="O33" s="1">
        <v>0</v>
      </c>
      <c r="P33" s="1">
        <f>LN(B33)</f>
        <v>2.19722457733622</v>
      </c>
      <c r="Q33" s="1">
        <f>1-SUM(F33:J33)</f>
        <v>1</v>
      </c>
      <c r="R33" s="1" t="str">
        <f>IF(F33=1,"Napa valley",IF(G33=1,"Bay area",IF(H33=1,"Sonoma",IF(I33=1,"Sierra/foothills",IF(J33=1,"Mendocino/lake","Generic California")))))</f>
        <v>Generic California</v>
      </c>
      <c r="S33" s="1" t="str">
        <f>IF(F33=1,"Napa valley",IF(H33=1,"Sonoma","Other"))</f>
        <v>Other</v>
      </c>
      <c r="T33" s="1" t="str">
        <f>IF(M33=1,"Cabernet",IF(N33=1,"Merlot",IF(L33=1,"Pinot noir","Other")))</f>
        <v>Other</v>
      </c>
      <c r="U33" s="1" t="str">
        <f>IF(F33=1,B33,"")</f>
        <v/>
      </c>
      <c r="V33" s="1">
        <f>IF(F33=0,B33,"")</f>
        <v>9</v>
      </c>
      <c r="W33" s="1">
        <f>'Part B'!$B$150+SUMPRODUCT('Part B'!$B$164:$N$164,C33:O33)</f>
        <v>9.11489618263539</v>
      </c>
      <c r="X33" s="1">
        <f>B33-W33</f>
        <v>-0.114896182635391</v>
      </c>
      <c r="Y33" s="1">
        <f>'Part B'!$B$179+SUMPRODUCT('Part B'!$B$193:$N$193,C33:O33)</f>
        <v>2.34524508534368</v>
      </c>
      <c r="Z33" s="1">
        <f>P33-Y33</f>
        <v>-0.148020508007459</v>
      </c>
      <c r="AB33" s="1">
        <f>C33</f>
        <v>22.5</v>
      </c>
      <c r="AC33" s="1">
        <f>D33</f>
        <v>86</v>
      </c>
      <c r="AD33" s="1">
        <f>E33</f>
        <v>2</v>
      </c>
      <c r="AE33" s="1">
        <f>F33</f>
        <v>0</v>
      </c>
      <c r="AF33" s="1">
        <f>G33</f>
        <v>0</v>
      </c>
      <c r="AG33" s="1">
        <f>I33</f>
        <v>0</v>
      </c>
      <c r="AH33" s="1">
        <f>J33</f>
        <v>0</v>
      </c>
      <c r="AI33" s="1">
        <f>Q33</f>
        <v>1</v>
      </c>
      <c r="AJ33" s="1">
        <f>K33</f>
        <v>0</v>
      </c>
      <c r="AK33" s="1">
        <f>L33</f>
        <v>0</v>
      </c>
      <c r="AL33" s="1">
        <f>M33</f>
        <v>0</v>
      </c>
      <c r="AM33" s="1">
        <f>N33</f>
        <v>0</v>
      </c>
      <c r="AN33" s="1">
        <f>O33</f>
        <v>0</v>
      </c>
    </row>
    <row r="34">
      <c r="A34" s="1">
        <v>34</v>
      </c>
      <c r="B34" s="1">
        <v>9</v>
      </c>
      <c r="C34" s="1">
        <v>46</v>
      </c>
      <c r="D34" s="1">
        <v>83</v>
      </c>
      <c r="E34" s="1">
        <v>2</v>
      </c>
      <c r="F34" s="1">
        <v>0</v>
      </c>
      <c r="G34" s="1">
        <v>0</v>
      </c>
      <c r="H34" s="1">
        <v>0</v>
      </c>
      <c r="I34" s="1">
        <v>0</v>
      </c>
      <c r="J34" s="1">
        <v>0</v>
      </c>
      <c r="K34" s="1">
        <v>0</v>
      </c>
      <c r="L34" s="1">
        <v>0</v>
      </c>
      <c r="M34" s="1">
        <v>0</v>
      </c>
      <c r="N34" s="1">
        <v>1</v>
      </c>
      <c r="O34" s="1">
        <v>0</v>
      </c>
      <c r="P34" s="1">
        <f>LN(B34)</f>
        <v>2.19722457733622</v>
      </c>
      <c r="Q34" s="1">
        <f>1-SUM(F34:J34)</f>
        <v>1</v>
      </c>
      <c r="R34" s="1" t="str">
        <f>IF(F34=1,"Napa valley",IF(G34=1,"Bay area",IF(H34=1,"Sonoma",IF(I34=1,"Sierra/foothills",IF(J34=1,"Mendocino/lake","Generic California")))))</f>
        <v>Generic California</v>
      </c>
      <c r="S34" s="1" t="str">
        <f>IF(F34=1,"Napa valley",IF(H34=1,"Sonoma","Other"))</f>
        <v>Other</v>
      </c>
      <c r="T34" s="1" t="str">
        <f>IF(M34=1,"Cabernet",IF(N34=1,"Merlot",IF(L34=1,"Pinot noir","Other")))</f>
        <v>Merlot</v>
      </c>
      <c r="U34" s="1" t="str">
        <f>IF(F34=1,B34,"")</f>
        <v/>
      </c>
      <c r="V34" s="1">
        <f>IF(F34=0,B34,"")</f>
        <v>9</v>
      </c>
      <c r="W34" s="1">
        <f>'Part B'!$B$150+SUMPRODUCT('Part B'!$B$164:$N$164,C34:O34)</f>
        <v>5.10934087361079</v>
      </c>
      <c r="X34" s="1">
        <f>B34-W34</f>
        <v>3.89065912638921</v>
      </c>
      <c r="Y34" s="1">
        <f>'Part B'!$B$179+SUMPRODUCT('Part B'!$B$193:$N$193,C34:O34)</f>
        <v>2.31931763091027</v>
      </c>
      <c r="Z34" s="1">
        <f>P34-Y34</f>
        <v>-0.122093053574046</v>
      </c>
      <c r="AB34" s="1">
        <f>C34</f>
        <v>46</v>
      </c>
      <c r="AC34" s="1">
        <f>D34</f>
        <v>83</v>
      </c>
      <c r="AD34" s="1">
        <f>E34</f>
        <v>2</v>
      </c>
      <c r="AE34" s="1">
        <f>F34</f>
        <v>0</v>
      </c>
      <c r="AF34" s="1">
        <f>G34</f>
        <v>0</v>
      </c>
      <c r="AG34" s="1">
        <f>I34</f>
        <v>0</v>
      </c>
      <c r="AH34" s="1">
        <f>J34</f>
        <v>0</v>
      </c>
      <c r="AI34" s="1">
        <f>Q34</f>
        <v>1</v>
      </c>
      <c r="AJ34" s="1">
        <f>K34</f>
        <v>0</v>
      </c>
      <c r="AK34" s="1">
        <f>L34</f>
        <v>0</v>
      </c>
      <c r="AL34" s="1">
        <f>M34</f>
        <v>0</v>
      </c>
      <c r="AM34" s="1">
        <f>N34</f>
        <v>1</v>
      </c>
      <c r="AN34" s="1">
        <f>O34</f>
        <v>0</v>
      </c>
    </row>
    <row r="35">
      <c r="A35" s="1">
        <v>35</v>
      </c>
      <c r="B35" s="1">
        <v>9</v>
      </c>
      <c r="C35" s="1">
        <v>6.7</v>
      </c>
      <c r="D35" s="1">
        <v>86</v>
      </c>
      <c r="E35" s="1">
        <v>2</v>
      </c>
      <c r="F35" s="1">
        <v>0</v>
      </c>
      <c r="G35" s="1">
        <v>0</v>
      </c>
      <c r="H35" s="1">
        <v>1</v>
      </c>
      <c r="I35" s="1">
        <v>0</v>
      </c>
      <c r="J35" s="1">
        <v>0</v>
      </c>
      <c r="K35" s="1">
        <v>0</v>
      </c>
      <c r="L35" s="1">
        <v>0</v>
      </c>
      <c r="M35" s="1">
        <v>1</v>
      </c>
      <c r="N35" s="1">
        <v>0</v>
      </c>
      <c r="O35" s="1">
        <v>0</v>
      </c>
      <c r="P35" s="1">
        <f>LN(B35)</f>
        <v>2.19722457733622</v>
      </c>
      <c r="Q35" s="1">
        <f>1-SUM(F35:J35)</f>
        <v>0</v>
      </c>
      <c r="R35" s="1" t="str">
        <f>IF(F35=1,"Napa valley",IF(G35=1,"Bay area",IF(H35=1,"Sonoma",IF(I35=1,"Sierra/foothills",IF(J35=1,"Mendocino/lake","Generic California")))))</f>
        <v>Sonoma</v>
      </c>
      <c r="S35" s="1" t="str">
        <f>IF(F35=1,"Napa valley",IF(H35=1,"Sonoma","Other"))</f>
        <v>Sonoma</v>
      </c>
      <c r="T35" s="1" t="str">
        <f>IF(M35=1,"Cabernet",IF(N35=1,"Merlot",IF(L35=1,"Pinot noir","Other")))</f>
        <v>Cabernet</v>
      </c>
      <c r="U35" s="1" t="str">
        <f>IF(F35=1,B35,"")</f>
        <v/>
      </c>
      <c r="V35" s="1">
        <f>IF(F35=0,B35,"")</f>
        <v>9</v>
      </c>
      <c r="W35" s="1">
        <f>'Part B'!$B$150+SUMPRODUCT('Part B'!$B$164:$N$164,C35:O35)</f>
        <v>22.4063439985127</v>
      </c>
      <c r="X35" s="1">
        <f>B35-W35</f>
        <v>-13.4063439985127</v>
      </c>
      <c r="Y35" s="1">
        <f>'Part B'!$B$179+SUMPRODUCT('Part B'!$B$193:$N$193,C35:O35)</f>
        <v>3.0157818545968</v>
      </c>
      <c r="Z35" s="1">
        <f>P35-Y35</f>
        <v>-0.818557277260581</v>
      </c>
      <c r="AB35" s="1">
        <f>C35</f>
        <v>6.7</v>
      </c>
      <c r="AC35" s="1">
        <f>D35</f>
        <v>86</v>
      </c>
      <c r="AD35" s="1">
        <f>E35</f>
        <v>2</v>
      </c>
      <c r="AE35" s="1">
        <f>F35</f>
        <v>0</v>
      </c>
      <c r="AF35" s="1">
        <f>G35</f>
        <v>0</v>
      </c>
      <c r="AG35" s="1">
        <f>I35</f>
        <v>0</v>
      </c>
      <c r="AH35" s="1">
        <f>J35</f>
        <v>0</v>
      </c>
      <c r="AI35" s="1">
        <f>Q35</f>
        <v>0</v>
      </c>
      <c r="AJ35" s="1">
        <f>K35</f>
        <v>0</v>
      </c>
      <c r="AK35" s="1">
        <f>L35</f>
        <v>0</v>
      </c>
      <c r="AL35" s="1">
        <f>M35</f>
        <v>1</v>
      </c>
      <c r="AM35" s="1">
        <f>N35</f>
        <v>0</v>
      </c>
      <c r="AN35" s="1">
        <f>O35</f>
        <v>0</v>
      </c>
    </row>
    <row r="36">
      <c r="A36" s="1">
        <v>36</v>
      </c>
      <c r="B36" s="1">
        <v>9</v>
      </c>
      <c r="C36" s="1">
        <v>6.7</v>
      </c>
      <c r="D36" s="1">
        <v>85</v>
      </c>
      <c r="E36" s="1">
        <v>2</v>
      </c>
      <c r="F36" s="1">
        <v>0</v>
      </c>
      <c r="G36" s="1">
        <v>0</v>
      </c>
      <c r="H36" s="1">
        <v>0</v>
      </c>
      <c r="I36" s="1">
        <v>0</v>
      </c>
      <c r="J36" s="1">
        <v>0</v>
      </c>
      <c r="K36" s="1">
        <v>0</v>
      </c>
      <c r="L36" s="1">
        <v>0</v>
      </c>
      <c r="M36" s="1">
        <v>0</v>
      </c>
      <c r="N36" s="1">
        <v>0</v>
      </c>
      <c r="O36" s="1">
        <v>0</v>
      </c>
      <c r="P36" s="1">
        <f>LN(B36)</f>
        <v>2.19722457733622</v>
      </c>
      <c r="Q36" s="1">
        <f>1-SUM(F36:J36)</f>
        <v>1</v>
      </c>
      <c r="R36" s="1" t="str">
        <f>IF(F36=1,"Napa valley",IF(G36=1,"Bay area",IF(H36=1,"Sonoma",IF(I36=1,"Sierra/foothills",IF(J36=1,"Mendocino/lake","Generic California")))))</f>
        <v>Generic California</v>
      </c>
      <c r="S36" s="1" t="str">
        <f>IF(F36=1,"Napa valley",IF(H36=1,"Sonoma","Other"))</f>
        <v>Other</v>
      </c>
      <c r="T36" s="1" t="str">
        <f>IF(M36=1,"Cabernet",IF(N36=1,"Merlot",IF(L36=1,"Pinot noir","Other")))</f>
        <v>Other</v>
      </c>
      <c r="U36" s="1" t="str">
        <f>IF(F36=1,B36,"")</f>
        <v/>
      </c>
      <c r="V36" s="1">
        <f>IF(F36=0,B36,"")</f>
        <v>9</v>
      </c>
      <c r="W36" s="1">
        <f>'Part B'!$B$150+SUMPRODUCT('Part B'!$B$164:$N$164,C36:O36)</f>
        <v>7.46943665042949</v>
      </c>
      <c r="X36" s="1">
        <f>B36-W36</f>
        <v>1.53056334957051</v>
      </c>
      <c r="Y36" s="1">
        <f>'Part B'!$B$179+SUMPRODUCT('Part B'!$B$193:$N$193,C36:O36)</f>
        <v>2.34289297743857</v>
      </c>
      <c r="Z36" s="1">
        <f>P36-Y36</f>
        <v>-0.145668400102351</v>
      </c>
      <c r="AB36" s="1">
        <f>C36</f>
        <v>6.7</v>
      </c>
      <c r="AC36" s="1">
        <f>D36</f>
        <v>85</v>
      </c>
      <c r="AD36" s="1">
        <f>E36</f>
        <v>2</v>
      </c>
      <c r="AE36" s="1">
        <f>F36</f>
        <v>0</v>
      </c>
      <c r="AF36" s="1">
        <f>G36</f>
        <v>0</v>
      </c>
      <c r="AG36" s="1">
        <f>I36</f>
        <v>0</v>
      </c>
      <c r="AH36" s="1">
        <f>J36</f>
        <v>0</v>
      </c>
      <c r="AI36" s="1">
        <f>Q36</f>
        <v>1</v>
      </c>
      <c r="AJ36" s="1">
        <f>K36</f>
        <v>0</v>
      </c>
      <c r="AK36" s="1">
        <f>L36</f>
        <v>0</v>
      </c>
      <c r="AL36" s="1">
        <f>M36</f>
        <v>0</v>
      </c>
      <c r="AM36" s="1">
        <f>N36</f>
        <v>0</v>
      </c>
      <c r="AN36" s="1">
        <f>O36</f>
        <v>0</v>
      </c>
    </row>
    <row r="37">
      <c r="A37" s="1">
        <v>37</v>
      </c>
      <c r="B37" s="1">
        <v>9</v>
      </c>
      <c r="C37" s="1">
        <v>3.572</v>
      </c>
      <c r="D37" s="1">
        <v>84</v>
      </c>
      <c r="E37" s="1">
        <v>2</v>
      </c>
      <c r="F37" s="1">
        <v>0</v>
      </c>
      <c r="G37" s="1">
        <v>0</v>
      </c>
      <c r="H37" s="1">
        <v>0</v>
      </c>
      <c r="I37" s="1">
        <v>1</v>
      </c>
      <c r="J37" s="1">
        <v>0</v>
      </c>
      <c r="K37" s="1">
        <v>0</v>
      </c>
      <c r="L37" s="1">
        <v>0</v>
      </c>
      <c r="M37" s="1">
        <v>0</v>
      </c>
      <c r="N37" s="1">
        <v>0</v>
      </c>
      <c r="O37" s="1">
        <v>0</v>
      </c>
      <c r="P37" s="1">
        <f>LN(B37)</f>
        <v>2.19722457733622</v>
      </c>
      <c r="Q37" s="1">
        <f>1-SUM(F37:J37)</f>
        <v>0</v>
      </c>
      <c r="R37" s="1" t="str">
        <f>IF(F37=1,"Napa valley",IF(G37=1,"Bay area",IF(H37=1,"Sonoma",IF(I37=1,"Sierra/foothills",IF(J37=1,"Mendocino/lake","Generic California")))))</f>
        <v>Sierra/foothills</v>
      </c>
      <c r="S37" s="1" t="str">
        <f>IF(F37=1,"Napa valley",IF(H37=1,"Sonoma","Other"))</f>
        <v>Other</v>
      </c>
      <c r="T37" s="1" t="str">
        <f>IF(M37=1,"Cabernet",IF(N37=1,"Merlot",IF(L37=1,"Pinot noir","Other")))</f>
        <v>Other</v>
      </c>
      <c r="U37" s="1" t="str">
        <f>IF(F37=1,B37,"")</f>
        <v/>
      </c>
      <c r="V37" s="1">
        <f>IF(F37=0,B37,"")</f>
        <v>9</v>
      </c>
      <c r="W37" s="1">
        <f>'Part B'!$B$150+SUMPRODUCT('Part B'!$B$164:$N$164,C37:O37)</f>
        <v>9.64520260535329</v>
      </c>
      <c r="X37" s="1">
        <f>B37-W37</f>
        <v>-0.64520260535329</v>
      </c>
      <c r="Y37" s="1">
        <f>'Part B'!$B$179+SUMPRODUCT('Part B'!$B$193:$N$193,C37:O37)</f>
        <v>2.53755104765675</v>
      </c>
      <c r="Z37" s="1">
        <f>P37-Y37</f>
        <v>-0.340326470320534</v>
      </c>
      <c r="AB37" s="1">
        <f>C37</f>
        <v>3.572</v>
      </c>
      <c r="AC37" s="1">
        <f>D37</f>
        <v>84</v>
      </c>
      <c r="AD37" s="1">
        <f>E37</f>
        <v>2</v>
      </c>
      <c r="AE37" s="1">
        <f>F37</f>
        <v>0</v>
      </c>
      <c r="AF37" s="1">
        <f>G37</f>
        <v>0</v>
      </c>
      <c r="AG37" s="1">
        <f>I37</f>
        <v>1</v>
      </c>
      <c r="AH37" s="1">
        <f>J37</f>
        <v>0</v>
      </c>
      <c r="AI37" s="1">
        <f>Q37</f>
        <v>0</v>
      </c>
      <c r="AJ37" s="1">
        <f>K37</f>
        <v>0</v>
      </c>
      <c r="AK37" s="1">
        <f>L37</f>
        <v>0</v>
      </c>
      <c r="AL37" s="1">
        <f>M37</f>
        <v>0</v>
      </c>
      <c r="AM37" s="1">
        <f>N37</f>
        <v>0</v>
      </c>
      <c r="AN37" s="1">
        <f>O37</f>
        <v>0</v>
      </c>
    </row>
    <row r="38">
      <c r="A38" s="1">
        <v>38</v>
      </c>
      <c r="B38" s="1">
        <v>9</v>
      </c>
      <c r="C38" s="1">
        <v>0.8</v>
      </c>
      <c r="D38" s="1">
        <v>83</v>
      </c>
      <c r="E38" s="1">
        <v>1</v>
      </c>
      <c r="F38" s="1">
        <v>0</v>
      </c>
      <c r="G38" s="1">
        <v>0</v>
      </c>
      <c r="H38" s="1">
        <v>0</v>
      </c>
      <c r="I38" s="1">
        <v>0</v>
      </c>
      <c r="J38" s="1">
        <v>0</v>
      </c>
      <c r="K38" s="1">
        <v>1</v>
      </c>
      <c r="L38" s="1">
        <v>0</v>
      </c>
      <c r="M38" s="1">
        <v>0</v>
      </c>
      <c r="N38" s="1">
        <v>0</v>
      </c>
      <c r="O38" s="1">
        <v>0</v>
      </c>
      <c r="P38" s="1">
        <f>LN(B38)</f>
        <v>2.19722457733622</v>
      </c>
      <c r="Q38" s="1">
        <f>1-SUM(F38:J38)</f>
        <v>1</v>
      </c>
      <c r="R38" s="1" t="str">
        <f>IF(F38=1,"Napa valley",IF(G38=1,"Bay area",IF(H38=1,"Sonoma",IF(I38=1,"Sierra/foothills",IF(J38=1,"Mendocino/lake","Generic California")))))</f>
        <v>Generic California</v>
      </c>
      <c r="S38" s="1" t="str">
        <f>IF(F38=1,"Napa valley",IF(H38=1,"Sonoma","Other"))</f>
        <v>Other</v>
      </c>
      <c r="T38" s="1" t="str">
        <f>IF(M38=1,"Cabernet",IF(N38=1,"Merlot",IF(L38=1,"Pinot noir","Other")))</f>
        <v>Other</v>
      </c>
      <c r="U38" s="1" t="str">
        <f>IF(F38=1,B38,"")</f>
        <v/>
      </c>
      <c r="V38" s="1">
        <f>IF(F38=0,B38,"")</f>
        <v>9</v>
      </c>
      <c r="W38" s="1">
        <f>'Part B'!$B$150+SUMPRODUCT('Part B'!$B$164:$N$164,C38:O38)</f>
        <v>15.4074223554877</v>
      </c>
      <c r="X38" s="1">
        <f>B38-W38</f>
        <v>-6.40742235548765</v>
      </c>
      <c r="Y38" s="1">
        <f>'Part B'!$B$179+SUMPRODUCT('Part B'!$B$193:$N$193,C38:O38)</f>
        <v>2.52371891757928</v>
      </c>
      <c r="Z38" s="1">
        <f>P38-Y38</f>
        <v>-0.326494340243059</v>
      </c>
      <c r="AB38" s="1">
        <f>C38</f>
        <v>0.8</v>
      </c>
      <c r="AC38" s="1">
        <f>D38</f>
        <v>83</v>
      </c>
      <c r="AD38" s="1">
        <f>E38</f>
        <v>1</v>
      </c>
      <c r="AE38" s="1">
        <f>F38</f>
        <v>0</v>
      </c>
      <c r="AF38" s="1">
        <f>G38</f>
        <v>0</v>
      </c>
      <c r="AG38" s="1">
        <f>I38</f>
        <v>0</v>
      </c>
      <c r="AH38" s="1">
        <f>J38</f>
        <v>0</v>
      </c>
      <c r="AI38" s="1">
        <f>Q38</f>
        <v>1</v>
      </c>
      <c r="AJ38" s="1">
        <f>K38</f>
        <v>1</v>
      </c>
      <c r="AK38" s="1">
        <f>L38</f>
        <v>0</v>
      </c>
      <c r="AL38" s="1">
        <f>M38</f>
        <v>0</v>
      </c>
      <c r="AM38" s="1">
        <f>N38</f>
        <v>0</v>
      </c>
      <c r="AN38" s="1">
        <f>O38</f>
        <v>0</v>
      </c>
    </row>
    <row r="39">
      <c r="A39" s="1">
        <v>39</v>
      </c>
      <c r="B39" s="1">
        <v>9</v>
      </c>
      <c r="C39" s="1">
        <v>0.332</v>
      </c>
      <c r="D39" s="1">
        <v>84</v>
      </c>
      <c r="E39" s="1">
        <v>1</v>
      </c>
      <c r="F39" s="1">
        <v>0</v>
      </c>
      <c r="G39" s="1">
        <v>1</v>
      </c>
      <c r="H39" s="1">
        <v>0</v>
      </c>
      <c r="I39" s="1">
        <v>0</v>
      </c>
      <c r="J39" s="1">
        <v>0</v>
      </c>
      <c r="K39" s="1">
        <v>0</v>
      </c>
      <c r="L39" s="1">
        <v>1</v>
      </c>
      <c r="M39" s="1">
        <v>0</v>
      </c>
      <c r="N39" s="1">
        <v>0</v>
      </c>
      <c r="O39" s="1">
        <v>0</v>
      </c>
      <c r="P39" s="1">
        <f>LN(B39)</f>
        <v>2.19722457733622</v>
      </c>
      <c r="Q39" s="1">
        <f>1-SUM(F39:J39)</f>
        <v>0</v>
      </c>
      <c r="R39" s="1" t="str">
        <f>IF(F39=1,"Napa valley",IF(G39=1,"Bay area",IF(H39=1,"Sonoma",IF(I39=1,"Sierra/foothills",IF(J39=1,"Mendocino/lake","Generic California")))))</f>
        <v>Bay area</v>
      </c>
      <c r="S39" s="1" t="str">
        <f>IF(F39=1,"Napa valley",IF(H39=1,"Sonoma","Other"))</f>
        <v>Other</v>
      </c>
      <c r="T39" s="1" t="str">
        <f>IF(M39=1,"Cabernet",IF(N39=1,"Merlot",IF(L39=1,"Pinot noir","Other")))</f>
        <v>Pinot noir</v>
      </c>
      <c r="U39" s="1" t="str">
        <f>IF(F39=1,B39,"")</f>
        <v/>
      </c>
      <c r="V39" s="1">
        <f>IF(F39=0,B39,"")</f>
        <v>9</v>
      </c>
      <c r="W39" s="1">
        <f>'Part B'!$B$150+SUMPRODUCT('Part B'!$B$164:$N$164,C39:O39)</f>
        <v>10.0422829383002</v>
      </c>
      <c r="X39" s="1">
        <f>B39-W39</f>
        <v>-1.04228293830016</v>
      </c>
      <c r="Y39" s="1">
        <f>'Part B'!$B$179+SUMPRODUCT('Part B'!$B$193:$N$193,C39:O39)</f>
        <v>2.71860467663171</v>
      </c>
      <c r="Z39" s="1">
        <f>P39-Y39</f>
        <v>-0.521380099295495</v>
      </c>
      <c r="AB39" s="1">
        <f>C39</f>
        <v>0.332</v>
      </c>
      <c r="AC39" s="1">
        <f>D39</f>
        <v>84</v>
      </c>
      <c r="AD39" s="1">
        <f>E39</f>
        <v>1</v>
      </c>
      <c r="AE39" s="1">
        <f>F39</f>
        <v>0</v>
      </c>
      <c r="AF39" s="1">
        <f>G39</f>
        <v>1</v>
      </c>
      <c r="AG39" s="1">
        <f>I39</f>
        <v>0</v>
      </c>
      <c r="AH39" s="1">
        <f>J39</f>
        <v>0</v>
      </c>
      <c r="AI39" s="1">
        <f>Q39</f>
        <v>0</v>
      </c>
      <c r="AJ39" s="1">
        <f>K39</f>
        <v>0</v>
      </c>
      <c r="AK39" s="1">
        <f>L39</f>
        <v>1</v>
      </c>
      <c r="AL39" s="1">
        <f>M39</f>
        <v>0</v>
      </c>
      <c r="AM39" s="1">
        <f>N39</f>
        <v>0</v>
      </c>
      <c r="AN39" s="1">
        <f>O39</f>
        <v>0</v>
      </c>
    </row>
    <row r="40">
      <c r="A40" s="1">
        <v>40</v>
      </c>
      <c r="B40" s="1">
        <v>10</v>
      </c>
      <c r="C40" s="1">
        <v>1</v>
      </c>
      <c r="D40" s="1">
        <v>76</v>
      </c>
      <c r="E40" s="1">
        <v>4</v>
      </c>
      <c r="F40" s="1">
        <v>0</v>
      </c>
      <c r="G40" s="1">
        <v>1</v>
      </c>
      <c r="H40" s="1">
        <v>0</v>
      </c>
      <c r="I40" s="1">
        <v>0</v>
      </c>
      <c r="J40" s="1">
        <v>0</v>
      </c>
      <c r="K40" s="1">
        <v>0</v>
      </c>
      <c r="L40" s="1">
        <v>0</v>
      </c>
      <c r="M40" s="1">
        <v>0</v>
      </c>
      <c r="N40" s="1">
        <v>0</v>
      </c>
      <c r="O40" s="1">
        <v>0</v>
      </c>
      <c r="P40" s="1">
        <f>LN(B40)</f>
        <v>2.30258509299405</v>
      </c>
      <c r="Q40" s="1">
        <f>1-SUM(F40:J40)</f>
        <v>0</v>
      </c>
      <c r="R40" s="1" t="str">
        <f>IF(F40=1,"Napa valley",IF(G40=1,"Bay area",IF(H40=1,"Sonoma",IF(I40=1,"Sierra/foothills",IF(J40=1,"Mendocino/lake","Generic California")))))</f>
        <v>Bay area</v>
      </c>
      <c r="S40" s="1" t="str">
        <f>IF(F40=1,"Napa valley",IF(H40=1,"Sonoma","Other"))</f>
        <v>Other</v>
      </c>
      <c r="T40" s="1" t="str">
        <f>IF(M40=1,"Cabernet",IF(N40=1,"Merlot",IF(L40=1,"Pinot noir","Other")))</f>
        <v>Other</v>
      </c>
      <c r="U40" s="1" t="str">
        <f>IF(F40=1,B40,"")</f>
        <v/>
      </c>
      <c r="V40" s="1">
        <f>IF(F40=0,B40,"")</f>
        <v>10</v>
      </c>
      <c r="W40" s="1">
        <f>'Part B'!$B$150+SUMPRODUCT('Part B'!$B$164:$N$164,C40:O40)</f>
        <v>-4.77734145024164</v>
      </c>
      <c r="X40" s="1">
        <f>B40-W40</f>
        <v>14.7773414502416</v>
      </c>
      <c r="Y40" s="1">
        <f>'Part B'!$B$179+SUMPRODUCT('Part B'!$B$193:$N$193,C40:O40)</f>
        <v>2.3587888786599</v>
      </c>
      <c r="Z40" s="1">
        <f>P40-Y40</f>
        <v>-0.0562037856658524</v>
      </c>
      <c r="AB40" s="1">
        <f>C40</f>
        <v>1</v>
      </c>
      <c r="AC40" s="1">
        <f>D40</f>
        <v>76</v>
      </c>
      <c r="AD40" s="1">
        <f>E40</f>
        <v>4</v>
      </c>
      <c r="AE40" s="1">
        <f>F40</f>
        <v>0</v>
      </c>
      <c r="AF40" s="1">
        <f>G40</f>
        <v>1</v>
      </c>
      <c r="AG40" s="1">
        <f>I40</f>
        <v>0</v>
      </c>
      <c r="AH40" s="1">
        <f>J40</f>
        <v>0</v>
      </c>
      <c r="AI40" s="1">
        <f>Q40</f>
        <v>0</v>
      </c>
      <c r="AJ40" s="1">
        <f>K40</f>
        <v>0</v>
      </c>
      <c r="AK40" s="1">
        <f>L40</f>
        <v>0</v>
      </c>
      <c r="AL40" s="1">
        <f>M40</f>
        <v>0</v>
      </c>
      <c r="AM40" s="1">
        <f>N40</f>
        <v>0</v>
      </c>
      <c r="AN40" s="1">
        <f>O40</f>
        <v>0</v>
      </c>
    </row>
    <row r="41">
      <c r="A41" s="1">
        <v>41</v>
      </c>
      <c r="B41" s="1">
        <v>10</v>
      </c>
      <c r="C41" s="1">
        <v>26</v>
      </c>
      <c r="D41" s="1">
        <v>85</v>
      </c>
      <c r="E41" s="1">
        <v>4</v>
      </c>
      <c r="F41" s="1">
        <v>0</v>
      </c>
      <c r="G41" s="1">
        <v>0</v>
      </c>
      <c r="H41" s="1">
        <v>1</v>
      </c>
      <c r="I41" s="1">
        <v>0</v>
      </c>
      <c r="J41" s="1">
        <v>0</v>
      </c>
      <c r="K41" s="1">
        <v>0</v>
      </c>
      <c r="L41" s="1">
        <v>0</v>
      </c>
      <c r="M41" s="1">
        <v>0</v>
      </c>
      <c r="N41" s="1">
        <v>0</v>
      </c>
      <c r="O41" s="1">
        <v>0</v>
      </c>
      <c r="P41" s="1">
        <f>LN(B41)</f>
        <v>2.30258509299405</v>
      </c>
      <c r="Q41" s="1">
        <f>1-SUM(F41:J41)</f>
        <v>0</v>
      </c>
      <c r="R41" s="1" t="str">
        <f>IF(F41=1,"Napa valley",IF(G41=1,"Bay area",IF(H41=1,"Sonoma",IF(I41=1,"Sierra/foothills",IF(J41=1,"Mendocino/lake","Generic California")))))</f>
        <v>Sonoma</v>
      </c>
      <c r="S41" s="1" t="str">
        <f>IF(F41=1,"Napa valley",IF(H41=1,"Sonoma","Other"))</f>
        <v>Sonoma</v>
      </c>
      <c r="T41" s="1" t="str">
        <f>IF(M41=1,"Cabernet",IF(N41=1,"Merlot",IF(L41=1,"Pinot noir","Other")))</f>
        <v>Other</v>
      </c>
      <c r="U41" s="1" t="str">
        <f>IF(F41=1,B41,"")</f>
        <v/>
      </c>
      <c r="V41" s="1">
        <f>IF(F41=0,B41,"")</f>
        <v>10</v>
      </c>
      <c r="W41" s="1">
        <f>'Part B'!$B$150+SUMPRODUCT('Part B'!$B$164:$N$164,C41:O41)</f>
        <v>18.041367026858</v>
      </c>
      <c r="X41" s="1">
        <f>B41-W41</f>
        <v>-8.04136702685798</v>
      </c>
      <c r="Y41" s="1">
        <f>'Part B'!$B$179+SUMPRODUCT('Part B'!$B$193:$N$193,C41:O41)</f>
        <v>2.90840939439511</v>
      </c>
      <c r="Z41" s="1">
        <f>P41-Y41</f>
        <v>-0.605824301401063</v>
      </c>
      <c r="AB41" s="1">
        <f>C41</f>
        <v>26</v>
      </c>
      <c r="AC41" s="1">
        <f>D41</f>
        <v>85</v>
      </c>
      <c r="AD41" s="1">
        <f>E41</f>
        <v>4</v>
      </c>
      <c r="AE41" s="1">
        <f>F41</f>
        <v>0</v>
      </c>
      <c r="AF41" s="1">
        <f>G41</f>
        <v>0</v>
      </c>
      <c r="AG41" s="1">
        <f>I41</f>
        <v>0</v>
      </c>
      <c r="AH41" s="1">
        <f>J41</f>
        <v>0</v>
      </c>
      <c r="AI41" s="1">
        <f>Q41</f>
        <v>0</v>
      </c>
      <c r="AJ41" s="1">
        <f>K41</f>
        <v>0</v>
      </c>
      <c r="AK41" s="1">
        <f>L41</f>
        <v>0</v>
      </c>
      <c r="AL41" s="1">
        <f>M41</f>
        <v>0</v>
      </c>
      <c r="AM41" s="1">
        <f>N41</f>
        <v>0</v>
      </c>
      <c r="AN41" s="1">
        <f>O41</f>
        <v>0</v>
      </c>
    </row>
    <row r="42">
      <c r="A42" s="1">
        <v>42</v>
      </c>
      <c r="B42" s="1">
        <v>10</v>
      </c>
      <c r="C42" s="1">
        <v>75.576</v>
      </c>
      <c r="D42" s="1">
        <v>86</v>
      </c>
      <c r="E42" s="1">
        <v>3</v>
      </c>
      <c r="F42" s="1">
        <v>0</v>
      </c>
      <c r="G42" s="1">
        <v>0</v>
      </c>
      <c r="H42" s="1">
        <v>0</v>
      </c>
      <c r="I42" s="1">
        <v>0</v>
      </c>
      <c r="J42" s="1">
        <v>0</v>
      </c>
      <c r="K42" s="1">
        <v>0</v>
      </c>
      <c r="L42" s="1">
        <v>0</v>
      </c>
      <c r="M42" s="1">
        <v>0</v>
      </c>
      <c r="N42" s="1">
        <v>1</v>
      </c>
      <c r="O42" s="1">
        <v>0</v>
      </c>
      <c r="P42" s="1">
        <f>LN(B42)</f>
        <v>2.30258509299405</v>
      </c>
      <c r="Q42" s="1">
        <f>1-SUM(F42:J42)</f>
        <v>1</v>
      </c>
      <c r="R42" s="1" t="str">
        <f>IF(F42=1,"Napa valley",IF(G42=1,"Bay area",IF(H42=1,"Sonoma",IF(I42=1,"Sierra/foothills",IF(J42=1,"Mendocino/lake","Generic California")))))</f>
        <v>Generic California</v>
      </c>
      <c r="S42" s="1" t="str">
        <f>IF(F42=1,"Napa valley",IF(H42=1,"Sonoma","Other"))</f>
        <v>Other</v>
      </c>
      <c r="T42" s="1" t="str">
        <f>IF(M42=1,"Cabernet",IF(N42=1,"Merlot",IF(L42=1,"Pinot noir","Other")))</f>
        <v>Merlot</v>
      </c>
      <c r="U42" s="1" t="str">
        <f>IF(F42=1,B42,"")</f>
        <v/>
      </c>
      <c r="V42" s="1">
        <f>IF(F42=0,B42,"")</f>
        <v>10</v>
      </c>
      <c r="W42" s="1">
        <f>'Part B'!$B$150+SUMPRODUCT('Part B'!$B$164:$N$164,C42:O42)</f>
        <v>18.3570672584925</v>
      </c>
      <c r="X42" s="1">
        <f>B42-W42</f>
        <v>-8.35706725849246</v>
      </c>
      <c r="Y42" s="1">
        <f>'Part B'!$B$179+SUMPRODUCT('Part B'!$B$193:$N$193,C42:O42)</f>
        <v>2.58572932986116</v>
      </c>
      <c r="Z42" s="1">
        <f>P42-Y42</f>
        <v>-0.283144236867118</v>
      </c>
      <c r="AB42" s="1">
        <f>C42</f>
        <v>75.576</v>
      </c>
      <c r="AC42" s="1">
        <f>D42</f>
        <v>86</v>
      </c>
      <c r="AD42" s="1">
        <f>E42</f>
        <v>3</v>
      </c>
      <c r="AE42" s="1">
        <f>F42</f>
        <v>0</v>
      </c>
      <c r="AF42" s="1">
        <f>G42</f>
        <v>0</v>
      </c>
      <c r="AG42" s="1">
        <f>I42</f>
        <v>0</v>
      </c>
      <c r="AH42" s="1">
        <f>J42</f>
        <v>0</v>
      </c>
      <c r="AI42" s="1">
        <f>Q42</f>
        <v>1</v>
      </c>
      <c r="AJ42" s="1">
        <f>K42</f>
        <v>0</v>
      </c>
      <c r="AK42" s="1">
        <f>L42</f>
        <v>0</v>
      </c>
      <c r="AL42" s="1">
        <f>M42</f>
        <v>0</v>
      </c>
      <c r="AM42" s="1">
        <f>N42</f>
        <v>1</v>
      </c>
      <c r="AN42" s="1">
        <f>O42</f>
        <v>0</v>
      </c>
    </row>
    <row r="43">
      <c r="A43" s="1">
        <v>43</v>
      </c>
      <c r="B43" s="1">
        <v>10</v>
      </c>
      <c r="C43" s="1">
        <v>1.7</v>
      </c>
      <c r="D43" s="1">
        <v>79</v>
      </c>
      <c r="E43" s="1">
        <v>3</v>
      </c>
      <c r="F43" s="1">
        <v>0</v>
      </c>
      <c r="G43" s="1">
        <v>0</v>
      </c>
      <c r="H43" s="1">
        <v>1</v>
      </c>
      <c r="I43" s="1">
        <v>0</v>
      </c>
      <c r="J43" s="1">
        <v>0</v>
      </c>
      <c r="K43" s="1">
        <v>0</v>
      </c>
      <c r="L43" s="1">
        <v>0</v>
      </c>
      <c r="M43" s="1">
        <v>1</v>
      </c>
      <c r="N43" s="1">
        <v>0</v>
      </c>
      <c r="O43" s="1">
        <v>0</v>
      </c>
      <c r="P43" s="1">
        <f>LN(B43)</f>
        <v>2.30258509299405</v>
      </c>
      <c r="Q43" s="1">
        <f>1-SUM(F43:J43)</f>
        <v>0</v>
      </c>
      <c r="R43" s="1" t="str">
        <f>IF(F43=1,"Napa valley",IF(G43=1,"Bay area",IF(H43=1,"Sonoma",IF(I43=1,"Sierra/foothills",IF(J43=1,"Mendocino/lake","Generic California")))))</f>
        <v>Sonoma</v>
      </c>
      <c r="S43" s="1" t="str">
        <f>IF(F43=1,"Napa valley",IF(H43=1,"Sonoma","Other"))</f>
        <v>Sonoma</v>
      </c>
      <c r="T43" s="1" t="str">
        <f>IF(M43=1,"Cabernet",IF(N43=1,"Merlot",IF(L43=1,"Pinot noir","Other")))</f>
        <v>Cabernet</v>
      </c>
      <c r="U43" s="1" t="str">
        <f>IF(F43=1,B43,"")</f>
        <v/>
      </c>
      <c r="V43" s="1">
        <f>IF(F43=0,B43,"")</f>
        <v>10</v>
      </c>
      <c r="W43" s="1">
        <f>'Part B'!$B$150+SUMPRODUCT('Part B'!$B$164:$N$164,C43:O43)</f>
        <v>7.48483795851649</v>
      </c>
      <c r="X43" s="1">
        <f>B43-W43</f>
        <v>2.51516204148351</v>
      </c>
      <c r="Y43" s="1">
        <f>'Part B'!$B$179+SUMPRODUCT('Part B'!$B$193:$N$193,C43:O43)</f>
        <v>2.73053289118184</v>
      </c>
      <c r="Z43" s="1">
        <f>P43-Y43</f>
        <v>-0.427947798187795</v>
      </c>
      <c r="AB43" s="1">
        <f>C43</f>
        <v>1.7</v>
      </c>
      <c r="AC43" s="1">
        <f>D43</f>
        <v>79</v>
      </c>
      <c r="AD43" s="1">
        <f>E43</f>
        <v>3</v>
      </c>
      <c r="AE43" s="1">
        <f>F43</f>
        <v>0</v>
      </c>
      <c r="AF43" s="1">
        <f>G43</f>
        <v>0</v>
      </c>
      <c r="AG43" s="1">
        <f>I43</f>
        <v>0</v>
      </c>
      <c r="AH43" s="1">
        <f>J43</f>
        <v>0</v>
      </c>
      <c r="AI43" s="1">
        <f>Q43</f>
        <v>0</v>
      </c>
      <c r="AJ43" s="1">
        <f>K43</f>
        <v>0</v>
      </c>
      <c r="AK43" s="1">
        <f>L43</f>
        <v>0</v>
      </c>
      <c r="AL43" s="1">
        <f>M43</f>
        <v>1</v>
      </c>
      <c r="AM43" s="1">
        <f>N43</f>
        <v>0</v>
      </c>
      <c r="AN43" s="1">
        <f>O43</f>
        <v>0</v>
      </c>
    </row>
    <row r="44">
      <c r="A44" s="1">
        <v>44</v>
      </c>
      <c r="B44" s="1">
        <v>10</v>
      </c>
      <c r="C44" s="1">
        <v>6.7</v>
      </c>
      <c r="D44" s="1">
        <v>78</v>
      </c>
      <c r="E44" s="1">
        <v>3</v>
      </c>
      <c r="F44" s="1">
        <v>0</v>
      </c>
      <c r="G44" s="1">
        <v>0</v>
      </c>
      <c r="H44" s="1">
        <v>0</v>
      </c>
      <c r="I44" s="1">
        <v>0</v>
      </c>
      <c r="J44" s="1">
        <v>0</v>
      </c>
      <c r="K44" s="1">
        <v>0</v>
      </c>
      <c r="L44" s="1">
        <v>0</v>
      </c>
      <c r="M44" s="1">
        <v>1</v>
      </c>
      <c r="N44" s="1">
        <v>0</v>
      </c>
      <c r="O44" s="1">
        <v>0</v>
      </c>
      <c r="P44" s="1">
        <f>LN(B44)</f>
        <v>2.30258509299405</v>
      </c>
      <c r="Q44" s="1">
        <f>1-SUM(F44:J44)</f>
        <v>1</v>
      </c>
      <c r="R44" s="1" t="str">
        <f>IF(F44=1,"Napa valley",IF(G44=1,"Bay area",IF(H44=1,"Sonoma",IF(I44=1,"Sierra/foothills",IF(J44=1,"Mendocino/lake","Generic California")))))</f>
        <v>Generic California</v>
      </c>
      <c r="S44" s="1" t="str">
        <f>IF(F44=1,"Napa valley",IF(H44=1,"Sonoma","Other"))</f>
        <v>Other</v>
      </c>
      <c r="T44" s="1" t="str">
        <f>IF(M44=1,"Cabernet",IF(N44=1,"Merlot",IF(L44=1,"Pinot noir","Other")))</f>
        <v>Cabernet</v>
      </c>
      <c r="U44" s="1" t="str">
        <f>IF(F44=1,B44,"")</f>
        <v/>
      </c>
      <c r="V44" s="1">
        <f>IF(F44=0,B44,"")</f>
        <v>10</v>
      </c>
      <c r="W44" s="1">
        <f>'Part B'!$B$150+SUMPRODUCT('Part B'!$B$164:$N$164,C44:O44)</f>
        <v>4.70061540447318</v>
      </c>
      <c r="X44" s="1">
        <f>B44-W44</f>
        <v>5.29938459552682</v>
      </c>
      <c r="Y44" s="1">
        <f>'Part B'!$B$179+SUMPRODUCT('Part B'!$B$193:$N$193,C44:O44)</f>
        <v>2.35724433868557</v>
      </c>
      <c r="Z44" s="1">
        <f>P44-Y44</f>
        <v>-0.0546592456915205</v>
      </c>
      <c r="AB44" s="1">
        <f>C44</f>
        <v>6.7</v>
      </c>
      <c r="AC44" s="1">
        <f>D44</f>
        <v>78</v>
      </c>
      <c r="AD44" s="1">
        <f>E44</f>
        <v>3</v>
      </c>
      <c r="AE44" s="1">
        <f>F44</f>
        <v>0</v>
      </c>
      <c r="AF44" s="1">
        <f>G44</f>
        <v>0</v>
      </c>
      <c r="AG44" s="1">
        <f>I44</f>
        <v>0</v>
      </c>
      <c r="AH44" s="1">
        <f>J44</f>
        <v>0</v>
      </c>
      <c r="AI44" s="1">
        <f>Q44</f>
        <v>1</v>
      </c>
      <c r="AJ44" s="1">
        <f>K44</f>
        <v>0</v>
      </c>
      <c r="AK44" s="1">
        <f>L44</f>
        <v>0</v>
      </c>
      <c r="AL44" s="1">
        <f>M44</f>
        <v>1</v>
      </c>
      <c r="AM44" s="1">
        <f>N44</f>
        <v>0</v>
      </c>
      <c r="AN44" s="1">
        <f>O44</f>
        <v>0</v>
      </c>
    </row>
    <row r="45">
      <c r="A45" s="1">
        <v>46</v>
      </c>
      <c r="B45" s="1">
        <v>10</v>
      </c>
      <c r="C45" s="1">
        <v>6.7</v>
      </c>
      <c r="D45" s="1">
        <v>83</v>
      </c>
      <c r="E45" s="1">
        <v>3</v>
      </c>
      <c r="F45" s="1">
        <v>0</v>
      </c>
      <c r="G45" s="1">
        <v>0</v>
      </c>
      <c r="H45" s="1">
        <v>0</v>
      </c>
      <c r="I45" s="1">
        <v>0</v>
      </c>
      <c r="J45" s="1">
        <v>0</v>
      </c>
      <c r="K45" s="1">
        <v>0</v>
      </c>
      <c r="L45" s="1">
        <v>0</v>
      </c>
      <c r="M45" s="1">
        <v>0</v>
      </c>
      <c r="N45" s="1">
        <v>0</v>
      </c>
      <c r="O45" s="1">
        <v>0</v>
      </c>
      <c r="P45" s="1">
        <f>LN(B45)</f>
        <v>2.30258509299405</v>
      </c>
      <c r="Q45" s="1">
        <f>1-SUM(F45:J45)</f>
        <v>1</v>
      </c>
      <c r="R45" s="1" t="str">
        <f>IF(F45=1,"Napa valley",IF(G45=1,"Bay area",IF(H45=1,"Sonoma",IF(I45=1,"Sierra/foothills",IF(J45=1,"Mendocino/lake","Generic California")))))</f>
        <v>Generic California</v>
      </c>
      <c r="S45" s="1" t="str">
        <f>IF(F45=1,"Napa valley",IF(H45=1,"Sonoma","Other"))</f>
        <v>Other</v>
      </c>
      <c r="T45" s="1" t="str">
        <f>IF(M45=1,"Cabernet",IF(N45=1,"Merlot",IF(L45=1,"Pinot noir","Other")))</f>
        <v>Other</v>
      </c>
      <c r="U45" s="1" t="str">
        <f>IF(F45=1,B45,"")</f>
        <v/>
      </c>
      <c r="V45" s="1">
        <f>IF(F45=0,B45,"")</f>
        <v>10</v>
      </c>
      <c r="W45" s="1">
        <f>'Part B'!$B$150+SUMPRODUCT('Part B'!$B$164:$N$164,C45:O45)</f>
        <v>7.79884722408622</v>
      </c>
      <c r="X45" s="1">
        <f>B45-W45</f>
        <v>2.20115277591378</v>
      </c>
      <c r="Y45" s="1">
        <f>'Part B'!$B$179+SUMPRODUCT('Part B'!$B$193:$N$193,C45:O45)</f>
        <v>2.38605552228533</v>
      </c>
      <c r="Z45" s="1">
        <f>P45-Y45</f>
        <v>-0.0834704292912818</v>
      </c>
      <c r="AB45" s="1">
        <f>C45</f>
        <v>6.7</v>
      </c>
      <c r="AC45" s="1">
        <f>D45</f>
        <v>83</v>
      </c>
      <c r="AD45" s="1">
        <f>E45</f>
        <v>3</v>
      </c>
      <c r="AE45" s="1">
        <f>F45</f>
        <v>0</v>
      </c>
      <c r="AF45" s="1">
        <f>G45</f>
        <v>0</v>
      </c>
      <c r="AG45" s="1">
        <f>I45</f>
        <v>0</v>
      </c>
      <c r="AH45" s="1">
        <f>J45</f>
        <v>0</v>
      </c>
      <c r="AI45" s="1">
        <f>Q45</f>
        <v>1</v>
      </c>
      <c r="AJ45" s="1">
        <f>K45</f>
        <v>0</v>
      </c>
      <c r="AK45" s="1">
        <f>L45</f>
        <v>0</v>
      </c>
      <c r="AL45" s="1">
        <f>M45</f>
        <v>0</v>
      </c>
      <c r="AM45" s="1">
        <f>N45</f>
        <v>0</v>
      </c>
      <c r="AN45" s="1">
        <f>O45</f>
        <v>0</v>
      </c>
    </row>
    <row r="46">
      <c r="A46" s="1">
        <v>47</v>
      </c>
      <c r="B46" s="1">
        <v>10</v>
      </c>
      <c r="C46" s="1">
        <v>0.786</v>
      </c>
      <c r="D46" s="1">
        <v>83</v>
      </c>
      <c r="E46" s="1">
        <v>3</v>
      </c>
      <c r="F46" s="1">
        <v>0</v>
      </c>
      <c r="G46" s="1">
        <v>0</v>
      </c>
      <c r="H46" s="1">
        <v>0</v>
      </c>
      <c r="I46" s="1">
        <v>0</v>
      </c>
      <c r="J46" s="1">
        <v>0</v>
      </c>
      <c r="K46" s="1">
        <v>0</v>
      </c>
      <c r="L46" s="1">
        <v>0</v>
      </c>
      <c r="M46" s="1">
        <v>0</v>
      </c>
      <c r="N46" s="1">
        <v>0</v>
      </c>
      <c r="O46" s="1">
        <v>0</v>
      </c>
      <c r="P46" s="1">
        <f>LN(B46)</f>
        <v>2.30258509299405</v>
      </c>
      <c r="Q46" s="1">
        <f>1-SUM(F46:J46)</f>
        <v>1</v>
      </c>
      <c r="R46" s="1" t="str">
        <f>IF(F46=1,"Napa valley",IF(G46=1,"Bay area",IF(H46=1,"Sonoma",IF(I46=1,"Sierra/foothills",IF(J46=1,"Mendocino/lake","Generic California")))))</f>
        <v>Generic California</v>
      </c>
      <c r="S46" s="1" t="str">
        <f>IF(F46=1,"Napa valley",IF(H46=1,"Sonoma","Other"))</f>
        <v>Other</v>
      </c>
      <c r="T46" s="1" t="str">
        <f>IF(M46=1,"Cabernet",IF(N46=1,"Merlot",IF(L46=1,"Pinot noir","Other")))</f>
        <v>Other</v>
      </c>
      <c r="U46" s="1" t="str">
        <f>IF(F46=1,B46,"")</f>
        <v/>
      </c>
      <c r="V46" s="1">
        <f>IF(F46=0,B46,"")</f>
        <v>10</v>
      </c>
      <c r="W46" s="1">
        <f>'Part B'!$B$150+SUMPRODUCT('Part B'!$B$164:$N$164,C46:O46)</f>
        <v>8.36016725767837</v>
      </c>
      <c r="X46" s="1">
        <f>B46-W46</f>
        <v>1.63983274232163</v>
      </c>
      <c r="Y46" s="1">
        <f>'Part B'!$B$179+SUMPRODUCT('Part B'!$B$193:$N$193,C46:O46)</f>
        <v>2.41136192538135</v>
      </c>
      <c r="Z46" s="1">
        <f>P46-Y46</f>
        <v>-0.108776832387306</v>
      </c>
      <c r="AB46" s="1">
        <f>C46</f>
        <v>0.786</v>
      </c>
      <c r="AC46" s="1">
        <f>D46</f>
        <v>83</v>
      </c>
      <c r="AD46" s="1">
        <f>E46</f>
        <v>3</v>
      </c>
      <c r="AE46" s="1">
        <f>F46</f>
        <v>0</v>
      </c>
      <c r="AF46" s="1">
        <f>G46</f>
        <v>0</v>
      </c>
      <c r="AG46" s="1">
        <f>I46</f>
        <v>0</v>
      </c>
      <c r="AH46" s="1">
        <f>J46</f>
        <v>0</v>
      </c>
      <c r="AI46" s="1">
        <f>Q46</f>
        <v>1</v>
      </c>
      <c r="AJ46" s="1">
        <f>K46</f>
        <v>0</v>
      </c>
      <c r="AK46" s="1">
        <f>L46</f>
        <v>0</v>
      </c>
      <c r="AL46" s="1">
        <f>M46</f>
        <v>0</v>
      </c>
      <c r="AM46" s="1">
        <f>N46</f>
        <v>0</v>
      </c>
      <c r="AN46" s="1">
        <f>O46</f>
        <v>0</v>
      </c>
    </row>
    <row r="47">
      <c r="A47" s="1">
        <v>48</v>
      </c>
      <c r="B47" s="1">
        <v>10</v>
      </c>
      <c r="C47" s="1">
        <v>8</v>
      </c>
      <c r="D47" s="1">
        <v>74</v>
      </c>
      <c r="E47" s="1">
        <v>3</v>
      </c>
      <c r="F47" s="1">
        <v>0</v>
      </c>
      <c r="G47" s="1">
        <v>1</v>
      </c>
      <c r="H47" s="1">
        <v>0</v>
      </c>
      <c r="I47" s="1">
        <v>0</v>
      </c>
      <c r="J47" s="1">
        <v>0</v>
      </c>
      <c r="K47" s="1">
        <v>0</v>
      </c>
      <c r="L47" s="1">
        <v>0</v>
      </c>
      <c r="M47" s="1">
        <v>1</v>
      </c>
      <c r="N47" s="1">
        <v>0</v>
      </c>
      <c r="O47" s="1">
        <v>0</v>
      </c>
      <c r="P47" s="1">
        <f>LN(B47)</f>
        <v>2.30258509299405</v>
      </c>
      <c r="Q47" s="1">
        <f>1-SUM(F47:J47)</f>
        <v>0</v>
      </c>
      <c r="R47" s="1" t="str">
        <f>IF(F47=1,"Napa valley",IF(G47=1,"Bay area",IF(H47=1,"Sonoma",IF(I47=1,"Sierra/foothills",IF(J47=1,"Mendocino/lake","Generic California")))))</f>
        <v>Bay area</v>
      </c>
      <c r="S47" s="1" t="str">
        <f>IF(F47=1,"Napa valley",IF(H47=1,"Sonoma","Other"))</f>
        <v>Other</v>
      </c>
      <c r="T47" s="1" t="str">
        <f>IF(M47=1,"Cabernet",IF(N47=1,"Merlot",IF(L47=1,"Pinot noir","Other")))</f>
        <v>Cabernet</v>
      </c>
      <c r="U47" s="1" t="str">
        <f>IF(F47=1,B47,"")</f>
        <v/>
      </c>
      <c r="V47" s="1">
        <f>IF(F47=0,B47,"")</f>
        <v>10</v>
      </c>
      <c r="W47" s="1">
        <f>'Part B'!$B$150+SUMPRODUCT('Part B'!$B$164:$N$164,C47:O47)</f>
        <v>-5.72428313856113</v>
      </c>
      <c r="X47" s="1">
        <f>B47-W47</f>
        <v>15.7242831385611</v>
      </c>
      <c r="Y47" s="1">
        <f>'Part B'!$B$179+SUMPRODUCT('Part B'!$B$193:$N$193,C47:O47)</f>
        <v>2.32682304899522</v>
      </c>
      <c r="Z47" s="1">
        <f>P47-Y47</f>
        <v>-0.0242379560011772</v>
      </c>
      <c r="AB47" s="1">
        <f>C47</f>
        <v>8</v>
      </c>
      <c r="AC47" s="1">
        <f>D47</f>
        <v>74</v>
      </c>
      <c r="AD47" s="1">
        <f>E47</f>
        <v>3</v>
      </c>
      <c r="AE47" s="1">
        <f>F47</f>
        <v>0</v>
      </c>
      <c r="AF47" s="1">
        <f>G47</f>
        <v>1</v>
      </c>
      <c r="AG47" s="1">
        <f>I47</f>
        <v>0</v>
      </c>
      <c r="AH47" s="1">
        <f>J47</f>
        <v>0</v>
      </c>
      <c r="AI47" s="1">
        <f>Q47</f>
        <v>0</v>
      </c>
      <c r="AJ47" s="1">
        <f>K47</f>
        <v>0</v>
      </c>
      <c r="AK47" s="1">
        <f>L47</f>
        <v>0</v>
      </c>
      <c r="AL47" s="1">
        <f>M47</f>
        <v>1</v>
      </c>
      <c r="AM47" s="1">
        <f>N47</f>
        <v>0</v>
      </c>
      <c r="AN47" s="1">
        <f>O47</f>
        <v>0</v>
      </c>
    </row>
    <row r="48">
      <c r="A48" s="1">
        <v>49</v>
      </c>
      <c r="B48" s="1">
        <v>10</v>
      </c>
      <c r="C48" s="1">
        <v>1</v>
      </c>
      <c r="D48" s="1">
        <v>75</v>
      </c>
      <c r="E48" s="1">
        <v>3</v>
      </c>
      <c r="F48" s="1">
        <v>0</v>
      </c>
      <c r="G48" s="1">
        <v>1</v>
      </c>
      <c r="H48" s="1">
        <v>0</v>
      </c>
      <c r="I48" s="1">
        <v>0</v>
      </c>
      <c r="J48" s="1">
        <v>0</v>
      </c>
      <c r="K48" s="1">
        <v>0</v>
      </c>
      <c r="L48" s="1">
        <v>0</v>
      </c>
      <c r="M48" s="1">
        <v>0</v>
      </c>
      <c r="N48" s="1">
        <v>1</v>
      </c>
      <c r="O48" s="1">
        <v>0</v>
      </c>
      <c r="P48" s="1">
        <f>LN(B48)</f>
        <v>2.30258509299405</v>
      </c>
      <c r="Q48" s="1">
        <f>1-SUM(F48:J48)</f>
        <v>0</v>
      </c>
      <c r="R48" s="1" t="str">
        <f>IF(F48=1,"Napa valley",IF(G48=1,"Bay area",IF(H48=1,"Sonoma",IF(I48=1,"Sierra/foothills",IF(J48=1,"Mendocino/lake","Generic California")))))</f>
        <v>Bay area</v>
      </c>
      <c r="S48" s="1" t="str">
        <f>IF(F48=1,"Napa valley",IF(H48=1,"Sonoma","Other"))</f>
        <v>Other</v>
      </c>
      <c r="T48" s="1" t="str">
        <f>IF(M48=1,"Cabernet",IF(N48=1,"Merlot",IF(L48=1,"Pinot noir","Other")))</f>
        <v>Merlot</v>
      </c>
      <c r="U48" s="1" t="str">
        <f>IF(F48=1,B48,"")</f>
        <v/>
      </c>
      <c r="V48" s="1">
        <f>IF(F48=0,B48,"")</f>
        <v>10</v>
      </c>
      <c r="W48" s="1">
        <f>'Part B'!$B$150+SUMPRODUCT('Part B'!$B$164:$N$164,C48:O48)</f>
        <v>-6.88183374661674</v>
      </c>
      <c r="X48" s="1">
        <f>B48-W48</f>
        <v>16.8818337466167</v>
      </c>
      <c r="Y48" s="1">
        <f>'Part B'!$B$179+SUMPRODUCT('Part B'!$B$193:$N$193,C48:O48)</f>
        <v>2.39025695728919</v>
      </c>
      <c r="Z48" s="1">
        <f>P48-Y48</f>
        <v>-0.0876718642951468</v>
      </c>
      <c r="AB48" s="1">
        <f>C48</f>
        <v>1</v>
      </c>
      <c r="AC48" s="1">
        <f>D48</f>
        <v>75</v>
      </c>
      <c r="AD48" s="1">
        <f>E48</f>
        <v>3</v>
      </c>
      <c r="AE48" s="1">
        <f>F48</f>
        <v>0</v>
      </c>
      <c r="AF48" s="1">
        <f>G48</f>
        <v>1</v>
      </c>
      <c r="AG48" s="1">
        <f>I48</f>
        <v>0</v>
      </c>
      <c r="AH48" s="1">
        <f>J48</f>
        <v>0</v>
      </c>
      <c r="AI48" s="1">
        <f>Q48</f>
        <v>0</v>
      </c>
      <c r="AJ48" s="1">
        <f>K48</f>
        <v>0</v>
      </c>
      <c r="AK48" s="1">
        <f>L48</f>
        <v>0</v>
      </c>
      <c r="AL48" s="1">
        <f>M48</f>
        <v>0</v>
      </c>
      <c r="AM48" s="1">
        <f>N48</f>
        <v>1</v>
      </c>
      <c r="AN48" s="1">
        <f>O48</f>
        <v>0</v>
      </c>
    </row>
    <row r="49">
      <c r="A49" s="1">
        <v>50</v>
      </c>
      <c r="B49" s="1">
        <v>10</v>
      </c>
      <c r="C49" s="1">
        <v>1</v>
      </c>
      <c r="D49" s="1">
        <v>85</v>
      </c>
      <c r="E49" s="1">
        <v>3</v>
      </c>
      <c r="F49" s="1">
        <v>0</v>
      </c>
      <c r="G49" s="1">
        <v>1</v>
      </c>
      <c r="H49" s="1">
        <v>0</v>
      </c>
      <c r="I49" s="1">
        <v>0</v>
      </c>
      <c r="J49" s="1">
        <v>0</v>
      </c>
      <c r="K49" s="1">
        <v>0</v>
      </c>
      <c r="L49" s="1">
        <v>0</v>
      </c>
      <c r="M49" s="1">
        <v>0</v>
      </c>
      <c r="N49" s="1">
        <v>0</v>
      </c>
      <c r="O49" s="1">
        <v>1</v>
      </c>
      <c r="P49" s="1">
        <f>LN(B49)</f>
        <v>2.30258509299405</v>
      </c>
      <c r="Q49" s="1">
        <f>1-SUM(F49:J49)</f>
        <v>0</v>
      </c>
      <c r="R49" s="1" t="str">
        <f>IF(F49=1,"Napa valley",IF(G49=1,"Bay area",IF(H49=1,"Sonoma",IF(I49=1,"Sierra/foothills",IF(J49=1,"Mendocino/lake","Generic California")))))</f>
        <v>Bay area</v>
      </c>
      <c r="S49" s="1" t="str">
        <f>IF(F49=1,"Napa valley",IF(H49=1,"Sonoma","Other"))</f>
        <v>Other</v>
      </c>
      <c r="T49" s="1" t="str">
        <f>IF(M49=1,"Cabernet",IF(N49=1,"Merlot",IF(L49=1,"Pinot noir","Other")))</f>
        <v>Other</v>
      </c>
      <c r="U49" s="1" t="str">
        <f>IF(F49=1,B49,"")</f>
        <v/>
      </c>
      <c r="V49" s="1">
        <f>IF(F49=0,B49,"")</f>
        <v>10</v>
      </c>
      <c r="W49" s="1">
        <f>'Part B'!$B$150+SUMPRODUCT('Part B'!$B$164:$N$164,C49:O49)</f>
        <v>16.5026404220602</v>
      </c>
      <c r="X49" s="1">
        <f>B49-W49</f>
        <v>-6.50264042206015</v>
      </c>
      <c r="Y49" s="1">
        <f>'Part B'!$B$179+SUMPRODUCT('Part B'!$B$193:$N$193,C49:O49)</f>
        <v>2.84858986663529</v>
      </c>
      <c r="Z49" s="1">
        <f>P49-Y49</f>
        <v>-0.546004773641247</v>
      </c>
      <c r="AB49" s="1">
        <f>C49</f>
        <v>1</v>
      </c>
      <c r="AC49" s="1">
        <f>D49</f>
        <v>85</v>
      </c>
      <c r="AD49" s="1">
        <f>E49</f>
        <v>3</v>
      </c>
      <c r="AE49" s="1">
        <f>F49</f>
        <v>0</v>
      </c>
      <c r="AF49" s="1">
        <f>G49</f>
        <v>1</v>
      </c>
      <c r="AG49" s="1">
        <f>I49</f>
        <v>0</v>
      </c>
      <c r="AH49" s="1">
        <f>J49</f>
        <v>0</v>
      </c>
      <c r="AI49" s="1">
        <f>Q49</f>
        <v>0</v>
      </c>
      <c r="AJ49" s="1">
        <f>K49</f>
        <v>0</v>
      </c>
      <c r="AK49" s="1">
        <f>L49</f>
        <v>0</v>
      </c>
      <c r="AL49" s="1">
        <f>M49</f>
        <v>0</v>
      </c>
      <c r="AM49" s="1">
        <f>N49</f>
        <v>0</v>
      </c>
      <c r="AN49" s="1">
        <f>O49</f>
        <v>1</v>
      </c>
    </row>
    <row r="50">
      <c r="A50" s="1">
        <v>51</v>
      </c>
      <c r="B50" s="1">
        <v>10</v>
      </c>
      <c r="C50" s="1">
        <v>1.986</v>
      </c>
      <c r="D50" s="1">
        <v>83</v>
      </c>
      <c r="E50" s="1">
        <v>3</v>
      </c>
      <c r="F50" s="1">
        <v>1</v>
      </c>
      <c r="G50" s="1">
        <v>0</v>
      </c>
      <c r="H50" s="1">
        <v>0</v>
      </c>
      <c r="I50" s="1">
        <v>0</v>
      </c>
      <c r="J50" s="1">
        <v>0</v>
      </c>
      <c r="K50" s="1">
        <v>0</v>
      </c>
      <c r="L50" s="1">
        <v>0</v>
      </c>
      <c r="M50" s="1">
        <v>0</v>
      </c>
      <c r="N50" s="1">
        <v>0</v>
      </c>
      <c r="O50" s="1">
        <v>0</v>
      </c>
      <c r="P50" s="1">
        <f>LN(B50)</f>
        <v>2.30258509299405</v>
      </c>
      <c r="Q50" s="1">
        <f>1-SUM(F50:J50)</f>
        <v>0</v>
      </c>
      <c r="R50" s="1" t="str">
        <f>IF(F50=1,"Napa valley",IF(G50=1,"Bay area",IF(H50=1,"Sonoma",IF(I50=1,"Sierra/foothills",IF(J50=1,"Mendocino/lake","Generic California")))))</f>
        <v>Napa valley</v>
      </c>
      <c r="S50" s="1" t="str">
        <f>IF(F50=1,"Napa valley",IF(H50=1,"Sonoma","Other"))</f>
        <v>Napa valley</v>
      </c>
      <c r="T50" s="1" t="str">
        <f>IF(M50=1,"Cabernet",IF(N50=1,"Merlot",IF(L50=1,"Pinot noir","Other")))</f>
        <v>Other</v>
      </c>
      <c r="U50" s="1">
        <f>IF(F50=1,B50,"")</f>
        <v>10</v>
      </c>
      <c r="V50" s="1" t="str">
        <f>IF(F50=0,B50,"")</f>
        <v/>
      </c>
      <c r="W50" s="1">
        <f>'Part B'!$B$150+SUMPRODUCT('Part B'!$B$164:$N$164,C50:O50)</f>
        <v>15.3072751674519</v>
      </c>
      <c r="X50" s="1">
        <f>B50-W50</f>
        <v>-5.30727516745191</v>
      </c>
      <c r="Y50" s="1">
        <f>'Part B'!$B$179+SUMPRODUCT('Part B'!$B$193:$N$193,C50:O50)</f>
        <v>2.83594645768085</v>
      </c>
      <c r="Z50" s="1">
        <f>P50-Y50</f>
        <v>-0.533361364686806</v>
      </c>
      <c r="AB50" s="1">
        <f>C50</f>
        <v>1.986</v>
      </c>
      <c r="AC50" s="1">
        <f>D50</f>
        <v>83</v>
      </c>
      <c r="AD50" s="1">
        <f>E50</f>
        <v>3</v>
      </c>
      <c r="AE50" s="1">
        <f>F50</f>
        <v>1</v>
      </c>
      <c r="AF50" s="1">
        <f>G50</f>
        <v>0</v>
      </c>
      <c r="AG50" s="1">
        <f>I50</f>
        <v>0</v>
      </c>
      <c r="AH50" s="1">
        <f>J50</f>
        <v>0</v>
      </c>
      <c r="AI50" s="1">
        <f>Q50</f>
        <v>0</v>
      </c>
      <c r="AJ50" s="1">
        <f>K50</f>
        <v>0</v>
      </c>
      <c r="AK50" s="1">
        <f>L50</f>
        <v>0</v>
      </c>
      <c r="AL50" s="1">
        <f>M50</f>
        <v>0</v>
      </c>
      <c r="AM50" s="1">
        <f>N50</f>
        <v>0</v>
      </c>
      <c r="AN50" s="1">
        <f>O50</f>
        <v>0</v>
      </c>
    </row>
    <row r="51">
      <c r="A51" s="1">
        <v>52</v>
      </c>
      <c r="B51" s="1">
        <v>10</v>
      </c>
      <c r="C51" s="1">
        <v>1.2</v>
      </c>
      <c r="D51" s="1">
        <v>86</v>
      </c>
      <c r="E51" s="1">
        <v>3</v>
      </c>
      <c r="F51" s="1">
        <v>0</v>
      </c>
      <c r="G51" s="1">
        <v>0</v>
      </c>
      <c r="H51" s="1">
        <v>0</v>
      </c>
      <c r="I51" s="1">
        <v>0</v>
      </c>
      <c r="J51" s="1">
        <v>1</v>
      </c>
      <c r="K51" s="1">
        <v>0</v>
      </c>
      <c r="L51" s="1">
        <v>0</v>
      </c>
      <c r="M51" s="1">
        <v>0</v>
      </c>
      <c r="N51" s="1">
        <v>0</v>
      </c>
      <c r="O51" s="1">
        <v>1</v>
      </c>
      <c r="P51" s="1">
        <f>LN(B51)</f>
        <v>2.30258509299405</v>
      </c>
      <c r="Q51" s="1">
        <f>1-SUM(F51:J51)</f>
        <v>0</v>
      </c>
      <c r="R51" s="1" t="str">
        <f>IF(F51=1,"Napa valley",IF(G51=1,"Bay area",IF(H51=1,"Sonoma",IF(I51=1,"Sierra/foothills",IF(J51=1,"Mendocino/lake","Generic California")))))</f>
        <v>Mendocino/lake</v>
      </c>
      <c r="S51" s="1" t="str">
        <f>IF(F51=1,"Napa valley",IF(H51=1,"Sonoma","Other"))</f>
        <v>Other</v>
      </c>
      <c r="T51" s="1" t="str">
        <f>IF(M51=1,"Cabernet",IF(N51=1,"Merlot",IF(L51=1,"Pinot noir","Other")))</f>
        <v>Other</v>
      </c>
      <c r="U51" s="1" t="str">
        <f>IF(F51=1,B51,"")</f>
        <v/>
      </c>
      <c r="V51" s="1">
        <f>IF(F51=0,B51,"")</f>
        <v>10</v>
      </c>
      <c r="W51" s="1">
        <f>'Part B'!$B$150+SUMPRODUCT('Part B'!$B$164:$N$164,C51:O51)</f>
        <v>18.23141659257</v>
      </c>
      <c r="X51" s="1">
        <f>B51-W51</f>
        <v>-8.23141659257004</v>
      </c>
      <c r="Y51" s="1">
        <f>'Part B'!$B$179+SUMPRODUCT('Part B'!$B$193:$N$193,C51:O51)</f>
        <v>2.89993535814079</v>
      </c>
      <c r="Z51" s="1">
        <f>P51-Y51</f>
        <v>-0.597350265146742</v>
      </c>
      <c r="AB51" s="1">
        <f>C51</f>
        <v>1.2</v>
      </c>
      <c r="AC51" s="1">
        <f>D51</f>
        <v>86</v>
      </c>
      <c r="AD51" s="1">
        <f>E51</f>
        <v>3</v>
      </c>
      <c r="AE51" s="1">
        <f>F51</f>
        <v>0</v>
      </c>
      <c r="AF51" s="1">
        <f>G51</f>
        <v>0</v>
      </c>
      <c r="AG51" s="1">
        <f>I51</f>
        <v>0</v>
      </c>
      <c r="AH51" s="1">
        <f>J51</f>
        <v>1</v>
      </c>
      <c r="AI51" s="1">
        <f>Q51</f>
        <v>0</v>
      </c>
      <c r="AJ51" s="1">
        <f>K51</f>
        <v>0</v>
      </c>
      <c r="AK51" s="1">
        <f>L51</f>
        <v>0</v>
      </c>
      <c r="AL51" s="1">
        <f>M51</f>
        <v>0</v>
      </c>
      <c r="AM51" s="1">
        <f>N51</f>
        <v>0</v>
      </c>
      <c r="AN51" s="1">
        <f>O51</f>
        <v>1</v>
      </c>
    </row>
    <row r="52">
      <c r="A52" s="1">
        <v>53</v>
      </c>
      <c r="B52" s="1">
        <v>10</v>
      </c>
      <c r="C52" s="1">
        <v>0.55</v>
      </c>
      <c r="D52" s="1">
        <v>84</v>
      </c>
      <c r="E52" s="1">
        <v>3</v>
      </c>
      <c r="F52" s="1">
        <v>0</v>
      </c>
      <c r="G52" s="1">
        <v>0</v>
      </c>
      <c r="H52" s="1">
        <v>0</v>
      </c>
      <c r="I52" s="1">
        <v>0</v>
      </c>
      <c r="J52" s="1">
        <v>0</v>
      </c>
      <c r="K52" s="1">
        <v>0</v>
      </c>
      <c r="L52" s="1">
        <v>0</v>
      </c>
      <c r="M52" s="1">
        <v>0</v>
      </c>
      <c r="N52" s="1">
        <v>0</v>
      </c>
      <c r="O52" s="1">
        <v>0</v>
      </c>
      <c r="P52" s="1">
        <f>LN(B52)</f>
        <v>2.30258509299405</v>
      </c>
      <c r="Q52" s="1">
        <f>1-SUM(F52:J52)</f>
        <v>1</v>
      </c>
      <c r="R52" s="1" t="str">
        <f>IF(F52=1,"Napa valley",IF(G52=1,"Bay area",IF(H52=1,"Sonoma",IF(I52=1,"Sierra/foothills",IF(J52=1,"Mendocino/lake","Generic California")))))</f>
        <v>Generic California</v>
      </c>
      <c r="S52" s="1" t="str">
        <f>IF(F52=1,"Napa valley",IF(H52=1,"Sonoma","Other"))</f>
        <v>Other</v>
      </c>
      <c r="T52" s="1" t="str">
        <f>IF(M52=1,"Cabernet",IF(N52=1,"Merlot",IF(L52=1,"Pinot noir","Other")))</f>
        <v>Other</v>
      </c>
      <c r="U52" s="1" t="str">
        <f>IF(F52=1,B52,"")</f>
        <v/>
      </c>
      <c r="V52" s="1">
        <f>IF(F52=0,B52,"")</f>
        <v>10</v>
      </c>
      <c r="W52" s="1">
        <f>'Part B'!$B$150+SUMPRODUCT('Part B'!$B$164:$N$164,C52:O52)</f>
        <v>11.5276639996717</v>
      </c>
      <c r="X52" s="1">
        <f>B52-W52</f>
        <v>-1.52766399967175</v>
      </c>
      <c r="Y52" s="1">
        <f>'Part B'!$B$179+SUMPRODUCT('Part B'!$B$193:$N$193,C52:O52)</f>
        <v>2.48233315402502</v>
      </c>
      <c r="Z52" s="1">
        <f>P52-Y52</f>
        <v>-0.179748061030971</v>
      </c>
      <c r="AB52" s="1">
        <f>C52</f>
        <v>0.55</v>
      </c>
      <c r="AC52" s="1">
        <f>D52</f>
        <v>84</v>
      </c>
      <c r="AD52" s="1">
        <f>E52</f>
        <v>3</v>
      </c>
      <c r="AE52" s="1">
        <f>F52</f>
        <v>0</v>
      </c>
      <c r="AF52" s="1">
        <f>G52</f>
        <v>0</v>
      </c>
      <c r="AG52" s="1">
        <f>I52</f>
        <v>0</v>
      </c>
      <c r="AH52" s="1">
        <f>J52</f>
        <v>0</v>
      </c>
      <c r="AI52" s="1">
        <f>Q52</f>
        <v>1</v>
      </c>
      <c r="AJ52" s="1">
        <f>K52</f>
        <v>0</v>
      </c>
      <c r="AK52" s="1">
        <f>L52</f>
        <v>0</v>
      </c>
      <c r="AL52" s="1">
        <f>M52</f>
        <v>0</v>
      </c>
      <c r="AM52" s="1">
        <f>N52</f>
        <v>0</v>
      </c>
      <c r="AN52" s="1">
        <f>O52</f>
        <v>0</v>
      </c>
    </row>
    <row r="53">
      <c r="A53" s="1">
        <v>54</v>
      </c>
      <c r="B53" s="1">
        <v>10</v>
      </c>
      <c r="C53" s="1">
        <v>8.5</v>
      </c>
      <c r="D53" s="1">
        <v>84</v>
      </c>
      <c r="E53" s="1">
        <v>3</v>
      </c>
      <c r="F53" s="1">
        <v>0</v>
      </c>
      <c r="G53" s="1">
        <v>0</v>
      </c>
      <c r="H53" s="1">
        <v>1</v>
      </c>
      <c r="I53" s="1">
        <v>0</v>
      </c>
      <c r="J53" s="1">
        <v>0</v>
      </c>
      <c r="K53" s="1">
        <v>0</v>
      </c>
      <c r="L53" s="1">
        <v>0</v>
      </c>
      <c r="M53" s="1">
        <v>0</v>
      </c>
      <c r="N53" s="1">
        <v>0</v>
      </c>
      <c r="O53" s="1">
        <v>0</v>
      </c>
      <c r="P53" s="1">
        <f>LN(B53)</f>
        <v>2.30258509299405</v>
      </c>
      <c r="Q53" s="1">
        <f>1-SUM(F53:J53)</f>
        <v>0</v>
      </c>
      <c r="R53" s="1" t="str">
        <f>IF(F53=1,"Napa valley",IF(G53=1,"Bay area",IF(H53=1,"Sonoma",IF(I53=1,"Sierra/foothills",IF(J53=1,"Mendocino/lake","Generic California")))))</f>
        <v>Sonoma</v>
      </c>
      <c r="S53" s="1" t="str">
        <f>IF(F53=1,"Napa valley",IF(H53=1,"Sonoma","Other"))</f>
        <v>Sonoma</v>
      </c>
      <c r="T53" s="1" t="str">
        <f>IF(M53=1,"Cabernet",IF(N53=1,"Merlot",IF(L53=1,"Pinot noir","Other")))</f>
        <v>Other</v>
      </c>
      <c r="U53" s="1" t="str">
        <f>IF(F53=1,B53,"")</f>
        <v/>
      </c>
      <c r="V53" s="1">
        <f>IF(F53=0,B53,"")</f>
        <v>10</v>
      </c>
      <c r="W53" s="1">
        <f>'Part B'!$B$150+SUMPRODUCT('Part B'!$B$164:$N$164,C53:O53)</f>
        <v>9.93765614464519</v>
      </c>
      <c r="X53" s="1">
        <f>B53-W53</f>
        <v>0.0623438553548112</v>
      </c>
      <c r="Y53" s="1">
        <f>'Part B'!$B$179+SUMPRODUCT('Part B'!$B$193:$N$193,C53:O53)</f>
        <v>2.73024641819503</v>
      </c>
      <c r="Z53" s="1">
        <f>P53-Y53</f>
        <v>-0.427661325200988</v>
      </c>
      <c r="AB53" s="1">
        <f>C53</f>
        <v>8.5</v>
      </c>
      <c r="AC53" s="1">
        <f>D53</f>
        <v>84</v>
      </c>
      <c r="AD53" s="1">
        <f>E53</f>
        <v>3</v>
      </c>
      <c r="AE53" s="1">
        <f>F53</f>
        <v>0</v>
      </c>
      <c r="AF53" s="1">
        <f>G53</f>
        <v>0</v>
      </c>
      <c r="AG53" s="1">
        <f>I53</f>
        <v>0</v>
      </c>
      <c r="AH53" s="1">
        <f>J53</f>
        <v>0</v>
      </c>
      <c r="AI53" s="1">
        <f>Q53</f>
        <v>0</v>
      </c>
      <c r="AJ53" s="1">
        <f>K53</f>
        <v>0</v>
      </c>
      <c r="AK53" s="1">
        <f>L53</f>
        <v>0</v>
      </c>
      <c r="AL53" s="1">
        <f>M53</f>
        <v>0</v>
      </c>
      <c r="AM53" s="1">
        <f>N53</f>
        <v>0</v>
      </c>
      <c r="AN53" s="1">
        <f>O53</f>
        <v>0</v>
      </c>
    </row>
    <row r="54">
      <c r="A54" s="1">
        <v>55</v>
      </c>
      <c r="B54" s="1">
        <v>10</v>
      </c>
      <c r="C54" s="1">
        <v>60</v>
      </c>
      <c r="D54" s="1">
        <v>86</v>
      </c>
      <c r="E54" s="1">
        <v>3</v>
      </c>
      <c r="F54" s="1">
        <v>0</v>
      </c>
      <c r="G54" s="1">
        <v>0</v>
      </c>
      <c r="H54" s="1">
        <v>0</v>
      </c>
      <c r="I54" s="1">
        <v>0</v>
      </c>
      <c r="J54" s="1">
        <v>0</v>
      </c>
      <c r="K54" s="1">
        <v>0</v>
      </c>
      <c r="L54" s="1">
        <v>0</v>
      </c>
      <c r="M54" s="1">
        <v>1</v>
      </c>
      <c r="N54" s="1">
        <v>0</v>
      </c>
      <c r="O54" s="1">
        <v>0</v>
      </c>
      <c r="P54" s="1">
        <f>LN(B54)</f>
        <v>2.30258509299405</v>
      </c>
      <c r="Q54" s="1">
        <f>1-SUM(F54:J54)</f>
        <v>1</v>
      </c>
      <c r="R54" s="1" t="str">
        <f>IF(F54=1,"Napa valley",IF(G54=1,"Bay area",IF(H54=1,"Sonoma",IF(I54=1,"Sierra/foothills",IF(J54=1,"Mendocino/lake","Generic California")))))</f>
        <v>Generic California</v>
      </c>
      <c r="S54" s="1" t="str">
        <f>IF(F54=1,"Napa valley",IF(H54=1,"Sonoma","Other"))</f>
        <v>Other</v>
      </c>
      <c r="T54" s="1" t="str">
        <f>IF(M54=1,"Cabernet",IF(N54=1,"Merlot",IF(L54=1,"Pinot noir","Other")))</f>
        <v>Cabernet</v>
      </c>
      <c r="U54" s="1" t="str">
        <f>IF(F54=1,B54,"")</f>
        <v/>
      </c>
      <c r="V54" s="1">
        <f>IF(F54=0,B54,"")</f>
        <v>10</v>
      </c>
      <c r="W54" s="1">
        <f>'Part B'!$B$150+SUMPRODUCT('Part B'!$B$164:$N$164,C54:O54)</f>
        <v>24.8024882220768</v>
      </c>
      <c r="X54" s="1">
        <f>B54-W54</f>
        <v>-14.8024882220768</v>
      </c>
      <c r="Y54" s="1">
        <f>'Part B'!$B$179+SUMPRODUCT('Part B'!$B$193:$N$193,C54:O54)</f>
        <v>2.68886101023203</v>
      </c>
      <c r="Z54" s="1">
        <f>P54-Y54</f>
        <v>-0.386275917237981</v>
      </c>
      <c r="AB54" s="1">
        <f>C54</f>
        <v>60</v>
      </c>
      <c r="AC54" s="1">
        <f>D54</f>
        <v>86</v>
      </c>
      <c r="AD54" s="1">
        <f>E54</f>
        <v>3</v>
      </c>
      <c r="AE54" s="1">
        <f>F54</f>
        <v>0</v>
      </c>
      <c r="AF54" s="1">
        <f>G54</f>
        <v>0</v>
      </c>
      <c r="AG54" s="1">
        <f>I54</f>
        <v>0</v>
      </c>
      <c r="AH54" s="1">
        <f>J54</f>
        <v>0</v>
      </c>
      <c r="AI54" s="1">
        <f>Q54</f>
        <v>1</v>
      </c>
      <c r="AJ54" s="1">
        <f>K54</f>
        <v>0</v>
      </c>
      <c r="AK54" s="1">
        <f>L54</f>
        <v>0</v>
      </c>
      <c r="AL54" s="1">
        <f>M54</f>
        <v>1</v>
      </c>
      <c r="AM54" s="1">
        <f>N54</f>
        <v>0</v>
      </c>
      <c r="AN54" s="1">
        <f>O54</f>
        <v>0</v>
      </c>
    </row>
    <row r="55">
      <c r="A55" s="1">
        <v>56</v>
      </c>
      <c r="B55" s="1">
        <v>10</v>
      </c>
      <c r="C55" s="1">
        <v>30</v>
      </c>
      <c r="D55" s="1">
        <v>83</v>
      </c>
      <c r="E55" s="1">
        <v>3</v>
      </c>
      <c r="F55" s="1">
        <v>0</v>
      </c>
      <c r="G55" s="1">
        <v>0</v>
      </c>
      <c r="H55" s="1">
        <v>1</v>
      </c>
      <c r="I55" s="1">
        <v>0</v>
      </c>
      <c r="J55" s="1">
        <v>0</v>
      </c>
      <c r="K55" s="1">
        <v>0</v>
      </c>
      <c r="L55" s="1">
        <v>0</v>
      </c>
      <c r="M55" s="1">
        <v>0</v>
      </c>
      <c r="N55" s="1">
        <v>1</v>
      </c>
      <c r="O55" s="1">
        <v>0</v>
      </c>
      <c r="P55" s="1">
        <f>LN(B55)</f>
        <v>2.30258509299405</v>
      </c>
      <c r="Q55" s="1">
        <f>1-SUM(F55:J55)</f>
        <v>0</v>
      </c>
      <c r="R55" s="1" t="str">
        <f>IF(F55=1,"Napa valley",IF(G55=1,"Bay area",IF(H55=1,"Sonoma",IF(I55=1,"Sierra/foothills",IF(J55=1,"Mendocino/lake","Generic California")))))</f>
        <v>Sonoma</v>
      </c>
      <c r="S55" s="1" t="str">
        <f>IF(F55=1,"Napa valley",IF(H55=1,"Sonoma","Other"))</f>
        <v>Sonoma</v>
      </c>
      <c r="T55" s="1" t="str">
        <f>IF(M55=1,"Cabernet",IF(N55=1,"Merlot",IF(L55=1,"Pinot noir","Other")))</f>
        <v>Merlot</v>
      </c>
      <c r="U55" s="1" t="str">
        <f>IF(F55=1,B55,"")</f>
        <v/>
      </c>
      <c r="V55" s="1">
        <f>IF(F55=0,B55,"")</f>
        <v>10</v>
      </c>
      <c r="W55" s="1">
        <f>'Part B'!$B$150+SUMPRODUCT('Part B'!$B$164:$N$164,C55:O55)</f>
        <v>12.412122559602</v>
      </c>
      <c r="X55" s="1">
        <f>B55-W55</f>
        <v>-2.41212255960204</v>
      </c>
      <c r="Y55" s="1">
        <f>'Part B'!$B$179+SUMPRODUCT('Part B'!$B$193:$N$193,C55:O55)</f>
        <v>2.85279983564664</v>
      </c>
      <c r="Z55" s="1">
        <f>P55-Y55</f>
        <v>-0.550214742652596</v>
      </c>
      <c r="AB55" s="1">
        <f>C55</f>
        <v>30</v>
      </c>
      <c r="AC55" s="1">
        <f>D55</f>
        <v>83</v>
      </c>
      <c r="AD55" s="1">
        <f>E55</f>
        <v>3</v>
      </c>
      <c r="AE55" s="1">
        <f>F55</f>
        <v>0</v>
      </c>
      <c r="AF55" s="1">
        <f>G55</f>
        <v>0</v>
      </c>
      <c r="AG55" s="1">
        <f>I55</f>
        <v>0</v>
      </c>
      <c r="AH55" s="1">
        <f>J55</f>
        <v>0</v>
      </c>
      <c r="AI55" s="1">
        <f>Q55</f>
        <v>0</v>
      </c>
      <c r="AJ55" s="1">
        <f>K55</f>
        <v>0</v>
      </c>
      <c r="AK55" s="1">
        <f>L55</f>
        <v>0</v>
      </c>
      <c r="AL55" s="1">
        <f>M55</f>
        <v>0</v>
      </c>
      <c r="AM55" s="1">
        <f>N55</f>
        <v>1</v>
      </c>
      <c r="AN55" s="1">
        <f>O55</f>
        <v>0</v>
      </c>
    </row>
    <row r="56">
      <c r="A56" s="1">
        <v>57</v>
      </c>
      <c r="B56" s="1">
        <v>10</v>
      </c>
      <c r="C56" s="1">
        <v>1.6</v>
      </c>
      <c r="D56" s="1">
        <v>84</v>
      </c>
      <c r="E56" s="1">
        <v>3</v>
      </c>
      <c r="F56" s="1">
        <v>1</v>
      </c>
      <c r="G56" s="1">
        <v>0</v>
      </c>
      <c r="H56" s="1">
        <v>0</v>
      </c>
      <c r="I56" s="1">
        <v>0</v>
      </c>
      <c r="J56" s="1">
        <v>0</v>
      </c>
      <c r="K56" s="1">
        <v>0</v>
      </c>
      <c r="L56" s="1">
        <v>0</v>
      </c>
      <c r="M56" s="1">
        <v>0</v>
      </c>
      <c r="N56" s="1">
        <v>0</v>
      </c>
      <c r="O56" s="1">
        <v>0</v>
      </c>
      <c r="P56" s="1">
        <f>LN(B56)</f>
        <v>2.30258509299405</v>
      </c>
      <c r="Q56" s="1">
        <f>1-SUM(F56:J56)</f>
        <v>0</v>
      </c>
      <c r="R56" s="1" t="str">
        <f>IF(F56=1,"Napa valley",IF(G56=1,"Bay area",IF(H56=1,"Sonoma",IF(I56=1,"Sierra/foothills",IF(J56=1,"Mendocino/lake","Generic California")))))</f>
        <v>Napa valley</v>
      </c>
      <c r="S56" s="1" t="str">
        <f>IF(F56=1,"Napa valley",IF(H56=1,"Sonoma","Other"))</f>
        <v>Napa valley</v>
      </c>
      <c r="T56" s="1" t="str">
        <f>IF(M56=1,"Cabernet",IF(N56=1,"Merlot",IF(L56=1,"Pinot noir","Other")))</f>
        <v>Other</v>
      </c>
      <c r="U56" s="1">
        <f>IF(F56=1,B56,"")</f>
        <v>10</v>
      </c>
      <c r="V56" s="1" t="str">
        <f>IF(F56=0,B56,"")</f>
        <v/>
      </c>
      <c r="W56" s="1">
        <f>'Part B'!$B$150+SUMPRODUCT('Part B'!$B$164:$N$164,C56:O56)</f>
        <v>18.4890089748898</v>
      </c>
      <c r="X56" s="1">
        <f>B56-W56</f>
        <v>-8.48900897488977</v>
      </c>
      <c r="Y56" s="1">
        <f>'Part B'!$B$179+SUMPRODUCT('Part B'!$B$193:$N$193,C56:O56)</f>
        <v>2.90755954639628</v>
      </c>
      <c r="Z56" s="1">
        <f>P56-Y56</f>
        <v>-0.604974453402235</v>
      </c>
      <c r="AB56" s="1">
        <f>C56</f>
        <v>1.6</v>
      </c>
      <c r="AC56" s="1">
        <f>D56</f>
        <v>84</v>
      </c>
      <c r="AD56" s="1">
        <f>E56</f>
        <v>3</v>
      </c>
      <c r="AE56" s="1">
        <f>F56</f>
        <v>1</v>
      </c>
      <c r="AF56" s="1">
        <f>G56</f>
        <v>0</v>
      </c>
      <c r="AG56" s="1">
        <f>I56</f>
        <v>0</v>
      </c>
      <c r="AH56" s="1">
        <f>J56</f>
        <v>0</v>
      </c>
      <c r="AI56" s="1">
        <f>Q56</f>
        <v>0</v>
      </c>
      <c r="AJ56" s="1">
        <f>K56</f>
        <v>0</v>
      </c>
      <c r="AK56" s="1">
        <f>L56</f>
        <v>0</v>
      </c>
      <c r="AL56" s="1">
        <f>M56</f>
        <v>0</v>
      </c>
      <c r="AM56" s="1">
        <f>N56</f>
        <v>0</v>
      </c>
      <c r="AN56" s="1">
        <f>O56</f>
        <v>0</v>
      </c>
    </row>
    <row r="57">
      <c r="A57" s="1">
        <v>59</v>
      </c>
      <c r="B57" s="1">
        <v>10</v>
      </c>
      <c r="C57" s="1">
        <v>125</v>
      </c>
      <c r="D57" s="1">
        <v>84</v>
      </c>
      <c r="E57" s="1">
        <v>2</v>
      </c>
      <c r="F57" s="1">
        <v>0</v>
      </c>
      <c r="G57" s="1">
        <v>0</v>
      </c>
      <c r="H57" s="1">
        <v>0</v>
      </c>
      <c r="I57" s="1">
        <v>0</v>
      </c>
      <c r="J57" s="1">
        <v>0</v>
      </c>
      <c r="K57" s="1">
        <v>0</v>
      </c>
      <c r="L57" s="1">
        <v>0</v>
      </c>
      <c r="M57" s="1">
        <v>0</v>
      </c>
      <c r="N57" s="1">
        <v>1</v>
      </c>
      <c r="O57" s="1">
        <v>0</v>
      </c>
      <c r="P57" s="1">
        <f>LN(B57)</f>
        <v>2.30258509299405</v>
      </c>
      <c r="Q57" s="1">
        <f>1-SUM(F57:J57)</f>
        <v>1</v>
      </c>
      <c r="R57" s="1" t="str">
        <f>IF(F57=1,"Napa valley",IF(G57=1,"Bay area",IF(H57=1,"Sonoma",IF(I57=1,"Sierra/foothills",IF(J57=1,"Mendocino/lake","Generic California")))))</f>
        <v>Generic California</v>
      </c>
      <c r="S57" s="1" t="str">
        <f>IF(F57=1,"Napa valley",IF(H57=1,"Sonoma","Other"))</f>
        <v>Other</v>
      </c>
      <c r="T57" s="1" t="str">
        <f>IF(M57=1,"Cabernet",IF(N57=1,"Merlot",IF(L57=1,"Pinot noir","Other")))</f>
        <v>Merlot</v>
      </c>
      <c r="U57" s="1" t="str">
        <f>IF(F57=1,B57,"")</f>
        <v/>
      </c>
      <c r="V57" s="1">
        <f>IF(F57=0,B57,"")</f>
        <v>10</v>
      </c>
      <c r="W57" s="1">
        <f>'Part B'!$B$150+SUMPRODUCT('Part B'!$B$164:$N$164,C57:O57)</f>
        <v>0.756250165197457</v>
      </c>
      <c r="X57" s="1">
        <f>B57-W57</f>
        <v>9.24374983480254</v>
      </c>
      <c r="Y57" s="1">
        <f>'Part B'!$B$179+SUMPRODUCT('Part B'!$B$193:$N$193,C57:O57)</f>
        <v>2.05123269524609</v>
      </c>
      <c r="Z57" s="1">
        <f>P57-Y57</f>
        <v>0.251352397747953</v>
      </c>
      <c r="AB57" s="1">
        <f>C57</f>
        <v>125</v>
      </c>
      <c r="AC57" s="1">
        <f>D57</f>
        <v>84</v>
      </c>
      <c r="AD57" s="1">
        <f>E57</f>
        <v>2</v>
      </c>
      <c r="AE57" s="1">
        <f>F57</f>
        <v>0</v>
      </c>
      <c r="AF57" s="1">
        <f>G57</f>
        <v>0</v>
      </c>
      <c r="AG57" s="1">
        <f>I57</f>
        <v>0</v>
      </c>
      <c r="AH57" s="1">
        <f>J57</f>
        <v>0</v>
      </c>
      <c r="AI57" s="1">
        <f>Q57</f>
        <v>1</v>
      </c>
      <c r="AJ57" s="1">
        <f>K57</f>
        <v>0</v>
      </c>
      <c r="AK57" s="1">
        <f>L57</f>
        <v>0</v>
      </c>
      <c r="AL57" s="1">
        <f>M57</f>
        <v>0</v>
      </c>
      <c r="AM57" s="1">
        <f>N57</f>
        <v>1</v>
      </c>
      <c r="AN57" s="1">
        <f>O57</f>
        <v>0</v>
      </c>
    </row>
    <row r="58">
      <c r="A58" s="1">
        <v>60</v>
      </c>
      <c r="B58" s="1">
        <v>10</v>
      </c>
      <c r="C58" s="1">
        <v>10</v>
      </c>
      <c r="D58" s="1">
        <v>88</v>
      </c>
      <c r="E58" s="1">
        <v>2</v>
      </c>
      <c r="F58" s="1">
        <v>0</v>
      </c>
      <c r="G58" s="1">
        <v>0</v>
      </c>
      <c r="H58" s="1">
        <v>0</v>
      </c>
      <c r="I58" s="1">
        <v>0</v>
      </c>
      <c r="J58" s="1">
        <v>0</v>
      </c>
      <c r="K58" s="1">
        <v>0</v>
      </c>
      <c r="L58" s="1">
        <v>0</v>
      </c>
      <c r="M58" s="1">
        <v>0</v>
      </c>
      <c r="N58" s="1">
        <v>0</v>
      </c>
      <c r="O58" s="1">
        <v>1</v>
      </c>
      <c r="P58" s="1">
        <f>LN(B58)</f>
        <v>2.30258509299405</v>
      </c>
      <c r="Q58" s="1">
        <f>1-SUM(F58:J58)</f>
        <v>1</v>
      </c>
      <c r="R58" s="1" t="str">
        <f>IF(F58=1,"Napa valley",IF(G58=1,"Bay area",IF(H58=1,"Sonoma",IF(I58=1,"Sierra/foothills",IF(J58=1,"Mendocino/lake","Generic California")))))</f>
        <v>Generic California</v>
      </c>
      <c r="S58" s="1" t="str">
        <f>IF(F58=1,"Napa valley",IF(H58=1,"Sonoma","Other"))</f>
        <v>Other</v>
      </c>
      <c r="T58" s="1" t="str">
        <f>IF(M58=1,"Cabernet",IF(N58=1,"Merlot",IF(L58=1,"Pinot noir","Other")))</f>
        <v>Other</v>
      </c>
      <c r="U58" s="1" t="str">
        <f>IF(F58=1,B58,"")</f>
        <v/>
      </c>
      <c r="V58" s="1">
        <f>IF(F58=0,B58,"")</f>
        <v>10</v>
      </c>
      <c r="W58" s="1">
        <f>'Part B'!$B$150+SUMPRODUCT('Part B'!$B$164:$N$164,C58:O58)</f>
        <v>16.1852252871662</v>
      </c>
      <c r="X58" s="1">
        <f>B58-W58</f>
        <v>-6.18522528716625</v>
      </c>
      <c r="Y58" s="1">
        <f>'Part B'!$B$179+SUMPRODUCT('Part B'!$B$193:$N$193,C58:O58)</f>
        <v>2.58189011349224</v>
      </c>
      <c r="Z58" s="1">
        <f>P58-Y58</f>
        <v>-0.279305020498193</v>
      </c>
      <c r="AB58" s="1">
        <f>C58</f>
        <v>10</v>
      </c>
      <c r="AC58" s="1">
        <f>D58</f>
        <v>88</v>
      </c>
      <c r="AD58" s="1">
        <f>E58</f>
        <v>2</v>
      </c>
      <c r="AE58" s="1">
        <f>F58</f>
        <v>0</v>
      </c>
      <c r="AF58" s="1">
        <f>G58</f>
        <v>0</v>
      </c>
      <c r="AG58" s="1">
        <f>I58</f>
        <v>0</v>
      </c>
      <c r="AH58" s="1">
        <f>J58</f>
        <v>0</v>
      </c>
      <c r="AI58" s="1">
        <f>Q58</f>
        <v>1</v>
      </c>
      <c r="AJ58" s="1">
        <f>K58</f>
        <v>0</v>
      </c>
      <c r="AK58" s="1">
        <f>L58</f>
        <v>0</v>
      </c>
      <c r="AL58" s="1">
        <f>M58</f>
        <v>0</v>
      </c>
      <c r="AM58" s="1">
        <f>N58</f>
        <v>0</v>
      </c>
      <c r="AN58" s="1">
        <f>O58</f>
        <v>1</v>
      </c>
    </row>
    <row r="59">
      <c r="A59" s="1">
        <v>61</v>
      </c>
      <c r="B59" s="1">
        <v>10</v>
      </c>
      <c r="C59" s="1">
        <v>10</v>
      </c>
      <c r="D59" s="1">
        <v>87</v>
      </c>
      <c r="E59" s="1">
        <v>2</v>
      </c>
      <c r="F59" s="1">
        <v>0</v>
      </c>
      <c r="G59" s="1">
        <v>0</v>
      </c>
      <c r="H59" s="1">
        <v>1</v>
      </c>
      <c r="I59" s="1">
        <v>0</v>
      </c>
      <c r="J59" s="1">
        <v>0</v>
      </c>
      <c r="K59" s="1">
        <v>0</v>
      </c>
      <c r="L59" s="1">
        <v>0</v>
      </c>
      <c r="M59" s="1">
        <v>0</v>
      </c>
      <c r="N59" s="1">
        <v>0</v>
      </c>
      <c r="O59" s="1">
        <v>0</v>
      </c>
      <c r="P59" s="1">
        <f>LN(B59)</f>
        <v>2.30258509299405</v>
      </c>
      <c r="Q59" s="1">
        <f>1-SUM(F59:J59)</f>
        <v>0</v>
      </c>
      <c r="R59" s="1" t="str">
        <f>IF(F59=1,"Napa valley",IF(G59=1,"Bay area",IF(H59=1,"Sonoma",IF(I59=1,"Sierra/foothills",IF(J59=1,"Mendocino/lake","Generic California")))))</f>
        <v>Sonoma</v>
      </c>
      <c r="S59" s="1" t="str">
        <f>IF(F59=1,"Napa valley",IF(H59=1,"Sonoma","Other"))</f>
        <v>Sonoma</v>
      </c>
      <c r="T59" s="1" t="str">
        <f>IF(M59=1,"Cabernet",IF(N59=1,"Merlot",IF(L59=1,"Pinot noir","Other")))</f>
        <v>Other</v>
      </c>
      <c r="U59" s="1" t="str">
        <f>IF(F59=1,B59,"")</f>
        <v/>
      </c>
      <c r="V59" s="1">
        <f>IF(F59=0,B59,"")</f>
        <v>10</v>
      </c>
      <c r="W59" s="1">
        <f>'Part B'!$B$150+SUMPRODUCT('Part B'!$B$164:$N$164,C59:O59)</f>
        <v>12.610972008904</v>
      </c>
      <c r="X59" s="1">
        <f>B59-W59</f>
        <v>-2.61097200890401</v>
      </c>
      <c r="Y59" s="1">
        <f>'Part B'!$B$179+SUMPRODUCT('Part B'!$B$193:$N$193,C59:O59)</f>
        <v>2.75062664142808</v>
      </c>
      <c r="Z59" s="1">
        <f>P59-Y59</f>
        <v>-0.448041548434033</v>
      </c>
      <c r="AB59" s="1">
        <f>C59</f>
        <v>10</v>
      </c>
      <c r="AC59" s="1">
        <f>D59</f>
        <v>87</v>
      </c>
      <c r="AD59" s="1">
        <f>E59</f>
        <v>2</v>
      </c>
      <c r="AE59" s="1">
        <f>F59</f>
        <v>0</v>
      </c>
      <c r="AF59" s="1">
        <f>G59</f>
        <v>0</v>
      </c>
      <c r="AG59" s="1">
        <f>I59</f>
        <v>0</v>
      </c>
      <c r="AH59" s="1">
        <f>J59</f>
        <v>0</v>
      </c>
      <c r="AI59" s="1">
        <f>Q59</f>
        <v>0</v>
      </c>
      <c r="AJ59" s="1">
        <f>K59</f>
        <v>0</v>
      </c>
      <c r="AK59" s="1">
        <f>L59</f>
        <v>0</v>
      </c>
      <c r="AL59" s="1">
        <f>M59</f>
        <v>0</v>
      </c>
      <c r="AM59" s="1">
        <f>N59</f>
        <v>0</v>
      </c>
      <c r="AN59" s="1">
        <f>O59</f>
        <v>0</v>
      </c>
    </row>
    <row r="60">
      <c r="A60" s="1">
        <v>62</v>
      </c>
      <c r="B60" s="1">
        <v>10</v>
      </c>
      <c r="C60" s="1">
        <v>4.942</v>
      </c>
      <c r="D60" s="1">
        <v>84</v>
      </c>
      <c r="E60" s="1">
        <v>2</v>
      </c>
      <c r="F60" s="1">
        <v>0</v>
      </c>
      <c r="G60" s="1">
        <v>0</v>
      </c>
      <c r="H60" s="1">
        <v>0</v>
      </c>
      <c r="I60" s="1">
        <v>0</v>
      </c>
      <c r="J60" s="1">
        <v>0</v>
      </c>
      <c r="K60" s="1">
        <v>0</v>
      </c>
      <c r="L60" s="1">
        <v>0</v>
      </c>
      <c r="M60" s="1">
        <v>0</v>
      </c>
      <c r="N60" s="1">
        <v>1</v>
      </c>
      <c r="O60" s="1">
        <v>0</v>
      </c>
      <c r="P60" s="1">
        <f>LN(B60)</f>
        <v>2.30258509299405</v>
      </c>
      <c r="Q60" s="1">
        <f>1-SUM(F60:J60)</f>
        <v>1</v>
      </c>
      <c r="R60" s="1" t="str">
        <f>IF(F60=1,"Napa valley",IF(G60=1,"Bay area",IF(H60=1,"Sonoma",IF(I60=1,"Sierra/foothills",IF(J60=1,"Mendocino/lake","Generic California")))))</f>
        <v>Generic California</v>
      </c>
      <c r="S60" s="1" t="str">
        <f>IF(F60=1,"Napa valley",IF(H60=1,"Sonoma","Other"))</f>
        <v>Other</v>
      </c>
      <c r="T60" s="1" t="str">
        <f>IF(M60=1,"Cabernet",IF(N60=1,"Merlot",IF(L60=1,"Pinot noir","Other")))</f>
        <v>Merlot</v>
      </c>
      <c r="U60" s="1" t="str">
        <f>IF(F60=1,B60,"")</f>
        <v/>
      </c>
      <c r="V60" s="1">
        <f>IF(F60=0,B60,"")</f>
        <v>10</v>
      </c>
      <c r="W60" s="1">
        <f>'Part B'!$B$150+SUMPRODUCT('Part B'!$B$164:$N$164,C60:O60)</f>
        <v>12.1514075194421</v>
      </c>
      <c r="X60" s="1">
        <f>B60-W60</f>
        <v>-2.1514075194421</v>
      </c>
      <c r="Y60" s="1">
        <f>'Part B'!$B$179+SUMPRODUCT('Part B'!$B$193:$N$193,C60:O60)</f>
        <v>2.56496893855053</v>
      </c>
      <c r="Z60" s="1">
        <f>P60-Y60</f>
        <v>-0.262383845556486</v>
      </c>
      <c r="AB60" s="1">
        <f>C60</f>
        <v>4.942</v>
      </c>
      <c r="AC60" s="1">
        <f>D60</f>
        <v>84</v>
      </c>
      <c r="AD60" s="1">
        <f>E60</f>
        <v>2</v>
      </c>
      <c r="AE60" s="1">
        <f>F60</f>
        <v>0</v>
      </c>
      <c r="AF60" s="1">
        <f>G60</f>
        <v>0</v>
      </c>
      <c r="AG60" s="1">
        <f>I60</f>
        <v>0</v>
      </c>
      <c r="AH60" s="1">
        <f>J60</f>
        <v>0</v>
      </c>
      <c r="AI60" s="1">
        <f>Q60</f>
        <v>1</v>
      </c>
      <c r="AJ60" s="1">
        <f>K60</f>
        <v>0</v>
      </c>
      <c r="AK60" s="1">
        <f>L60</f>
        <v>0</v>
      </c>
      <c r="AL60" s="1">
        <f>M60</f>
        <v>0</v>
      </c>
      <c r="AM60" s="1">
        <f>N60</f>
        <v>1</v>
      </c>
      <c r="AN60" s="1">
        <f>O60</f>
        <v>0</v>
      </c>
    </row>
    <row r="61">
      <c r="A61" s="1">
        <v>64</v>
      </c>
      <c r="B61" s="1">
        <v>10</v>
      </c>
      <c r="C61" s="1">
        <v>0.959</v>
      </c>
      <c r="D61" s="1">
        <v>85</v>
      </c>
      <c r="E61" s="1">
        <v>2</v>
      </c>
      <c r="F61" s="1">
        <v>0</v>
      </c>
      <c r="G61" s="1">
        <v>0</v>
      </c>
      <c r="H61" s="1">
        <v>0</v>
      </c>
      <c r="I61" s="1">
        <v>1</v>
      </c>
      <c r="J61" s="1">
        <v>0</v>
      </c>
      <c r="K61" s="1">
        <v>0</v>
      </c>
      <c r="L61" s="1">
        <v>0</v>
      </c>
      <c r="M61" s="1">
        <v>0</v>
      </c>
      <c r="N61" s="1">
        <v>0</v>
      </c>
      <c r="O61" s="1">
        <v>0</v>
      </c>
      <c r="P61" s="1">
        <f>LN(B61)</f>
        <v>2.30258509299405</v>
      </c>
      <c r="Q61" s="1">
        <f>1-SUM(F61:J61)</f>
        <v>0</v>
      </c>
      <c r="R61" s="1" t="str">
        <f>IF(F61=1,"Napa valley",IF(G61=1,"Bay area",IF(H61=1,"Sonoma",IF(I61=1,"Sierra/foothills",IF(J61=1,"Mendocino/lake","Generic California")))))</f>
        <v>Sierra/foothills</v>
      </c>
      <c r="S61" s="1" t="str">
        <f>IF(F61=1,"Napa valley",IF(H61=1,"Sonoma","Other"))</f>
        <v>Other</v>
      </c>
      <c r="T61" s="1" t="str">
        <f>IF(M61=1,"Cabernet",IF(N61=1,"Merlot",IF(L61=1,"Pinot noir","Other")))</f>
        <v>Other</v>
      </c>
      <c r="U61" s="1" t="str">
        <f>IF(F61=1,B61,"")</f>
        <v/>
      </c>
      <c r="V61" s="1">
        <f>IF(F61=0,B61,"")</f>
        <v>10</v>
      </c>
      <c r="W61" s="1">
        <f>'Part B'!$B$150+SUMPRODUCT('Part B'!$B$164:$N$164,C61:O61)</f>
        <v>13.0383093777572</v>
      </c>
      <c r="X61" s="1">
        <f>B61-W61</f>
        <v>-3.03830937775723</v>
      </c>
      <c r="Y61" s="1">
        <f>'Part B'!$B$179+SUMPRODUCT('Part B'!$B$193:$N$193,C61:O61)</f>
        <v>2.61869361890428</v>
      </c>
      <c r="Z61" s="1">
        <f>P61-Y61</f>
        <v>-0.316108525910238</v>
      </c>
      <c r="AB61" s="1">
        <f>C61</f>
        <v>0.959</v>
      </c>
      <c r="AC61" s="1">
        <f>D61</f>
        <v>85</v>
      </c>
      <c r="AD61" s="1">
        <f>E61</f>
        <v>2</v>
      </c>
      <c r="AE61" s="1">
        <f>F61</f>
        <v>0</v>
      </c>
      <c r="AF61" s="1">
        <f>G61</f>
        <v>0</v>
      </c>
      <c r="AG61" s="1">
        <f>I61</f>
        <v>1</v>
      </c>
      <c r="AH61" s="1">
        <f>J61</f>
        <v>0</v>
      </c>
      <c r="AI61" s="1">
        <f>Q61</f>
        <v>0</v>
      </c>
      <c r="AJ61" s="1">
        <f>K61</f>
        <v>0</v>
      </c>
      <c r="AK61" s="1">
        <f>L61</f>
        <v>0</v>
      </c>
      <c r="AL61" s="1">
        <f>M61</f>
        <v>0</v>
      </c>
      <c r="AM61" s="1">
        <f>N61</f>
        <v>0</v>
      </c>
      <c r="AN61" s="1">
        <f>O61</f>
        <v>0</v>
      </c>
    </row>
    <row r="62">
      <c r="A62" s="1">
        <v>65</v>
      </c>
      <c r="B62" s="1">
        <v>10</v>
      </c>
      <c r="C62" s="1">
        <v>6.5</v>
      </c>
      <c r="D62" s="1">
        <v>87</v>
      </c>
      <c r="E62" s="1">
        <v>2</v>
      </c>
      <c r="F62" s="1">
        <v>0</v>
      </c>
      <c r="G62" s="1">
        <v>0</v>
      </c>
      <c r="H62" s="1">
        <v>0</v>
      </c>
      <c r="I62" s="1">
        <v>0</v>
      </c>
      <c r="J62" s="1">
        <v>1</v>
      </c>
      <c r="K62" s="1">
        <v>0</v>
      </c>
      <c r="L62" s="1">
        <v>0</v>
      </c>
      <c r="M62" s="1">
        <v>0</v>
      </c>
      <c r="N62" s="1">
        <v>0</v>
      </c>
      <c r="O62" s="1">
        <v>1</v>
      </c>
      <c r="P62" s="1">
        <f>LN(B62)</f>
        <v>2.30258509299405</v>
      </c>
      <c r="Q62" s="1">
        <f>1-SUM(F62:J62)</f>
        <v>0</v>
      </c>
      <c r="R62" s="1" t="str">
        <f>IF(F62=1,"Napa valley",IF(G62=1,"Bay area",IF(H62=1,"Sonoma",IF(I62=1,"Sierra/foothills",IF(J62=1,"Mendocino/lake","Generic California")))))</f>
        <v>Mendocino/lake</v>
      </c>
      <c r="S62" s="1" t="str">
        <f>IF(F62=1,"Napa valley",IF(H62=1,"Sonoma","Other"))</f>
        <v>Other</v>
      </c>
      <c r="T62" s="1" t="str">
        <f>IF(M62=1,"Cabernet",IF(N62=1,"Merlot",IF(L62=1,"Pinot noir","Other")))</f>
        <v>Other</v>
      </c>
      <c r="U62" s="1" t="str">
        <f>IF(F62=1,B62,"")</f>
        <v/>
      </c>
      <c r="V62" s="1">
        <f>IF(F62=0,B62,"")</f>
        <v>10</v>
      </c>
      <c r="W62" s="1">
        <f>'Part B'!$B$150+SUMPRODUCT('Part B'!$B$164:$N$164,C62:O62)</f>
        <v>14.2538659475134</v>
      </c>
      <c r="X62" s="1">
        <f>B62-W62</f>
        <v>-4.25386594751336</v>
      </c>
      <c r="Y62" s="1">
        <f>'Part B'!$B$179+SUMPRODUCT('Part B'!$B$193:$N$193,C62:O62)</f>
        <v>2.76413238862766</v>
      </c>
      <c r="Z62" s="1">
        <f>P62-Y62</f>
        <v>-0.461547295633618</v>
      </c>
      <c r="AB62" s="1">
        <f>C62</f>
        <v>6.5</v>
      </c>
      <c r="AC62" s="1">
        <f>D62</f>
        <v>87</v>
      </c>
      <c r="AD62" s="1">
        <f>E62</f>
        <v>2</v>
      </c>
      <c r="AE62" s="1">
        <f>F62</f>
        <v>0</v>
      </c>
      <c r="AF62" s="1">
        <f>G62</f>
        <v>0</v>
      </c>
      <c r="AG62" s="1">
        <f>I62</f>
        <v>0</v>
      </c>
      <c r="AH62" s="1">
        <f>J62</f>
        <v>1</v>
      </c>
      <c r="AI62" s="1">
        <f>Q62</f>
        <v>0</v>
      </c>
      <c r="AJ62" s="1">
        <f>K62</f>
        <v>0</v>
      </c>
      <c r="AK62" s="1">
        <f>L62</f>
        <v>0</v>
      </c>
      <c r="AL62" s="1">
        <f>M62</f>
        <v>0</v>
      </c>
      <c r="AM62" s="1">
        <f>N62</f>
        <v>0</v>
      </c>
      <c r="AN62" s="1">
        <f>O62</f>
        <v>1</v>
      </c>
    </row>
    <row r="63">
      <c r="A63" s="1">
        <v>66</v>
      </c>
      <c r="B63" s="1">
        <v>10</v>
      </c>
      <c r="C63" s="1">
        <v>20</v>
      </c>
      <c r="D63" s="1">
        <v>81</v>
      </c>
      <c r="E63" s="1">
        <v>2</v>
      </c>
      <c r="F63" s="1">
        <v>0</v>
      </c>
      <c r="G63" s="1">
        <v>0</v>
      </c>
      <c r="H63" s="1">
        <v>0</v>
      </c>
      <c r="I63" s="1">
        <v>1</v>
      </c>
      <c r="J63" s="1">
        <v>0</v>
      </c>
      <c r="K63" s="1">
        <v>0</v>
      </c>
      <c r="L63" s="1">
        <v>0</v>
      </c>
      <c r="M63" s="1">
        <v>0</v>
      </c>
      <c r="N63" s="1">
        <v>0</v>
      </c>
      <c r="O63" s="1">
        <v>0</v>
      </c>
      <c r="P63" s="1">
        <f>LN(B63)</f>
        <v>2.30258509299405</v>
      </c>
      <c r="Q63" s="1">
        <f>1-SUM(F63:J63)</f>
        <v>0</v>
      </c>
      <c r="R63" s="1" t="str">
        <f>IF(F63=1,"Napa valley",IF(G63=1,"Bay area",IF(H63=1,"Sonoma",IF(I63=1,"Sierra/foothills",IF(J63=1,"Mendocino/lake","Generic California")))))</f>
        <v>Sierra/foothills</v>
      </c>
      <c r="S63" s="1" t="str">
        <f>IF(F63=1,"Napa valley",IF(H63=1,"Sonoma","Other"))</f>
        <v>Other</v>
      </c>
      <c r="T63" s="1" t="str">
        <f>IF(M63=1,"Cabernet",IF(N63=1,"Merlot",IF(L63=1,"Pinot noir","Other")))</f>
        <v>Other</v>
      </c>
      <c r="U63" s="1" t="str">
        <f>IF(F63=1,B63,"")</f>
        <v/>
      </c>
      <c r="V63" s="1">
        <f>IF(F63=0,B63,"")</f>
        <v>10</v>
      </c>
      <c r="W63" s="1">
        <f>'Part B'!$B$150+SUMPRODUCT('Part B'!$B$164:$N$164,C63:O63)</f>
        <v>-1.34933207921119</v>
      </c>
      <c r="X63" s="1">
        <f>B63-W63</f>
        <v>11.3493320792112</v>
      </c>
      <c r="Y63" s="1">
        <f>'Part B'!$B$179+SUMPRODUCT('Part B'!$B$193:$N$193,C63:O63)</f>
        <v>2.25737042620504</v>
      </c>
      <c r="Z63" s="1">
        <f>P63-Y63</f>
        <v>0.045214666789005</v>
      </c>
      <c r="AB63" s="1">
        <f>C63</f>
        <v>20</v>
      </c>
      <c r="AC63" s="1">
        <f>D63</f>
        <v>81</v>
      </c>
      <c r="AD63" s="1">
        <f>E63</f>
        <v>2</v>
      </c>
      <c r="AE63" s="1">
        <f>F63</f>
        <v>0</v>
      </c>
      <c r="AF63" s="1">
        <f>G63</f>
        <v>0</v>
      </c>
      <c r="AG63" s="1">
        <f>I63</f>
        <v>1</v>
      </c>
      <c r="AH63" s="1">
        <f>J63</f>
        <v>0</v>
      </c>
      <c r="AI63" s="1">
        <f>Q63</f>
        <v>0</v>
      </c>
      <c r="AJ63" s="1">
        <f>K63</f>
        <v>0</v>
      </c>
      <c r="AK63" s="1">
        <f>L63</f>
        <v>0</v>
      </c>
      <c r="AL63" s="1">
        <f>M63</f>
        <v>0</v>
      </c>
      <c r="AM63" s="1">
        <f>N63</f>
        <v>0</v>
      </c>
      <c r="AN63" s="1">
        <f>O63</f>
        <v>0</v>
      </c>
    </row>
    <row r="64">
      <c r="A64" s="1">
        <v>67</v>
      </c>
      <c r="B64" s="1">
        <v>10</v>
      </c>
      <c r="C64" s="1">
        <v>54</v>
      </c>
      <c r="D64" s="1">
        <v>89</v>
      </c>
      <c r="E64" s="1">
        <v>2</v>
      </c>
      <c r="F64" s="1">
        <v>0</v>
      </c>
      <c r="G64" s="1">
        <v>0</v>
      </c>
      <c r="H64" s="1">
        <v>0</v>
      </c>
      <c r="I64" s="1">
        <v>0</v>
      </c>
      <c r="J64" s="1">
        <v>0</v>
      </c>
      <c r="K64" s="1">
        <v>0</v>
      </c>
      <c r="L64" s="1">
        <v>1</v>
      </c>
      <c r="M64" s="1">
        <v>0</v>
      </c>
      <c r="N64" s="1">
        <v>0</v>
      </c>
      <c r="O64" s="1">
        <v>0</v>
      </c>
      <c r="P64" s="1">
        <f>LN(B64)</f>
        <v>2.30258509299405</v>
      </c>
      <c r="Q64" s="1">
        <f>1-SUM(F64:J64)</f>
        <v>1</v>
      </c>
      <c r="R64" s="1" t="str">
        <f>IF(F64=1,"Napa valley",IF(G64=1,"Bay area",IF(H64=1,"Sonoma",IF(I64=1,"Sierra/foothills",IF(J64=1,"Mendocino/lake","Generic California")))))</f>
        <v>Generic California</v>
      </c>
      <c r="S64" s="1" t="str">
        <f>IF(F64=1,"Napa valley",IF(H64=1,"Sonoma","Other"))</f>
        <v>Other</v>
      </c>
      <c r="T64" s="1" t="str">
        <f>IF(M64=1,"Cabernet",IF(N64=1,"Merlot",IF(L64=1,"Pinot noir","Other")))</f>
        <v>Pinot noir</v>
      </c>
      <c r="U64" s="1" t="str">
        <f>IF(F64=1,B64,"")</f>
        <v/>
      </c>
      <c r="V64" s="1">
        <f>IF(F64=0,B64,"")</f>
        <v>10</v>
      </c>
      <c r="W64" s="1">
        <f>'Part B'!$B$150+SUMPRODUCT('Part B'!$B$164:$N$164,C64:O64)</f>
        <v>25.0146632430486</v>
      </c>
      <c r="X64" s="1">
        <f>B64-W64</f>
        <v>-15.0146632430486</v>
      </c>
      <c r="Y64" s="1">
        <f>'Part B'!$B$179+SUMPRODUCT('Part B'!$B$193:$N$193,C64:O64)</f>
        <v>2.76686085473014</v>
      </c>
      <c r="Z64" s="1">
        <f>P64-Y64</f>
        <v>-0.464275761736095</v>
      </c>
      <c r="AB64" s="1">
        <f>C64</f>
        <v>54</v>
      </c>
      <c r="AC64" s="1">
        <f>D64</f>
        <v>89</v>
      </c>
      <c r="AD64" s="1">
        <f>E64</f>
        <v>2</v>
      </c>
      <c r="AE64" s="1">
        <f>F64</f>
        <v>0</v>
      </c>
      <c r="AF64" s="1">
        <f>G64</f>
        <v>0</v>
      </c>
      <c r="AG64" s="1">
        <f>I64</f>
        <v>0</v>
      </c>
      <c r="AH64" s="1">
        <f>J64</f>
        <v>0</v>
      </c>
      <c r="AI64" s="1">
        <f>Q64</f>
        <v>1</v>
      </c>
      <c r="AJ64" s="1">
        <f>K64</f>
        <v>0</v>
      </c>
      <c r="AK64" s="1">
        <f>L64</f>
        <v>1</v>
      </c>
      <c r="AL64" s="1">
        <f>M64</f>
        <v>0</v>
      </c>
      <c r="AM64" s="1">
        <f>N64</f>
        <v>0</v>
      </c>
      <c r="AN64" s="1">
        <f>O64</f>
        <v>0</v>
      </c>
    </row>
    <row r="65">
      <c r="A65" s="1">
        <v>68</v>
      </c>
      <c r="B65" s="1">
        <v>10</v>
      </c>
      <c r="C65" s="1">
        <v>15</v>
      </c>
      <c r="D65" s="1">
        <v>74</v>
      </c>
      <c r="E65" s="1">
        <v>2</v>
      </c>
      <c r="F65" s="1">
        <v>0</v>
      </c>
      <c r="G65" s="1">
        <v>0</v>
      </c>
      <c r="H65" s="1">
        <v>0</v>
      </c>
      <c r="I65" s="1">
        <v>0</v>
      </c>
      <c r="J65" s="1">
        <v>1</v>
      </c>
      <c r="K65" s="1">
        <v>0</v>
      </c>
      <c r="L65" s="1">
        <v>1</v>
      </c>
      <c r="M65" s="1">
        <v>0</v>
      </c>
      <c r="N65" s="1">
        <v>0</v>
      </c>
      <c r="O65" s="1">
        <v>0</v>
      </c>
      <c r="P65" s="1">
        <f>LN(B65)</f>
        <v>2.30258509299405</v>
      </c>
      <c r="Q65" s="1">
        <f>1-SUM(F65:J65)</f>
        <v>0</v>
      </c>
      <c r="R65" s="1" t="str">
        <f>IF(F65=1,"Napa valley",IF(G65=1,"Bay area",IF(H65=1,"Sonoma",IF(I65=1,"Sierra/foothills",IF(J65=1,"Mendocino/lake","Generic California")))))</f>
        <v>Mendocino/lake</v>
      </c>
      <c r="S65" s="1" t="str">
        <f>IF(F65=1,"Napa valley",IF(H65=1,"Sonoma","Other"))</f>
        <v>Other</v>
      </c>
      <c r="T65" s="1" t="str">
        <f>IF(M65=1,"Cabernet",IF(N65=1,"Merlot",IF(L65=1,"Pinot noir","Other")))</f>
        <v>Pinot noir</v>
      </c>
      <c r="U65" s="1" t="str">
        <f>IF(F65=1,B65,"")</f>
        <v/>
      </c>
      <c r="V65" s="1">
        <f>IF(F65=0,B65,"")</f>
        <v>10</v>
      </c>
      <c r="W65" s="1">
        <f>'Part B'!$B$150+SUMPRODUCT('Part B'!$B$164:$N$164,C65:O65)</f>
        <v>-17.5786165677867</v>
      </c>
      <c r="X65" s="1">
        <f>B65-W65</f>
        <v>27.5786165677867</v>
      </c>
      <c r="Y65" s="1">
        <f>'Part B'!$B$179+SUMPRODUCT('Part B'!$B$193:$N$193,C65:O65)</f>
        <v>2.12155085035206</v>
      </c>
      <c r="Z65" s="1">
        <f>P65-Y65</f>
        <v>0.181034242641989</v>
      </c>
      <c r="AB65" s="1">
        <f>C65</f>
        <v>15</v>
      </c>
      <c r="AC65" s="1">
        <f>D65</f>
        <v>74</v>
      </c>
      <c r="AD65" s="1">
        <f>E65</f>
        <v>2</v>
      </c>
      <c r="AE65" s="1">
        <f>F65</f>
        <v>0</v>
      </c>
      <c r="AF65" s="1">
        <f>G65</f>
        <v>0</v>
      </c>
      <c r="AG65" s="1">
        <f>I65</f>
        <v>0</v>
      </c>
      <c r="AH65" s="1">
        <f>J65</f>
        <v>1</v>
      </c>
      <c r="AI65" s="1">
        <f>Q65</f>
        <v>0</v>
      </c>
      <c r="AJ65" s="1">
        <f>K65</f>
        <v>0</v>
      </c>
      <c r="AK65" s="1">
        <f>L65</f>
        <v>1</v>
      </c>
      <c r="AL65" s="1">
        <f>M65</f>
        <v>0</v>
      </c>
      <c r="AM65" s="1">
        <f>N65</f>
        <v>0</v>
      </c>
      <c r="AN65" s="1">
        <f>O65</f>
        <v>0</v>
      </c>
    </row>
    <row r="66">
      <c r="A66" s="1">
        <v>71</v>
      </c>
      <c r="B66" s="1">
        <v>10</v>
      </c>
      <c r="C66" s="1">
        <v>16</v>
      </c>
      <c r="D66" s="1">
        <v>87</v>
      </c>
      <c r="E66" s="1">
        <v>2</v>
      </c>
      <c r="F66" s="1">
        <v>0</v>
      </c>
      <c r="G66" s="1">
        <v>0</v>
      </c>
      <c r="H66" s="1">
        <v>1</v>
      </c>
      <c r="I66" s="1">
        <v>0</v>
      </c>
      <c r="J66" s="1">
        <v>0</v>
      </c>
      <c r="K66" s="1">
        <v>0</v>
      </c>
      <c r="L66" s="1">
        <v>0</v>
      </c>
      <c r="M66" s="1">
        <v>0</v>
      </c>
      <c r="N66" s="1">
        <v>0</v>
      </c>
      <c r="O66" s="1">
        <v>0</v>
      </c>
      <c r="P66" s="1">
        <f>LN(B66)</f>
        <v>2.30258509299405</v>
      </c>
      <c r="Q66" s="1">
        <f>1-SUM(F66:J66)</f>
        <v>0</v>
      </c>
      <c r="R66" s="1" t="str">
        <f>IF(F66=1,"Napa valley",IF(G66=1,"Bay area",IF(H66=1,"Sonoma",IF(I66=1,"Sierra/foothills",IF(J66=1,"Mendocino/lake","Generic California")))))</f>
        <v>Sonoma</v>
      </c>
      <c r="S66" s="1" t="str">
        <f>IF(F66=1,"Napa valley",IF(H66=1,"Sonoma","Other"))</f>
        <v>Sonoma</v>
      </c>
      <c r="T66" s="1" t="str">
        <f>IF(M66=1,"Cabernet",IF(N66=1,"Merlot",IF(L66=1,"Pinot noir","Other")))</f>
        <v>Other</v>
      </c>
      <c r="U66" s="1" t="str">
        <f>IF(F66=1,B66,"")</f>
        <v/>
      </c>
      <c r="V66" s="1">
        <f>IF(F66=0,B66,"")</f>
        <v>10</v>
      </c>
      <c r="W66" s="1">
        <f>'Part B'!$B$150+SUMPRODUCT('Part B'!$B$164:$N$164,C66:O66)</f>
        <v>12.0414893911237</v>
      </c>
      <c r="X66" s="1">
        <f>B66-W66</f>
        <v>-2.04148939112372</v>
      </c>
      <c r="Y66" s="1">
        <f>'Part B'!$B$179+SUMPRODUCT('Part B'!$B$193:$N$193,C66:O66)</f>
        <v>2.72495223855758</v>
      </c>
      <c r="Z66" s="1">
        <f>P66-Y66</f>
        <v>-0.422367145563532</v>
      </c>
      <c r="AB66" s="1">
        <f>C66</f>
        <v>16</v>
      </c>
      <c r="AC66" s="1">
        <f>D66</f>
        <v>87</v>
      </c>
      <c r="AD66" s="1">
        <f>E66</f>
        <v>2</v>
      </c>
      <c r="AE66" s="1">
        <f>F66</f>
        <v>0</v>
      </c>
      <c r="AF66" s="1">
        <f>G66</f>
        <v>0</v>
      </c>
      <c r="AG66" s="1">
        <f>I66</f>
        <v>0</v>
      </c>
      <c r="AH66" s="1">
        <f>J66</f>
        <v>0</v>
      </c>
      <c r="AI66" s="1">
        <f>Q66</f>
        <v>0</v>
      </c>
      <c r="AJ66" s="1">
        <f>K66</f>
        <v>0</v>
      </c>
      <c r="AK66" s="1">
        <f>L66</f>
        <v>0</v>
      </c>
      <c r="AL66" s="1">
        <f>M66</f>
        <v>0</v>
      </c>
      <c r="AM66" s="1">
        <f>N66</f>
        <v>0</v>
      </c>
      <c r="AN66" s="1">
        <f>O66</f>
        <v>0</v>
      </c>
    </row>
    <row r="67">
      <c r="A67" s="1">
        <v>72</v>
      </c>
      <c r="B67" s="1">
        <v>10</v>
      </c>
      <c r="C67" s="1">
        <v>0.4</v>
      </c>
      <c r="D67" s="1">
        <v>88</v>
      </c>
      <c r="E67" s="1">
        <v>2</v>
      </c>
      <c r="F67" s="1">
        <v>0</v>
      </c>
      <c r="G67" s="1">
        <v>0</v>
      </c>
      <c r="H67" s="1">
        <v>0</v>
      </c>
      <c r="I67" s="1">
        <v>0</v>
      </c>
      <c r="J67" s="1">
        <v>1</v>
      </c>
      <c r="K67" s="1">
        <v>0</v>
      </c>
      <c r="L67" s="1">
        <v>0</v>
      </c>
      <c r="M67" s="1">
        <v>0</v>
      </c>
      <c r="N67" s="1">
        <v>0</v>
      </c>
      <c r="O67" s="1">
        <v>0</v>
      </c>
      <c r="P67" s="1">
        <f>LN(B67)</f>
        <v>2.30258509299405</v>
      </c>
      <c r="Q67" s="1">
        <f>1-SUM(F67:J67)</f>
        <v>0</v>
      </c>
      <c r="R67" s="1" t="str">
        <f>IF(F67=1,"Napa valley",IF(G67=1,"Bay area",IF(H67=1,"Sonoma",IF(I67=1,"Sierra/foothills",IF(J67=1,"Mendocino/lake","Generic California")))))</f>
        <v>Mendocino/lake</v>
      </c>
      <c r="S67" s="1" t="str">
        <f>IF(F67=1,"Napa valley",IF(H67=1,"Sonoma","Other"))</f>
        <v>Other</v>
      </c>
      <c r="T67" s="1" t="str">
        <f>IF(M67=1,"Cabernet",IF(N67=1,"Merlot",IF(L67=1,"Pinot noir","Other")))</f>
        <v>Other</v>
      </c>
      <c r="U67" s="1" t="str">
        <f>IF(F67=1,B67,"")</f>
        <v/>
      </c>
      <c r="V67" s="1">
        <f>IF(F67=0,B67,"")</f>
        <v>10</v>
      </c>
      <c r="W67" s="1">
        <f>'Part B'!$B$150+SUMPRODUCT('Part B'!$B$164:$N$164,C67:O67)</f>
        <v>18.3842242351833</v>
      </c>
      <c r="X67" s="1">
        <f>B67-W67</f>
        <v>-8.3842242351833</v>
      </c>
      <c r="Y67" s="1">
        <f>'Part B'!$B$179+SUMPRODUCT('Part B'!$B$193:$N$193,C67:O67)</f>
        <v>2.81696211576993</v>
      </c>
      <c r="Z67" s="1">
        <f>P67-Y67</f>
        <v>-0.514377022775889</v>
      </c>
      <c r="AB67" s="1">
        <f>C67</f>
        <v>0.4</v>
      </c>
      <c r="AC67" s="1">
        <f>D67</f>
        <v>88</v>
      </c>
      <c r="AD67" s="1">
        <f>E67</f>
        <v>2</v>
      </c>
      <c r="AE67" s="1">
        <f>F67</f>
        <v>0</v>
      </c>
      <c r="AF67" s="1">
        <f>G67</f>
        <v>0</v>
      </c>
      <c r="AG67" s="1">
        <f>I67</f>
        <v>0</v>
      </c>
      <c r="AH67" s="1">
        <f>J67</f>
        <v>1</v>
      </c>
      <c r="AI67" s="1">
        <f>Q67</f>
        <v>0</v>
      </c>
      <c r="AJ67" s="1">
        <f>K67</f>
        <v>0</v>
      </c>
      <c r="AK67" s="1">
        <f>L67</f>
        <v>0</v>
      </c>
      <c r="AL67" s="1">
        <f>M67</f>
        <v>0</v>
      </c>
      <c r="AM67" s="1">
        <f>N67</f>
        <v>0</v>
      </c>
      <c r="AN67" s="1">
        <f>O67</f>
        <v>0</v>
      </c>
    </row>
    <row r="68">
      <c r="A68" s="1">
        <v>73</v>
      </c>
      <c r="B68" s="1">
        <v>10</v>
      </c>
      <c r="C68" s="1">
        <v>20</v>
      </c>
      <c r="D68" s="1">
        <v>85</v>
      </c>
      <c r="E68" s="1">
        <v>2</v>
      </c>
      <c r="F68" s="1">
        <v>0</v>
      </c>
      <c r="G68" s="1">
        <v>0</v>
      </c>
      <c r="H68" s="1">
        <v>0</v>
      </c>
      <c r="I68" s="1">
        <v>0</v>
      </c>
      <c r="J68" s="1">
        <v>0</v>
      </c>
      <c r="K68" s="1">
        <v>0</v>
      </c>
      <c r="L68" s="1">
        <v>1</v>
      </c>
      <c r="M68" s="1">
        <v>0</v>
      </c>
      <c r="N68" s="1">
        <v>0</v>
      </c>
      <c r="O68" s="1">
        <v>0</v>
      </c>
      <c r="P68" s="1">
        <f>LN(B68)</f>
        <v>2.30258509299405</v>
      </c>
      <c r="Q68" s="1">
        <f>1-SUM(F68:J68)</f>
        <v>1</v>
      </c>
      <c r="R68" s="1" t="str">
        <f>IF(F68=1,"Napa valley",IF(G68=1,"Bay area",IF(H68=1,"Sonoma",IF(I68=1,"Sierra/foothills",IF(J68=1,"Mendocino/lake","Generic California")))))</f>
        <v>Generic California</v>
      </c>
      <c r="S68" s="1" t="str">
        <f>IF(F68=1,"Napa valley",IF(H68=1,"Sonoma","Other"))</f>
        <v>Other</v>
      </c>
      <c r="T68" s="1" t="str">
        <f>IF(M68=1,"Cabernet",IF(N68=1,"Merlot",IF(L68=1,"Pinot noir","Other")))</f>
        <v>Pinot noir</v>
      </c>
      <c r="U68" s="1" t="str">
        <f>IF(F68=1,B68,"")</f>
        <v/>
      </c>
      <c r="V68" s="1">
        <f>IF(F68=0,B68,"")</f>
        <v>10</v>
      </c>
      <c r="W68" s="1">
        <f>'Part B'!$B$150+SUMPRODUCT('Part B'!$B$164:$N$164,C68:O68)</f>
        <v>15.6613430410277</v>
      </c>
      <c r="X68" s="1">
        <f>B68-W68</f>
        <v>-5.66134304102769</v>
      </c>
      <c r="Y68" s="1">
        <f>'Part B'!$B$179+SUMPRODUCT('Part B'!$B$193:$N$193,C68:O68)</f>
        <v>2.63250366247327</v>
      </c>
      <c r="Z68" s="1">
        <f>P68-Y68</f>
        <v>-0.329918569479228</v>
      </c>
      <c r="AB68" s="1">
        <f>C68</f>
        <v>20</v>
      </c>
      <c r="AC68" s="1">
        <f>D68</f>
        <v>85</v>
      </c>
      <c r="AD68" s="1">
        <f>E68</f>
        <v>2</v>
      </c>
      <c r="AE68" s="1">
        <f>F68</f>
        <v>0</v>
      </c>
      <c r="AF68" s="1">
        <f>G68</f>
        <v>0</v>
      </c>
      <c r="AG68" s="1">
        <f>I68</f>
        <v>0</v>
      </c>
      <c r="AH68" s="1">
        <f>J68</f>
        <v>0</v>
      </c>
      <c r="AI68" s="1">
        <f>Q68</f>
        <v>1</v>
      </c>
      <c r="AJ68" s="1">
        <f>K68</f>
        <v>0</v>
      </c>
      <c r="AK68" s="1">
        <f>L68</f>
        <v>1</v>
      </c>
      <c r="AL68" s="1">
        <f>M68</f>
        <v>0</v>
      </c>
      <c r="AM68" s="1">
        <f>N68</f>
        <v>0</v>
      </c>
      <c r="AN68" s="1">
        <f>O68</f>
        <v>0</v>
      </c>
    </row>
    <row r="69">
      <c r="A69" s="1">
        <v>74</v>
      </c>
      <c r="B69" s="1">
        <v>10</v>
      </c>
      <c r="C69" s="1">
        <v>67</v>
      </c>
      <c r="D69" s="1">
        <v>86</v>
      </c>
      <c r="E69" s="1">
        <v>2</v>
      </c>
      <c r="F69" s="1">
        <v>0</v>
      </c>
      <c r="G69" s="1">
        <v>0</v>
      </c>
      <c r="H69" s="1">
        <v>0</v>
      </c>
      <c r="I69" s="1">
        <v>0</v>
      </c>
      <c r="J69" s="1">
        <v>0</v>
      </c>
      <c r="K69" s="1">
        <v>0</v>
      </c>
      <c r="L69" s="1">
        <v>0</v>
      </c>
      <c r="M69" s="1">
        <v>0</v>
      </c>
      <c r="N69" s="1">
        <v>1</v>
      </c>
      <c r="O69" s="1">
        <v>0</v>
      </c>
      <c r="P69" s="1">
        <f>LN(B69)</f>
        <v>2.30258509299405</v>
      </c>
      <c r="Q69" s="1">
        <f>1-SUM(F69:J69)</f>
        <v>1</v>
      </c>
      <c r="R69" s="1" t="str">
        <f>IF(F69=1,"Napa valley",IF(G69=1,"Bay area",IF(H69=1,"Sonoma",IF(I69=1,"Sierra/foothills",IF(J69=1,"Mendocino/lake","Generic California")))))</f>
        <v>Generic California</v>
      </c>
      <c r="S69" s="1" t="str">
        <f>IF(F69=1,"Napa valley",IF(H69=1,"Sonoma","Other"))</f>
        <v>Other</v>
      </c>
      <c r="T69" s="1" t="str">
        <f>IF(M69=1,"Cabernet",IF(N69=1,"Merlot",IF(L69=1,"Pinot noir","Other")))</f>
        <v>Merlot</v>
      </c>
      <c r="U69" s="1" t="str">
        <f>IF(F69=1,B69,"")</f>
        <v/>
      </c>
      <c r="V69" s="1">
        <f>IF(F69=0,B69,"")</f>
        <v>10</v>
      </c>
      <c r="W69" s="1">
        <f>'Part B'!$B$150+SUMPRODUCT('Part B'!$B$164:$N$164,C69:O69)</f>
        <v>12.5514429884617</v>
      </c>
      <c r="X69" s="1">
        <f>B69-W69</f>
        <v>-2.5514429884617</v>
      </c>
      <c r="Y69" s="1">
        <f>'Part B'!$B$179+SUMPRODUCT('Part B'!$B$193:$N$193,C69:O69)</f>
        <v>2.43934132725579</v>
      </c>
      <c r="Z69" s="1">
        <f>P69-Y69</f>
        <v>-0.136756234261745</v>
      </c>
      <c r="AB69" s="1">
        <f>C69</f>
        <v>67</v>
      </c>
      <c r="AC69" s="1">
        <f>D69</f>
        <v>86</v>
      </c>
      <c r="AD69" s="1">
        <f>E69</f>
        <v>2</v>
      </c>
      <c r="AE69" s="1">
        <f>F69</f>
        <v>0</v>
      </c>
      <c r="AF69" s="1">
        <f>G69</f>
        <v>0</v>
      </c>
      <c r="AG69" s="1">
        <f>I69</f>
        <v>0</v>
      </c>
      <c r="AH69" s="1">
        <f>J69</f>
        <v>0</v>
      </c>
      <c r="AI69" s="1">
        <f>Q69</f>
        <v>1</v>
      </c>
      <c r="AJ69" s="1">
        <f>K69</f>
        <v>0</v>
      </c>
      <c r="AK69" s="1">
        <f>L69</f>
        <v>0</v>
      </c>
      <c r="AL69" s="1">
        <f>M69</f>
        <v>0</v>
      </c>
      <c r="AM69" s="1">
        <f>N69</f>
        <v>1</v>
      </c>
      <c r="AN69" s="1">
        <f>O69</f>
        <v>0</v>
      </c>
    </row>
    <row r="70">
      <c r="A70" s="1">
        <v>75</v>
      </c>
      <c r="B70" s="1">
        <v>10</v>
      </c>
      <c r="C70" s="1">
        <v>38</v>
      </c>
      <c r="D70" s="1">
        <v>85</v>
      </c>
      <c r="E70" s="1">
        <v>1</v>
      </c>
      <c r="F70" s="1">
        <v>0</v>
      </c>
      <c r="G70" s="1">
        <v>0</v>
      </c>
      <c r="H70" s="1">
        <v>0</v>
      </c>
      <c r="I70" s="1">
        <v>0</v>
      </c>
      <c r="J70" s="1">
        <v>0</v>
      </c>
      <c r="K70" s="1">
        <v>0</v>
      </c>
      <c r="L70" s="1">
        <v>0</v>
      </c>
      <c r="M70" s="1">
        <v>0</v>
      </c>
      <c r="N70" s="1">
        <v>0</v>
      </c>
      <c r="O70" s="1">
        <v>0</v>
      </c>
      <c r="P70" s="1">
        <f>LN(B70)</f>
        <v>2.30258509299405</v>
      </c>
      <c r="Q70" s="1">
        <f>1-SUM(F70:J70)</f>
        <v>1</v>
      </c>
      <c r="R70" s="1" t="str">
        <f>IF(F70=1,"Napa valley",IF(G70=1,"Bay area",IF(H70=1,"Sonoma",IF(I70=1,"Sierra/foothills",IF(J70=1,"Mendocino/lake","Generic California")))))</f>
        <v>Generic California</v>
      </c>
      <c r="S70" s="1" t="str">
        <f>IF(F70=1,"Napa valley",IF(H70=1,"Sonoma","Other"))</f>
        <v>Other</v>
      </c>
      <c r="T70" s="1" t="str">
        <f>IF(M70=1,"Cabernet",IF(N70=1,"Merlot",IF(L70=1,"Pinot noir","Other")))</f>
        <v>Other</v>
      </c>
      <c r="U70" s="1" t="str">
        <f>IF(F70=1,B70,"")</f>
        <v/>
      </c>
      <c r="V70" s="1">
        <f>IF(F70=0,B70,"")</f>
        <v>10</v>
      </c>
      <c r="W70" s="1">
        <f>'Part B'!$B$150+SUMPRODUCT('Part B'!$B$164:$N$164,C70:O70)</f>
        <v>-2.12096909736914</v>
      </c>
      <c r="X70" s="1">
        <f>B70-W70</f>
        <v>12.1209690973691</v>
      </c>
      <c r="Y70" s="1">
        <f>'Part B'!$B$179+SUMPRODUCT('Part B'!$B$193:$N$193,C70:O70)</f>
        <v>2.02587289335585</v>
      </c>
      <c r="Z70" s="1">
        <f>P70-Y70</f>
        <v>0.276712199638198</v>
      </c>
      <c r="AB70" s="1">
        <f>C70</f>
        <v>38</v>
      </c>
      <c r="AC70" s="1">
        <f>D70</f>
        <v>85</v>
      </c>
      <c r="AD70" s="1">
        <f>E70</f>
        <v>1</v>
      </c>
      <c r="AE70" s="1">
        <f>F70</f>
        <v>0</v>
      </c>
      <c r="AF70" s="1">
        <f>G70</f>
        <v>0</v>
      </c>
      <c r="AG70" s="1">
        <f>I70</f>
        <v>0</v>
      </c>
      <c r="AH70" s="1">
        <f>J70</f>
        <v>0</v>
      </c>
      <c r="AI70" s="1">
        <f>Q70</f>
        <v>1</v>
      </c>
      <c r="AJ70" s="1">
        <f>K70</f>
        <v>0</v>
      </c>
      <c r="AK70" s="1">
        <f>L70</f>
        <v>0</v>
      </c>
      <c r="AL70" s="1">
        <f>M70</f>
        <v>0</v>
      </c>
      <c r="AM70" s="1">
        <f>N70</f>
        <v>0</v>
      </c>
      <c r="AN70" s="1">
        <f>O70</f>
        <v>0</v>
      </c>
    </row>
    <row r="71">
      <c r="A71" s="1">
        <v>78</v>
      </c>
      <c r="B71" s="1">
        <v>11</v>
      </c>
      <c r="C71" s="1">
        <v>0.6</v>
      </c>
      <c r="D71" s="1">
        <v>82</v>
      </c>
      <c r="E71" s="1">
        <v>3</v>
      </c>
      <c r="F71" s="1">
        <v>0</v>
      </c>
      <c r="G71" s="1">
        <v>0</v>
      </c>
      <c r="H71" s="1">
        <v>0</v>
      </c>
      <c r="I71" s="1">
        <v>0</v>
      </c>
      <c r="J71" s="1">
        <v>0</v>
      </c>
      <c r="K71" s="1">
        <v>0</v>
      </c>
      <c r="L71" s="1">
        <v>0</v>
      </c>
      <c r="M71" s="1">
        <v>0</v>
      </c>
      <c r="N71" s="1">
        <v>0</v>
      </c>
      <c r="O71" s="1">
        <v>0</v>
      </c>
      <c r="P71" s="1">
        <f>LN(B71)</f>
        <v>2.39789527279837</v>
      </c>
      <c r="Q71" s="1">
        <f>1-SUM(F71:J71)</f>
        <v>1</v>
      </c>
      <c r="R71" s="1" t="str">
        <f>IF(F71=1,"Napa valley",IF(G71=1,"Bay area",IF(H71=1,"Sonoma",IF(I71=1,"Sierra/foothills",IF(J71=1,"Mendocino/lake","Generic California")))))</f>
        <v>Generic California</v>
      </c>
      <c r="S71" s="1" t="str">
        <f>IF(F71=1,"Napa valley",IF(H71=1,"Sonoma","Other"))</f>
        <v>Other</v>
      </c>
      <c r="T71" s="1" t="str">
        <f>IF(M71=1,"Cabernet",IF(N71=1,"Merlot",IF(L71=1,"Pinot noir","Other")))</f>
        <v>Other</v>
      </c>
      <c r="U71" s="1" t="str">
        <f>IF(F71=1,B71,"")</f>
        <v/>
      </c>
      <c r="V71" s="1">
        <f>IF(F71=0,B71,"")</f>
        <v>11</v>
      </c>
      <c r="W71" s="1">
        <f>'Part B'!$B$150+SUMPRODUCT('Part B'!$B$164:$N$164,C71:O71)</f>
        <v>5.2327241264689</v>
      </c>
      <c r="X71" s="1">
        <f>B71-W71</f>
        <v>5.76727587353111</v>
      </c>
      <c r="Y71" s="1">
        <f>'Part B'!$B$179+SUMPRODUCT('Part B'!$B$193:$N$193,C71:O71)</f>
        <v>2.34219646307291</v>
      </c>
      <c r="Z71" s="1">
        <f>P71-Y71</f>
        <v>0.0556988097254605</v>
      </c>
      <c r="AB71" s="1">
        <f>C71</f>
        <v>0.6</v>
      </c>
      <c r="AC71" s="1">
        <f>D71</f>
        <v>82</v>
      </c>
      <c r="AD71" s="1">
        <f>E71</f>
        <v>3</v>
      </c>
      <c r="AE71" s="1">
        <f>F71</f>
        <v>0</v>
      </c>
      <c r="AF71" s="1">
        <f>G71</f>
        <v>0</v>
      </c>
      <c r="AG71" s="1">
        <f>I71</f>
        <v>0</v>
      </c>
      <c r="AH71" s="1">
        <f>J71</f>
        <v>0</v>
      </c>
      <c r="AI71" s="1">
        <f>Q71</f>
        <v>1</v>
      </c>
      <c r="AJ71" s="1">
        <f>K71</f>
        <v>0</v>
      </c>
      <c r="AK71" s="1">
        <f>L71</f>
        <v>0</v>
      </c>
      <c r="AL71" s="1">
        <f>M71</f>
        <v>0</v>
      </c>
      <c r="AM71" s="1">
        <f>N71</f>
        <v>0</v>
      </c>
      <c r="AN71" s="1">
        <f>O71</f>
        <v>0</v>
      </c>
    </row>
    <row r="72">
      <c r="A72" s="1">
        <v>79</v>
      </c>
      <c r="B72" s="1">
        <v>11</v>
      </c>
      <c r="C72" s="1">
        <v>3.85</v>
      </c>
      <c r="D72" s="1">
        <v>87</v>
      </c>
      <c r="E72" s="1">
        <v>3</v>
      </c>
      <c r="F72" s="1">
        <v>0</v>
      </c>
      <c r="G72" s="1">
        <v>0</v>
      </c>
      <c r="H72" s="1">
        <v>0</v>
      </c>
      <c r="I72" s="1">
        <v>0</v>
      </c>
      <c r="J72" s="1">
        <v>0</v>
      </c>
      <c r="K72" s="1">
        <v>0</v>
      </c>
      <c r="L72" s="1">
        <v>0</v>
      </c>
      <c r="M72" s="1">
        <v>0</v>
      </c>
      <c r="N72" s="1">
        <v>0</v>
      </c>
      <c r="O72" s="1">
        <v>1</v>
      </c>
      <c r="P72" s="1">
        <f>LN(B72)</f>
        <v>2.39789527279837</v>
      </c>
      <c r="Q72" s="1">
        <f>1-SUM(F72:J72)</f>
        <v>1</v>
      </c>
      <c r="R72" s="1" t="str">
        <f>IF(F72=1,"Napa valley",IF(G72=1,"Bay area",IF(H72=1,"Sonoma",IF(I72=1,"Sierra/foothills",IF(J72=1,"Mendocino/lake","Generic California")))))</f>
        <v>Generic California</v>
      </c>
      <c r="S72" s="1" t="str">
        <f>IF(F72=1,"Napa valley",IF(H72=1,"Sonoma","Other"))</f>
        <v>Other</v>
      </c>
      <c r="T72" s="1" t="str">
        <f>IF(M72=1,"Cabernet",IF(N72=1,"Merlot",IF(L72=1,"Pinot noir","Other")))</f>
        <v>Other</v>
      </c>
      <c r="U72" s="1" t="str">
        <f>IF(F72=1,B72,"")</f>
        <v/>
      </c>
      <c r="V72" s="1">
        <f>IF(F72=0,B72,"")</f>
        <v>11</v>
      </c>
      <c r="W72" s="1">
        <f>'Part B'!$B$150+SUMPRODUCT('Part B'!$B$164:$N$164,C72:O72)</f>
        <v>20.2434526364085</v>
      </c>
      <c r="X72" s="1">
        <f>B72-W72</f>
        <v>-9.24345263640851</v>
      </c>
      <c r="Y72" s="1">
        <f>'Part B'!$B$179+SUMPRODUCT('Part B'!$B$193:$N$193,C72:O72)</f>
        <v>2.72133029007869</v>
      </c>
      <c r="Z72" s="1">
        <f>P72-Y72</f>
        <v>-0.323435017280315</v>
      </c>
      <c r="AB72" s="1">
        <f>C72</f>
        <v>3.85</v>
      </c>
      <c r="AC72" s="1">
        <f>D72</f>
        <v>87</v>
      </c>
      <c r="AD72" s="1">
        <f>E72</f>
        <v>3</v>
      </c>
      <c r="AE72" s="1">
        <f>F72</f>
        <v>0</v>
      </c>
      <c r="AF72" s="1">
        <f>G72</f>
        <v>0</v>
      </c>
      <c r="AG72" s="1">
        <f>I72</f>
        <v>0</v>
      </c>
      <c r="AH72" s="1">
        <f>J72</f>
        <v>0</v>
      </c>
      <c r="AI72" s="1">
        <f>Q72</f>
        <v>1</v>
      </c>
      <c r="AJ72" s="1">
        <f>K72</f>
        <v>0</v>
      </c>
      <c r="AK72" s="1">
        <f>L72</f>
        <v>0</v>
      </c>
      <c r="AL72" s="1">
        <f>M72</f>
        <v>0</v>
      </c>
      <c r="AM72" s="1">
        <f>N72</f>
        <v>0</v>
      </c>
      <c r="AN72" s="1">
        <f>O72</f>
        <v>1</v>
      </c>
    </row>
    <row r="73">
      <c r="A73" s="1">
        <v>80</v>
      </c>
      <c r="B73" s="1">
        <v>11</v>
      </c>
      <c r="C73" s="1">
        <v>7</v>
      </c>
      <c r="D73" s="1">
        <v>79</v>
      </c>
      <c r="E73" s="1">
        <v>3</v>
      </c>
      <c r="F73" s="1">
        <v>0</v>
      </c>
      <c r="G73" s="1">
        <v>1</v>
      </c>
      <c r="H73" s="1">
        <v>0</v>
      </c>
      <c r="I73" s="1">
        <v>0</v>
      </c>
      <c r="J73" s="1">
        <v>0</v>
      </c>
      <c r="K73" s="1">
        <v>0</v>
      </c>
      <c r="L73" s="1">
        <v>0</v>
      </c>
      <c r="M73" s="1">
        <v>1</v>
      </c>
      <c r="N73" s="1">
        <v>0</v>
      </c>
      <c r="O73" s="1">
        <v>0</v>
      </c>
      <c r="P73" s="1">
        <f>LN(B73)</f>
        <v>2.39789527279837</v>
      </c>
      <c r="Q73" s="1">
        <f>1-SUM(F73:J73)</f>
        <v>0</v>
      </c>
      <c r="R73" s="1" t="str">
        <f>IF(F73=1,"Napa valley",IF(G73=1,"Bay area",IF(H73=1,"Sonoma",IF(I73=1,"Sierra/foothills",IF(J73=1,"Mendocino/lake","Generic California")))))</f>
        <v>Bay area</v>
      </c>
      <c r="S73" s="1" t="str">
        <f>IF(F73=1,"Napa valley",IF(H73=1,"Sonoma","Other"))</f>
        <v>Other</v>
      </c>
      <c r="T73" s="1" t="str">
        <f>IF(M73=1,"Cabernet",IF(N73=1,"Merlot",IF(L73=1,"Pinot noir","Other")))</f>
        <v>Cabernet</v>
      </c>
      <c r="U73" s="1" t="str">
        <f>IF(F73=1,B73,"")</f>
        <v/>
      </c>
      <c r="V73" s="1">
        <f>IF(F73=0,B73,"")</f>
        <v>11</v>
      </c>
      <c r="W73" s="1">
        <f>'Part B'!$B$150+SUMPRODUCT('Part B'!$B$164:$N$164,C73:O73)</f>
        <v>10.0961160928722</v>
      </c>
      <c r="X73" s="1">
        <f>B73-W73</f>
        <v>0.903883907127806</v>
      </c>
      <c r="Y73" s="1">
        <f>'Part B'!$B$179+SUMPRODUCT('Part B'!$B$193:$N$193,C73:O73)</f>
        <v>2.68090896012744</v>
      </c>
      <c r="Z73" s="1">
        <f>P73-Y73</f>
        <v>-0.28301368732907</v>
      </c>
      <c r="AB73" s="1">
        <f>C73</f>
        <v>7</v>
      </c>
      <c r="AC73" s="1">
        <f>D73</f>
        <v>79</v>
      </c>
      <c r="AD73" s="1">
        <f>E73</f>
        <v>3</v>
      </c>
      <c r="AE73" s="1">
        <f>F73</f>
        <v>0</v>
      </c>
      <c r="AF73" s="1">
        <f>G73</f>
        <v>1</v>
      </c>
      <c r="AG73" s="1">
        <f>I73</f>
        <v>0</v>
      </c>
      <c r="AH73" s="1">
        <f>J73</f>
        <v>0</v>
      </c>
      <c r="AI73" s="1">
        <f>Q73</f>
        <v>0</v>
      </c>
      <c r="AJ73" s="1">
        <f>K73</f>
        <v>0</v>
      </c>
      <c r="AK73" s="1">
        <f>L73</f>
        <v>0</v>
      </c>
      <c r="AL73" s="1">
        <f>M73</f>
        <v>1</v>
      </c>
      <c r="AM73" s="1">
        <f>N73</f>
        <v>0</v>
      </c>
      <c r="AN73" s="1">
        <f>O73</f>
        <v>0</v>
      </c>
    </row>
    <row r="74">
      <c r="A74" s="1">
        <v>81</v>
      </c>
      <c r="B74" s="1">
        <v>11</v>
      </c>
      <c r="C74" s="1">
        <v>6.7</v>
      </c>
      <c r="D74" s="1">
        <v>82</v>
      </c>
      <c r="E74" s="1">
        <v>3</v>
      </c>
      <c r="F74" s="1">
        <v>0</v>
      </c>
      <c r="G74" s="1">
        <v>0</v>
      </c>
      <c r="H74" s="1">
        <v>0</v>
      </c>
      <c r="I74" s="1">
        <v>0</v>
      </c>
      <c r="J74" s="1">
        <v>0</v>
      </c>
      <c r="K74" s="1">
        <v>0</v>
      </c>
      <c r="L74" s="1">
        <v>0</v>
      </c>
      <c r="M74" s="1">
        <v>1</v>
      </c>
      <c r="N74" s="1">
        <v>0</v>
      </c>
      <c r="O74" s="1">
        <v>0</v>
      </c>
      <c r="P74" s="1">
        <f>LN(B74)</f>
        <v>2.39789527279837</v>
      </c>
      <c r="Q74" s="1">
        <f>1-SUM(F74:J74)</f>
        <v>1</v>
      </c>
      <c r="R74" s="1" t="str">
        <f>IF(F74=1,"Napa valley",IF(G74=1,"Bay area",IF(H74=1,"Sonoma",IF(I74=1,"Sierra/foothills",IF(J74=1,"Mendocino/lake","Generic California")))))</f>
        <v>Generic California</v>
      </c>
      <c r="S74" s="1" t="str">
        <f>IF(F74=1,"Napa valley",IF(H74=1,"Sonoma","Other"))</f>
        <v>Other</v>
      </c>
      <c r="T74" s="1" t="str">
        <f>IF(M74=1,"Cabernet",IF(N74=1,"Merlot",IF(L74=1,"Pinot noir","Other")))</f>
        <v>Cabernet</v>
      </c>
      <c r="U74" s="1" t="str">
        <f>IF(F74=1,B74,"")</f>
        <v/>
      </c>
      <c r="V74" s="1">
        <f>IF(F74=0,B74,"")</f>
        <v>11</v>
      </c>
      <c r="W74" s="1">
        <f>'Part B'!$B$150+SUMPRODUCT('Part B'!$B$164:$N$164,C74:O74)</f>
        <v>17.2810037739158</v>
      </c>
      <c r="X74" s="1">
        <f>B74-W74</f>
        <v>-6.28100377391581</v>
      </c>
      <c r="Y74" s="1">
        <f>'Part B'!$B$179+SUMPRODUCT('Part B'!$B$193:$N$193,C74:O74)</f>
        <v>2.63708981387527</v>
      </c>
      <c r="Z74" s="1">
        <f>P74-Y74</f>
        <v>-0.239194541076903</v>
      </c>
      <c r="AB74" s="1">
        <f>C74</f>
        <v>6.7</v>
      </c>
      <c r="AC74" s="1">
        <f>D74</f>
        <v>82</v>
      </c>
      <c r="AD74" s="1">
        <f>E74</f>
        <v>3</v>
      </c>
      <c r="AE74" s="1">
        <f>F74</f>
        <v>0</v>
      </c>
      <c r="AF74" s="1">
        <f>G74</f>
        <v>0</v>
      </c>
      <c r="AG74" s="1">
        <f>I74</f>
        <v>0</v>
      </c>
      <c r="AH74" s="1">
        <f>J74</f>
        <v>0</v>
      </c>
      <c r="AI74" s="1">
        <f>Q74</f>
        <v>1</v>
      </c>
      <c r="AJ74" s="1">
        <f>K74</f>
        <v>0</v>
      </c>
      <c r="AK74" s="1">
        <f>L74</f>
        <v>0</v>
      </c>
      <c r="AL74" s="1">
        <f>M74</f>
        <v>1</v>
      </c>
      <c r="AM74" s="1">
        <f>N74</f>
        <v>0</v>
      </c>
      <c r="AN74" s="1">
        <f>O74</f>
        <v>0</v>
      </c>
    </row>
    <row r="75">
      <c r="A75" s="1">
        <v>82</v>
      </c>
      <c r="B75" s="1">
        <v>11</v>
      </c>
      <c r="C75" s="1">
        <v>0.6</v>
      </c>
      <c r="D75" s="1">
        <v>85</v>
      </c>
      <c r="E75" s="1">
        <v>2</v>
      </c>
      <c r="F75" s="1">
        <v>0</v>
      </c>
      <c r="G75" s="1">
        <v>0</v>
      </c>
      <c r="H75" s="1">
        <v>0</v>
      </c>
      <c r="I75" s="1">
        <v>1</v>
      </c>
      <c r="J75" s="1">
        <v>0</v>
      </c>
      <c r="K75" s="1">
        <v>0</v>
      </c>
      <c r="L75" s="1">
        <v>0</v>
      </c>
      <c r="M75" s="1">
        <v>1</v>
      </c>
      <c r="N75" s="1">
        <v>0</v>
      </c>
      <c r="O75" s="1">
        <v>0</v>
      </c>
      <c r="P75" s="1">
        <f>LN(B75)</f>
        <v>2.39789527279837</v>
      </c>
      <c r="Q75" s="1">
        <f>1-SUM(F75:J75)</f>
        <v>0</v>
      </c>
      <c r="R75" s="1" t="str">
        <f>IF(F75=1,"Napa valley",IF(G75=1,"Bay area",IF(H75=1,"Sonoma",IF(I75=1,"Sierra/foothills",IF(J75=1,"Mendocino/lake","Generic California")))))</f>
        <v>Sierra/foothills</v>
      </c>
      <c r="S75" s="1" t="str">
        <f>IF(F75=1,"Napa valley",IF(H75=1,"Sonoma","Other"))</f>
        <v>Other</v>
      </c>
      <c r="T75" s="1" t="str">
        <f>IF(M75=1,"Cabernet",IF(N75=1,"Merlot",IF(L75=1,"Pinot noir","Other")))</f>
        <v>Cabernet</v>
      </c>
      <c r="U75" s="1" t="str">
        <f>IF(F75=1,B75,"")</f>
        <v/>
      </c>
      <c r="V75" s="1">
        <f>IF(F75=0,B75,"")</f>
        <v>11</v>
      </c>
      <c r="W75" s="1">
        <f>'Part B'!$B$150+SUMPRODUCT('Part B'!$B$164:$N$164,C75:O75)</f>
        <v>25.6996370632446</v>
      </c>
      <c r="X75" s="1">
        <f>B75-W75</f>
        <v>-14.6996370632446</v>
      </c>
      <c r="Y75" s="1">
        <f>'Part B'!$B$179+SUMPRODUCT('Part B'!$B$193:$N$193,C75:O75)</f>
        <v>2.94122546439674</v>
      </c>
      <c r="Z75" s="1">
        <f>P75-Y75</f>
        <v>-0.54333019159837</v>
      </c>
      <c r="AB75" s="1">
        <f>C75</f>
        <v>0.6</v>
      </c>
      <c r="AC75" s="1">
        <f>D75</f>
        <v>85</v>
      </c>
      <c r="AD75" s="1">
        <f>E75</f>
        <v>2</v>
      </c>
      <c r="AE75" s="1">
        <f>F75</f>
        <v>0</v>
      </c>
      <c r="AF75" s="1">
        <f>G75</f>
        <v>0</v>
      </c>
      <c r="AG75" s="1">
        <f>I75</f>
        <v>1</v>
      </c>
      <c r="AH75" s="1">
        <f>J75</f>
        <v>0</v>
      </c>
      <c r="AI75" s="1">
        <f>Q75</f>
        <v>0</v>
      </c>
      <c r="AJ75" s="1">
        <f>K75</f>
        <v>0</v>
      </c>
      <c r="AK75" s="1">
        <f>L75</f>
        <v>0</v>
      </c>
      <c r="AL75" s="1">
        <f>M75</f>
        <v>1</v>
      </c>
      <c r="AM75" s="1">
        <f>N75</f>
        <v>0</v>
      </c>
      <c r="AN75" s="1">
        <f>O75</f>
        <v>0</v>
      </c>
    </row>
    <row r="76">
      <c r="A76" s="1">
        <v>83</v>
      </c>
      <c r="B76" s="1">
        <v>11</v>
      </c>
      <c r="C76" s="1">
        <v>50</v>
      </c>
      <c r="D76" s="1">
        <v>82</v>
      </c>
      <c r="E76" s="1">
        <v>2</v>
      </c>
      <c r="F76" s="1">
        <v>0</v>
      </c>
      <c r="G76" s="1">
        <v>0</v>
      </c>
      <c r="H76" s="1">
        <v>0</v>
      </c>
      <c r="I76" s="1">
        <v>0</v>
      </c>
      <c r="J76" s="1">
        <v>0</v>
      </c>
      <c r="K76" s="1">
        <v>0</v>
      </c>
      <c r="L76" s="1">
        <v>0</v>
      </c>
      <c r="M76" s="1">
        <v>0</v>
      </c>
      <c r="N76" s="1">
        <v>1</v>
      </c>
      <c r="O76" s="1">
        <v>0</v>
      </c>
      <c r="P76" s="1">
        <f>LN(B76)</f>
        <v>2.39789527279837</v>
      </c>
      <c r="Q76" s="1">
        <f>1-SUM(F76:J76)</f>
        <v>1</v>
      </c>
      <c r="R76" s="1" t="str">
        <f>IF(F76=1,"Napa valley",IF(G76=1,"Bay area",IF(H76=1,"Sonoma",IF(I76=1,"Sierra/foothills",IF(J76=1,"Mendocino/lake","Generic California")))))</f>
        <v>Generic California</v>
      </c>
      <c r="S76" s="1" t="str">
        <f>IF(F76=1,"Napa valley",IF(H76=1,"Sonoma","Other"))</f>
        <v>Other</v>
      </c>
      <c r="T76" s="1" t="str">
        <f>IF(M76=1,"Cabernet",IF(N76=1,"Merlot",IF(L76=1,"Pinot noir","Other")))</f>
        <v>Merlot</v>
      </c>
      <c r="U76" s="1" t="str">
        <f>IF(F76=1,B76,"")</f>
        <v/>
      </c>
      <c r="V76" s="1">
        <f>IF(F76=0,B76,"")</f>
        <v>11</v>
      </c>
      <c r="W76" s="1">
        <f>'Part B'!$B$150+SUMPRODUCT('Part B'!$B$164:$N$164,C76:O76)</f>
        <v>1.58458870272995</v>
      </c>
      <c r="X76" s="1">
        <f>B76-W76</f>
        <v>9.41541129727005</v>
      </c>
      <c r="Y76" s="1">
        <f>'Part B'!$B$179+SUMPRODUCT('Part B'!$B$193:$N$193,C76:O76)</f>
        <v>2.2322399935325</v>
      </c>
      <c r="Z76" s="1">
        <f>P76-Y76</f>
        <v>0.165655279265866</v>
      </c>
      <c r="AB76" s="1">
        <f>C76</f>
        <v>50</v>
      </c>
      <c r="AC76" s="1">
        <f>D76</f>
        <v>82</v>
      </c>
      <c r="AD76" s="1">
        <f>E76</f>
        <v>2</v>
      </c>
      <c r="AE76" s="1">
        <f>F76</f>
        <v>0</v>
      </c>
      <c r="AF76" s="1">
        <f>G76</f>
        <v>0</v>
      </c>
      <c r="AG76" s="1">
        <f>I76</f>
        <v>0</v>
      </c>
      <c r="AH76" s="1">
        <f>J76</f>
        <v>0</v>
      </c>
      <c r="AI76" s="1">
        <f>Q76</f>
        <v>1</v>
      </c>
      <c r="AJ76" s="1">
        <f>K76</f>
        <v>0</v>
      </c>
      <c r="AK76" s="1">
        <f>L76</f>
        <v>0</v>
      </c>
      <c r="AL76" s="1">
        <f>M76</f>
        <v>0</v>
      </c>
      <c r="AM76" s="1">
        <f>N76</f>
        <v>1</v>
      </c>
      <c r="AN76" s="1">
        <f>O76</f>
        <v>0</v>
      </c>
    </row>
    <row r="77">
      <c r="A77" s="1">
        <v>84</v>
      </c>
      <c r="B77" s="1">
        <v>11</v>
      </c>
      <c r="C77" s="1">
        <v>6.9</v>
      </c>
      <c r="D77" s="1">
        <v>85</v>
      </c>
      <c r="E77" s="1">
        <v>2</v>
      </c>
      <c r="F77" s="1">
        <v>0</v>
      </c>
      <c r="G77" s="1">
        <v>0</v>
      </c>
      <c r="H77" s="1">
        <v>0</v>
      </c>
      <c r="I77" s="1">
        <v>0</v>
      </c>
      <c r="J77" s="1">
        <v>0</v>
      </c>
      <c r="K77" s="1">
        <v>0</v>
      </c>
      <c r="L77" s="1">
        <v>1</v>
      </c>
      <c r="M77" s="1">
        <v>0</v>
      </c>
      <c r="N77" s="1">
        <v>0</v>
      </c>
      <c r="O77" s="1">
        <v>0</v>
      </c>
      <c r="P77" s="1">
        <f>LN(B77)</f>
        <v>2.39789527279837</v>
      </c>
      <c r="Q77" s="1">
        <f>1-SUM(F77:J77)</f>
        <v>1</v>
      </c>
      <c r="R77" s="1" t="str">
        <f>IF(F77=1,"Napa valley",IF(G77=1,"Bay area",IF(H77=1,"Sonoma",IF(I77=1,"Sierra/foothills",IF(J77=1,"Mendocino/lake","Generic California")))))</f>
        <v>Generic California</v>
      </c>
      <c r="S77" s="1" t="str">
        <f>IF(F77=1,"Napa valley",IF(H77=1,"Sonoma","Other"))</f>
        <v>Other</v>
      </c>
      <c r="T77" s="1" t="str">
        <f>IF(M77=1,"Cabernet",IF(N77=1,"Merlot",IF(L77=1,"Pinot noir","Other")))</f>
        <v>Pinot noir</v>
      </c>
      <c r="U77" s="1" t="str">
        <f>IF(F77=1,B77,"")</f>
        <v/>
      </c>
      <c r="V77" s="1">
        <f>IF(F77=0,B77,"")</f>
        <v>11</v>
      </c>
      <c r="W77" s="1">
        <f>'Part B'!$B$150+SUMPRODUCT('Part B'!$B$164:$N$164,C77:O77)</f>
        <v>16.9047134231813</v>
      </c>
      <c r="X77" s="1">
        <f>B77-W77</f>
        <v>-5.90471342318131</v>
      </c>
      <c r="Y77" s="1">
        <f>'Part B'!$B$179+SUMPRODUCT('Part B'!$B$193:$N$193,C77:O77)</f>
        <v>2.68855944207387</v>
      </c>
      <c r="Z77" s="1">
        <f>P77-Y77</f>
        <v>-0.290664169275498</v>
      </c>
      <c r="AB77" s="1">
        <f>C77</f>
        <v>6.9</v>
      </c>
      <c r="AC77" s="1">
        <f>D77</f>
        <v>85</v>
      </c>
      <c r="AD77" s="1">
        <f>E77</f>
        <v>2</v>
      </c>
      <c r="AE77" s="1">
        <f>F77</f>
        <v>0</v>
      </c>
      <c r="AF77" s="1">
        <f>G77</f>
        <v>0</v>
      </c>
      <c r="AG77" s="1">
        <f>I77</f>
        <v>0</v>
      </c>
      <c r="AH77" s="1">
        <f>J77</f>
        <v>0</v>
      </c>
      <c r="AI77" s="1">
        <f>Q77</f>
        <v>1</v>
      </c>
      <c r="AJ77" s="1">
        <f>K77</f>
        <v>0</v>
      </c>
      <c r="AK77" s="1">
        <f>L77</f>
        <v>1</v>
      </c>
      <c r="AL77" s="1">
        <f>M77</f>
        <v>0</v>
      </c>
      <c r="AM77" s="1">
        <f>N77</f>
        <v>0</v>
      </c>
      <c r="AN77" s="1">
        <f>O77</f>
        <v>0</v>
      </c>
    </row>
    <row r="78">
      <c r="A78" s="1">
        <v>85</v>
      </c>
      <c r="B78" s="1">
        <v>11</v>
      </c>
      <c r="C78" s="1">
        <v>28</v>
      </c>
      <c r="D78" s="1">
        <v>81</v>
      </c>
      <c r="E78" s="1">
        <v>2</v>
      </c>
      <c r="F78" s="1">
        <v>0</v>
      </c>
      <c r="G78" s="1">
        <v>0</v>
      </c>
      <c r="H78" s="1">
        <v>0</v>
      </c>
      <c r="I78" s="1">
        <v>0</v>
      </c>
      <c r="J78" s="1">
        <v>1</v>
      </c>
      <c r="K78" s="1">
        <v>0</v>
      </c>
      <c r="L78" s="1">
        <v>0</v>
      </c>
      <c r="M78" s="1">
        <v>1</v>
      </c>
      <c r="N78" s="1">
        <v>0</v>
      </c>
      <c r="O78" s="1">
        <v>0</v>
      </c>
      <c r="P78" s="1">
        <f>LN(B78)</f>
        <v>2.39789527279837</v>
      </c>
      <c r="Q78" s="1">
        <f>1-SUM(F78:J78)</f>
        <v>0</v>
      </c>
      <c r="R78" s="1" t="str">
        <f>IF(F78=1,"Napa valley",IF(G78=1,"Bay area",IF(H78=1,"Sonoma",IF(I78=1,"Sierra/foothills",IF(J78=1,"Mendocino/lake","Generic California")))))</f>
        <v>Mendocino/lake</v>
      </c>
      <c r="S78" s="1" t="str">
        <f>IF(F78=1,"Napa valley",IF(H78=1,"Sonoma","Other"))</f>
        <v>Other</v>
      </c>
      <c r="T78" s="1" t="str">
        <f>IF(M78=1,"Cabernet",IF(N78=1,"Merlot",IF(L78=1,"Pinot noir","Other")))</f>
        <v>Cabernet</v>
      </c>
      <c r="U78" s="1" t="str">
        <f>IF(F78=1,B78,"")</f>
        <v/>
      </c>
      <c r="V78" s="1">
        <f>IF(F78=0,B78,"")</f>
        <v>11</v>
      </c>
      <c r="W78" s="1">
        <f>'Part B'!$B$150+SUMPRODUCT('Part B'!$B$164:$N$164,C78:O78)</f>
        <v>6.37617818905954</v>
      </c>
      <c r="X78" s="1">
        <f>B78-W78</f>
        <v>4.62382181094046</v>
      </c>
      <c r="Y78" s="1">
        <f>'Part B'!$B$179+SUMPRODUCT('Part B'!$B$193:$N$193,C78:O78)</f>
        <v>2.53012594137102</v>
      </c>
      <c r="Z78" s="1">
        <f>P78-Y78</f>
        <v>-0.132230668572645</v>
      </c>
      <c r="AB78" s="1">
        <f>C78</f>
        <v>28</v>
      </c>
      <c r="AC78" s="1">
        <f>D78</f>
        <v>81</v>
      </c>
      <c r="AD78" s="1">
        <f>E78</f>
        <v>2</v>
      </c>
      <c r="AE78" s="1">
        <f>F78</f>
        <v>0</v>
      </c>
      <c r="AF78" s="1">
        <f>G78</f>
        <v>0</v>
      </c>
      <c r="AG78" s="1">
        <f>I78</f>
        <v>0</v>
      </c>
      <c r="AH78" s="1">
        <f>J78</f>
        <v>1</v>
      </c>
      <c r="AI78" s="1">
        <f>Q78</f>
        <v>0</v>
      </c>
      <c r="AJ78" s="1">
        <f>K78</f>
        <v>0</v>
      </c>
      <c r="AK78" s="1">
        <f>L78</f>
        <v>0</v>
      </c>
      <c r="AL78" s="1">
        <f>M78</f>
        <v>1</v>
      </c>
      <c r="AM78" s="1">
        <f>N78</f>
        <v>0</v>
      </c>
      <c r="AN78" s="1">
        <f>O78</f>
        <v>0</v>
      </c>
    </row>
    <row r="79">
      <c r="A79" s="1">
        <v>86</v>
      </c>
      <c r="B79" s="1">
        <v>11</v>
      </c>
      <c r="C79" s="1">
        <v>6.7</v>
      </c>
      <c r="D79" s="1">
        <v>85</v>
      </c>
      <c r="E79" s="1">
        <v>2</v>
      </c>
      <c r="F79" s="1">
        <v>0</v>
      </c>
      <c r="G79" s="1">
        <v>0</v>
      </c>
      <c r="H79" s="1">
        <v>0</v>
      </c>
      <c r="I79" s="1">
        <v>0</v>
      </c>
      <c r="J79" s="1">
        <v>0</v>
      </c>
      <c r="K79" s="1">
        <v>0</v>
      </c>
      <c r="L79" s="1">
        <v>0</v>
      </c>
      <c r="M79" s="1">
        <v>1</v>
      </c>
      <c r="N79" s="1">
        <v>0</v>
      </c>
      <c r="O79" s="1">
        <v>0</v>
      </c>
      <c r="P79" s="1">
        <f>LN(B79)</f>
        <v>2.39789527279837</v>
      </c>
      <c r="Q79" s="1">
        <f>1-SUM(F79:J79)</f>
        <v>1</v>
      </c>
      <c r="R79" s="1" t="str">
        <f>IF(F79=1,"Napa valley",IF(G79=1,"Bay area",IF(H79=1,"Sonoma",IF(I79=1,"Sierra/foothills",IF(J79=1,"Mendocino/lake","Generic California")))))</f>
        <v>Generic California</v>
      </c>
      <c r="S79" s="1" t="str">
        <f>IF(F79=1,"Napa valley",IF(H79=1,"Sonoma","Other"))</f>
        <v>Other</v>
      </c>
      <c r="T79" s="1" t="str">
        <f>IF(M79=1,"Cabernet",IF(N79=1,"Merlot",IF(L79=1,"Pinot noir","Other")))</f>
        <v>Cabernet</v>
      </c>
      <c r="U79" s="1" t="str">
        <f>IF(F79=1,B79,"")</f>
        <v/>
      </c>
      <c r="V79" s="1">
        <f>IF(F79=0,B79,"")</f>
        <v>11</v>
      </c>
      <c r="W79" s="1">
        <f>'Part B'!$B$150+SUMPRODUCT('Part B'!$B$164:$N$164,C79:O79)</f>
        <v>20.0966902926197</v>
      </c>
      <c r="X79" s="1">
        <f>B79-W79</f>
        <v>-9.09669029261971</v>
      </c>
      <c r="Y79" s="1">
        <f>'Part B'!$B$179+SUMPRODUCT('Part B'!$B$193:$N$193,C79:O79)</f>
        <v>2.66388863782594</v>
      </c>
      <c r="Z79" s="1">
        <f>P79-Y79</f>
        <v>-0.265993365027573</v>
      </c>
      <c r="AB79" s="1">
        <f>C79</f>
        <v>6.7</v>
      </c>
      <c r="AC79" s="1">
        <f>D79</f>
        <v>85</v>
      </c>
      <c r="AD79" s="1">
        <f>E79</f>
        <v>2</v>
      </c>
      <c r="AE79" s="1">
        <f>F79</f>
        <v>0</v>
      </c>
      <c r="AF79" s="1">
        <f>G79</f>
        <v>0</v>
      </c>
      <c r="AG79" s="1">
        <f>I79</f>
        <v>0</v>
      </c>
      <c r="AH79" s="1">
        <f>J79</f>
        <v>0</v>
      </c>
      <c r="AI79" s="1">
        <f>Q79</f>
        <v>1</v>
      </c>
      <c r="AJ79" s="1">
        <f>K79</f>
        <v>0</v>
      </c>
      <c r="AK79" s="1">
        <f>L79</f>
        <v>0</v>
      </c>
      <c r="AL79" s="1">
        <f>M79</f>
        <v>1</v>
      </c>
      <c r="AM79" s="1">
        <f>N79</f>
        <v>0</v>
      </c>
      <c r="AN79" s="1">
        <f>O79</f>
        <v>0</v>
      </c>
    </row>
    <row r="80">
      <c r="A80" s="1">
        <v>87</v>
      </c>
      <c r="B80" s="1">
        <v>11</v>
      </c>
      <c r="C80" s="1">
        <v>1</v>
      </c>
      <c r="D80" s="1">
        <v>83</v>
      </c>
      <c r="E80" s="1">
        <v>2</v>
      </c>
      <c r="F80" s="1">
        <v>0</v>
      </c>
      <c r="G80" s="1">
        <v>0</v>
      </c>
      <c r="H80" s="1">
        <v>0</v>
      </c>
      <c r="I80" s="1">
        <v>0</v>
      </c>
      <c r="J80" s="1">
        <v>1</v>
      </c>
      <c r="K80" s="1">
        <v>0</v>
      </c>
      <c r="L80" s="1">
        <v>0</v>
      </c>
      <c r="M80" s="1">
        <v>0</v>
      </c>
      <c r="N80" s="1">
        <v>0</v>
      </c>
      <c r="O80" s="1">
        <v>0</v>
      </c>
      <c r="P80" s="1">
        <f>LN(B80)</f>
        <v>2.39789527279837</v>
      </c>
      <c r="Q80" s="1">
        <f>1-SUM(F80:J80)</f>
        <v>0</v>
      </c>
      <c r="R80" s="1" t="str">
        <f>IF(F80=1,"Napa valley",IF(G80=1,"Bay area",IF(H80=1,"Sonoma",IF(I80=1,"Sierra/foothills",IF(J80=1,"Mendocino/lake","Generic California")))))</f>
        <v>Mendocino/lake</v>
      </c>
      <c r="S80" s="1" t="str">
        <f>IF(F80=1,"Napa valley",IF(H80=1,"Sonoma","Other"))</f>
        <v>Other</v>
      </c>
      <c r="T80" s="1" t="str">
        <f>IF(M80=1,"Cabernet",IF(N80=1,"Merlot",IF(L80=1,"Pinot noir","Other")))</f>
        <v>Other</v>
      </c>
      <c r="U80" s="1" t="str">
        <f>IF(F80=1,B80,"")</f>
        <v/>
      </c>
      <c r="V80" s="1">
        <f>IF(F80=0,B80,"")</f>
        <v>11</v>
      </c>
      <c r="W80" s="1">
        <f>'Part B'!$B$150+SUMPRODUCT('Part B'!$B$164:$N$164,C80:O80)</f>
        <v>2.60179051160202</v>
      </c>
      <c r="X80" s="1">
        <f>B80-W80</f>
        <v>8.39820948839798</v>
      </c>
      <c r="Y80" s="1">
        <f>'Part B'!$B$179+SUMPRODUCT('Part B'!$B$193:$N$193,C80:O80)</f>
        <v>2.46458783149575</v>
      </c>
      <c r="Z80" s="1">
        <f>P80-Y80</f>
        <v>-0.0666925586973823</v>
      </c>
      <c r="AB80" s="1">
        <f>C80</f>
        <v>1</v>
      </c>
      <c r="AC80" s="1">
        <f>D80</f>
        <v>83</v>
      </c>
      <c r="AD80" s="1">
        <f>E80</f>
        <v>2</v>
      </c>
      <c r="AE80" s="1">
        <f>F80</f>
        <v>0</v>
      </c>
      <c r="AF80" s="1">
        <f>G80</f>
        <v>0</v>
      </c>
      <c r="AG80" s="1">
        <f>I80</f>
        <v>0</v>
      </c>
      <c r="AH80" s="1">
        <f>J80</f>
        <v>1</v>
      </c>
      <c r="AI80" s="1">
        <f>Q80</f>
        <v>0</v>
      </c>
      <c r="AJ80" s="1">
        <f>K80</f>
        <v>0</v>
      </c>
      <c r="AK80" s="1">
        <f>L80</f>
        <v>0</v>
      </c>
      <c r="AL80" s="1">
        <f>M80</f>
        <v>0</v>
      </c>
      <c r="AM80" s="1">
        <f>N80</f>
        <v>0</v>
      </c>
      <c r="AN80" s="1">
        <f>O80</f>
        <v>0</v>
      </c>
    </row>
    <row r="81">
      <c r="A81" s="1">
        <v>88</v>
      </c>
      <c r="B81" s="1">
        <v>11</v>
      </c>
      <c r="C81" s="1">
        <v>10</v>
      </c>
      <c r="D81" s="1">
        <v>87</v>
      </c>
      <c r="E81" s="1">
        <v>2</v>
      </c>
      <c r="F81" s="1">
        <v>0</v>
      </c>
      <c r="G81" s="1">
        <v>0</v>
      </c>
      <c r="H81" s="1">
        <v>0</v>
      </c>
      <c r="I81" s="1">
        <v>0</v>
      </c>
      <c r="J81" s="1">
        <v>0</v>
      </c>
      <c r="K81" s="1">
        <v>0</v>
      </c>
      <c r="L81" s="1">
        <v>0</v>
      </c>
      <c r="M81" s="1">
        <v>1</v>
      </c>
      <c r="N81" s="1">
        <v>0</v>
      </c>
      <c r="O81" s="1">
        <v>0</v>
      </c>
      <c r="P81" s="1">
        <f>LN(B81)</f>
        <v>2.39789527279837</v>
      </c>
      <c r="Q81" s="1">
        <f>1-SUM(F81:J81)</f>
        <v>1</v>
      </c>
      <c r="R81" s="1" t="str">
        <f>IF(F81=1,"Napa valley",IF(G81=1,"Bay area",IF(H81=1,"Sonoma",IF(I81=1,"Sierra/foothills",IF(J81=1,"Mendocino/lake","Generic California")))))</f>
        <v>Generic California</v>
      </c>
      <c r="S81" s="1" t="str">
        <f>IF(F81=1,"Napa valley",IF(H81=1,"Sonoma","Other"))</f>
        <v>Other</v>
      </c>
      <c r="T81" s="1" t="str">
        <f>IF(M81=1,"Cabernet",IF(N81=1,"Merlot",IF(L81=1,"Pinot noir","Other")))</f>
        <v>Cabernet</v>
      </c>
      <c r="U81" s="1" t="str">
        <f>IF(F81=1,B81,"")</f>
        <v/>
      </c>
      <c r="V81" s="1">
        <f>IF(F81=0,B81,"")</f>
        <v>11</v>
      </c>
      <c r="W81" s="1">
        <f>'Part B'!$B$150+SUMPRODUCT('Part B'!$B$164:$N$164,C81:O81)</f>
        <v>26.0736690375618</v>
      </c>
      <c r="X81" s="1">
        <f>B81-W81</f>
        <v>-15.0736690375618</v>
      </c>
      <c r="Y81" s="1">
        <f>'Part B'!$B$179+SUMPRODUCT('Part B'!$B$193:$N$193,C81:O81)</f>
        <v>2.78969045384202</v>
      </c>
      <c r="Z81" s="1">
        <f>P81-Y81</f>
        <v>-0.39179518104365</v>
      </c>
      <c r="AB81" s="1">
        <f>C81</f>
        <v>10</v>
      </c>
      <c r="AC81" s="1">
        <f>D81</f>
        <v>87</v>
      </c>
      <c r="AD81" s="1">
        <f>E81</f>
        <v>2</v>
      </c>
      <c r="AE81" s="1">
        <f>F81</f>
        <v>0</v>
      </c>
      <c r="AF81" s="1">
        <f>G81</f>
        <v>0</v>
      </c>
      <c r="AG81" s="1">
        <f>I81</f>
        <v>0</v>
      </c>
      <c r="AH81" s="1">
        <f>J81</f>
        <v>0</v>
      </c>
      <c r="AI81" s="1">
        <f>Q81</f>
        <v>1</v>
      </c>
      <c r="AJ81" s="1">
        <f>K81</f>
        <v>0</v>
      </c>
      <c r="AK81" s="1">
        <f>L81</f>
        <v>0</v>
      </c>
      <c r="AL81" s="1">
        <f>M81</f>
        <v>1</v>
      </c>
      <c r="AM81" s="1">
        <f>N81</f>
        <v>0</v>
      </c>
      <c r="AN81" s="1">
        <f>O81</f>
        <v>0</v>
      </c>
    </row>
    <row r="82">
      <c r="A82" s="1">
        <v>89</v>
      </c>
      <c r="B82" s="1">
        <v>11</v>
      </c>
      <c r="C82" s="1">
        <v>7</v>
      </c>
      <c r="D82" s="1">
        <v>85</v>
      </c>
      <c r="E82" s="1">
        <v>2</v>
      </c>
      <c r="F82" s="1">
        <v>0</v>
      </c>
      <c r="G82" s="1">
        <v>1</v>
      </c>
      <c r="H82" s="1">
        <v>0</v>
      </c>
      <c r="I82" s="1">
        <v>0</v>
      </c>
      <c r="J82" s="1">
        <v>0</v>
      </c>
      <c r="K82" s="1">
        <v>0</v>
      </c>
      <c r="L82" s="1">
        <v>0</v>
      </c>
      <c r="M82" s="1">
        <v>1</v>
      </c>
      <c r="N82" s="1">
        <v>0</v>
      </c>
      <c r="O82" s="1">
        <v>0</v>
      </c>
      <c r="P82" s="1">
        <f>LN(B82)</f>
        <v>2.39789527279837</v>
      </c>
      <c r="Q82" s="1">
        <f>1-SUM(F82:J82)</f>
        <v>0</v>
      </c>
      <c r="R82" s="1" t="str">
        <f>IF(F82=1,"Napa valley",IF(G82=1,"Bay area",IF(H82=1,"Sonoma",IF(I82=1,"Sierra/foothills",IF(J82=1,"Mendocino/lake","Generic California")))))</f>
        <v>Bay area</v>
      </c>
      <c r="S82" s="1" t="str">
        <f>IF(F82=1,"Napa valley",IF(H82=1,"Sonoma","Other"))</f>
        <v>Other</v>
      </c>
      <c r="T82" s="1" t="str">
        <f>IF(M82=1,"Cabernet",IF(N82=1,"Merlot",IF(L82=1,"Pinot noir","Other")))</f>
        <v>Cabernet</v>
      </c>
      <c r="U82" s="1" t="str">
        <f>IF(F82=1,B82,"")</f>
        <v/>
      </c>
      <c r="V82" s="1">
        <f>IF(F82=0,B82,"")</f>
        <v>11</v>
      </c>
      <c r="W82" s="1">
        <f>'Part B'!$B$150+SUMPRODUCT('Part B'!$B$164:$N$164,C82:O82)</f>
        <v>22.347093888658</v>
      </c>
      <c r="X82" s="1">
        <f>B82-W82</f>
        <v>-11.347093888658</v>
      </c>
      <c r="Y82" s="1">
        <f>'Part B'!$B$179+SUMPRODUCT('Part B'!$B$193:$N$193,C82:O82)</f>
        <v>2.91759189047039</v>
      </c>
      <c r="Z82" s="1">
        <f>P82-Y82</f>
        <v>-0.51969661767202</v>
      </c>
      <c r="AB82" s="1">
        <f>C82</f>
        <v>7</v>
      </c>
      <c r="AC82" s="1">
        <f>D82</f>
        <v>85</v>
      </c>
      <c r="AD82" s="1">
        <f>E82</f>
        <v>2</v>
      </c>
      <c r="AE82" s="1">
        <f>F82</f>
        <v>0</v>
      </c>
      <c r="AF82" s="1">
        <f>G82</f>
        <v>1</v>
      </c>
      <c r="AG82" s="1">
        <f>I82</f>
        <v>0</v>
      </c>
      <c r="AH82" s="1">
        <f>J82</f>
        <v>0</v>
      </c>
      <c r="AI82" s="1">
        <f>Q82</f>
        <v>0</v>
      </c>
      <c r="AJ82" s="1">
        <f>K82</f>
        <v>0</v>
      </c>
      <c r="AK82" s="1">
        <f>L82</f>
        <v>0</v>
      </c>
      <c r="AL82" s="1">
        <f>M82</f>
        <v>1</v>
      </c>
      <c r="AM82" s="1">
        <f>N82</f>
        <v>0</v>
      </c>
      <c r="AN82" s="1">
        <f>O82</f>
        <v>0</v>
      </c>
    </row>
    <row r="83">
      <c r="A83" s="1">
        <v>90</v>
      </c>
      <c r="B83" s="1">
        <v>11</v>
      </c>
      <c r="C83" s="1">
        <v>30</v>
      </c>
      <c r="D83" s="1">
        <v>81</v>
      </c>
      <c r="E83" s="1">
        <v>1</v>
      </c>
      <c r="F83" s="1">
        <v>0</v>
      </c>
      <c r="G83" s="1">
        <v>0</v>
      </c>
      <c r="H83" s="1">
        <v>0</v>
      </c>
      <c r="I83" s="1">
        <v>0</v>
      </c>
      <c r="J83" s="1">
        <v>0</v>
      </c>
      <c r="K83" s="1">
        <v>0</v>
      </c>
      <c r="L83" s="1">
        <v>0</v>
      </c>
      <c r="M83" s="1">
        <v>0</v>
      </c>
      <c r="N83" s="1">
        <v>1</v>
      </c>
      <c r="O83" s="1">
        <v>0</v>
      </c>
      <c r="P83" s="1">
        <f>LN(B83)</f>
        <v>2.39789527279837</v>
      </c>
      <c r="Q83" s="1">
        <f>1-SUM(F83:J83)</f>
        <v>1</v>
      </c>
      <c r="R83" s="1" t="str">
        <f>IF(F83=1,"Napa valley",IF(G83=1,"Bay area",IF(H83=1,"Sonoma",IF(I83=1,"Sierra/foothills",IF(J83=1,"Mendocino/lake","Generic California")))))</f>
        <v>Generic California</v>
      </c>
      <c r="S83" s="1" t="str">
        <f>IF(F83=1,"Napa valley",IF(H83=1,"Sonoma","Other"))</f>
        <v>Other</v>
      </c>
      <c r="T83" s="1" t="str">
        <f>IF(M83=1,"Cabernet",IF(N83=1,"Merlot",IF(L83=1,"Pinot noir","Other")))</f>
        <v>Merlot</v>
      </c>
      <c r="U83" s="1" t="str">
        <f>IF(F83=1,B83,"")</f>
        <v/>
      </c>
      <c r="V83" s="1">
        <f>IF(F83=0,B83,"")</f>
        <v>11</v>
      </c>
      <c r="W83" s="1">
        <f>'Part B'!$B$150+SUMPRODUCT('Part B'!$B$164:$N$164,C83:O83)</f>
        <v>-6.28183775540776</v>
      </c>
      <c r="X83" s="1">
        <f>B83-W83</f>
        <v>17.2818377554078</v>
      </c>
      <c r="Y83" s="1">
        <f>'Part B'!$B$179+SUMPRODUCT('Part B'!$B$193:$N$193,C83:O83)</f>
        <v>2.06477468519514</v>
      </c>
      <c r="Z83" s="1">
        <f>P83-Y83</f>
        <v>0.333120587603232</v>
      </c>
      <c r="AB83" s="1">
        <f>C83</f>
        <v>30</v>
      </c>
      <c r="AC83" s="1">
        <f>D83</f>
        <v>81</v>
      </c>
      <c r="AD83" s="1">
        <f>E83</f>
        <v>1</v>
      </c>
      <c r="AE83" s="1">
        <f>F83</f>
        <v>0</v>
      </c>
      <c r="AF83" s="1">
        <f>G83</f>
        <v>0</v>
      </c>
      <c r="AG83" s="1">
        <f>I83</f>
        <v>0</v>
      </c>
      <c r="AH83" s="1">
        <f>J83</f>
        <v>0</v>
      </c>
      <c r="AI83" s="1">
        <f>Q83</f>
        <v>1</v>
      </c>
      <c r="AJ83" s="1">
        <f>K83</f>
        <v>0</v>
      </c>
      <c r="AK83" s="1">
        <f>L83</f>
        <v>0</v>
      </c>
      <c r="AL83" s="1">
        <f>M83</f>
        <v>0</v>
      </c>
      <c r="AM83" s="1">
        <f>N83</f>
        <v>1</v>
      </c>
      <c r="AN83" s="1">
        <f>O83</f>
        <v>0</v>
      </c>
    </row>
    <row r="84">
      <c r="A84" s="1">
        <v>92</v>
      </c>
      <c r="B84" s="1">
        <v>12</v>
      </c>
      <c r="C84" s="1">
        <v>2.475</v>
      </c>
      <c r="D84" s="1">
        <v>84</v>
      </c>
      <c r="E84" s="1">
        <v>4</v>
      </c>
      <c r="F84" s="1">
        <v>0</v>
      </c>
      <c r="G84" s="1">
        <v>0</v>
      </c>
      <c r="H84" s="1">
        <v>1</v>
      </c>
      <c r="I84" s="1">
        <v>0</v>
      </c>
      <c r="J84" s="1">
        <v>0</v>
      </c>
      <c r="K84" s="1">
        <v>0</v>
      </c>
      <c r="L84" s="1">
        <v>0</v>
      </c>
      <c r="M84" s="1">
        <v>0</v>
      </c>
      <c r="N84" s="1">
        <v>0</v>
      </c>
      <c r="O84" s="1">
        <v>0</v>
      </c>
      <c r="P84" s="1">
        <f>LN(B84)</f>
        <v>2.484906649788</v>
      </c>
      <c r="Q84" s="1">
        <f>1-SUM(F84:J84)</f>
        <v>0</v>
      </c>
      <c r="R84" s="1" t="str">
        <f>IF(F84=1,"Napa valley",IF(G84=1,"Bay area",IF(H84=1,"Sonoma",IF(I84=1,"Sierra/foothills",IF(J84=1,"Mendocino/lake","Generic California")))))</f>
        <v>Sonoma</v>
      </c>
      <c r="S84" s="1" t="str">
        <f>IF(F84=1,"Napa valley",IF(H84=1,"Sonoma","Other"))</f>
        <v>Sonoma</v>
      </c>
      <c r="T84" s="1" t="str">
        <f>IF(M84=1,"Cabernet",IF(N84=1,"Merlot",IF(L84=1,"Pinot noir","Other")))</f>
        <v>Other</v>
      </c>
      <c r="U84" s="1" t="str">
        <f>IF(F84=1,B84,"")</f>
        <v/>
      </c>
      <c r="V84" s="1">
        <f>IF(F84=0,B84,"")</f>
        <v>12</v>
      </c>
      <c r="W84" s="1">
        <f>'Part B'!$B$150+SUMPRODUCT('Part B'!$B$164:$N$164,C84:O84)</f>
        <v>17.1291163650443</v>
      </c>
      <c r="X84" s="1">
        <f>B84-W84</f>
        <v>-5.1291163650443</v>
      </c>
      <c r="Y84" s="1">
        <f>'Part B'!$B$179+SUMPRODUCT('Part B'!$B$193:$N$193,C84:O84)</f>
        <v>2.93911308018577</v>
      </c>
      <c r="Z84" s="1">
        <f>P84-Y84</f>
        <v>-0.454206430397771</v>
      </c>
      <c r="AB84" s="1">
        <f>C84</f>
        <v>2.475</v>
      </c>
      <c r="AC84" s="1">
        <f>D84</f>
        <v>84</v>
      </c>
      <c r="AD84" s="1">
        <f>E84</f>
        <v>4</v>
      </c>
      <c r="AE84" s="1">
        <f>F84</f>
        <v>0</v>
      </c>
      <c r="AF84" s="1">
        <f>G84</f>
        <v>0</v>
      </c>
      <c r="AG84" s="1">
        <f>I84</f>
        <v>0</v>
      </c>
      <c r="AH84" s="1">
        <f>J84</f>
        <v>0</v>
      </c>
      <c r="AI84" s="1">
        <f>Q84</f>
        <v>0</v>
      </c>
      <c r="AJ84" s="1">
        <f>K84</f>
        <v>0</v>
      </c>
      <c r="AK84" s="1">
        <f>L84</f>
        <v>0</v>
      </c>
      <c r="AL84" s="1">
        <f>M84</f>
        <v>0</v>
      </c>
      <c r="AM84" s="1">
        <f>N84</f>
        <v>0</v>
      </c>
      <c r="AN84" s="1">
        <f>O84</f>
        <v>0</v>
      </c>
    </row>
    <row r="85">
      <c r="A85" s="1">
        <v>93</v>
      </c>
      <c r="B85" s="1">
        <v>12</v>
      </c>
      <c r="C85" s="1">
        <v>6.5</v>
      </c>
      <c r="D85" s="1">
        <v>83</v>
      </c>
      <c r="E85" s="1">
        <v>4</v>
      </c>
      <c r="F85" s="1">
        <v>1</v>
      </c>
      <c r="G85" s="1">
        <v>0</v>
      </c>
      <c r="H85" s="1">
        <v>0</v>
      </c>
      <c r="I85" s="1">
        <v>0</v>
      </c>
      <c r="J85" s="1">
        <v>0</v>
      </c>
      <c r="K85" s="1">
        <v>0</v>
      </c>
      <c r="L85" s="1">
        <v>0</v>
      </c>
      <c r="M85" s="1">
        <v>1</v>
      </c>
      <c r="N85" s="1">
        <v>0</v>
      </c>
      <c r="O85" s="1">
        <v>0</v>
      </c>
      <c r="P85" s="1">
        <f>LN(B85)</f>
        <v>2.484906649788</v>
      </c>
      <c r="Q85" s="1">
        <f>1-SUM(F85:J85)</f>
        <v>0</v>
      </c>
      <c r="R85" s="1" t="str">
        <f>IF(F85=1,"Napa valley",IF(G85=1,"Bay area",IF(H85=1,"Sonoma",IF(I85=1,"Sierra/foothills",IF(J85=1,"Mendocino/lake","Generic California")))))</f>
        <v>Napa valley</v>
      </c>
      <c r="S85" s="1" t="str">
        <f>IF(F85=1,"Napa valley",IF(H85=1,"Sonoma","Other"))</f>
        <v>Napa valley</v>
      </c>
      <c r="T85" s="1" t="str">
        <f>IF(M85=1,"Cabernet",IF(N85=1,"Merlot",IF(L85=1,"Pinot noir","Other")))</f>
        <v>Cabernet</v>
      </c>
      <c r="U85" s="1">
        <f>IF(F85=1,B85,"")</f>
        <v>12</v>
      </c>
      <c r="V85" s="1" t="str">
        <f>IF(F85=0,B85,"")</f>
        <v/>
      </c>
      <c r="W85" s="1">
        <f>'Part B'!$B$150+SUMPRODUCT('Part B'!$B$164:$N$164,C85:O85)</f>
        <v>34.1256928119101</v>
      </c>
      <c r="X85" s="1">
        <f>B85-W85</f>
        <v>-22.1256928119101</v>
      </c>
      <c r="Y85" s="1">
        <f>'Part B'!$B$179+SUMPRODUCT('Part B'!$B$193:$N$193,C85:O85)</f>
        <v>3.32071169141693</v>
      </c>
      <c r="Z85" s="1">
        <f>P85-Y85</f>
        <v>-0.835805041628926</v>
      </c>
      <c r="AB85" s="1">
        <f>C85</f>
        <v>6.5</v>
      </c>
      <c r="AC85" s="1">
        <f>D85</f>
        <v>83</v>
      </c>
      <c r="AD85" s="1">
        <f>E85</f>
        <v>4</v>
      </c>
      <c r="AE85" s="1">
        <f>F85</f>
        <v>1</v>
      </c>
      <c r="AF85" s="1">
        <f>G85</f>
        <v>0</v>
      </c>
      <c r="AG85" s="1">
        <f>I85</f>
        <v>0</v>
      </c>
      <c r="AH85" s="1">
        <f>J85</f>
        <v>0</v>
      </c>
      <c r="AI85" s="1">
        <f>Q85</f>
        <v>0</v>
      </c>
      <c r="AJ85" s="1">
        <f>K85</f>
        <v>0</v>
      </c>
      <c r="AK85" s="1">
        <f>L85</f>
        <v>0</v>
      </c>
      <c r="AL85" s="1">
        <f>M85</f>
        <v>1</v>
      </c>
      <c r="AM85" s="1">
        <f>N85</f>
        <v>0</v>
      </c>
      <c r="AN85" s="1">
        <f>O85</f>
        <v>0</v>
      </c>
    </row>
    <row r="86">
      <c r="A86" s="1">
        <v>94</v>
      </c>
      <c r="B86" s="1">
        <v>12</v>
      </c>
      <c r="C86" s="1">
        <v>0.9</v>
      </c>
      <c r="D86" s="1">
        <v>84</v>
      </c>
      <c r="E86" s="1">
        <v>4</v>
      </c>
      <c r="F86" s="1">
        <v>0</v>
      </c>
      <c r="G86" s="1">
        <v>0</v>
      </c>
      <c r="H86" s="1">
        <v>0</v>
      </c>
      <c r="I86" s="1">
        <v>1</v>
      </c>
      <c r="J86" s="1">
        <v>0</v>
      </c>
      <c r="K86" s="1">
        <v>0</v>
      </c>
      <c r="L86" s="1">
        <v>0</v>
      </c>
      <c r="M86" s="1">
        <v>0</v>
      </c>
      <c r="N86" s="1">
        <v>0</v>
      </c>
      <c r="O86" s="1">
        <v>0</v>
      </c>
      <c r="P86" s="1">
        <f>LN(B86)</f>
        <v>2.484906649788</v>
      </c>
      <c r="Q86" s="1">
        <f>1-SUM(F86:J86)</f>
        <v>0</v>
      </c>
      <c r="R86" s="1" t="str">
        <f>IF(F86=1,"Napa valley",IF(G86=1,"Bay area",IF(H86=1,"Sonoma",IF(I86=1,"Sierra/foothills",IF(J86=1,"Mendocino/lake","Generic California")))))</f>
        <v>Sierra/foothills</v>
      </c>
      <c r="S86" s="1" t="str">
        <f>IF(F86=1,"Napa valley",IF(H86=1,"Sonoma","Other"))</f>
        <v>Other</v>
      </c>
      <c r="T86" s="1" t="str">
        <f>IF(M86=1,"Cabernet",IF(N86=1,"Merlot",IF(L86=1,"Pinot noir","Other")))</f>
        <v>Other</v>
      </c>
      <c r="U86" s="1" t="str">
        <f>IF(F86=1,B86,"")</f>
        <v/>
      </c>
      <c r="V86" s="1">
        <f>IF(F86=0,B86,"")</f>
        <v>12</v>
      </c>
      <c r="W86" s="1">
        <f>'Part B'!$B$150+SUMPRODUCT('Part B'!$B$164:$N$164,C86:O86)</f>
        <v>23.1380217145609</v>
      </c>
      <c r="X86" s="1">
        <f>B86-W86</f>
        <v>-11.1380217145609</v>
      </c>
      <c r="Y86" s="1">
        <f>'Part B'!$B$179+SUMPRODUCT('Part B'!$B$193:$N$193,C86:O86)</f>
        <v>2.91515527995164</v>
      </c>
      <c r="Z86" s="1">
        <f>P86-Y86</f>
        <v>-0.430248630163635</v>
      </c>
      <c r="AB86" s="1">
        <f>C86</f>
        <v>0.9</v>
      </c>
      <c r="AC86" s="1">
        <f>D86</f>
        <v>84</v>
      </c>
      <c r="AD86" s="1">
        <f>E86</f>
        <v>4</v>
      </c>
      <c r="AE86" s="1">
        <f>F86</f>
        <v>0</v>
      </c>
      <c r="AF86" s="1">
        <f>G86</f>
        <v>0</v>
      </c>
      <c r="AG86" s="1">
        <f>I86</f>
        <v>1</v>
      </c>
      <c r="AH86" s="1">
        <f>J86</f>
        <v>0</v>
      </c>
      <c r="AI86" s="1">
        <f>Q86</f>
        <v>0</v>
      </c>
      <c r="AJ86" s="1">
        <f>K86</f>
        <v>0</v>
      </c>
      <c r="AK86" s="1">
        <f>L86</f>
        <v>0</v>
      </c>
      <c r="AL86" s="1">
        <f>M86</f>
        <v>0</v>
      </c>
      <c r="AM86" s="1">
        <f>N86</f>
        <v>0</v>
      </c>
      <c r="AN86" s="1">
        <f>O86</f>
        <v>0</v>
      </c>
    </row>
    <row r="87">
      <c r="A87" s="1">
        <v>95</v>
      </c>
      <c r="B87" s="1">
        <v>12</v>
      </c>
      <c r="C87" s="1">
        <v>6.7</v>
      </c>
      <c r="D87" s="1">
        <v>88</v>
      </c>
      <c r="E87" s="1">
        <v>3</v>
      </c>
      <c r="F87" s="1">
        <v>0</v>
      </c>
      <c r="G87" s="1">
        <v>0</v>
      </c>
      <c r="H87" s="1">
        <v>0</v>
      </c>
      <c r="I87" s="1">
        <v>0</v>
      </c>
      <c r="J87" s="1">
        <v>0</v>
      </c>
      <c r="K87" s="1">
        <v>0</v>
      </c>
      <c r="L87" s="1">
        <v>0</v>
      </c>
      <c r="M87" s="1">
        <v>0</v>
      </c>
      <c r="N87" s="1">
        <v>0</v>
      </c>
      <c r="O87" s="1">
        <v>0</v>
      </c>
      <c r="P87" s="1">
        <f>LN(B87)</f>
        <v>2.484906649788</v>
      </c>
      <c r="Q87" s="1">
        <f>1-SUM(F87:J87)</f>
        <v>1</v>
      </c>
      <c r="R87" s="1" t="str">
        <f>IF(F87=1,"Napa valley",IF(G87=1,"Bay area",IF(H87=1,"Sonoma",IF(I87=1,"Sierra/foothills",IF(J87=1,"Mendocino/lake","Generic California")))))</f>
        <v>Generic California</v>
      </c>
      <c r="S87" s="1" t="str">
        <f>IF(F87=1,"Napa valley",IF(H87=1,"Sonoma","Other"))</f>
        <v>Other</v>
      </c>
      <c r="T87" s="1" t="str">
        <f>IF(M87=1,"Cabernet",IF(N87=1,"Merlot",IF(L87=1,"Pinot noir","Other")))</f>
        <v>Other</v>
      </c>
      <c r="U87" s="1" t="str">
        <f>IF(F87=1,B87,"")</f>
        <v/>
      </c>
      <c r="V87" s="1">
        <f>IF(F87=0,B87,"")</f>
        <v>12</v>
      </c>
      <c r="W87" s="1">
        <f>'Part B'!$B$150+SUMPRODUCT('Part B'!$B$164:$N$164,C87:O87)</f>
        <v>23.5243326858895</v>
      </c>
      <c r="X87" s="1">
        <f>B87-W87</f>
        <v>-11.5243326858895</v>
      </c>
      <c r="Y87" s="1">
        <f>'Part B'!$B$179+SUMPRODUCT('Part B'!$B$193:$N$193,C87:O87)</f>
        <v>2.73586236627246</v>
      </c>
      <c r="Z87" s="1">
        <f>P87-Y87</f>
        <v>-0.25095571648446</v>
      </c>
      <c r="AB87" s="1">
        <f>C87</f>
        <v>6.7</v>
      </c>
      <c r="AC87" s="1">
        <f>D87</f>
        <v>88</v>
      </c>
      <c r="AD87" s="1">
        <f>E87</f>
        <v>3</v>
      </c>
      <c r="AE87" s="1">
        <f>F87</f>
        <v>0</v>
      </c>
      <c r="AF87" s="1">
        <f>G87</f>
        <v>0</v>
      </c>
      <c r="AG87" s="1">
        <f>I87</f>
        <v>0</v>
      </c>
      <c r="AH87" s="1">
        <f>J87</f>
        <v>0</v>
      </c>
      <c r="AI87" s="1">
        <f>Q87</f>
        <v>1</v>
      </c>
      <c r="AJ87" s="1">
        <f>K87</f>
        <v>0</v>
      </c>
      <c r="AK87" s="1">
        <f>L87</f>
        <v>0</v>
      </c>
      <c r="AL87" s="1">
        <f>M87</f>
        <v>0</v>
      </c>
      <c r="AM87" s="1">
        <f>N87</f>
        <v>0</v>
      </c>
      <c r="AN87" s="1">
        <f>O87</f>
        <v>0</v>
      </c>
    </row>
    <row r="88">
      <c r="A88" s="1">
        <v>96</v>
      </c>
      <c r="B88" s="1">
        <v>12</v>
      </c>
      <c r="C88" s="1">
        <v>1.7</v>
      </c>
      <c r="D88" s="1">
        <v>85</v>
      </c>
      <c r="E88" s="1">
        <v>3</v>
      </c>
      <c r="F88" s="1">
        <v>0</v>
      </c>
      <c r="G88" s="1">
        <v>0</v>
      </c>
      <c r="H88" s="1">
        <v>0</v>
      </c>
      <c r="I88" s="1">
        <v>1</v>
      </c>
      <c r="J88" s="1">
        <v>0</v>
      </c>
      <c r="K88" s="1">
        <v>0</v>
      </c>
      <c r="L88" s="1">
        <v>0</v>
      </c>
      <c r="M88" s="1">
        <v>0</v>
      </c>
      <c r="N88" s="1">
        <v>0</v>
      </c>
      <c r="O88" s="1">
        <v>0</v>
      </c>
      <c r="P88" s="1">
        <f>LN(B88)</f>
        <v>2.484906649788</v>
      </c>
      <c r="Q88" s="1">
        <f>1-SUM(F88:J88)</f>
        <v>0</v>
      </c>
      <c r="R88" s="1" t="str">
        <f>IF(F88=1,"Napa valley",IF(G88=1,"Bay area",IF(H88=1,"Sonoma",IF(I88=1,"Sierra/foothills",IF(J88=1,"Mendocino/lake","Generic California")))))</f>
        <v>Sierra/foothills</v>
      </c>
      <c r="S88" s="1" t="str">
        <f>IF(F88=1,"Napa valley",IF(H88=1,"Sonoma","Other"))</f>
        <v>Other</v>
      </c>
      <c r="T88" s="1" t="str">
        <f>IF(M88=1,"Cabernet",IF(N88=1,"Merlot",IF(L88=1,"Pinot noir","Other")))</f>
        <v>Other</v>
      </c>
      <c r="U88" s="1" t="str">
        <f>IF(F88=1,B88,"")</f>
        <v/>
      </c>
      <c r="V88" s="1">
        <f>IF(F88=0,B88,"")</f>
        <v>12</v>
      </c>
      <c r="W88" s="1">
        <f>'Part B'!$B$150+SUMPRODUCT('Part B'!$B$164:$N$164,C88:O88)</f>
        <v>19.5875830328394</v>
      </c>
      <c r="X88" s="1">
        <f>B88-W88</f>
        <v>-7.5875830328394</v>
      </c>
      <c r="Y88" s="1">
        <f>'Part B'!$B$179+SUMPRODUCT('Part B'!$B$193:$N$193,C88:O88)</f>
        <v>2.79860811259139</v>
      </c>
      <c r="Z88" s="1">
        <f>P88-Y88</f>
        <v>-0.313701462803385</v>
      </c>
      <c r="AB88" s="1">
        <f>C88</f>
        <v>1.7</v>
      </c>
      <c r="AC88" s="1">
        <f>D88</f>
        <v>85</v>
      </c>
      <c r="AD88" s="1">
        <f>E88</f>
        <v>3</v>
      </c>
      <c r="AE88" s="1">
        <f>F88</f>
        <v>0</v>
      </c>
      <c r="AF88" s="1">
        <f>G88</f>
        <v>0</v>
      </c>
      <c r="AG88" s="1">
        <f>I88</f>
        <v>1</v>
      </c>
      <c r="AH88" s="1">
        <f>J88</f>
        <v>0</v>
      </c>
      <c r="AI88" s="1">
        <f>Q88</f>
        <v>0</v>
      </c>
      <c r="AJ88" s="1">
        <f>K88</f>
        <v>0</v>
      </c>
      <c r="AK88" s="1">
        <f>L88</f>
        <v>0</v>
      </c>
      <c r="AL88" s="1">
        <f>M88</f>
        <v>0</v>
      </c>
      <c r="AM88" s="1">
        <f>N88</f>
        <v>0</v>
      </c>
      <c r="AN88" s="1">
        <f>O88</f>
        <v>0</v>
      </c>
    </row>
    <row r="89">
      <c r="A89" s="1">
        <v>97</v>
      </c>
      <c r="B89" s="1">
        <v>12</v>
      </c>
      <c r="C89" s="1">
        <v>0.9</v>
      </c>
      <c r="D89" s="1">
        <v>81</v>
      </c>
      <c r="E89" s="1">
        <v>3</v>
      </c>
      <c r="F89" s="1">
        <v>0</v>
      </c>
      <c r="G89" s="1">
        <v>0</v>
      </c>
      <c r="H89" s="1">
        <v>0</v>
      </c>
      <c r="I89" s="1">
        <v>1</v>
      </c>
      <c r="J89" s="1">
        <v>0</v>
      </c>
      <c r="K89" s="1">
        <v>0</v>
      </c>
      <c r="L89" s="1">
        <v>0</v>
      </c>
      <c r="M89" s="1">
        <v>0</v>
      </c>
      <c r="N89" s="1">
        <v>0</v>
      </c>
      <c r="O89" s="1">
        <v>0</v>
      </c>
      <c r="P89" s="1">
        <f>LN(B89)</f>
        <v>2.484906649788</v>
      </c>
      <c r="Q89" s="1">
        <f>1-SUM(F89:J89)</f>
        <v>0</v>
      </c>
      <c r="R89" s="1" t="str">
        <f>IF(F89=1,"Napa valley",IF(G89=1,"Bay area",IF(H89=1,"Sonoma",IF(I89=1,"Sierra/foothills",IF(J89=1,"Mendocino/lake","Generic California")))))</f>
        <v>Sierra/foothills</v>
      </c>
      <c r="S89" s="1" t="str">
        <f>IF(F89=1,"Napa valley",IF(H89=1,"Sonoma","Other"))</f>
        <v>Other</v>
      </c>
      <c r="T89" s="1" t="str">
        <f>IF(M89=1,"Cabernet",IF(N89=1,"Merlot",IF(L89=1,"Pinot noir","Other")))</f>
        <v>Other</v>
      </c>
      <c r="U89" s="1" t="str">
        <f>IF(F89=1,B89,"")</f>
        <v/>
      </c>
      <c r="V89" s="1">
        <f>IF(F89=0,B89,"")</f>
        <v>12</v>
      </c>
      <c r="W89" s="1">
        <f>'Part B'!$B$150+SUMPRODUCT('Part B'!$B$164:$N$164,C89:O89)</f>
        <v>7.08312567910082</v>
      </c>
      <c r="X89" s="1">
        <f>B89-W89</f>
        <v>4.91687432089918</v>
      </c>
      <c r="Y89" s="1">
        <f>'Part B'!$B$179+SUMPRODUCT('Part B'!$B$193:$N$193,C89:O89)</f>
        <v>2.52218589111775</v>
      </c>
      <c r="Z89" s="1">
        <f>P89-Y89</f>
        <v>-0.0372792413297458</v>
      </c>
      <c r="AB89" s="1">
        <f>C89</f>
        <v>0.9</v>
      </c>
      <c r="AC89" s="1">
        <f>D89</f>
        <v>81</v>
      </c>
      <c r="AD89" s="1">
        <f>E89</f>
        <v>3</v>
      </c>
      <c r="AE89" s="1">
        <f>F89</f>
        <v>0</v>
      </c>
      <c r="AF89" s="1">
        <f>G89</f>
        <v>0</v>
      </c>
      <c r="AG89" s="1">
        <f>I89</f>
        <v>1</v>
      </c>
      <c r="AH89" s="1">
        <f>J89</f>
        <v>0</v>
      </c>
      <c r="AI89" s="1">
        <f>Q89</f>
        <v>0</v>
      </c>
      <c r="AJ89" s="1">
        <f>K89</f>
        <v>0</v>
      </c>
      <c r="AK89" s="1">
        <f>L89</f>
        <v>0</v>
      </c>
      <c r="AL89" s="1">
        <f>M89</f>
        <v>0</v>
      </c>
      <c r="AM89" s="1">
        <f>N89</f>
        <v>0</v>
      </c>
      <c r="AN89" s="1">
        <f>O89</f>
        <v>0</v>
      </c>
    </row>
    <row r="90">
      <c r="A90" s="1">
        <v>99</v>
      </c>
      <c r="B90" s="1">
        <v>12</v>
      </c>
      <c r="C90" s="1">
        <v>40</v>
      </c>
      <c r="D90" s="1">
        <v>85</v>
      </c>
      <c r="E90" s="1">
        <v>3</v>
      </c>
      <c r="F90" s="1">
        <v>0</v>
      </c>
      <c r="G90" s="1">
        <v>0</v>
      </c>
      <c r="H90" s="1">
        <v>0</v>
      </c>
      <c r="I90" s="1">
        <v>0</v>
      </c>
      <c r="J90" s="1">
        <v>0</v>
      </c>
      <c r="K90" s="1">
        <v>0</v>
      </c>
      <c r="L90" s="1">
        <v>0</v>
      </c>
      <c r="M90" s="1">
        <v>1</v>
      </c>
      <c r="N90" s="1">
        <v>0</v>
      </c>
      <c r="O90" s="1">
        <v>0</v>
      </c>
      <c r="P90" s="1">
        <f>LN(B90)</f>
        <v>2.484906649788</v>
      </c>
      <c r="Q90" s="1">
        <f>1-SUM(F90:J90)</f>
        <v>1</v>
      </c>
      <c r="R90" s="1" t="str">
        <f>IF(F90=1,"Napa valley",IF(G90=1,"Bay area",IF(H90=1,"Sonoma",IF(I90=1,"Sierra/foothills",IF(J90=1,"Mendocino/lake","Generic California")))))</f>
        <v>Generic California</v>
      </c>
      <c r="S90" s="1" t="str">
        <f>IF(F90=1,"Napa valley",IF(H90=1,"Sonoma","Other"))</f>
        <v>Other</v>
      </c>
      <c r="T90" s="1" t="str">
        <f>IF(M90=1,"Cabernet",IF(N90=1,"Merlot",IF(L90=1,"Pinot noir","Other")))</f>
        <v>Cabernet</v>
      </c>
      <c r="U90" s="1" t="str">
        <f>IF(F90=1,B90,"")</f>
        <v/>
      </c>
      <c r="V90" s="1">
        <f>IF(F90=0,B90,"")</f>
        <v>12</v>
      </c>
      <c r="W90" s="1">
        <f>'Part B'!$B$150+SUMPRODUCT('Part B'!$B$164:$N$164,C90:O90)</f>
        <v>23.555666522317</v>
      </c>
      <c r="X90" s="1">
        <f>B90-W90</f>
        <v>-11.555666522317</v>
      </c>
      <c r="Y90" s="1">
        <f>'Part B'!$B$179+SUMPRODUCT('Part B'!$B$193:$N$193,C90:O90)</f>
        <v>2.70448098433627</v>
      </c>
      <c r="Z90" s="1">
        <f>P90-Y90</f>
        <v>-0.219574334548271</v>
      </c>
      <c r="AB90" s="1">
        <f>C90</f>
        <v>40</v>
      </c>
      <c r="AC90" s="1">
        <f>D90</f>
        <v>85</v>
      </c>
      <c r="AD90" s="1">
        <f>E90</f>
        <v>3</v>
      </c>
      <c r="AE90" s="1">
        <f>F90</f>
        <v>0</v>
      </c>
      <c r="AF90" s="1">
        <f>G90</f>
        <v>0</v>
      </c>
      <c r="AG90" s="1">
        <f>I90</f>
        <v>0</v>
      </c>
      <c r="AH90" s="1">
        <f>J90</f>
        <v>0</v>
      </c>
      <c r="AI90" s="1">
        <f>Q90</f>
        <v>1</v>
      </c>
      <c r="AJ90" s="1">
        <f>K90</f>
        <v>0</v>
      </c>
      <c r="AK90" s="1">
        <f>L90</f>
        <v>0</v>
      </c>
      <c r="AL90" s="1">
        <f>M90</f>
        <v>1</v>
      </c>
      <c r="AM90" s="1">
        <f>N90</f>
        <v>0</v>
      </c>
      <c r="AN90" s="1">
        <f>O90</f>
        <v>0</v>
      </c>
    </row>
    <row r="91">
      <c r="A91" s="1">
        <v>100</v>
      </c>
      <c r="B91" s="1">
        <v>12</v>
      </c>
      <c r="C91" s="1">
        <v>9.497</v>
      </c>
      <c r="D91" s="1">
        <v>83</v>
      </c>
      <c r="E91" s="1">
        <v>3</v>
      </c>
      <c r="F91" s="1">
        <v>0</v>
      </c>
      <c r="G91" s="1">
        <v>0</v>
      </c>
      <c r="H91" s="1">
        <v>0</v>
      </c>
      <c r="I91" s="1">
        <v>0</v>
      </c>
      <c r="J91" s="1">
        <v>0</v>
      </c>
      <c r="K91" s="1">
        <v>0</v>
      </c>
      <c r="L91" s="1">
        <v>0</v>
      </c>
      <c r="M91" s="1">
        <v>0</v>
      </c>
      <c r="N91" s="1">
        <v>1</v>
      </c>
      <c r="O91" s="1">
        <v>0</v>
      </c>
      <c r="P91" s="1">
        <f>LN(B91)</f>
        <v>2.484906649788</v>
      </c>
      <c r="Q91" s="1">
        <f>1-SUM(F91:J91)</f>
        <v>1</v>
      </c>
      <c r="R91" s="1" t="str">
        <f>IF(F91=1,"Napa valley",IF(G91=1,"Bay area",IF(H91=1,"Sonoma",IF(I91=1,"Sierra/foothills",IF(J91=1,"Mendocino/lake","Generic California")))))</f>
        <v>Generic California</v>
      </c>
      <c r="S91" s="1" t="str">
        <f>IF(F91=1,"Napa valley",IF(H91=1,"Sonoma","Other"))</f>
        <v>Other</v>
      </c>
      <c r="T91" s="1" t="str">
        <f>IF(M91=1,"Cabernet",IF(N91=1,"Merlot",IF(L91=1,"Pinot noir","Other")))</f>
        <v>Merlot</v>
      </c>
      <c r="U91" s="1" t="str">
        <f>IF(F91=1,B91,"")</f>
        <v/>
      </c>
      <c r="V91" s="1">
        <f>IF(F91=0,B91,"")</f>
        <v>12</v>
      </c>
      <c r="W91" s="1">
        <f>'Part B'!$B$150+SUMPRODUCT('Part B'!$B$164:$N$164,C91:O91)</f>
        <v>15.1935829647946</v>
      </c>
      <c r="X91" s="1">
        <f>B91-W91</f>
        <v>-3.19358296479459</v>
      </c>
      <c r="Y91" s="1">
        <f>'Part B'!$B$179+SUMPRODUCT('Part B'!$B$193:$N$193,C91:O91)</f>
        <v>2.65860170134886</v>
      </c>
      <c r="Z91" s="1">
        <f>P91-Y91</f>
        <v>-0.173695051560859</v>
      </c>
      <c r="AB91" s="1">
        <f>C91</f>
        <v>9.497</v>
      </c>
      <c r="AC91" s="1">
        <f>D91</f>
        <v>83</v>
      </c>
      <c r="AD91" s="1">
        <f>E91</f>
        <v>3</v>
      </c>
      <c r="AE91" s="1">
        <f>F91</f>
        <v>0</v>
      </c>
      <c r="AF91" s="1">
        <f>G91</f>
        <v>0</v>
      </c>
      <c r="AG91" s="1">
        <f>I91</f>
        <v>0</v>
      </c>
      <c r="AH91" s="1">
        <f>J91</f>
        <v>0</v>
      </c>
      <c r="AI91" s="1">
        <f>Q91</f>
        <v>1</v>
      </c>
      <c r="AJ91" s="1">
        <f>K91</f>
        <v>0</v>
      </c>
      <c r="AK91" s="1">
        <f>L91</f>
        <v>0</v>
      </c>
      <c r="AL91" s="1">
        <f>M91</f>
        <v>0</v>
      </c>
      <c r="AM91" s="1">
        <f>N91</f>
        <v>1</v>
      </c>
      <c r="AN91" s="1">
        <f>O91</f>
        <v>0</v>
      </c>
    </row>
    <row r="92">
      <c r="A92" s="1">
        <v>101</v>
      </c>
      <c r="B92" s="1">
        <v>12</v>
      </c>
      <c r="C92" s="1">
        <v>3.5</v>
      </c>
      <c r="D92" s="1">
        <v>81</v>
      </c>
      <c r="E92" s="1">
        <v>3</v>
      </c>
      <c r="F92" s="1">
        <v>0</v>
      </c>
      <c r="G92" s="1">
        <v>0</v>
      </c>
      <c r="H92" s="1">
        <v>0</v>
      </c>
      <c r="I92" s="1">
        <v>0</v>
      </c>
      <c r="J92" s="1">
        <v>0</v>
      </c>
      <c r="K92" s="1">
        <v>0</v>
      </c>
      <c r="L92" s="1">
        <v>0</v>
      </c>
      <c r="M92" s="1">
        <v>0</v>
      </c>
      <c r="N92" s="1">
        <v>0</v>
      </c>
      <c r="O92" s="1">
        <v>0</v>
      </c>
      <c r="P92" s="1">
        <f>LN(B92)</f>
        <v>2.484906649788</v>
      </c>
      <c r="Q92" s="1">
        <f>1-SUM(F92:J92)</f>
        <v>1</v>
      </c>
      <c r="R92" s="1" t="str">
        <f>IF(F92=1,"Napa valley",IF(G92=1,"Bay area",IF(H92=1,"Sonoma",IF(I92=1,"Sierra/foothills",IF(J92=1,"Mendocino/lake","Generic California")))))</f>
        <v>Generic California</v>
      </c>
      <c r="S92" s="1" t="str">
        <f>IF(F92=1,"Napa valley",IF(H92=1,"Sonoma","Other"))</f>
        <v>Other</v>
      </c>
      <c r="T92" s="1" t="str">
        <f>IF(M92=1,"Cabernet",IF(N92=1,"Merlot",IF(L92=1,"Pinot noir","Other")))</f>
        <v>Other</v>
      </c>
      <c r="U92" s="1" t="str">
        <f>IF(F92=1,B92,"")</f>
        <v/>
      </c>
      <c r="V92" s="1">
        <f>IF(F92=0,B92,"")</f>
        <v>12</v>
      </c>
      <c r="W92" s="1">
        <f>'Part B'!$B$150+SUMPRODUCT('Part B'!$B$164:$N$164,C92:O92)</f>
        <v>1.81237710218113</v>
      </c>
      <c r="X92" s="1">
        <f>B92-W92</f>
        <v>10.1876228978189</v>
      </c>
      <c r="Y92" s="1">
        <f>'Part B'!$B$179+SUMPRODUCT('Part B'!$B$193:$N$193,C92:O92)</f>
        <v>2.25982579955474</v>
      </c>
      <c r="Z92" s="1">
        <f>P92-Y92</f>
        <v>0.22508085023326</v>
      </c>
      <c r="AB92" s="1">
        <f>C92</f>
        <v>3.5</v>
      </c>
      <c r="AC92" s="1">
        <f>D92</f>
        <v>81</v>
      </c>
      <c r="AD92" s="1">
        <f>E92</f>
        <v>3</v>
      </c>
      <c r="AE92" s="1">
        <f>F92</f>
        <v>0</v>
      </c>
      <c r="AF92" s="1">
        <f>G92</f>
        <v>0</v>
      </c>
      <c r="AG92" s="1">
        <f>I92</f>
        <v>0</v>
      </c>
      <c r="AH92" s="1">
        <f>J92</f>
        <v>0</v>
      </c>
      <c r="AI92" s="1">
        <f>Q92</f>
        <v>1</v>
      </c>
      <c r="AJ92" s="1">
        <f>K92</f>
        <v>0</v>
      </c>
      <c r="AK92" s="1">
        <f>L92</f>
        <v>0</v>
      </c>
      <c r="AL92" s="1">
        <f>M92</f>
        <v>0</v>
      </c>
      <c r="AM92" s="1">
        <f>N92</f>
        <v>0</v>
      </c>
      <c r="AN92" s="1">
        <f>O92</f>
        <v>0</v>
      </c>
    </row>
    <row r="93">
      <c r="A93" s="1">
        <v>102</v>
      </c>
      <c r="B93" s="1">
        <v>12</v>
      </c>
      <c r="C93" s="1">
        <v>4.796</v>
      </c>
      <c r="D93" s="1">
        <v>84</v>
      </c>
      <c r="E93" s="1">
        <v>3</v>
      </c>
      <c r="F93" s="1">
        <v>0</v>
      </c>
      <c r="G93" s="1">
        <v>0</v>
      </c>
      <c r="H93" s="1">
        <v>0</v>
      </c>
      <c r="I93" s="1">
        <v>0</v>
      </c>
      <c r="J93" s="1">
        <v>0</v>
      </c>
      <c r="K93" s="1">
        <v>0</v>
      </c>
      <c r="L93" s="1">
        <v>0</v>
      </c>
      <c r="M93" s="1">
        <v>1</v>
      </c>
      <c r="N93" s="1">
        <v>0</v>
      </c>
      <c r="O93" s="1">
        <v>0</v>
      </c>
      <c r="P93" s="1">
        <f>LN(B93)</f>
        <v>2.484906649788</v>
      </c>
      <c r="Q93" s="1">
        <f>1-SUM(F93:J93)</f>
        <v>1</v>
      </c>
      <c r="R93" s="1" t="str">
        <f>IF(F93=1,"Napa valley",IF(G93=1,"Bay area",IF(H93=1,"Sonoma",IF(I93=1,"Sierra/foothills",IF(J93=1,"Mendocino/lake","Generic California")))))</f>
        <v>Generic California</v>
      </c>
      <c r="S93" s="1" t="str">
        <f>IF(F93=1,"Napa valley",IF(H93=1,"Sonoma","Other"))</f>
        <v>Other</v>
      </c>
      <c r="T93" s="1" t="str">
        <f>IF(M93=1,"Cabernet",IF(N93=1,"Merlot",IF(L93=1,"Pinot noir","Other")))</f>
        <v>Cabernet</v>
      </c>
      <c r="U93" s="1" t="str">
        <f>IF(F93=1,B93,"")</f>
        <v/>
      </c>
      <c r="V93" s="1">
        <f>IF(F93=0,B93,"")</f>
        <v>12</v>
      </c>
      <c r="W93" s="1">
        <f>'Part B'!$B$150+SUMPRODUCT('Part B'!$B$164:$N$164,C93:O93)</f>
        <v>23.7519137760127</v>
      </c>
      <c r="X93" s="1">
        <f>B93-W93</f>
        <v>-11.7519137760127</v>
      </c>
      <c r="Y93" s="1">
        <f>'Part B'!$B$179+SUMPRODUCT('Part B'!$B$193:$N$193,C93:O93)</f>
        <v>2.78515989531436</v>
      </c>
      <c r="Z93" s="1">
        <f>P93-Y93</f>
        <v>-0.300253245526365</v>
      </c>
      <c r="AB93" s="1">
        <f>C93</f>
        <v>4.796</v>
      </c>
      <c r="AC93" s="1">
        <f>D93</f>
        <v>84</v>
      </c>
      <c r="AD93" s="1">
        <f>E93</f>
        <v>3</v>
      </c>
      <c r="AE93" s="1">
        <f>F93</f>
        <v>0</v>
      </c>
      <c r="AF93" s="1">
        <f>G93</f>
        <v>0</v>
      </c>
      <c r="AG93" s="1">
        <f>I93</f>
        <v>0</v>
      </c>
      <c r="AH93" s="1">
        <f>J93</f>
        <v>0</v>
      </c>
      <c r="AI93" s="1">
        <f>Q93</f>
        <v>1</v>
      </c>
      <c r="AJ93" s="1">
        <f>K93</f>
        <v>0</v>
      </c>
      <c r="AK93" s="1">
        <f>L93</f>
        <v>0</v>
      </c>
      <c r="AL93" s="1">
        <f>M93</f>
        <v>1</v>
      </c>
      <c r="AM93" s="1">
        <f>N93</f>
        <v>0</v>
      </c>
      <c r="AN93" s="1">
        <f>O93</f>
        <v>0</v>
      </c>
    </row>
    <row r="94">
      <c r="A94" s="1">
        <v>103</v>
      </c>
      <c r="B94" s="1">
        <v>12</v>
      </c>
      <c r="C94" s="1">
        <v>31.2</v>
      </c>
      <c r="D94" s="1">
        <v>82</v>
      </c>
      <c r="E94" s="1">
        <v>3</v>
      </c>
      <c r="F94" s="1">
        <v>0</v>
      </c>
      <c r="G94" s="1">
        <v>0</v>
      </c>
      <c r="H94" s="1">
        <v>0</v>
      </c>
      <c r="I94" s="1">
        <v>0</v>
      </c>
      <c r="J94" s="1">
        <v>0</v>
      </c>
      <c r="K94" s="1">
        <v>0</v>
      </c>
      <c r="L94" s="1">
        <v>0</v>
      </c>
      <c r="M94" s="1">
        <v>1</v>
      </c>
      <c r="N94" s="1">
        <v>0</v>
      </c>
      <c r="O94" s="1">
        <v>0</v>
      </c>
      <c r="P94" s="1">
        <f>LN(B94)</f>
        <v>2.484906649788</v>
      </c>
      <c r="Q94" s="1">
        <f>1-SUM(F94:J94)</f>
        <v>1</v>
      </c>
      <c r="R94" s="1" t="str">
        <f>IF(F94=1,"Napa valley",IF(G94=1,"Bay area",IF(H94=1,"Sonoma",IF(I94=1,"Sierra/foothills",IF(J94=1,"Mendocino/lake","Generic California")))))</f>
        <v>Generic California</v>
      </c>
      <c r="S94" s="1" t="str">
        <f>IF(F94=1,"Napa valley",IF(H94=1,"Sonoma","Other"))</f>
        <v>Other</v>
      </c>
      <c r="T94" s="1" t="str">
        <f>IF(M94=1,"Cabernet",IF(N94=1,"Merlot",IF(L94=1,"Pinot noir","Other")))</f>
        <v>Cabernet</v>
      </c>
      <c r="U94" s="1" t="str">
        <f>IF(F94=1,B94,"")</f>
        <v/>
      </c>
      <c r="V94" s="1">
        <f>IF(F94=0,B94,"")</f>
        <v>12</v>
      </c>
      <c r="W94" s="1">
        <f>'Part B'!$B$150+SUMPRODUCT('Part B'!$B$164:$N$164,C94:O94)</f>
        <v>14.9556164179796</v>
      </c>
      <c r="X94" s="1">
        <f>B94-W94</f>
        <v>-2.95561641797957</v>
      </c>
      <c r="Y94" s="1">
        <f>'Part B'!$B$179+SUMPRODUCT('Part B'!$B$193:$N$193,C94:O94)</f>
        <v>2.53225266882073</v>
      </c>
      <c r="Z94" s="1">
        <f>P94-Y94</f>
        <v>-0.0473460190327262</v>
      </c>
      <c r="AB94" s="1">
        <f>C94</f>
        <v>31.2</v>
      </c>
      <c r="AC94" s="1">
        <f>D94</f>
        <v>82</v>
      </c>
      <c r="AD94" s="1">
        <f>E94</f>
        <v>3</v>
      </c>
      <c r="AE94" s="1">
        <f>F94</f>
        <v>0</v>
      </c>
      <c r="AF94" s="1">
        <f>G94</f>
        <v>0</v>
      </c>
      <c r="AG94" s="1">
        <f>I94</f>
        <v>0</v>
      </c>
      <c r="AH94" s="1">
        <f>J94</f>
        <v>0</v>
      </c>
      <c r="AI94" s="1">
        <f>Q94</f>
        <v>1</v>
      </c>
      <c r="AJ94" s="1">
        <f>K94</f>
        <v>0</v>
      </c>
      <c r="AK94" s="1">
        <f>L94</f>
        <v>0</v>
      </c>
      <c r="AL94" s="1">
        <f>M94</f>
        <v>1</v>
      </c>
      <c r="AM94" s="1">
        <f>N94</f>
        <v>0</v>
      </c>
      <c r="AN94" s="1">
        <f>O94</f>
        <v>0</v>
      </c>
    </row>
    <row r="95">
      <c r="A95" s="1">
        <v>105</v>
      </c>
      <c r="B95" s="1">
        <v>12</v>
      </c>
      <c r="C95" s="1">
        <v>0.2</v>
      </c>
      <c r="D95" s="1">
        <v>79</v>
      </c>
      <c r="E95" s="1">
        <v>2</v>
      </c>
      <c r="F95" s="1">
        <v>0</v>
      </c>
      <c r="G95" s="1">
        <v>0</v>
      </c>
      <c r="H95" s="1">
        <v>0</v>
      </c>
      <c r="I95" s="1">
        <v>1</v>
      </c>
      <c r="J95" s="1">
        <v>0</v>
      </c>
      <c r="K95" s="1">
        <v>0</v>
      </c>
      <c r="L95" s="1">
        <v>0</v>
      </c>
      <c r="M95" s="1">
        <v>1</v>
      </c>
      <c r="N95" s="1">
        <v>0</v>
      </c>
      <c r="O95" s="1">
        <v>0</v>
      </c>
      <c r="P95" s="1">
        <f>LN(B95)</f>
        <v>2.484906649788</v>
      </c>
      <c r="Q95" s="1">
        <f>1-SUM(F95:J95)</f>
        <v>0</v>
      </c>
      <c r="R95" s="1" t="str">
        <f>IF(F95=1,"Napa valley",IF(G95=1,"Bay area",IF(H95=1,"Sonoma",IF(I95=1,"Sierra/foothills",IF(J95=1,"Mendocino/lake","Generic California")))))</f>
        <v>Sierra/foothills</v>
      </c>
      <c r="S95" s="1" t="str">
        <f>IF(F95=1,"Napa valley",IF(H95=1,"Sonoma","Other"))</f>
        <v>Other</v>
      </c>
      <c r="T95" s="1" t="str">
        <f>IF(M95=1,"Cabernet",IF(N95=1,"Merlot",IF(L95=1,"Pinot noir","Other")))</f>
        <v>Cabernet</v>
      </c>
      <c r="U95" s="1" t="str">
        <f>IF(F95=1,B95,"")</f>
        <v/>
      </c>
      <c r="V95" s="1">
        <f>IF(F95=0,B95,"")</f>
        <v>12</v>
      </c>
      <c r="W95" s="1">
        <f>'Part B'!$B$150+SUMPRODUCT('Part B'!$B$164:$N$164,C95:O95)</f>
        <v>6.86702001693277</v>
      </c>
      <c r="X95" s="1">
        <f>B95-W95</f>
        <v>5.13297998306723</v>
      </c>
      <c r="Y95" s="1">
        <f>'Part B'!$B$179+SUMPRODUCT('Part B'!$B$193:$N$193,C95:O95)</f>
        <v>2.52316887847021</v>
      </c>
      <c r="Z95" s="1">
        <f>P95-Y95</f>
        <v>-0.0382622286822136</v>
      </c>
      <c r="AB95" s="1">
        <f>C95</f>
        <v>0.2</v>
      </c>
      <c r="AC95" s="1">
        <f>D95</f>
        <v>79</v>
      </c>
      <c r="AD95" s="1">
        <f>E95</f>
        <v>2</v>
      </c>
      <c r="AE95" s="1">
        <f>F95</f>
        <v>0</v>
      </c>
      <c r="AF95" s="1">
        <f>G95</f>
        <v>0</v>
      </c>
      <c r="AG95" s="1">
        <f>I95</f>
        <v>1</v>
      </c>
      <c r="AH95" s="1">
        <f>J95</f>
        <v>0</v>
      </c>
      <c r="AI95" s="1">
        <f>Q95</f>
        <v>0</v>
      </c>
      <c r="AJ95" s="1">
        <f>K95</f>
        <v>0</v>
      </c>
      <c r="AK95" s="1">
        <f>L95</f>
        <v>0</v>
      </c>
      <c r="AL95" s="1">
        <f>M95</f>
        <v>1</v>
      </c>
      <c r="AM95" s="1">
        <f>N95</f>
        <v>0</v>
      </c>
      <c r="AN95" s="1">
        <f>O95</f>
        <v>0</v>
      </c>
    </row>
    <row r="96">
      <c r="A96" s="1">
        <v>106</v>
      </c>
      <c r="B96" s="1">
        <v>12</v>
      </c>
      <c r="C96" s="1">
        <v>15</v>
      </c>
      <c r="D96" s="1">
        <v>89</v>
      </c>
      <c r="E96" s="1">
        <v>2</v>
      </c>
      <c r="F96" s="1">
        <v>0</v>
      </c>
      <c r="G96" s="1">
        <v>0</v>
      </c>
      <c r="H96" s="1">
        <v>1</v>
      </c>
      <c r="I96" s="1">
        <v>0</v>
      </c>
      <c r="J96" s="1">
        <v>0</v>
      </c>
      <c r="K96" s="1">
        <v>0</v>
      </c>
      <c r="L96" s="1">
        <v>0</v>
      </c>
      <c r="M96" s="1">
        <v>0</v>
      </c>
      <c r="N96" s="1">
        <v>0</v>
      </c>
      <c r="O96" s="1">
        <v>0</v>
      </c>
      <c r="P96" s="1">
        <f>LN(B96)</f>
        <v>2.484906649788</v>
      </c>
      <c r="Q96" s="1">
        <f>1-SUM(F96:J96)</f>
        <v>0</v>
      </c>
      <c r="R96" s="1" t="str">
        <f>IF(F96=1,"Napa valley",IF(G96=1,"Bay area",IF(H96=1,"Sonoma",IF(I96=1,"Sierra/foothills",IF(J96=1,"Mendocino/lake","Generic California")))))</f>
        <v>Sonoma</v>
      </c>
      <c r="S96" s="1" t="str">
        <f>IF(F96=1,"Napa valley",IF(H96=1,"Sonoma","Other"))</f>
        <v>Sonoma</v>
      </c>
      <c r="T96" s="1" t="str">
        <f>IF(M96=1,"Cabernet",IF(N96=1,"Merlot",IF(L96=1,"Pinot noir","Other")))</f>
        <v>Other</v>
      </c>
      <c r="U96" s="1" t="str">
        <f>IF(F96=1,B96,"")</f>
        <v/>
      </c>
      <c r="V96" s="1">
        <f>IF(F96=0,B96,"")</f>
        <v>12</v>
      </c>
      <c r="W96" s="1">
        <f>'Part B'!$B$150+SUMPRODUCT('Part B'!$B$164:$N$164,C96:O96)</f>
        <v>18.4265973454751</v>
      </c>
      <c r="X96" s="1">
        <f>B96-W96</f>
        <v>-6.4265973454751</v>
      </c>
      <c r="Y96" s="1">
        <f>'Part B'!$B$179+SUMPRODUCT('Part B'!$B$193:$N$193,C96:O96)</f>
        <v>2.86915404329752</v>
      </c>
      <c r="Z96" s="1">
        <f>P96-Y96</f>
        <v>-0.384247393509515</v>
      </c>
      <c r="AB96" s="1">
        <f>C96</f>
        <v>15</v>
      </c>
      <c r="AC96" s="1">
        <f>D96</f>
        <v>89</v>
      </c>
      <c r="AD96" s="1">
        <f>E96</f>
        <v>2</v>
      </c>
      <c r="AE96" s="1">
        <f>F96</f>
        <v>0</v>
      </c>
      <c r="AF96" s="1">
        <f>G96</f>
        <v>0</v>
      </c>
      <c r="AG96" s="1">
        <f>I96</f>
        <v>0</v>
      </c>
      <c r="AH96" s="1">
        <f>J96</f>
        <v>0</v>
      </c>
      <c r="AI96" s="1">
        <f>Q96</f>
        <v>0</v>
      </c>
      <c r="AJ96" s="1">
        <f>K96</f>
        <v>0</v>
      </c>
      <c r="AK96" s="1">
        <f>L96</f>
        <v>0</v>
      </c>
      <c r="AL96" s="1">
        <f>M96</f>
        <v>0</v>
      </c>
      <c r="AM96" s="1">
        <f>N96</f>
        <v>0</v>
      </c>
      <c r="AN96" s="1">
        <f>O96</f>
        <v>0</v>
      </c>
    </row>
    <row r="97">
      <c r="A97" s="1">
        <v>107</v>
      </c>
      <c r="B97" s="1">
        <v>12</v>
      </c>
      <c r="C97" s="1">
        <v>4</v>
      </c>
      <c r="D97" s="1">
        <v>83</v>
      </c>
      <c r="E97" s="1">
        <v>2</v>
      </c>
      <c r="F97" s="1">
        <v>0</v>
      </c>
      <c r="G97" s="1">
        <v>1</v>
      </c>
      <c r="H97" s="1">
        <v>0</v>
      </c>
      <c r="I97" s="1">
        <v>0</v>
      </c>
      <c r="J97" s="1">
        <v>0</v>
      </c>
      <c r="K97" s="1">
        <v>0</v>
      </c>
      <c r="L97" s="1">
        <v>1</v>
      </c>
      <c r="M97" s="1">
        <v>0</v>
      </c>
      <c r="N97" s="1">
        <v>0</v>
      </c>
      <c r="O97" s="1">
        <v>0</v>
      </c>
      <c r="P97" s="1">
        <f>LN(B97)</f>
        <v>2.484906649788</v>
      </c>
      <c r="Q97" s="1">
        <f>1-SUM(F97:J97)</f>
        <v>0</v>
      </c>
      <c r="R97" s="1" t="str">
        <f>IF(F97=1,"Napa valley",IF(G97=1,"Bay area",IF(H97=1,"Sonoma",IF(I97=1,"Sierra/foothills",IF(J97=1,"Mendocino/lake","Generic California")))))</f>
        <v>Bay area</v>
      </c>
      <c r="S97" s="1" t="str">
        <f>IF(F97=1,"Napa valley",IF(H97=1,"Sonoma","Other"))</f>
        <v>Other</v>
      </c>
      <c r="T97" s="1" t="str">
        <f>IF(M97=1,"Cabernet",IF(N97=1,"Merlot",IF(L97=1,"Pinot noir","Other")))</f>
        <v>Pinot noir</v>
      </c>
      <c r="U97" s="1" t="str">
        <f>IF(F97=1,B97,"")</f>
        <v/>
      </c>
      <c r="V97" s="1">
        <f>IF(F97=0,B97,"")</f>
        <v>12</v>
      </c>
      <c r="W97" s="1">
        <f>'Part B'!$B$150+SUMPRODUCT('Part B'!$B$164:$N$164,C97:O97)</f>
        <v>13.1686468973145</v>
      </c>
      <c r="X97" s="1">
        <f>B97-W97</f>
        <v>-1.16864689731449</v>
      </c>
      <c r="Y97" s="1">
        <f>'Part B'!$B$179+SUMPRODUCT('Part B'!$B$193:$N$193,C97:O97)</f>
        <v>2.81603297198773</v>
      </c>
      <c r="Z97" s="1">
        <f>P97-Y97</f>
        <v>-0.33112632219973</v>
      </c>
      <c r="AB97" s="1">
        <f>C97</f>
        <v>4</v>
      </c>
      <c r="AC97" s="1">
        <f>D97</f>
        <v>83</v>
      </c>
      <c r="AD97" s="1">
        <f>E97</f>
        <v>2</v>
      </c>
      <c r="AE97" s="1">
        <f>F97</f>
        <v>0</v>
      </c>
      <c r="AF97" s="1">
        <f>G97</f>
        <v>1</v>
      </c>
      <c r="AG97" s="1">
        <f>I97</f>
        <v>0</v>
      </c>
      <c r="AH97" s="1">
        <f>J97</f>
        <v>0</v>
      </c>
      <c r="AI97" s="1">
        <f>Q97</f>
        <v>0</v>
      </c>
      <c r="AJ97" s="1">
        <f>K97</f>
        <v>0</v>
      </c>
      <c r="AK97" s="1">
        <f>L97</f>
        <v>1</v>
      </c>
      <c r="AL97" s="1">
        <f>M97</f>
        <v>0</v>
      </c>
      <c r="AM97" s="1">
        <f>N97</f>
        <v>0</v>
      </c>
      <c r="AN97" s="1">
        <f>O97</f>
        <v>0</v>
      </c>
    </row>
    <row r="98">
      <c r="A98" s="1">
        <v>109</v>
      </c>
      <c r="B98" s="1">
        <v>12</v>
      </c>
      <c r="C98" s="1">
        <v>2.038</v>
      </c>
      <c r="D98" s="1">
        <v>90</v>
      </c>
      <c r="E98" s="1">
        <v>2</v>
      </c>
      <c r="F98" s="1">
        <v>0</v>
      </c>
      <c r="G98" s="1">
        <v>0</v>
      </c>
      <c r="H98" s="1">
        <v>1</v>
      </c>
      <c r="I98" s="1">
        <v>0</v>
      </c>
      <c r="J98" s="1">
        <v>0</v>
      </c>
      <c r="K98" s="1">
        <v>0</v>
      </c>
      <c r="L98" s="1">
        <v>0</v>
      </c>
      <c r="M98" s="1">
        <v>0</v>
      </c>
      <c r="N98" s="1">
        <v>0</v>
      </c>
      <c r="O98" s="1">
        <v>0</v>
      </c>
      <c r="P98" s="1">
        <f>LN(B98)</f>
        <v>2.484906649788</v>
      </c>
      <c r="Q98" s="1">
        <f>1-SUM(F98:J98)</f>
        <v>0</v>
      </c>
      <c r="R98" s="1" t="str">
        <f>IF(F98=1,"Napa valley",IF(G98=1,"Bay area",IF(H98=1,"Sonoma",IF(I98=1,"Sierra/foothills",IF(J98=1,"Mendocino/lake","Generic California")))))</f>
        <v>Sonoma</v>
      </c>
      <c r="S98" s="1" t="str">
        <f>IF(F98=1,"Napa valley",IF(H98=1,"Sonoma","Other"))</f>
        <v>Sonoma</v>
      </c>
      <c r="T98" s="1" t="str">
        <f>IF(M98=1,"Cabernet",IF(N98=1,"Merlot",IF(L98=1,"Pinot noir","Other")))</f>
        <v>Other</v>
      </c>
      <c r="U98" s="1" t="str">
        <f>IF(F98=1,B98,"")</f>
        <v/>
      </c>
      <c r="V98" s="1">
        <f>IF(F98=0,B98,"")</f>
        <v>12</v>
      </c>
      <c r="W98" s="1">
        <f>'Part B'!$B$150+SUMPRODUCT('Part B'!$B$164:$N$164,C98:O98)</f>
        <v>22.8019667197804</v>
      </c>
      <c r="X98" s="1">
        <f>B98-W98</f>
        <v>-10.8019667197804</v>
      </c>
      <c r="Y98" s="1">
        <f>'Part B'!$B$179+SUMPRODUCT('Part B'!$B$193:$N$193,C98:O98)</f>
        <v>2.99458068042951</v>
      </c>
      <c r="Z98" s="1">
        <f>P98-Y98</f>
        <v>-0.509674030641514</v>
      </c>
      <c r="AB98" s="1">
        <f>C98</f>
        <v>2.038</v>
      </c>
      <c r="AC98" s="1">
        <f>D98</f>
        <v>90</v>
      </c>
      <c r="AD98" s="1">
        <f>E98</f>
        <v>2</v>
      </c>
      <c r="AE98" s="1">
        <f>F98</f>
        <v>0</v>
      </c>
      <c r="AF98" s="1">
        <f>G98</f>
        <v>0</v>
      </c>
      <c r="AG98" s="1">
        <f>I98</f>
        <v>0</v>
      </c>
      <c r="AH98" s="1">
        <f>J98</f>
        <v>0</v>
      </c>
      <c r="AI98" s="1">
        <f>Q98</f>
        <v>0</v>
      </c>
      <c r="AJ98" s="1">
        <f>K98</f>
        <v>0</v>
      </c>
      <c r="AK98" s="1">
        <f>L98</f>
        <v>0</v>
      </c>
      <c r="AL98" s="1">
        <f>M98</f>
        <v>0</v>
      </c>
      <c r="AM98" s="1">
        <f>N98</f>
        <v>0</v>
      </c>
      <c r="AN98" s="1">
        <f>O98</f>
        <v>0</v>
      </c>
    </row>
    <row r="99">
      <c r="A99" s="1">
        <v>110</v>
      </c>
      <c r="B99" s="1">
        <v>12</v>
      </c>
      <c r="C99" s="1">
        <v>0.365</v>
      </c>
      <c r="D99" s="1">
        <v>90</v>
      </c>
      <c r="E99" s="1">
        <v>2</v>
      </c>
      <c r="F99" s="1">
        <v>0</v>
      </c>
      <c r="G99" s="1">
        <v>0</v>
      </c>
      <c r="H99" s="1">
        <v>0</v>
      </c>
      <c r="I99" s="1">
        <v>0</v>
      </c>
      <c r="J99" s="1">
        <v>0</v>
      </c>
      <c r="K99" s="1">
        <v>0</v>
      </c>
      <c r="L99" s="1">
        <v>0</v>
      </c>
      <c r="M99" s="1">
        <v>0</v>
      </c>
      <c r="N99" s="1">
        <v>0</v>
      </c>
      <c r="O99" s="1">
        <v>0</v>
      </c>
      <c r="P99" s="1">
        <f>LN(B99)</f>
        <v>2.484906649788</v>
      </c>
      <c r="Q99" s="1">
        <f>1-SUM(F99:J99)</f>
        <v>1</v>
      </c>
      <c r="R99" s="1" t="str">
        <f>IF(F99=1,"Napa valley",IF(G99=1,"Bay area",IF(H99=1,"Sonoma",IF(I99=1,"Sierra/foothills",IF(J99=1,"Mendocino/lake","Generic California")))))</f>
        <v>Generic California</v>
      </c>
      <c r="S99" s="1" t="str">
        <f>IF(F99=1,"Napa valley",IF(H99=1,"Sonoma","Other"))</f>
        <v>Other</v>
      </c>
      <c r="T99" s="1" t="str">
        <f>IF(M99=1,"Cabernet",IF(N99=1,"Merlot",IF(L99=1,"Pinot noir","Other")))</f>
        <v>Other</v>
      </c>
      <c r="U99" s="1" t="str">
        <f>IF(F99=1,B99,"")</f>
        <v/>
      </c>
      <c r="V99" s="1">
        <f>IF(F99=0,B99,"")</f>
        <v>12</v>
      </c>
      <c r="W99" s="1">
        <f>'Part B'!$B$150+SUMPRODUCT('Part B'!$B$164:$N$164,C99:O99)</f>
        <v>23.7962008428391</v>
      </c>
      <c r="X99" s="1">
        <f>B99-W99</f>
        <v>-11.7962008428391</v>
      </c>
      <c r="Y99" s="1">
        <f>'Part B'!$B$179+SUMPRODUCT('Part B'!$B$193:$N$193,C99:O99)</f>
        <v>2.71980771178981</v>
      </c>
      <c r="Z99" s="1">
        <f>P99-Y99</f>
        <v>-0.234901062001808</v>
      </c>
      <c r="AB99" s="1">
        <f>C99</f>
        <v>0.365</v>
      </c>
      <c r="AC99" s="1">
        <f>D99</f>
        <v>90</v>
      </c>
      <c r="AD99" s="1">
        <f>E99</f>
        <v>2</v>
      </c>
      <c r="AE99" s="1">
        <f>F99</f>
        <v>0</v>
      </c>
      <c r="AF99" s="1">
        <f>G99</f>
        <v>0</v>
      </c>
      <c r="AG99" s="1">
        <f>I99</f>
        <v>0</v>
      </c>
      <c r="AH99" s="1">
        <f>J99</f>
        <v>0</v>
      </c>
      <c r="AI99" s="1">
        <f>Q99</f>
        <v>1</v>
      </c>
      <c r="AJ99" s="1">
        <f>K99</f>
        <v>0</v>
      </c>
      <c r="AK99" s="1">
        <f>L99</f>
        <v>0</v>
      </c>
      <c r="AL99" s="1">
        <f>M99</f>
        <v>0</v>
      </c>
      <c r="AM99" s="1">
        <f>N99</f>
        <v>0</v>
      </c>
      <c r="AN99" s="1">
        <f>O99</f>
        <v>0</v>
      </c>
    </row>
    <row r="100">
      <c r="A100" s="1">
        <v>112</v>
      </c>
      <c r="B100" s="1">
        <v>12</v>
      </c>
      <c r="C100" s="1">
        <v>8</v>
      </c>
      <c r="D100" s="1">
        <v>84</v>
      </c>
      <c r="E100" s="1">
        <v>2</v>
      </c>
      <c r="F100" s="1">
        <v>0</v>
      </c>
      <c r="G100" s="1">
        <v>0</v>
      </c>
      <c r="H100" s="1">
        <v>0</v>
      </c>
      <c r="I100" s="1">
        <v>0</v>
      </c>
      <c r="J100" s="1">
        <v>0</v>
      </c>
      <c r="K100" s="1">
        <v>0</v>
      </c>
      <c r="L100" s="1">
        <v>0</v>
      </c>
      <c r="M100" s="1">
        <v>0</v>
      </c>
      <c r="N100" s="1">
        <v>0</v>
      </c>
      <c r="O100" s="1">
        <v>1</v>
      </c>
      <c r="P100" s="1">
        <f>LN(B100)</f>
        <v>2.484906649788</v>
      </c>
      <c r="Q100" s="1">
        <f>1-SUM(F100:J100)</f>
        <v>1</v>
      </c>
      <c r="R100" s="1" t="str">
        <f>IF(F100=1,"Napa valley",IF(G100=1,"Bay area",IF(H100=1,"Sonoma",IF(I100=1,"Sierra/foothills",IF(J100=1,"Mendocino/lake","Generic California")))))</f>
        <v>Generic California</v>
      </c>
      <c r="S100" s="1" t="str">
        <f>IF(F100=1,"Napa valley",IF(H100=1,"Sonoma","Other"))</f>
        <v>Other</v>
      </c>
      <c r="T100" s="1" t="str">
        <f>IF(M100=1,"Cabernet",IF(N100=1,"Merlot",IF(L100=1,"Pinot noir","Other")))</f>
        <v>Other</v>
      </c>
      <c r="U100" s="1" t="str">
        <f>IF(F100=1,B100,"")</f>
        <v/>
      </c>
      <c r="V100" s="1">
        <f>IF(F100=0,B100,"")</f>
        <v>12</v>
      </c>
      <c r="W100" s="1">
        <f>'Part B'!$B$150+SUMPRODUCT('Part B'!$B$164:$N$164,C100:O100)</f>
        <v>3.79466445698375</v>
      </c>
      <c r="X100" s="1">
        <f>B100-W100</f>
        <v>8.20533554301625</v>
      </c>
      <c r="Y100" s="1">
        <f>'Part B'!$B$179+SUMPRODUCT('Part B'!$B$193:$N$193,C100:O100)</f>
        <v>2.3106027725927</v>
      </c>
      <c r="Z100" s="1">
        <f>P100-Y100</f>
        <v>0.174303877195301</v>
      </c>
      <c r="AB100" s="1">
        <f>C100</f>
        <v>8</v>
      </c>
      <c r="AC100" s="1">
        <f>D100</f>
        <v>84</v>
      </c>
      <c r="AD100" s="1">
        <f>E100</f>
        <v>2</v>
      </c>
      <c r="AE100" s="1">
        <f>F100</f>
        <v>0</v>
      </c>
      <c r="AF100" s="1">
        <f>G100</f>
        <v>0</v>
      </c>
      <c r="AG100" s="1">
        <f>I100</f>
        <v>0</v>
      </c>
      <c r="AH100" s="1">
        <f>J100</f>
        <v>0</v>
      </c>
      <c r="AI100" s="1">
        <f>Q100</f>
        <v>1</v>
      </c>
      <c r="AJ100" s="1">
        <f>K100</f>
        <v>0</v>
      </c>
      <c r="AK100" s="1">
        <f>L100</f>
        <v>0</v>
      </c>
      <c r="AL100" s="1">
        <f>M100</f>
        <v>0</v>
      </c>
      <c r="AM100" s="1">
        <f>N100</f>
        <v>0</v>
      </c>
      <c r="AN100" s="1">
        <f>O100</f>
        <v>1</v>
      </c>
    </row>
    <row r="101">
      <c r="A101" s="1">
        <v>113</v>
      </c>
      <c r="B101" s="1">
        <v>12</v>
      </c>
      <c r="C101" s="1">
        <v>35</v>
      </c>
      <c r="D101" s="1">
        <v>84</v>
      </c>
      <c r="E101" s="1">
        <v>2</v>
      </c>
      <c r="F101" s="1">
        <v>0</v>
      </c>
      <c r="G101" s="1">
        <v>0</v>
      </c>
      <c r="H101" s="1">
        <v>0</v>
      </c>
      <c r="I101" s="1">
        <v>0</v>
      </c>
      <c r="J101" s="1">
        <v>0</v>
      </c>
      <c r="K101" s="1">
        <v>0</v>
      </c>
      <c r="L101" s="1">
        <v>1</v>
      </c>
      <c r="M101" s="1">
        <v>0</v>
      </c>
      <c r="N101" s="1">
        <v>0</v>
      </c>
      <c r="O101" s="1">
        <v>0</v>
      </c>
      <c r="P101" s="1">
        <f>LN(B101)</f>
        <v>2.484906649788</v>
      </c>
      <c r="Q101" s="1">
        <f>1-SUM(F101:J101)</f>
        <v>1</v>
      </c>
      <c r="R101" s="1" t="str">
        <f>IF(F101=1,"Napa valley",IF(G101=1,"Bay area",IF(H101=1,"Sonoma",IF(I101=1,"Sierra/foothills",IF(J101=1,"Mendocino/lake","Generic California")))))</f>
        <v>Generic California</v>
      </c>
      <c r="S101" s="1" t="str">
        <f>IF(F101=1,"Napa valley",IF(H101=1,"Sonoma","Other"))</f>
        <v>Other</v>
      </c>
      <c r="T101" s="1" t="str">
        <f>IF(M101=1,"Cabernet",IF(N101=1,"Merlot",IF(L101=1,"Pinot noir","Other")))</f>
        <v>Pinot noir</v>
      </c>
      <c r="U101" s="1" t="str">
        <f>IF(F101=1,B101,"")</f>
        <v/>
      </c>
      <c r="V101" s="1">
        <f>IF(F101=0,B101,"")</f>
        <v>12</v>
      </c>
      <c r="W101" s="1">
        <f>'Part B'!$B$150+SUMPRODUCT('Part B'!$B$164:$N$164,C101:O101)</f>
        <v>11.0925394042163</v>
      </c>
      <c r="X101" s="1">
        <f>B101-W101</f>
        <v>0.907460595783732</v>
      </c>
      <c r="Y101" s="1">
        <f>'Part B'!$B$179+SUMPRODUCT('Part B'!$B$193:$N$193,C101:O101)</f>
        <v>2.49835628649959</v>
      </c>
      <c r="Z101" s="1">
        <f>P101-Y101</f>
        <v>-0.0134496367115946</v>
      </c>
      <c r="AB101" s="1">
        <f>C101</f>
        <v>35</v>
      </c>
      <c r="AC101" s="1">
        <f>D101</f>
        <v>84</v>
      </c>
      <c r="AD101" s="1">
        <f>E101</f>
        <v>2</v>
      </c>
      <c r="AE101" s="1">
        <f>F101</f>
        <v>0</v>
      </c>
      <c r="AF101" s="1">
        <f>G101</f>
        <v>0</v>
      </c>
      <c r="AG101" s="1">
        <f>I101</f>
        <v>0</v>
      </c>
      <c r="AH101" s="1">
        <f>J101</f>
        <v>0</v>
      </c>
      <c r="AI101" s="1">
        <f>Q101</f>
        <v>1</v>
      </c>
      <c r="AJ101" s="1">
        <f>K101</f>
        <v>0</v>
      </c>
      <c r="AK101" s="1">
        <f>L101</f>
        <v>1</v>
      </c>
      <c r="AL101" s="1">
        <f>M101</f>
        <v>0</v>
      </c>
      <c r="AM101" s="1">
        <f>N101</f>
        <v>0</v>
      </c>
      <c r="AN101" s="1">
        <f>O101</f>
        <v>0</v>
      </c>
    </row>
    <row r="102">
      <c r="A102" s="1">
        <v>114</v>
      </c>
      <c r="B102" s="1">
        <v>12</v>
      </c>
      <c r="C102" s="1">
        <v>0.607</v>
      </c>
      <c r="D102" s="1">
        <v>80</v>
      </c>
      <c r="E102" s="1">
        <v>2</v>
      </c>
      <c r="F102" s="1">
        <v>0</v>
      </c>
      <c r="G102" s="1">
        <v>0</v>
      </c>
      <c r="H102" s="1">
        <v>0</v>
      </c>
      <c r="I102" s="1">
        <v>1</v>
      </c>
      <c r="J102" s="1">
        <v>0</v>
      </c>
      <c r="K102" s="1">
        <v>0</v>
      </c>
      <c r="L102" s="1">
        <v>0</v>
      </c>
      <c r="M102" s="1">
        <v>0</v>
      </c>
      <c r="N102" s="1">
        <v>0</v>
      </c>
      <c r="O102" s="1">
        <v>1</v>
      </c>
      <c r="P102" s="1">
        <f>LN(B102)</f>
        <v>2.484906649788</v>
      </c>
      <c r="Q102" s="1">
        <f>1-SUM(F102:J102)</f>
        <v>0</v>
      </c>
      <c r="R102" s="1" t="str">
        <f>IF(F102=1,"Napa valley",IF(G102=1,"Bay area",IF(H102=1,"Sonoma",IF(I102=1,"Sierra/foothills",IF(J102=1,"Mendocino/lake","Generic California")))))</f>
        <v>Sierra/foothills</v>
      </c>
      <c r="S102" s="1" t="str">
        <f>IF(F102=1,"Napa valley",IF(H102=1,"Sonoma","Other"))</f>
        <v>Other</v>
      </c>
      <c r="T102" s="1" t="str">
        <f>IF(M102=1,"Cabernet",IF(N102=1,"Merlot",IF(L102=1,"Pinot noir","Other")))</f>
        <v>Other</v>
      </c>
      <c r="U102" s="1" t="str">
        <f>IF(F102=1,B102,"")</f>
        <v/>
      </c>
      <c r="V102" s="1">
        <f>IF(F102=0,B102,"")</f>
        <v>12</v>
      </c>
      <c r="W102" s="1">
        <f>'Part B'!$B$150+SUMPRODUCT('Part B'!$B$164:$N$164,C102:O102)</f>
        <v>-3.06005363770231</v>
      </c>
      <c r="X102" s="1">
        <f>B102-W102</f>
        <v>15.0600536377023</v>
      </c>
      <c r="Y102" s="1">
        <f>'Part B'!$B$179+SUMPRODUCT('Part B'!$B$193:$N$193,C102:O102)</f>
        <v>2.31362695779238</v>
      </c>
      <c r="Z102" s="1">
        <f>P102-Y102</f>
        <v>0.171279691995617</v>
      </c>
      <c r="AB102" s="1">
        <f>C102</f>
        <v>0.607</v>
      </c>
      <c r="AC102" s="1">
        <f>D102</f>
        <v>80</v>
      </c>
      <c r="AD102" s="1">
        <f>E102</f>
        <v>2</v>
      </c>
      <c r="AE102" s="1">
        <f>F102</f>
        <v>0</v>
      </c>
      <c r="AF102" s="1">
        <f>G102</f>
        <v>0</v>
      </c>
      <c r="AG102" s="1">
        <f>I102</f>
        <v>1</v>
      </c>
      <c r="AH102" s="1">
        <f>J102</f>
        <v>0</v>
      </c>
      <c r="AI102" s="1">
        <f>Q102</f>
        <v>0</v>
      </c>
      <c r="AJ102" s="1">
        <f>K102</f>
        <v>0</v>
      </c>
      <c r="AK102" s="1">
        <f>L102</f>
        <v>0</v>
      </c>
      <c r="AL102" s="1">
        <f>M102</f>
        <v>0</v>
      </c>
      <c r="AM102" s="1">
        <f>N102</f>
        <v>0</v>
      </c>
      <c r="AN102" s="1">
        <f>O102</f>
        <v>1</v>
      </c>
    </row>
    <row r="103">
      <c r="A103" s="1">
        <v>115</v>
      </c>
      <c r="B103" s="1">
        <v>12</v>
      </c>
      <c r="C103" s="1">
        <v>5</v>
      </c>
      <c r="D103" s="1">
        <v>85</v>
      </c>
      <c r="E103" s="1">
        <v>2</v>
      </c>
      <c r="F103" s="1">
        <v>0</v>
      </c>
      <c r="G103" s="1">
        <v>0</v>
      </c>
      <c r="H103" s="1">
        <v>1</v>
      </c>
      <c r="I103" s="1">
        <v>0</v>
      </c>
      <c r="J103" s="1">
        <v>0</v>
      </c>
      <c r="K103" s="1">
        <v>0</v>
      </c>
      <c r="L103" s="1">
        <v>1</v>
      </c>
      <c r="M103" s="1">
        <v>0</v>
      </c>
      <c r="N103" s="1">
        <v>0</v>
      </c>
      <c r="O103" s="1">
        <v>0</v>
      </c>
      <c r="P103" s="1">
        <f>LN(B103)</f>
        <v>2.484906649788</v>
      </c>
      <c r="Q103" s="1">
        <f>1-SUM(F103:J103)</f>
        <v>0</v>
      </c>
      <c r="R103" s="1" t="str">
        <f>IF(F103=1,"Napa valley",IF(G103=1,"Bay area",IF(H103=1,"Sonoma",IF(I103=1,"Sierra/foothills",IF(J103=1,"Mendocino/lake","Generic California")))))</f>
        <v>Sonoma</v>
      </c>
      <c r="S103" s="1" t="str">
        <f>IF(F103=1,"Napa valley",IF(H103=1,"Sonoma","Other"))</f>
        <v>Sonoma</v>
      </c>
      <c r="T103" s="1" t="str">
        <f>IF(M103=1,"Cabernet",IF(N103=1,"Merlot",IF(L103=1,"Pinot noir","Other")))</f>
        <v>Pinot noir</v>
      </c>
      <c r="U103" s="1" t="str">
        <f>IF(F103=1,B103,"")</f>
        <v/>
      </c>
      <c r="V103" s="1">
        <f>IF(F103=0,B103,"")</f>
        <v>12</v>
      </c>
      <c r="W103" s="1">
        <f>'Part B'!$B$150+SUMPRODUCT('Part B'!$B$164:$N$164,C103:O103)</f>
        <v>16.2496061990108</v>
      </c>
      <c r="X103" s="1">
        <f>B103-W103</f>
        <v>-4.24960619901077</v>
      </c>
      <c r="Y103" s="1">
        <f>'Part B'!$B$179+SUMPRODUCT('Part B'!$B$193:$N$193,C103:O103)</f>
        <v>2.97862151762296</v>
      </c>
      <c r="Z103" s="1">
        <f>P103-Y103</f>
        <v>-0.493714867834958</v>
      </c>
      <c r="AB103" s="1">
        <f>C103</f>
        <v>5</v>
      </c>
      <c r="AC103" s="1">
        <f>D103</f>
        <v>85</v>
      </c>
      <c r="AD103" s="1">
        <f>E103</f>
        <v>2</v>
      </c>
      <c r="AE103" s="1">
        <f>F103</f>
        <v>0</v>
      </c>
      <c r="AF103" s="1">
        <f>G103</f>
        <v>0</v>
      </c>
      <c r="AG103" s="1">
        <f>I103</f>
        <v>0</v>
      </c>
      <c r="AH103" s="1">
        <f>J103</f>
        <v>0</v>
      </c>
      <c r="AI103" s="1">
        <f>Q103</f>
        <v>0</v>
      </c>
      <c r="AJ103" s="1">
        <f>K103</f>
        <v>0</v>
      </c>
      <c r="AK103" s="1">
        <f>L103</f>
        <v>1</v>
      </c>
      <c r="AL103" s="1">
        <f>M103</f>
        <v>0</v>
      </c>
      <c r="AM103" s="1">
        <f>N103</f>
        <v>0</v>
      </c>
      <c r="AN103" s="1">
        <f>O103</f>
        <v>0</v>
      </c>
    </row>
    <row r="104">
      <c r="A104" s="1">
        <v>116</v>
      </c>
      <c r="B104" s="1">
        <v>12</v>
      </c>
      <c r="C104" s="1">
        <v>10</v>
      </c>
      <c r="D104" s="1">
        <v>86</v>
      </c>
      <c r="E104" s="1">
        <v>2</v>
      </c>
      <c r="F104" s="1">
        <v>0</v>
      </c>
      <c r="G104" s="1">
        <v>0</v>
      </c>
      <c r="H104" s="1">
        <v>0</v>
      </c>
      <c r="I104" s="1">
        <v>0</v>
      </c>
      <c r="J104" s="1">
        <v>0</v>
      </c>
      <c r="K104" s="1">
        <v>0</v>
      </c>
      <c r="L104" s="1">
        <v>0</v>
      </c>
      <c r="M104" s="1">
        <v>0</v>
      </c>
      <c r="N104" s="1">
        <v>1</v>
      </c>
      <c r="O104" s="1">
        <v>0</v>
      </c>
      <c r="P104" s="1">
        <f>LN(B104)</f>
        <v>2.484906649788</v>
      </c>
      <c r="Q104" s="1">
        <f>1-SUM(F104:J104)</f>
        <v>1</v>
      </c>
      <c r="R104" s="1" t="str">
        <f>IF(F104=1,"Napa valley",IF(G104=1,"Bay area",IF(H104=1,"Sonoma",IF(I104=1,"Sierra/foothills",IF(J104=1,"Mendocino/lake","Generic California")))))</f>
        <v>Generic California</v>
      </c>
      <c r="S104" s="1" t="str">
        <f>IF(F104=1,"Napa valley",IF(H104=1,"Sonoma","Other"))</f>
        <v>Other</v>
      </c>
      <c r="T104" s="1" t="str">
        <f>IF(M104=1,"Cabernet",IF(N104=1,"Merlot",IF(L104=1,"Pinot noir","Other")))</f>
        <v>Merlot</v>
      </c>
      <c r="U104" s="1" t="str">
        <f>IF(F104=1,B104,"")</f>
        <v/>
      </c>
      <c r="V104" s="1">
        <f>IF(F104=0,B104,"")</f>
        <v>12</v>
      </c>
      <c r="W104" s="1">
        <f>'Part B'!$B$150+SUMPRODUCT('Part B'!$B$164:$N$164,C104:O104)</f>
        <v>17.9615278573746</v>
      </c>
      <c r="X104" s="1">
        <f>B104-W104</f>
        <v>-5.96152785737462</v>
      </c>
      <c r="Y104" s="1">
        <f>'Part B'!$B$179+SUMPRODUCT('Part B'!$B$193:$N$193,C104:O104)</f>
        <v>2.68324815452555</v>
      </c>
      <c r="Z104" s="1">
        <f>P104-Y104</f>
        <v>-0.198341504737552</v>
      </c>
      <c r="AB104" s="1">
        <f>C104</f>
        <v>10</v>
      </c>
      <c r="AC104" s="1">
        <f>D104</f>
        <v>86</v>
      </c>
      <c r="AD104" s="1">
        <f>E104</f>
        <v>2</v>
      </c>
      <c r="AE104" s="1">
        <f>F104</f>
        <v>0</v>
      </c>
      <c r="AF104" s="1">
        <f>G104</f>
        <v>0</v>
      </c>
      <c r="AG104" s="1">
        <f>I104</f>
        <v>0</v>
      </c>
      <c r="AH104" s="1">
        <f>J104</f>
        <v>0</v>
      </c>
      <c r="AI104" s="1">
        <f>Q104</f>
        <v>1</v>
      </c>
      <c r="AJ104" s="1">
        <f>K104</f>
        <v>0</v>
      </c>
      <c r="AK104" s="1">
        <f>L104</f>
        <v>0</v>
      </c>
      <c r="AL104" s="1">
        <f>M104</f>
        <v>0</v>
      </c>
      <c r="AM104" s="1">
        <f>N104</f>
        <v>1</v>
      </c>
      <c r="AN104" s="1">
        <f>O104</f>
        <v>0</v>
      </c>
    </row>
    <row r="105">
      <c r="A105" s="1">
        <v>117</v>
      </c>
      <c r="B105" s="1">
        <v>12</v>
      </c>
      <c r="C105" s="1">
        <v>5.8</v>
      </c>
      <c r="D105" s="1">
        <v>85</v>
      </c>
      <c r="E105" s="1">
        <v>2</v>
      </c>
      <c r="F105" s="1">
        <v>0</v>
      </c>
      <c r="G105" s="1">
        <v>0</v>
      </c>
      <c r="H105" s="1">
        <v>0</v>
      </c>
      <c r="I105" s="1">
        <v>0</v>
      </c>
      <c r="J105" s="1">
        <v>0</v>
      </c>
      <c r="K105" s="1">
        <v>0</v>
      </c>
      <c r="L105" s="1">
        <v>0</v>
      </c>
      <c r="M105" s="1">
        <v>0</v>
      </c>
      <c r="N105" s="1">
        <v>0</v>
      </c>
      <c r="O105" s="1">
        <v>0</v>
      </c>
      <c r="P105" s="1">
        <f>LN(B105)</f>
        <v>2.484906649788</v>
      </c>
      <c r="Q105" s="1">
        <f>1-SUM(F105:J105)</f>
        <v>1</v>
      </c>
      <c r="R105" s="1" t="str">
        <f>IF(F105=1,"Napa valley",IF(G105=1,"Bay area",IF(H105=1,"Sonoma",IF(I105=1,"Sierra/foothills",IF(J105=1,"Mendocino/lake","Generic California")))))</f>
        <v>Generic California</v>
      </c>
      <c r="S105" s="1" t="str">
        <f>IF(F105=1,"Napa valley",IF(H105=1,"Sonoma","Other"))</f>
        <v>Other</v>
      </c>
      <c r="T105" s="1" t="str">
        <f>IF(M105=1,"Cabernet",IF(N105=1,"Merlot",IF(L105=1,"Pinot noir","Other")))</f>
        <v>Other</v>
      </c>
      <c r="U105" s="1" t="str">
        <f>IF(F105=1,B105,"")</f>
        <v/>
      </c>
      <c r="V105" s="1">
        <f>IF(F105=0,B105,"")</f>
        <v>12</v>
      </c>
      <c r="W105" s="1">
        <f>'Part B'!$B$150+SUMPRODUCT('Part B'!$B$164:$N$164,C105:O105)</f>
        <v>7.55485904309654</v>
      </c>
      <c r="X105" s="1">
        <f>B105-W105</f>
        <v>4.44514095690346</v>
      </c>
      <c r="Y105" s="1">
        <f>'Part B'!$B$179+SUMPRODUCT('Part B'!$B$193:$N$193,C105:O105)</f>
        <v>2.34674413786915</v>
      </c>
      <c r="Z105" s="1">
        <f>P105-Y105</f>
        <v>0.138162511918854</v>
      </c>
      <c r="AB105" s="1">
        <f>C105</f>
        <v>5.8</v>
      </c>
      <c r="AC105" s="1">
        <f>D105</f>
        <v>85</v>
      </c>
      <c r="AD105" s="1">
        <f>E105</f>
        <v>2</v>
      </c>
      <c r="AE105" s="1">
        <f>F105</f>
        <v>0</v>
      </c>
      <c r="AF105" s="1">
        <f>G105</f>
        <v>0</v>
      </c>
      <c r="AG105" s="1">
        <f>I105</f>
        <v>0</v>
      </c>
      <c r="AH105" s="1">
        <f>J105</f>
        <v>0</v>
      </c>
      <c r="AI105" s="1">
        <f>Q105</f>
        <v>1</v>
      </c>
      <c r="AJ105" s="1">
        <f>K105</f>
        <v>0</v>
      </c>
      <c r="AK105" s="1">
        <f>L105</f>
        <v>0</v>
      </c>
      <c r="AL105" s="1">
        <f>M105</f>
        <v>0</v>
      </c>
      <c r="AM105" s="1">
        <f>N105</f>
        <v>0</v>
      </c>
      <c r="AN105" s="1">
        <f>O105</f>
        <v>0</v>
      </c>
    </row>
    <row r="106">
      <c r="A106" s="1">
        <v>119</v>
      </c>
      <c r="B106" s="1">
        <v>13</v>
      </c>
      <c r="C106" s="1">
        <v>2.5</v>
      </c>
      <c r="D106" s="1">
        <v>83</v>
      </c>
      <c r="E106" s="1">
        <v>4</v>
      </c>
      <c r="F106" s="1">
        <v>0</v>
      </c>
      <c r="G106" s="1">
        <v>0</v>
      </c>
      <c r="H106" s="1">
        <v>1</v>
      </c>
      <c r="I106" s="1">
        <v>0</v>
      </c>
      <c r="J106" s="1">
        <v>0</v>
      </c>
      <c r="K106" s="1">
        <v>0</v>
      </c>
      <c r="L106" s="1">
        <v>0</v>
      </c>
      <c r="M106" s="1">
        <v>1</v>
      </c>
      <c r="N106" s="1">
        <v>0</v>
      </c>
      <c r="O106" s="1">
        <v>0</v>
      </c>
      <c r="P106" s="1">
        <f>LN(B106)</f>
        <v>2.56494935746154</v>
      </c>
      <c r="Q106" s="1">
        <f>1-SUM(F106:J106)</f>
        <v>0</v>
      </c>
      <c r="R106" s="1" t="str">
        <f>IF(F106=1,"Napa valley",IF(G106=1,"Bay area",IF(H106=1,"Sonoma",IF(I106=1,"Sierra/foothills",IF(J106=1,"Mendocino/lake","Generic California")))))</f>
        <v>Sonoma</v>
      </c>
      <c r="S106" s="1" t="str">
        <f>IF(F106=1,"Napa valley",IF(H106=1,"Sonoma","Other"))</f>
        <v>Sonoma</v>
      </c>
      <c r="T106" s="1" t="str">
        <f>IF(M106=1,"Cabernet",IF(N106=1,"Merlot",IF(L106=1,"Pinot noir","Other")))</f>
        <v>Cabernet</v>
      </c>
      <c r="U106" s="1" t="str">
        <f>IF(F106=1,B106,"")</f>
        <v/>
      </c>
      <c r="V106" s="1">
        <f>IF(F106=0,B106,"")</f>
        <v>13</v>
      </c>
      <c r="W106" s="1">
        <f>'Part B'!$B$150+SUMPRODUCT('Part B'!$B$164:$N$164,C106:O106)</f>
        <v>26.6089000706331</v>
      </c>
      <c r="X106" s="1">
        <f>B106-W106</f>
        <v>-13.6089000706331</v>
      </c>
      <c r="Y106" s="1">
        <f>'Part B'!$B$179+SUMPRODUCT('Part B'!$B$193:$N$193,C106:O106)</f>
        <v>3.19004039509709</v>
      </c>
      <c r="Z106" s="1">
        <f>P106-Y106</f>
        <v>-0.625091037635553</v>
      </c>
      <c r="AB106" s="1">
        <f>C106</f>
        <v>2.5</v>
      </c>
      <c r="AC106" s="1">
        <f>D106</f>
        <v>83</v>
      </c>
      <c r="AD106" s="1">
        <f>E106</f>
        <v>4</v>
      </c>
      <c r="AE106" s="1">
        <f>F106</f>
        <v>0</v>
      </c>
      <c r="AF106" s="1">
        <f>G106</f>
        <v>0</v>
      </c>
      <c r="AG106" s="1">
        <f>I106</f>
        <v>0</v>
      </c>
      <c r="AH106" s="1">
        <f>J106</f>
        <v>0</v>
      </c>
      <c r="AI106" s="1">
        <f>Q106</f>
        <v>0</v>
      </c>
      <c r="AJ106" s="1">
        <f>K106</f>
        <v>0</v>
      </c>
      <c r="AK106" s="1">
        <f>L106</f>
        <v>0</v>
      </c>
      <c r="AL106" s="1">
        <f>M106</f>
        <v>1</v>
      </c>
      <c r="AM106" s="1">
        <f>N106</f>
        <v>0</v>
      </c>
      <c r="AN106" s="1">
        <f>O106</f>
        <v>0</v>
      </c>
    </row>
    <row r="107">
      <c r="A107" s="1">
        <v>120</v>
      </c>
      <c r="B107" s="1">
        <v>13</v>
      </c>
      <c r="C107" s="1">
        <v>2.5</v>
      </c>
      <c r="D107" s="1">
        <v>84</v>
      </c>
      <c r="E107" s="1">
        <v>4</v>
      </c>
      <c r="F107" s="1">
        <v>1</v>
      </c>
      <c r="G107" s="1">
        <v>0</v>
      </c>
      <c r="H107" s="1">
        <v>0</v>
      </c>
      <c r="I107" s="1">
        <v>0</v>
      </c>
      <c r="J107" s="1">
        <v>0</v>
      </c>
      <c r="K107" s="1">
        <v>0</v>
      </c>
      <c r="L107" s="1">
        <v>0</v>
      </c>
      <c r="M107" s="1">
        <v>1</v>
      </c>
      <c r="N107" s="1">
        <v>0</v>
      </c>
      <c r="O107" s="1">
        <v>0</v>
      </c>
      <c r="P107" s="1">
        <f>LN(B107)</f>
        <v>2.56494935746154</v>
      </c>
      <c r="Q107" s="1">
        <f>1-SUM(F107:J107)</f>
        <v>0</v>
      </c>
      <c r="R107" s="1" t="str">
        <f>IF(F107=1,"Napa valley",IF(G107=1,"Bay area",IF(H107=1,"Sonoma",IF(I107=1,"Sierra/foothills",IF(J107=1,"Mendocino/lake","Generic California")))))</f>
        <v>Napa valley</v>
      </c>
      <c r="S107" s="1" t="str">
        <f>IF(F107=1,"Napa valley",IF(H107=1,"Sonoma","Other"))</f>
        <v>Napa valley</v>
      </c>
      <c r="T107" s="1" t="str">
        <f>IF(M107=1,"Cabernet",IF(N107=1,"Merlot",IF(L107=1,"Pinot noir","Other")))</f>
        <v>Cabernet</v>
      </c>
      <c r="U107" s="1">
        <f>IF(F107=1,B107,"")</f>
        <v>13</v>
      </c>
      <c r="V107" s="1" t="str">
        <f>IF(F107=0,B107,"")</f>
        <v/>
      </c>
      <c r="W107" s="1">
        <f>'Part B'!$B$150+SUMPRODUCT('Part B'!$B$164:$N$164,C107:O107)</f>
        <v>37.650444982791</v>
      </c>
      <c r="X107" s="1">
        <f>B107-W107</f>
        <v>-24.650444982791</v>
      </c>
      <c r="Y107" s="1">
        <f>'Part B'!$B$179+SUMPRODUCT('Part B'!$B$193:$N$193,C107:O107)</f>
        <v>3.40778932879469</v>
      </c>
      <c r="Z107" s="1">
        <f>P107-Y107</f>
        <v>-0.842839971333151</v>
      </c>
      <c r="AB107" s="1">
        <f>C107</f>
        <v>2.5</v>
      </c>
      <c r="AC107" s="1">
        <f>D107</f>
        <v>84</v>
      </c>
      <c r="AD107" s="1">
        <f>E107</f>
        <v>4</v>
      </c>
      <c r="AE107" s="1">
        <f>F107</f>
        <v>1</v>
      </c>
      <c r="AF107" s="1">
        <f>G107</f>
        <v>0</v>
      </c>
      <c r="AG107" s="1">
        <f>I107</f>
        <v>0</v>
      </c>
      <c r="AH107" s="1">
        <f>J107</f>
        <v>0</v>
      </c>
      <c r="AI107" s="1">
        <f>Q107</f>
        <v>0</v>
      </c>
      <c r="AJ107" s="1">
        <f>K107</f>
        <v>0</v>
      </c>
      <c r="AK107" s="1">
        <f>L107</f>
        <v>0</v>
      </c>
      <c r="AL107" s="1">
        <f>M107</f>
        <v>1</v>
      </c>
      <c r="AM107" s="1">
        <f>N107</f>
        <v>0</v>
      </c>
      <c r="AN107" s="1">
        <f>O107</f>
        <v>0</v>
      </c>
    </row>
    <row r="108">
      <c r="A108" s="1">
        <v>121</v>
      </c>
      <c r="B108" s="1">
        <v>13</v>
      </c>
      <c r="C108" s="1">
        <v>4.64</v>
      </c>
      <c r="D108" s="1">
        <v>84</v>
      </c>
      <c r="E108" s="1">
        <v>3</v>
      </c>
      <c r="F108" s="1">
        <v>0</v>
      </c>
      <c r="G108" s="1">
        <v>0</v>
      </c>
      <c r="H108" s="1">
        <v>1</v>
      </c>
      <c r="I108" s="1">
        <v>0</v>
      </c>
      <c r="J108" s="1">
        <v>0</v>
      </c>
      <c r="K108" s="1">
        <v>0</v>
      </c>
      <c r="L108" s="1">
        <v>0</v>
      </c>
      <c r="M108" s="1">
        <v>0</v>
      </c>
      <c r="N108" s="1">
        <v>1</v>
      </c>
      <c r="O108" s="1">
        <v>0</v>
      </c>
      <c r="P108" s="1">
        <f>LN(B108)</f>
        <v>2.56494935746154</v>
      </c>
      <c r="Q108" s="1">
        <f>1-SUM(F108:J108)</f>
        <v>0</v>
      </c>
      <c r="R108" s="1" t="str">
        <f>IF(F108=1,"Napa valley",IF(G108=1,"Bay area",IF(H108=1,"Sonoma",IF(I108=1,"Sierra/foothills",IF(J108=1,"Mendocino/lake","Generic California")))))</f>
        <v>Sonoma</v>
      </c>
      <c r="S108" s="1" t="str">
        <f>IF(F108=1,"Napa valley",IF(H108=1,"Sonoma","Other"))</f>
        <v>Sonoma</v>
      </c>
      <c r="T108" s="1" t="str">
        <f>IF(M108=1,"Cabernet",IF(N108=1,"Merlot",IF(L108=1,"Pinot noir","Other")))</f>
        <v>Merlot</v>
      </c>
      <c r="U108" s="1" t="str">
        <f>IF(F108=1,B108,"")</f>
        <v/>
      </c>
      <c r="V108" s="1">
        <f>IF(F108=0,B108,"")</f>
        <v>13</v>
      </c>
      <c r="W108" s="1">
        <f>'Part B'!$B$150+SUMPRODUCT('Part B'!$B$164:$N$164,C108:O108)</f>
        <v>17.9642328497808</v>
      </c>
      <c r="X108" s="1">
        <f>B108-W108</f>
        <v>-4.96423284978079</v>
      </c>
      <c r="Y108" s="1">
        <f>'Part B'!$B$179+SUMPRODUCT('Part B'!$B$193:$N$193,C108:O108)</f>
        <v>3.03127834724339</v>
      </c>
      <c r="Z108" s="1">
        <f>P108-Y108</f>
        <v>-0.46632898978185</v>
      </c>
      <c r="AB108" s="1">
        <f>C108</f>
        <v>4.64</v>
      </c>
      <c r="AC108" s="1">
        <f>D108</f>
        <v>84</v>
      </c>
      <c r="AD108" s="1">
        <f>E108</f>
        <v>3</v>
      </c>
      <c r="AE108" s="1">
        <f>F108</f>
        <v>0</v>
      </c>
      <c r="AF108" s="1">
        <f>G108</f>
        <v>0</v>
      </c>
      <c r="AG108" s="1">
        <f>I108</f>
        <v>0</v>
      </c>
      <c r="AH108" s="1">
        <f>J108</f>
        <v>0</v>
      </c>
      <c r="AI108" s="1">
        <f>Q108</f>
        <v>0</v>
      </c>
      <c r="AJ108" s="1">
        <f>K108</f>
        <v>0</v>
      </c>
      <c r="AK108" s="1">
        <f>L108</f>
        <v>0</v>
      </c>
      <c r="AL108" s="1">
        <f>M108</f>
        <v>0</v>
      </c>
      <c r="AM108" s="1">
        <f>N108</f>
        <v>1</v>
      </c>
      <c r="AN108" s="1">
        <f>O108</f>
        <v>0</v>
      </c>
    </row>
    <row r="109">
      <c r="A109" s="1">
        <v>124</v>
      </c>
      <c r="B109" s="1">
        <v>13</v>
      </c>
      <c r="C109" s="1">
        <v>45</v>
      </c>
      <c r="D109" s="1">
        <v>86</v>
      </c>
      <c r="E109" s="1">
        <v>3</v>
      </c>
      <c r="F109" s="1">
        <v>0</v>
      </c>
      <c r="G109" s="1">
        <v>0</v>
      </c>
      <c r="H109" s="1">
        <v>0</v>
      </c>
      <c r="I109" s="1">
        <v>0</v>
      </c>
      <c r="J109" s="1">
        <v>0</v>
      </c>
      <c r="K109" s="1">
        <v>0</v>
      </c>
      <c r="L109" s="1">
        <v>0</v>
      </c>
      <c r="M109" s="1">
        <v>1</v>
      </c>
      <c r="N109" s="1">
        <v>0</v>
      </c>
      <c r="O109" s="1">
        <v>0</v>
      </c>
      <c r="P109" s="1">
        <f>LN(B109)</f>
        <v>2.56494935746154</v>
      </c>
      <c r="Q109" s="1">
        <f>1-SUM(F109:J109)</f>
        <v>1</v>
      </c>
      <c r="R109" s="1" t="str">
        <f>IF(F109=1,"Napa valley",IF(G109=1,"Bay area",IF(H109=1,"Sonoma",IF(I109=1,"Sierra/foothills",IF(J109=1,"Mendocino/lake","Generic California")))))</f>
        <v>Generic California</v>
      </c>
      <c r="S109" s="1" t="str">
        <f>IF(F109=1,"Napa valley",IF(H109=1,"Sonoma","Other"))</f>
        <v>Other</v>
      </c>
      <c r="T109" s="1" t="str">
        <f>IF(M109=1,"Cabernet",IF(N109=1,"Merlot",IF(L109=1,"Pinot noir","Other")))</f>
        <v>Cabernet</v>
      </c>
      <c r="U109" s="1" t="str">
        <f>IF(F109=1,B109,"")</f>
        <v/>
      </c>
      <c r="V109" s="1">
        <f>IF(F109=0,B109,"")</f>
        <v>13</v>
      </c>
      <c r="W109" s="1">
        <f>'Part B'!$B$150+SUMPRODUCT('Part B'!$B$164:$N$164,C109:O109)</f>
        <v>26.2261947665275</v>
      </c>
      <c r="X109" s="1">
        <f>B109-W109</f>
        <v>-13.2261947665275</v>
      </c>
      <c r="Y109" s="1">
        <f>'Part B'!$B$179+SUMPRODUCT('Part B'!$B$193:$N$193,C109:O109)</f>
        <v>2.75304701740828</v>
      </c>
      <c r="Z109" s="1">
        <f>P109-Y109</f>
        <v>-0.188097659946743</v>
      </c>
      <c r="AB109" s="1">
        <f>C109</f>
        <v>45</v>
      </c>
      <c r="AC109" s="1">
        <f>D109</f>
        <v>86</v>
      </c>
      <c r="AD109" s="1">
        <f>E109</f>
        <v>3</v>
      </c>
      <c r="AE109" s="1">
        <f>F109</f>
        <v>0</v>
      </c>
      <c r="AF109" s="1">
        <f>G109</f>
        <v>0</v>
      </c>
      <c r="AG109" s="1">
        <f>I109</f>
        <v>0</v>
      </c>
      <c r="AH109" s="1">
        <f>J109</f>
        <v>0</v>
      </c>
      <c r="AI109" s="1">
        <f>Q109</f>
        <v>1</v>
      </c>
      <c r="AJ109" s="1">
        <f>K109</f>
        <v>0</v>
      </c>
      <c r="AK109" s="1">
        <f>L109</f>
        <v>0</v>
      </c>
      <c r="AL109" s="1">
        <f>M109</f>
        <v>1</v>
      </c>
      <c r="AM109" s="1">
        <f>N109</f>
        <v>0</v>
      </c>
      <c r="AN109" s="1">
        <f>O109</f>
        <v>0</v>
      </c>
    </row>
    <row r="110">
      <c r="A110" s="1">
        <v>125</v>
      </c>
      <c r="B110" s="1">
        <v>13</v>
      </c>
      <c r="C110" s="1">
        <v>1.4</v>
      </c>
      <c r="D110" s="1">
        <v>82</v>
      </c>
      <c r="E110" s="1">
        <v>3</v>
      </c>
      <c r="F110" s="1">
        <v>0</v>
      </c>
      <c r="G110" s="1">
        <v>0</v>
      </c>
      <c r="H110" s="1">
        <v>1</v>
      </c>
      <c r="I110" s="1">
        <v>0</v>
      </c>
      <c r="J110" s="1">
        <v>0</v>
      </c>
      <c r="K110" s="1">
        <v>0</v>
      </c>
      <c r="L110" s="1">
        <v>1</v>
      </c>
      <c r="M110" s="1">
        <v>0</v>
      </c>
      <c r="N110" s="1">
        <v>0</v>
      </c>
      <c r="O110" s="1">
        <v>0</v>
      </c>
      <c r="P110" s="1">
        <f>LN(B110)</f>
        <v>2.56494935746154</v>
      </c>
      <c r="Q110" s="1">
        <f>1-SUM(F110:J110)</f>
        <v>0</v>
      </c>
      <c r="R110" s="1" t="str">
        <f>IF(F110=1,"Napa valley",IF(G110=1,"Bay area",IF(H110=1,"Sonoma",IF(I110=1,"Sierra/foothills",IF(J110=1,"Mendocino/lake","Generic California")))))</f>
        <v>Sonoma</v>
      </c>
      <c r="S110" s="1" t="str">
        <f>IF(F110=1,"Napa valley",IF(H110=1,"Sonoma","Other"))</f>
        <v>Sonoma</v>
      </c>
      <c r="T110" s="1" t="str">
        <f>IF(M110=1,"Cabernet",IF(N110=1,"Merlot",IF(L110=1,"Pinot noir","Other")))</f>
        <v>Pinot noir</v>
      </c>
      <c r="U110" s="1" t="str">
        <f>IF(F110=1,B110,"")</f>
        <v/>
      </c>
      <c r="V110" s="1">
        <f>IF(F110=0,B110,"")</f>
        <v>13</v>
      </c>
      <c r="W110" s="1">
        <f>'Part B'!$B$150+SUMPRODUCT('Part B'!$B$164:$N$164,C110:O110)</f>
        <v>13.7756092509751</v>
      </c>
      <c r="X110" s="1">
        <f>B110-W110</f>
        <v>-0.775609250975094</v>
      </c>
      <c r="Y110" s="1">
        <f>'Part B'!$B$179+SUMPRODUCT('Part B'!$B$193:$N$193,C110:O110)</f>
        <v>2.96722733539459</v>
      </c>
      <c r="Z110" s="1">
        <f>P110-Y110</f>
        <v>-0.402277977933051</v>
      </c>
      <c r="AB110" s="1">
        <f>C110</f>
        <v>1.4</v>
      </c>
      <c r="AC110" s="1">
        <f>D110</f>
        <v>82</v>
      </c>
      <c r="AD110" s="1">
        <f>E110</f>
        <v>3</v>
      </c>
      <c r="AE110" s="1">
        <f>F110</f>
        <v>0</v>
      </c>
      <c r="AF110" s="1">
        <f>G110</f>
        <v>0</v>
      </c>
      <c r="AG110" s="1">
        <f>I110</f>
        <v>0</v>
      </c>
      <c r="AH110" s="1">
        <f>J110</f>
        <v>0</v>
      </c>
      <c r="AI110" s="1">
        <f>Q110</f>
        <v>0</v>
      </c>
      <c r="AJ110" s="1">
        <f>K110</f>
        <v>0</v>
      </c>
      <c r="AK110" s="1">
        <f>L110</f>
        <v>1</v>
      </c>
      <c r="AL110" s="1">
        <f>M110</f>
        <v>0</v>
      </c>
      <c r="AM110" s="1">
        <f>N110</f>
        <v>0</v>
      </c>
      <c r="AN110" s="1">
        <f>O110</f>
        <v>0</v>
      </c>
    </row>
    <row r="111">
      <c r="A111" s="1">
        <v>126</v>
      </c>
      <c r="B111" s="1">
        <v>13</v>
      </c>
      <c r="C111" s="1">
        <v>24</v>
      </c>
      <c r="D111" s="1">
        <v>77</v>
      </c>
      <c r="E111" s="1">
        <v>3</v>
      </c>
      <c r="F111" s="1">
        <v>0</v>
      </c>
      <c r="G111" s="1">
        <v>0</v>
      </c>
      <c r="H111" s="1">
        <v>0</v>
      </c>
      <c r="I111" s="1">
        <v>0</v>
      </c>
      <c r="J111" s="1">
        <v>0</v>
      </c>
      <c r="K111" s="1">
        <v>0</v>
      </c>
      <c r="L111" s="1">
        <v>0</v>
      </c>
      <c r="M111" s="1">
        <v>1</v>
      </c>
      <c r="N111" s="1">
        <v>0</v>
      </c>
      <c r="O111" s="1">
        <v>0</v>
      </c>
      <c r="P111" s="1">
        <f>LN(B111)</f>
        <v>2.56494935746154</v>
      </c>
      <c r="Q111" s="1">
        <f>1-SUM(F111:J111)</f>
        <v>1</v>
      </c>
      <c r="R111" s="1" t="str">
        <f>IF(F111=1,"Napa valley",IF(G111=1,"Bay area",IF(H111=1,"Sonoma",IF(I111=1,"Sierra/foothills",IF(J111=1,"Mendocino/lake","Generic California")))))</f>
        <v>Generic California</v>
      </c>
      <c r="S111" s="1" t="str">
        <f>IF(F111=1,"Napa valley",IF(H111=1,"Sonoma","Other"))</f>
        <v>Other</v>
      </c>
      <c r="T111" s="1" t="str">
        <f>IF(M111=1,"Cabernet",IF(N111=1,"Merlot",IF(L111=1,"Pinot noir","Other")))</f>
        <v>Cabernet</v>
      </c>
      <c r="U111" s="1" t="str">
        <f>IF(F111=1,B111,"")</f>
        <v/>
      </c>
      <c r="V111" s="1">
        <f>IF(F111=0,B111,"")</f>
        <v>13</v>
      </c>
      <c r="W111" s="1">
        <f>'Part B'!$B$150+SUMPRODUCT('Part B'!$B$164:$N$164,C111:O111)</f>
        <v>-0.0864899024873012</v>
      </c>
      <c r="X111" s="1">
        <f>B111-W111</f>
        <v>13.0864899024873</v>
      </c>
      <c r="Y111" s="1">
        <f>'Part B'!$B$179+SUMPRODUCT('Part B'!$B$193:$N$193,C111:O111)</f>
        <v>2.21325510827819</v>
      </c>
      <c r="Z111" s="1">
        <f>P111-Y111</f>
        <v>0.351694249183342</v>
      </c>
      <c r="AB111" s="1">
        <f>C111</f>
        <v>24</v>
      </c>
      <c r="AC111" s="1">
        <f>D111</f>
        <v>77</v>
      </c>
      <c r="AD111" s="1">
        <f>E111</f>
        <v>3</v>
      </c>
      <c r="AE111" s="1">
        <f>F111</f>
        <v>0</v>
      </c>
      <c r="AF111" s="1">
        <f>G111</f>
        <v>0</v>
      </c>
      <c r="AG111" s="1">
        <f>I111</f>
        <v>0</v>
      </c>
      <c r="AH111" s="1">
        <f>J111</f>
        <v>0</v>
      </c>
      <c r="AI111" s="1">
        <f>Q111</f>
        <v>1</v>
      </c>
      <c r="AJ111" s="1">
        <f>K111</f>
        <v>0</v>
      </c>
      <c r="AK111" s="1">
        <f>L111</f>
        <v>0</v>
      </c>
      <c r="AL111" s="1">
        <f>M111</f>
        <v>1</v>
      </c>
      <c r="AM111" s="1">
        <f>N111</f>
        <v>0</v>
      </c>
      <c r="AN111" s="1">
        <f>O111</f>
        <v>0</v>
      </c>
    </row>
    <row r="112">
      <c r="A112" s="1">
        <v>127</v>
      </c>
      <c r="B112" s="1">
        <v>13</v>
      </c>
      <c r="C112" s="1">
        <v>7.45</v>
      </c>
      <c r="D112" s="1">
        <v>80</v>
      </c>
      <c r="E112" s="1">
        <v>3</v>
      </c>
      <c r="F112" s="1">
        <v>1</v>
      </c>
      <c r="G112" s="1">
        <v>0</v>
      </c>
      <c r="H112" s="1">
        <v>0</v>
      </c>
      <c r="I112" s="1">
        <v>0</v>
      </c>
      <c r="J112" s="1">
        <v>0</v>
      </c>
      <c r="K112" s="1">
        <v>0</v>
      </c>
      <c r="L112" s="1">
        <v>0</v>
      </c>
      <c r="M112" s="1">
        <v>0</v>
      </c>
      <c r="N112" s="1">
        <v>1</v>
      </c>
      <c r="O112" s="1">
        <v>0</v>
      </c>
      <c r="P112" s="1">
        <f>LN(B112)</f>
        <v>2.56494935746154</v>
      </c>
      <c r="Q112" s="1">
        <f>1-SUM(F112:J112)</f>
        <v>0</v>
      </c>
      <c r="R112" s="1" t="str">
        <f>IF(F112=1,"Napa valley",IF(G112=1,"Bay area",IF(H112=1,"Sonoma",IF(I112=1,"Sierra/foothills",IF(J112=1,"Mendocino/lake","Generic California")))))</f>
        <v>Napa valley</v>
      </c>
      <c r="S112" s="1" t="str">
        <f>IF(F112=1,"Napa valley",IF(H112=1,"Sonoma","Other"))</f>
        <v>Napa valley</v>
      </c>
      <c r="T112" s="1" t="str">
        <f>IF(M112=1,"Cabernet",IF(N112=1,"Merlot",IF(L112=1,"Pinot noir","Other")))</f>
        <v>Merlot</v>
      </c>
      <c r="U112" s="1">
        <f>IF(F112=1,B112,"")</f>
        <v>13</v>
      </c>
      <c r="V112" s="1" t="str">
        <f>IF(F112=0,B112,"")</f>
        <v/>
      </c>
      <c r="W112" s="1">
        <f>'Part B'!$B$150+SUMPRODUCT('Part B'!$B$164:$N$164,C112:O112)</f>
        <v>13.013584607475</v>
      </c>
      <c r="X112" s="1">
        <f>B112-W112</f>
        <v>-0.0135846074749679</v>
      </c>
      <c r="Y112" s="1">
        <f>'Part B'!$B$179+SUMPRODUCT('Part B'!$B$193:$N$193,C112:O112)</f>
        <v>2.88719625827617</v>
      </c>
      <c r="Z112" s="1">
        <f>P112-Y112</f>
        <v>-0.322246900814628</v>
      </c>
      <c r="AB112" s="1">
        <f>C112</f>
        <v>7.45</v>
      </c>
      <c r="AC112" s="1">
        <f>D112</f>
        <v>80</v>
      </c>
      <c r="AD112" s="1">
        <f>E112</f>
        <v>3</v>
      </c>
      <c r="AE112" s="1">
        <f>F112</f>
        <v>1</v>
      </c>
      <c r="AF112" s="1">
        <f>G112</f>
        <v>0</v>
      </c>
      <c r="AG112" s="1">
        <f>I112</f>
        <v>0</v>
      </c>
      <c r="AH112" s="1">
        <f>J112</f>
        <v>0</v>
      </c>
      <c r="AI112" s="1">
        <f>Q112</f>
        <v>0</v>
      </c>
      <c r="AJ112" s="1">
        <f>K112</f>
        <v>0</v>
      </c>
      <c r="AK112" s="1">
        <f>L112</f>
        <v>0</v>
      </c>
      <c r="AL112" s="1">
        <f>M112</f>
        <v>0</v>
      </c>
      <c r="AM112" s="1">
        <f>N112</f>
        <v>1</v>
      </c>
      <c r="AN112" s="1">
        <f>O112</f>
        <v>0</v>
      </c>
    </row>
    <row r="113">
      <c r="A113" s="1">
        <v>130</v>
      </c>
      <c r="B113" s="1">
        <v>13</v>
      </c>
      <c r="C113" s="1">
        <v>1.2</v>
      </c>
      <c r="D113" s="1">
        <v>78</v>
      </c>
      <c r="E113" s="1">
        <v>3</v>
      </c>
      <c r="F113" s="1">
        <v>1</v>
      </c>
      <c r="G113" s="1">
        <v>0</v>
      </c>
      <c r="H113" s="1">
        <v>0</v>
      </c>
      <c r="I113" s="1">
        <v>0</v>
      </c>
      <c r="J113" s="1">
        <v>0</v>
      </c>
      <c r="K113" s="1">
        <v>0</v>
      </c>
      <c r="L113" s="1">
        <v>0</v>
      </c>
      <c r="M113" s="1">
        <v>1</v>
      </c>
      <c r="N113" s="1">
        <v>0</v>
      </c>
      <c r="O113" s="1">
        <v>0</v>
      </c>
      <c r="P113" s="1">
        <f>LN(B113)</f>
        <v>2.56494935746154</v>
      </c>
      <c r="Q113" s="1">
        <f>1-SUM(F113:J113)</f>
        <v>0</v>
      </c>
      <c r="R113" s="1" t="str">
        <f>IF(F113=1,"Napa valley",IF(G113=1,"Bay area",IF(H113=1,"Sonoma",IF(I113=1,"Sierra/foothills",IF(J113=1,"Mendocino/lake","Generic California")))))</f>
        <v>Napa valley</v>
      </c>
      <c r="S113" s="1" t="str">
        <f>IF(F113=1,"Napa valley",IF(H113=1,"Sonoma","Other"))</f>
        <v>Napa valley</v>
      </c>
      <c r="T113" s="1" t="str">
        <f>IF(M113=1,"Cabernet",IF(N113=1,"Merlot",IF(L113=1,"Pinot noir","Other")))</f>
        <v>Cabernet</v>
      </c>
      <c r="U113" s="1">
        <f>IF(F113=1,B113,"")</f>
        <v>13</v>
      </c>
      <c r="V113" s="1" t="str">
        <f>IF(F113=0,B113,"")</f>
        <v/>
      </c>
      <c r="W113" s="1">
        <f>'Part B'!$B$150+SUMPRODUCT('Part B'!$B$164:$N$164,C113:O113)</f>
        <v>12.2836455707681</v>
      </c>
      <c r="X113" s="1">
        <f>B113-W113</f>
        <v>0.716354429231899</v>
      </c>
      <c r="Y113" s="1">
        <f>'Part B'!$B$179+SUMPRODUCT('Part B'!$B$193:$N$193,C113:O113)</f>
        <v>2.81049862085713</v>
      </c>
      <c r="Z113" s="1">
        <f>P113-Y113</f>
        <v>-0.24554926339559</v>
      </c>
      <c r="AB113" s="1">
        <f>C113</f>
        <v>1.2</v>
      </c>
      <c r="AC113" s="1">
        <f>D113</f>
        <v>78</v>
      </c>
      <c r="AD113" s="1">
        <f>E113</f>
        <v>3</v>
      </c>
      <c r="AE113" s="1">
        <f>F113</f>
        <v>1</v>
      </c>
      <c r="AF113" s="1">
        <f>G113</f>
        <v>0</v>
      </c>
      <c r="AG113" s="1">
        <f>I113</f>
        <v>0</v>
      </c>
      <c r="AH113" s="1">
        <f>J113</f>
        <v>0</v>
      </c>
      <c r="AI113" s="1">
        <f>Q113</f>
        <v>0</v>
      </c>
      <c r="AJ113" s="1">
        <f>K113</f>
        <v>0</v>
      </c>
      <c r="AK113" s="1">
        <f>L113</f>
        <v>0</v>
      </c>
      <c r="AL113" s="1">
        <f>M113</f>
        <v>1</v>
      </c>
      <c r="AM113" s="1">
        <f>N113</f>
        <v>0</v>
      </c>
      <c r="AN113" s="1">
        <f>O113</f>
        <v>0</v>
      </c>
    </row>
    <row r="114">
      <c r="A114" s="1">
        <v>131</v>
      </c>
      <c r="B114" s="1">
        <v>13</v>
      </c>
      <c r="C114" s="1">
        <v>1.6</v>
      </c>
      <c r="D114" s="1">
        <v>83</v>
      </c>
      <c r="E114" s="1">
        <v>3</v>
      </c>
      <c r="F114" s="1">
        <v>0</v>
      </c>
      <c r="G114" s="1">
        <v>0</v>
      </c>
      <c r="H114" s="1">
        <v>0</v>
      </c>
      <c r="I114" s="1">
        <v>0</v>
      </c>
      <c r="J114" s="1">
        <v>0</v>
      </c>
      <c r="K114" s="1">
        <v>0</v>
      </c>
      <c r="L114" s="1">
        <v>0</v>
      </c>
      <c r="M114" s="1">
        <v>1</v>
      </c>
      <c r="N114" s="1">
        <v>0</v>
      </c>
      <c r="O114" s="1">
        <v>0</v>
      </c>
      <c r="P114" s="1">
        <f>LN(B114)</f>
        <v>2.56494935746154</v>
      </c>
      <c r="Q114" s="1">
        <f>1-SUM(F114:J114)</f>
        <v>1</v>
      </c>
      <c r="R114" s="1" t="str">
        <f>IF(F114=1,"Napa valley",IF(G114=1,"Bay area",IF(H114=1,"Sonoma",IF(I114=1,"Sierra/foothills",IF(J114=1,"Mendocino/lake","Generic California")))))</f>
        <v>Generic California</v>
      </c>
      <c r="S114" s="1" t="str">
        <f>IF(F114=1,"Napa valley",IF(H114=1,"Sonoma","Other"))</f>
        <v>Other</v>
      </c>
      <c r="T114" s="1" t="str">
        <f>IF(M114=1,"Cabernet",IF(N114=1,"Merlot",IF(L114=1,"Pinot noir","Other")))</f>
        <v>Cabernet</v>
      </c>
      <c r="U114" s="1" t="str">
        <f>IF(F114=1,B114,"")</f>
        <v/>
      </c>
      <c r="V114" s="1">
        <f>IF(F114=0,B114,"")</f>
        <v>13</v>
      </c>
      <c r="W114" s="1">
        <f>'Part B'!$B$150+SUMPRODUCT('Part B'!$B$164:$N$164,C114:O114)</f>
        <v>20.9101610913897</v>
      </c>
      <c r="X114" s="1">
        <f>B114-W114</f>
        <v>-7.91016109138968</v>
      </c>
      <c r="Y114" s="1">
        <f>'Part B'!$B$179+SUMPRODUCT('Part B'!$B$193:$N$193,C114:O114)</f>
        <v>2.72887442511263</v>
      </c>
      <c r="Z114" s="1">
        <f>P114-Y114</f>
        <v>-0.163925067651089</v>
      </c>
      <c r="AB114" s="1">
        <f>C114</f>
        <v>1.6</v>
      </c>
      <c r="AC114" s="1">
        <f>D114</f>
        <v>83</v>
      </c>
      <c r="AD114" s="1">
        <f>E114</f>
        <v>3</v>
      </c>
      <c r="AE114" s="1">
        <f>F114</f>
        <v>0</v>
      </c>
      <c r="AF114" s="1">
        <f>G114</f>
        <v>0</v>
      </c>
      <c r="AG114" s="1">
        <f>I114</f>
        <v>0</v>
      </c>
      <c r="AH114" s="1">
        <f>J114</f>
        <v>0</v>
      </c>
      <c r="AI114" s="1">
        <f>Q114</f>
        <v>1</v>
      </c>
      <c r="AJ114" s="1">
        <f>K114</f>
        <v>0</v>
      </c>
      <c r="AK114" s="1">
        <f>L114</f>
        <v>0</v>
      </c>
      <c r="AL114" s="1">
        <f>M114</f>
        <v>1</v>
      </c>
      <c r="AM114" s="1">
        <f>N114</f>
        <v>0</v>
      </c>
      <c r="AN114" s="1">
        <f>O114</f>
        <v>0</v>
      </c>
    </row>
    <row r="115">
      <c r="A115" s="1">
        <v>132</v>
      </c>
      <c r="B115" s="1">
        <v>13</v>
      </c>
      <c r="C115" s="1">
        <v>8</v>
      </c>
      <c r="D115" s="1">
        <v>91</v>
      </c>
      <c r="E115" s="1">
        <v>2</v>
      </c>
      <c r="F115" s="1">
        <v>1</v>
      </c>
      <c r="G115" s="1">
        <v>0</v>
      </c>
      <c r="H115" s="1">
        <v>0</v>
      </c>
      <c r="I115" s="1">
        <v>0</v>
      </c>
      <c r="J115" s="1">
        <v>0</v>
      </c>
      <c r="K115" s="1">
        <v>0</v>
      </c>
      <c r="L115" s="1">
        <v>0</v>
      </c>
      <c r="M115" s="1">
        <v>0</v>
      </c>
      <c r="N115" s="1">
        <v>0</v>
      </c>
      <c r="O115" s="1">
        <v>0</v>
      </c>
      <c r="P115" s="1">
        <f>LN(B115)</f>
        <v>2.56494935746154</v>
      </c>
      <c r="Q115" s="1">
        <f>1-SUM(F115:J115)</f>
        <v>0</v>
      </c>
      <c r="R115" s="1" t="str">
        <f>IF(F115=1,"Napa valley",IF(G115=1,"Bay area",IF(H115=1,"Sonoma",IF(I115=1,"Sierra/foothills",IF(J115=1,"Mendocino/lake","Generic California")))))</f>
        <v>Napa valley</v>
      </c>
      <c r="S115" s="1" t="str">
        <f>IF(F115=1,"Napa valley",IF(H115=1,"Sonoma","Other"))</f>
        <v>Napa valley</v>
      </c>
      <c r="T115" s="1" t="str">
        <f>IF(M115=1,"Cabernet",IF(N115=1,"Merlot",IF(L115=1,"Pinot noir","Other")))</f>
        <v>Other</v>
      </c>
      <c r="U115" s="1">
        <f>IF(F115=1,B115,"")</f>
        <v>13</v>
      </c>
      <c r="V115" s="1" t="str">
        <f>IF(F115=0,B115,"")</f>
        <v/>
      </c>
      <c r="W115" s="1">
        <f>'Part B'!$B$150+SUMPRODUCT('Part B'!$B$164:$N$164,C115:O115)</f>
        <v>33.277635737404</v>
      </c>
      <c r="X115" s="1">
        <f>B115-W115</f>
        <v>-20.277635737404</v>
      </c>
      <c r="Y115" s="1">
        <f>'Part B'!$B$179+SUMPRODUCT('Part B'!$B$193:$N$193,C115:O115)</f>
        <v>3.18681781580812</v>
      </c>
      <c r="Z115" s="1">
        <f>P115-Y115</f>
        <v>-0.621868458346587</v>
      </c>
      <c r="AB115" s="1">
        <f>C115</f>
        <v>8</v>
      </c>
      <c r="AC115" s="1">
        <f>D115</f>
        <v>91</v>
      </c>
      <c r="AD115" s="1">
        <f>E115</f>
        <v>2</v>
      </c>
      <c r="AE115" s="1">
        <f>F115</f>
        <v>1</v>
      </c>
      <c r="AF115" s="1">
        <f>G115</f>
        <v>0</v>
      </c>
      <c r="AG115" s="1">
        <f>I115</f>
        <v>0</v>
      </c>
      <c r="AH115" s="1">
        <f>J115</f>
        <v>0</v>
      </c>
      <c r="AI115" s="1">
        <f>Q115</f>
        <v>0</v>
      </c>
      <c r="AJ115" s="1">
        <f>K115</f>
        <v>0</v>
      </c>
      <c r="AK115" s="1">
        <f>L115</f>
        <v>0</v>
      </c>
      <c r="AL115" s="1">
        <f>M115</f>
        <v>0</v>
      </c>
      <c r="AM115" s="1">
        <f>N115</f>
        <v>0</v>
      </c>
      <c r="AN115" s="1">
        <f>O115</f>
        <v>0</v>
      </c>
    </row>
    <row r="116">
      <c r="A116" s="1">
        <v>133</v>
      </c>
      <c r="B116" s="1">
        <v>13</v>
      </c>
      <c r="C116" s="1">
        <v>1.6</v>
      </c>
      <c r="D116" s="1">
        <v>83</v>
      </c>
      <c r="E116" s="1">
        <v>2</v>
      </c>
      <c r="F116" s="1">
        <v>0</v>
      </c>
      <c r="G116" s="1">
        <v>0</v>
      </c>
      <c r="H116" s="1">
        <v>0</v>
      </c>
      <c r="I116" s="1">
        <v>0</v>
      </c>
      <c r="J116" s="1">
        <v>0</v>
      </c>
      <c r="K116" s="1">
        <v>0</v>
      </c>
      <c r="L116" s="1">
        <v>0</v>
      </c>
      <c r="M116" s="1">
        <v>1</v>
      </c>
      <c r="N116" s="1">
        <v>0</v>
      </c>
      <c r="O116" s="1">
        <v>0</v>
      </c>
      <c r="P116" s="1">
        <f>LN(B116)</f>
        <v>2.56494935746154</v>
      </c>
      <c r="Q116" s="1">
        <f>1-SUM(F116:J116)</f>
        <v>1</v>
      </c>
      <c r="R116" s="1" t="str">
        <f>IF(F116=1,"Napa valley",IF(G116=1,"Bay area",IF(H116=1,"Sonoma",IF(I116=1,"Sierra/foothills",IF(J116=1,"Mendocino/lake","Generic California")))))</f>
        <v>Generic California</v>
      </c>
      <c r="S116" s="1" t="str">
        <f>IF(F116=1,"Napa valley",IF(H116=1,"Sonoma","Other"))</f>
        <v>Other</v>
      </c>
      <c r="T116" s="1" t="str">
        <f>IF(M116=1,"Cabernet",IF(N116=1,"Merlot",IF(L116=1,"Pinot noir","Other")))</f>
        <v>Cabernet</v>
      </c>
      <c r="U116" s="1" t="str">
        <f>IF(F116=1,B116,"")</f>
        <v/>
      </c>
      <c r="V116" s="1">
        <f>IF(F116=0,B116,"")</f>
        <v>13</v>
      </c>
      <c r="W116" s="1">
        <f>'Part B'!$B$150+SUMPRODUCT('Part B'!$B$164:$N$164,C116:O116)</f>
        <v>14.2905563330116</v>
      </c>
      <c r="X116" s="1">
        <f>B116-W116</f>
        <v>-1.29055633301164</v>
      </c>
      <c r="Y116" s="1">
        <f>'Part B'!$B$179+SUMPRODUCT('Part B'!$B$193:$N$193,C116:O116)</f>
        <v>2.54578914267102</v>
      </c>
      <c r="Z116" s="1">
        <f>P116-Y116</f>
        <v>0.0191602147905203</v>
      </c>
      <c r="AB116" s="1">
        <f>C116</f>
        <v>1.6</v>
      </c>
      <c r="AC116" s="1">
        <f>D116</f>
        <v>83</v>
      </c>
      <c r="AD116" s="1">
        <f>E116</f>
        <v>2</v>
      </c>
      <c r="AE116" s="1">
        <f>F116</f>
        <v>0</v>
      </c>
      <c r="AF116" s="1">
        <f>G116</f>
        <v>0</v>
      </c>
      <c r="AG116" s="1">
        <f>I116</f>
        <v>0</v>
      </c>
      <c r="AH116" s="1">
        <f>J116</f>
        <v>0</v>
      </c>
      <c r="AI116" s="1">
        <f>Q116</f>
        <v>1</v>
      </c>
      <c r="AJ116" s="1">
        <f>K116</f>
        <v>0</v>
      </c>
      <c r="AK116" s="1">
        <f>L116</f>
        <v>0</v>
      </c>
      <c r="AL116" s="1">
        <f>M116</f>
        <v>1</v>
      </c>
      <c r="AM116" s="1">
        <f>N116</f>
        <v>0</v>
      </c>
      <c r="AN116" s="1">
        <f>O116</f>
        <v>0</v>
      </c>
    </row>
    <row r="117">
      <c r="A117" s="1">
        <v>137</v>
      </c>
      <c r="B117" s="1">
        <v>13</v>
      </c>
      <c r="C117" s="1">
        <v>2.057</v>
      </c>
      <c r="D117" s="1">
        <v>88</v>
      </c>
      <c r="E117" s="1">
        <v>2</v>
      </c>
      <c r="F117" s="1">
        <v>0</v>
      </c>
      <c r="G117" s="1">
        <v>0</v>
      </c>
      <c r="H117" s="1">
        <v>0</v>
      </c>
      <c r="I117" s="1">
        <v>0</v>
      </c>
      <c r="J117" s="1">
        <v>1</v>
      </c>
      <c r="K117" s="1">
        <v>0</v>
      </c>
      <c r="L117" s="1">
        <v>1</v>
      </c>
      <c r="M117" s="1">
        <v>0</v>
      </c>
      <c r="N117" s="1">
        <v>0</v>
      </c>
      <c r="O117" s="1">
        <v>0</v>
      </c>
      <c r="P117" s="1">
        <f>LN(B117)</f>
        <v>2.56494935746154</v>
      </c>
      <c r="Q117" s="1">
        <f>1-SUM(F117:J117)</f>
        <v>0</v>
      </c>
      <c r="R117" s="1" t="str">
        <f>IF(F117=1,"Napa valley",IF(G117=1,"Bay area",IF(H117=1,"Sonoma",IF(I117=1,"Sierra/foothills",IF(J117=1,"Mendocino/lake","Generic California")))))</f>
        <v>Mendocino/lake</v>
      </c>
      <c r="S117" s="1" t="str">
        <f>IF(F117=1,"Napa valley",IF(H117=1,"Sonoma","Other"))</f>
        <v>Other</v>
      </c>
      <c r="T117" s="1" t="str">
        <f>IF(M117=1,"Cabernet",IF(N117=1,"Merlot",IF(L117=1,"Pinot noir","Other")))</f>
        <v>Pinot noir</v>
      </c>
      <c r="U117" s="1" t="str">
        <f>IF(F117=1,B117,"")</f>
        <v/>
      </c>
      <c r="V117" s="1">
        <f>IF(F117=0,B117,"")</f>
        <v>13</v>
      </c>
      <c r="W117" s="1">
        <f>'Part B'!$B$150+SUMPRODUCT('Part B'!$B$164:$N$164,C117:O117)</f>
        <v>27.6812116455841</v>
      </c>
      <c r="X117" s="1">
        <f>B117-W117</f>
        <v>-14.6812116455841</v>
      </c>
      <c r="Y117" s="1">
        <f>'Part B'!$B$179+SUMPRODUCT('Part B'!$B$193:$N$193,C117:O117)</f>
        <v>3.15639397957485</v>
      </c>
      <c r="Z117" s="1">
        <f>P117-Y117</f>
        <v>-0.59144462211331</v>
      </c>
      <c r="AB117" s="1">
        <f>C117</f>
        <v>2.057</v>
      </c>
      <c r="AC117" s="1">
        <f>D117</f>
        <v>88</v>
      </c>
      <c r="AD117" s="1">
        <f>E117</f>
        <v>2</v>
      </c>
      <c r="AE117" s="1">
        <f>F117</f>
        <v>0</v>
      </c>
      <c r="AF117" s="1">
        <f>G117</f>
        <v>0</v>
      </c>
      <c r="AG117" s="1">
        <f>I117</f>
        <v>0</v>
      </c>
      <c r="AH117" s="1">
        <f>J117</f>
        <v>1</v>
      </c>
      <c r="AI117" s="1">
        <f>Q117</f>
        <v>0</v>
      </c>
      <c r="AJ117" s="1">
        <f>K117</f>
        <v>0</v>
      </c>
      <c r="AK117" s="1">
        <f>L117</f>
        <v>1</v>
      </c>
      <c r="AL117" s="1">
        <f>M117</f>
        <v>0</v>
      </c>
      <c r="AM117" s="1">
        <f>N117</f>
        <v>0</v>
      </c>
      <c r="AN117" s="1">
        <f>O117</f>
        <v>0</v>
      </c>
    </row>
    <row r="118">
      <c r="A118" s="1">
        <v>138</v>
      </c>
      <c r="B118" s="1">
        <v>13</v>
      </c>
      <c r="C118" s="1">
        <v>1.6</v>
      </c>
      <c r="D118" s="1">
        <v>89</v>
      </c>
      <c r="E118" s="1">
        <v>2</v>
      </c>
      <c r="F118" s="1">
        <v>0</v>
      </c>
      <c r="G118" s="1">
        <v>0</v>
      </c>
      <c r="H118" s="1">
        <v>0</v>
      </c>
      <c r="I118" s="1">
        <v>0</v>
      </c>
      <c r="J118" s="1">
        <v>0</v>
      </c>
      <c r="K118" s="1">
        <v>0</v>
      </c>
      <c r="L118" s="1">
        <v>0</v>
      </c>
      <c r="M118" s="1">
        <v>0</v>
      </c>
      <c r="N118" s="1">
        <v>0</v>
      </c>
      <c r="O118" s="1">
        <v>1</v>
      </c>
      <c r="P118" s="1">
        <f>LN(B118)</f>
        <v>2.56494935746154</v>
      </c>
      <c r="Q118" s="1">
        <f>1-SUM(F118:J118)</f>
        <v>1</v>
      </c>
      <c r="R118" s="1" t="str">
        <f>IF(F118=1,"Napa valley",IF(G118=1,"Bay area",IF(H118=1,"Sonoma",IF(I118=1,"Sierra/foothills",IF(J118=1,"Mendocino/lake","Generic California")))))</f>
        <v>Generic California</v>
      </c>
      <c r="S118" s="1" t="str">
        <f>IF(F118=1,"Napa valley",IF(H118=1,"Sonoma","Other"))</f>
        <v>Other</v>
      </c>
      <c r="T118" s="1" t="str">
        <f>IF(M118=1,"Cabernet",IF(N118=1,"Merlot",IF(L118=1,"Pinot noir","Other")))</f>
        <v>Other</v>
      </c>
      <c r="U118" s="1" t="str">
        <f>IF(F118=1,B118,"")</f>
        <v/>
      </c>
      <c r="V118" s="1">
        <f>IF(F118=0,B118,"")</f>
        <v>13</v>
      </c>
      <c r="W118" s="1">
        <f>'Part B'!$B$150+SUMPRODUCT('Part B'!$B$164:$N$164,C118:O118)</f>
        <v>20.1275980444194</v>
      </c>
      <c r="X118" s="1">
        <f>B118-W118</f>
        <v>-7.12759804441936</v>
      </c>
      <c r="Y118" s="1">
        <f>'Part B'!$B$179+SUMPRODUCT('Part B'!$B$193:$N$193,C118:O118)</f>
        <v>2.68779564630837</v>
      </c>
      <c r="Z118" s="1">
        <f>P118-Y118</f>
        <v>-0.122846288846831</v>
      </c>
      <c r="AB118" s="1">
        <f>C118</f>
        <v>1.6</v>
      </c>
      <c r="AC118" s="1">
        <f>D118</f>
        <v>89</v>
      </c>
      <c r="AD118" s="1">
        <f>E118</f>
        <v>2</v>
      </c>
      <c r="AE118" s="1">
        <f>F118</f>
        <v>0</v>
      </c>
      <c r="AF118" s="1">
        <f>G118</f>
        <v>0</v>
      </c>
      <c r="AG118" s="1">
        <f>I118</f>
        <v>0</v>
      </c>
      <c r="AH118" s="1">
        <f>J118</f>
        <v>0</v>
      </c>
      <c r="AI118" s="1">
        <f>Q118</f>
        <v>1</v>
      </c>
      <c r="AJ118" s="1">
        <f>K118</f>
        <v>0</v>
      </c>
      <c r="AK118" s="1">
        <f>L118</f>
        <v>0</v>
      </c>
      <c r="AL118" s="1">
        <f>M118</f>
        <v>0</v>
      </c>
      <c r="AM118" s="1">
        <f>N118</f>
        <v>0</v>
      </c>
      <c r="AN118" s="1">
        <f>O118</f>
        <v>1</v>
      </c>
    </row>
    <row r="119">
      <c r="A119" s="1">
        <v>140</v>
      </c>
      <c r="B119" s="1">
        <v>14</v>
      </c>
      <c r="C119" s="1">
        <v>1.42</v>
      </c>
      <c r="D119" s="1">
        <v>85</v>
      </c>
      <c r="E119" s="1">
        <v>4</v>
      </c>
      <c r="F119" s="1">
        <v>0</v>
      </c>
      <c r="G119" s="1">
        <v>0</v>
      </c>
      <c r="H119" s="1">
        <v>1</v>
      </c>
      <c r="I119" s="1">
        <v>0</v>
      </c>
      <c r="J119" s="1">
        <v>0</v>
      </c>
      <c r="K119" s="1">
        <v>0</v>
      </c>
      <c r="L119" s="1">
        <v>0</v>
      </c>
      <c r="M119" s="1">
        <v>1</v>
      </c>
      <c r="N119" s="1">
        <v>0</v>
      </c>
      <c r="O119" s="1">
        <v>0</v>
      </c>
      <c r="P119" s="1">
        <f>LN(B119)</f>
        <v>2.63905732961526</v>
      </c>
      <c r="Q119" s="1">
        <f>1-SUM(F119:J119)</f>
        <v>0</v>
      </c>
      <c r="R119" s="1" t="str">
        <f>IF(F119=1,"Napa valley",IF(G119=1,"Bay area",IF(H119=1,"Sonoma",IF(I119=1,"Sierra/foothills",IF(J119=1,"Mendocino/lake","Generic California")))))</f>
        <v>Sonoma</v>
      </c>
      <c r="S119" s="1" t="str">
        <f>IF(F119=1,"Napa valley",IF(H119=1,"Sonoma","Other"))</f>
        <v>Sonoma</v>
      </c>
      <c r="T119" s="1" t="str">
        <f>IF(M119=1,"Cabernet",IF(N119=1,"Merlot",IF(L119=1,"Pinot noir","Other")))</f>
        <v>Cabernet</v>
      </c>
      <c r="U119" s="1" t="str">
        <f>IF(F119=1,B119,"")</f>
        <v/>
      </c>
      <c r="V119" s="1">
        <f>IF(F119=0,B119,"")</f>
        <v>14</v>
      </c>
      <c r="W119" s="1">
        <f>'Part B'!$B$150+SUMPRODUCT('Part B'!$B$164:$N$164,C119:O119)</f>
        <v>33.0016011265548</v>
      </c>
      <c r="X119" s="1">
        <f>B119-W119</f>
        <v>-19.0016011265548</v>
      </c>
      <c r="Y119" s="1">
        <f>'Part B'!$B$179+SUMPRODUCT('Part B'!$B$193:$N$193,C119:O119)</f>
        <v>3.33458452520863</v>
      </c>
      <c r="Z119" s="1">
        <f>P119-Y119</f>
        <v>-0.695527195593375</v>
      </c>
      <c r="AB119" s="1">
        <f>C119</f>
        <v>1.42</v>
      </c>
      <c r="AC119" s="1">
        <f>D119</f>
        <v>85</v>
      </c>
      <c r="AD119" s="1">
        <f>E119</f>
        <v>4</v>
      </c>
      <c r="AE119" s="1">
        <f>F119</f>
        <v>0</v>
      </c>
      <c r="AF119" s="1">
        <f>G119</f>
        <v>0</v>
      </c>
      <c r="AG119" s="1">
        <f>I119</f>
        <v>0</v>
      </c>
      <c r="AH119" s="1">
        <f>J119</f>
        <v>0</v>
      </c>
      <c r="AI119" s="1">
        <f>Q119</f>
        <v>0</v>
      </c>
      <c r="AJ119" s="1">
        <f>K119</f>
        <v>0</v>
      </c>
      <c r="AK119" s="1">
        <f>L119</f>
        <v>0</v>
      </c>
      <c r="AL119" s="1">
        <f>M119</f>
        <v>1</v>
      </c>
      <c r="AM119" s="1">
        <f>N119</f>
        <v>0</v>
      </c>
      <c r="AN119" s="1">
        <f>O119</f>
        <v>0</v>
      </c>
    </row>
    <row r="120">
      <c r="A120" s="1">
        <v>141</v>
      </c>
      <c r="B120" s="1">
        <v>14</v>
      </c>
      <c r="C120" s="1">
        <v>3.5</v>
      </c>
      <c r="D120" s="1">
        <v>82</v>
      </c>
      <c r="E120" s="1">
        <v>4</v>
      </c>
      <c r="F120" s="1">
        <v>0</v>
      </c>
      <c r="G120" s="1">
        <v>1</v>
      </c>
      <c r="H120" s="1">
        <v>0</v>
      </c>
      <c r="I120" s="1">
        <v>0</v>
      </c>
      <c r="J120" s="1">
        <v>0</v>
      </c>
      <c r="K120" s="1">
        <v>0</v>
      </c>
      <c r="L120" s="1">
        <v>0</v>
      </c>
      <c r="M120" s="1">
        <v>1</v>
      </c>
      <c r="N120" s="1">
        <v>0</v>
      </c>
      <c r="O120" s="1">
        <v>0</v>
      </c>
      <c r="P120" s="1">
        <f>LN(B120)</f>
        <v>2.63905732961526</v>
      </c>
      <c r="Q120" s="1">
        <f>1-SUM(F120:J120)</f>
        <v>0</v>
      </c>
      <c r="R120" s="1" t="str">
        <f>IF(F120=1,"Napa valley",IF(G120=1,"Bay area",IF(H120=1,"Sonoma",IF(I120=1,"Sierra/foothills",IF(J120=1,"Mendocino/lake","Generic California")))))</f>
        <v>Bay area</v>
      </c>
      <c r="S120" s="1" t="str">
        <f>IF(F120=1,"Napa valley",IF(H120=1,"Sonoma","Other"))</f>
        <v>Other</v>
      </c>
      <c r="T120" s="1" t="str">
        <f>IF(M120=1,"Cabernet",IF(N120=1,"Merlot",IF(L120=1,"Pinot noir","Other")))</f>
        <v>Cabernet</v>
      </c>
      <c r="U120" s="1" t="str">
        <f>IF(F120=1,B120,"")</f>
        <v/>
      </c>
      <c r="V120" s="1">
        <f>IF(F120=0,B120,"")</f>
        <v>14</v>
      </c>
      <c r="W120" s="1">
        <f>'Part B'!$B$150+SUMPRODUCT('Part B'!$B$164:$N$164,C120:O120)</f>
        <v>26.4832103220374</v>
      </c>
      <c r="X120" s="1">
        <f>B120-W120</f>
        <v>-12.4832103220374</v>
      </c>
      <c r="Y120" s="1">
        <f>'Part B'!$B$179+SUMPRODUCT('Part B'!$B$193:$N$193,C120:O120)</f>
        <v>3.08885508396912</v>
      </c>
      <c r="Z120" s="1">
        <f>P120-Y120</f>
        <v>-0.449797754353864</v>
      </c>
      <c r="AB120" s="1">
        <f>C120</f>
        <v>3.5</v>
      </c>
      <c r="AC120" s="1">
        <f>D120</f>
        <v>82</v>
      </c>
      <c r="AD120" s="1">
        <f>E120</f>
        <v>4</v>
      </c>
      <c r="AE120" s="1">
        <f>F120</f>
        <v>0</v>
      </c>
      <c r="AF120" s="1">
        <f>G120</f>
        <v>1</v>
      </c>
      <c r="AG120" s="1">
        <f>I120</f>
        <v>0</v>
      </c>
      <c r="AH120" s="1">
        <f>J120</f>
        <v>0</v>
      </c>
      <c r="AI120" s="1">
        <f>Q120</f>
        <v>0</v>
      </c>
      <c r="AJ120" s="1">
        <f>K120</f>
        <v>0</v>
      </c>
      <c r="AK120" s="1">
        <f>L120</f>
        <v>0</v>
      </c>
      <c r="AL120" s="1">
        <f>M120</f>
        <v>1</v>
      </c>
      <c r="AM120" s="1">
        <f>N120</f>
        <v>0</v>
      </c>
      <c r="AN120" s="1">
        <f>O120</f>
        <v>0</v>
      </c>
    </row>
    <row r="121">
      <c r="A121" s="1">
        <v>142</v>
      </c>
      <c r="B121" s="1">
        <v>13</v>
      </c>
      <c r="C121" s="1">
        <v>5.6</v>
      </c>
      <c r="D121" s="1">
        <v>88</v>
      </c>
      <c r="E121" s="1">
        <v>1</v>
      </c>
      <c r="F121" s="1">
        <v>0</v>
      </c>
      <c r="G121" s="1">
        <v>0</v>
      </c>
      <c r="H121" s="1">
        <v>0</v>
      </c>
      <c r="I121" s="1">
        <v>0</v>
      </c>
      <c r="J121" s="1">
        <v>0</v>
      </c>
      <c r="K121" s="1">
        <v>0</v>
      </c>
      <c r="L121" s="1">
        <v>0</v>
      </c>
      <c r="M121" s="1">
        <v>0</v>
      </c>
      <c r="N121" s="1">
        <v>0</v>
      </c>
      <c r="O121" s="1">
        <v>1</v>
      </c>
      <c r="P121" s="1">
        <f>LN(B121)</f>
        <v>2.56494935746154</v>
      </c>
      <c r="Q121" s="1">
        <f>1-SUM(F121:J121)</f>
        <v>1</v>
      </c>
      <c r="R121" s="1" t="str">
        <f>IF(F121=1,"Napa valley",IF(G121=1,"Bay area",IF(H121=1,"Sonoma",IF(I121=1,"Sierra/foothills",IF(J121=1,"Mendocino/lake","Generic California")))))</f>
        <v>Generic California</v>
      </c>
      <c r="S121" s="1" t="str">
        <f>IF(F121=1,"Napa valley",IF(H121=1,"Sonoma","Other"))</f>
        <v>Other</v>
      </c>
      <c r="T121" s="1" t="str">
        <f>IF(M121=1,"Cabernet",IF(N121=1,"Merlot",IF(L121=1,"Pinot noir","Other")))</f>
        <v>Other</v>
      </c>
      <c r="U121" s="1" t="str">
        <f>IF(F121=1,B121,"")</f>
        <v/>
      </c>
      <c r="V121" s="1">
        <f>IF(F121=0,B121,"")</f>
        <v>13</v>
      </c>
      <c r="W121" s="1">
        <f>'Part B'!$B$150+SUMPRODUCT('Part B'!$B$164:$N$164,C121:O121)</f>
        <v>9.98324111516041</v>
      </c>
      <c r="X121" s="1">
        <f>B121-W121</f>
        <v>3.01675888483959</v>
      </c>
      <c r="Y121" s="1">
        <f>'Part B'!$B$179+SUMPRODUCT('Part B'!$B$193:$N$193,C121:O121)</f>
        <v>2.417632726489</v>
      </c>
      <c r="Z121" s="1">
        <f>P121-Y121</f>
        <v>0.14731663097254</v>
      </c>
      <c r="AB121" s="1">
        <f>C121</f>
        <v>5.6</v>
      </c>
      <c r="AC121" s="1">
        <f>D121</f>
        <v>88</v>
      </c>
      <c r="AD121" s="1">
        <f>E121</f>
        <v>1</v>
      </c>
      <c r="AE121" s="1">
        <f>F121</f>
        <v>0</v>
      </c>
      <c r="AF121" s="1">
        <f>G121</f>
        <v>0</v>
      </c>
      <c r="AG121" s="1">
        <f>I121</f>
        <v>0</v>
      </c>
      <c r="AH121" s="1">
        <f>J121</f>
        <v>0</v>
      </c>
      <c r="AI121" s="1">
        <f>Q121</f>
        <v>1</v>
      </c>
      <c r="AJ121" s="1">
        <f>K121</f>
        <v>0</v>
      </c>
      <c r="AK121" s="1">
        <f>L121</f>
        <v>0</v>
      </c>
      <c r="AL121" s="1">
        <f>M121</f>
        <v>0</v>
      </c>
      <c r="AM121" s="1">
        <f>N121</f>
        <v>0</v>
      </c>
      <c r="AN121" s="1">
        <f>O121</f>
        <v>1</v>
      </c>
    </row>
    <row r="122">
      <c r="A122" s="1">
        <v>146</v>
      </c>
      <c r="B122" s="1">
        <v>14</v>
      </c>
      <c r="C122" s="1">
        <v>1</v>
      </c>
      <c r="D122" s="1">
        <v>70</v>
      </c>
      <c r="E122" s="1">
        <v>3</v>
      </c>
      <c r="F122" s="1">
        <v>0</v>
      </c>
      <c r="G122" s="1">
        <v>0</v>
      </c>
      <c r="H122" s="1">
        <v>0</v>
      </c>
      <c r="I122" s="1">
        <v>1</v>
      </c>
      <c r="J122" s="1">
        <v>0</v>
      </c>
      <c r="K122" s="1">
        <v>0</v>
      </c>
      <c r="L122" s="1">
        <v>0</v>
      </c>
      <c r="M122" s="1">
        <v>0</v>
      </c>
      <c r="N122" s="1">
        <v>0</v>
      </c>
      <c r="O122" s="1">
        <v>0</v>
      </c>
      <c r="P122" s="1">
        <f>LN(B122)</f>
        <v>2.63905732961526</v>
      </c>
      <c r="Q122" s="1">
        <f>1-SUM(F122:J122)</f>
        <v>0</v>
      </c>
      <c r="R122" s="1" t="str">
        <f>IF(F122=1,"Napa valley",IF(G122=1,"Bay area",IF(H122=1,"Sonoma",IF(I122=1,"Sierra/foothills",IF(J122=1,"Mendocino/lake","Generic California")))))</f>
        <v>Sierra/foothills</v>
      </c>
      <c r="S122" s="1" t="str">
        <f>IF(F122=1,"Napa valley",IF(H122=1,"Sonoma","Other"))</f>
        <v>Other</v>
      </c>
      <c r="T122" s="1" t="str">
        <f>IF(M122=1,"Cabernet",IF(N122=1,"Merlot",IF(L122=1,"Pinot noir","Other")))</f>
        <v>Other</v>
      </c>
      <c r="U122" s="1" t="str">
        <f>IF(F122=1,B122,"")</f>
        <v/>
      </c>
      <c r="V122" s="1">
        <f>IF(F122=0,B122,"")</f>
        <v>14</v>
      </c>
      <c r="W122" s="1">
        <f>'Part B'!$B$150+SUMPRODUCT('Part B'!$B$164:$N$164,C122:O122)</f>
        <v>-27.5224337138293</v>
      </c>
      <c r="X122" s="1">
        <f>B122-W122</f>
        <v>41.5224337138293</v>
      </c>
      <c r="Y122" s="1">
        <f>'Part B'!$B$179+SUMPRODUCT('Part B'!$B$193:$N$193,C122:O122)</f>
        <v>1.75218292763154</v>
      </c>
      <c r="Z122" s="1">
        <f>P122-Y122</f>
        <v>0.886874401983714</v>
      </c>
      <c r="AB122" s="1">
        <f>C122</f>
        <v>1</v>
      </c>
      <c r="AC122" s="1">
        <f>D122</f>
        <v>70</v>
      </c>
      <c r="AD122" s="1">
        <f>E122</f>
        <v>3</v>
      </c>
      <c r="AE122" s="1">
        <f>F122</f>
        <v>0</v>
      </c>
      <c r="AF122" s="1">
        <f>G122</f>
        <v>0</v>
      </c>
      <c r="AG122" s="1">
        <f>I122</f>
        <v>1</v>
      </c>
      <c r="AH122" s="1">
        <f>J122</f>
        <v>0</v>
      </c>
      <c r="AI122" s="1">
        <f>Q122</f>
        <v>0</v>
      </c>
      <c r="AJ122" s="1">
        <f>K122</f>
        <v>0</v>
      </c>
      <c r="AK122" s="1">
        <f>L122</f>
        <v>0</v>
      </c>
      <c r="AL122" s="1">
        <f>M122</f>
        <v>0</v>
      </c>
      <c r="AM122" s="1">
        <f>N122</f>
        <v>0</v>
      </c>
      <c r="AN122" s="1">
        <f>O122</f>
        <v>0</v>
      </c>
    </row>
    <row r="123">
      <c r="A123" s="1">
        <v>147</v>
      </c>
      <c r="B123" s="1">
        <v>14</v>
      </c>
      <c r="C123" s="1">
        <v>105</v>
      </c>
      <c r="D123" s="1">
        <v>86</v>
      </c>
      <c r="E123" s="1">
        <v>3</v>
      </c>
      <c r="F123" s="1">
        <v>1</v>
      </c>
      <c r="G123" s="1">
        <v>0</v>
      </c>
      <c r="H123" s="1">
        <v>0</v>
      </c>
      <c r="I123" s="1">
        <v>0</v>
      </c>
      <c r="J123" s="1">
        <v>0</v>
      </c>
      <c r="K123" s="1">
        <v>0</v>
      </c>
      <c r="L123" s="1">
        <v>0</v>
      </c>
      <c r="M123" s="1">
        <v>1</v>
      </c>
      <c r="N123" s="1">
        <v>0</v>
      </c>
      <c r="O123" s="1">
        <v>0</v>
      </c>
      <c r="P123" s="1">
        <f>LN(B123)</f>
        <v>2.63905732961526</v>
      </c>
      <c r="Q123" s="1">
        <f>1-SUM(F123:J123)</f>
        <v>0</v>
      </c>
      <c r="R123" s="1" t="str">
        <f>IF(F123=1,"Napa valley",IF(G123=1,"Bay area",IF(H123=1,"Sonoma",IF(I123=1,"Sierra/foothills",IF(J123=1,"Mendocino/lake","Generic California")))))</f>
        <v>Napa valley</v>
      </c>
      <c r="S123" s="1" t="str">
        <f>IF(F123=1,"Napa valley",IF(H123=1,"Sonoma","Other"))</f>
        <v>Napa valley</v>
      </c>
      <c r="T123" s="1" t="str">
        <f>IF(M123=1,"Cabernet",IF(N123=1,"Merlot",IF(L123=1,"Pinot noir","Other")))</f>
        <v>Cabernet</v>
      </c>
      <c r="U123" s="1">
        <f>IF(F123=1,B123,"")</f>
        <v>14</v>
      </c>
      <c r="V123" s="1" t="str">
        <f>IF(F123=0,B123,"")</f>
        <v/>
      </c>
      <c r="W123" s="1">
        <f>'Part B'!$B$150+SUMPRODUCT('Part B'!$B$164:$N$164,C123:O123)</f>
        <v>27.5923730220541</v>
      </c>
      <c r="X123" s="1">
        <f>B123-W123</f>
        <v>-13.5923730220541</v>
      </c>
      <c r="Y123" s="1">
        <f>'Part B'!$B$179+SUMPRODUCT('Part B'!$B$193:$N$193,C123:O123)</f>
        <v>2.92602240157687</v>
      </c>
      <c r="Z123" s="1">
        <f>P123-Y123</f>
        <v>-0.286965071961611</v>
      </c>
      <c r="AB123" s="1">
        <f>C123</f>
        <v>105</v>
      </c>
      <c r="AC123" s="1">
        <f>D123</f>
        <v>86</v>
      </c>
      <c r="AD123" s="1">
        <f>E123</f>
        <v>3</v>
      </c>
      <c r="AE123" s="1">
        <f>F123</f>
        <v>1</v>
      </c>
      <c r="AF123" s="1">
        <f>G123</f>
        <v>0</v>
      </c>
      <c r="AG123" s="1">
        <f>I123</f>
        <v>0</v>
      </c>
      <c r="AH123" s="1">
        <f>J123</f>
        <v>0</v>
      </c>
      <c r="AI123" s="1">
        <f>Q123</f>
        <v>0</v>
      </c>
      <c r="AJ123" s="1">
        <f>K123</f>
        <v>0</v>
      </c>
      <c r="AK123" s="1">
        <f>L123</f>
        <v>0</v>
      </c>
      <c r="AL123" s="1">
        <f>M123</f>
        <v>1</v>
      </c>
      <c r="AM123" s="1">
        <f>N123</f>
        <v>0</v>
      </c>
      <c r="AN123" s="1">
        <f>O123</f>
        <v>0</v>
      </c>
    </row>
    <row r="124">
      <c r="A124" s="1">
        <v>148</v>
      </c>
      <c r="B124" s="1">
        <v>14</v>
      </c>
      <c r="C124" s="1">
        <v>0.336</v>
      </c>
      <c r="D124" s="1">
        <v>78</v>
      </c>
      <c r="E124" s="1">
        <v>3</v>
      </c>
      <c r="F124" s="1">
        <v>0</v>
      </c>
      <c r="G124" s="1">
        <v>1</v>
      </c>
      <c r="H124" s="1">
        <v>0</v>
      </c>
      <c r="I124" s="1">
        <v>0</v>
      </c>
      <c r="J124" s="1">
        <v>0</v>
      </c>
      <c r="K124" s="1">
        <v>0</v>
      </c>
      <c r="L124" s="1">
        <v>0</v>
      </c>
      <c r="M124" s="1">
        <v>0</v>
      </c>
      <c r="N124" s="1">
        <v>1</v>
      </c>
      <c r="O124" s="1">
        <v>0</v>
      </c>
      <c r="P124" s="1">
        <f>LN(B124)</f>
        <v>2.63905732961526</v>
      </c>
      <c r="Q124" s="1">
        <f>1-SUM(F124:J124)</f>
        <v>0</v>
      </c>
      <c r="R124" s="1" t="str">
        <f>IF(F124=1,"Napa valley",IF(G124=1,"Bay area",IF(H124=1,"Sonoma",IF(I124=1,"Sierra/foothills",IF(J124=1,"Mendocino/lake","Generic California")))))</f>
        <v>Bay area</v>
      </c>
      <c r="S124" s="1" t="str">
        <f>IF(F124=1,"Napa valley",IF(H124=1,"Sonoma","Other"))</f>
        <v>Other</v>
      </c>
      <c r="T124" s="1" t="str">
        <f>IF(M124=1,"Cabernet",IF(N124=1,"Merlot",IF(L124=1,"Pinot noir","Other")))</f>
        <v>Merlot</v>
      </c>
      <c r="U124" s="1" t="str">
        <f>IF(F124=1,B124,"")</f>
        <v/>
      </c>
      <c r="V124" s="1">
        <f>IF(F124=0,B124,"")</f>
        <v>14</v>
      </c>
      <c r="W124" s="1">
        <f>'Part B'!$B$150+SUMPRODUCT('Part B'!$B$164:$N$164,C124:O124)</f>
        <v>2.61648027349958</v>
      </c>
      <c r="X124" s="1">
        <f>B124-W124</f>
        <v>11.3835197265004</v>
      </c>
      <c r="Y124" s="1">
        <f>'Part B'!$B$179+SUMPRODUCT('Part B'!$B$193:$N$193,C124:O124)</f>
        <v>2.60298236426581</v>
      </c>
      <c r="Z124" s="1">
        <f>P124-Y124</f>
        <v>0.0360749653494508</v>
      </c>
      <c r="AB124" s="1">
        <f>C124</f>
        <v>0.336</v>
      </c>
      <c r="AC124" s="1">
        <f>D124</f>
        <v>78</v>
      </c>
      <c r="AD124" s="1">
        <f>E124</f>
        <v>3</v>
      </c>
      <c r="AE124" s="1">
        <f>F124</f>
        <v>0</v>
      </c>
      <c r="AF124" s="1">
        <f>G124</f>
        <v>1</v>
      </c>
      <c r="AG124" s="1">
        <f>I124</f>
        <v>0</v>
      </c>
      <c r="AH124" s="1">
        <f>J124</f>
        <v>0</v>
      </c>
      <c r="AI124" s="1">
        <f>Q124</f>
        <v>0</v>
      </c>
      <c r="AJ124" s="1">
        <f>K124</f>
        <v>0</v>
      </c>
      <c r="AK124" s="1">
        <f>L124</f>
        <v>0</v>
      </c>
      <c r="AL124" s="1">
        <f>M124</f>
        <v>0</v>
      </c>
      <c r="AM124" s="1">
        <f>N124</f>
        <v>1</v>
      </c>
      <c r="AN124" s="1">
        <f>O124</f>
        <v>0</v>
      </c>
    </row>
    <row r="125">
      <c r="A125" s="1">
        <v>149</v>
      </c>
      <c r="B125" s="1">
        <v>14</v>
      </c>
      <c r="C125" s="1">
        <v>32</v>
      </c>
      <c r="D125" s="1">
        <v>82</v>
      </c>
      <c r="E125" s="1">
        <v>3</v>
      </c>
      <c r="F125" s="1">
        <v>0</v>
      </c>
      <c r="G125" s="1">
        <v>0</v>
      </c>
      <c r="H125" s="1">
        <v>0</v>
      </c>
      <c r="I125" s="1">
        <v>0</v>
      </c>
      <c r="J125" s="1">
        <v>0</v>
      </c>
      <c r="K125" s="1">
        <v>0</v>
      </c>
      <c r="L125" s="1">
        <v>0</v>
      </c>
      <c r="M125" s="1">
        <v>1</v>
      </c>
      <c r="N125" s="1">
        <v>0</v>
      </c>
      <c r="O125" s="1">
        <v>0</v>
      </c>
      <c r="P125" s="1">
        <f>LN(B125)</f>
        <v>2.63905732961526</v>
      </c>
      <c r="Q125" s="1">
        <f>1-SUM(F125:J125)</f>
        <v>1</v>
      </c>
      <c r="R125" s="1" t="str">
        <f>IF(F125=1,"Napa valley",IF(G125=1,"Bay area",IF(H125=1,"Sonoma",IF(I125=1,"Sierra/foothills",IF(J125=1,"Mendocino/lake","Generic California")))))</f>
        <v>Generic California</v>
      </c>
      <c r="S125" s="1" t="str">
        <f>IF(F125=1,"Napa valley",IF(H125=1,"Sonoma","Other"))</f>
        <v>Other</v>
      </c>
      <c r="T125" s="1" t="str">
        <f>IF(M125=1,"Cabernet",IF(N125=1,"Merlot",IF(L125=1,"Pinot noir","Other")))</f>
        <v>Cabernet</v>
      </c>
      <c r="U125" s="1" t="str">
        <f>IF(F125=1,B125,"")</f>
        <v/>
      </c>
      <c r="V125" s="1">
        <f>IF(F125=0,B125,"")</f>
        <v>14</v>
      </c>
      <c r="W125" s="1">
        <f>'Part B'!$B$150+SUMPRODUCT('Part B'!$B$164:$N$164,C125:O125)</f>
        <v>14.8796854022755</v>
      </c>
      <c r="X125" s="1">
        <f>B125-W125</f>
        <v>-0.879685402275527</v>
      </c>
      <c r="Y125" s="1">
        <f>'Part B'!$B$179+SUMPRODUCT('Part B'!$B$193:$N$193,C125:O125)</f>
        <v>2.52882941510466</v>
      </c>
      <c r="Z125" s="1">
        <f>P125-Y125</f>
        <v>0.110227914510598</v>
      </c>
      <c r="AB125" s="1">
        <f>C125</f>
        <v>32</v>
      </c>
      <c r="AC125" s="1">
        <f>D125</f>
        <v>82</v>
      </c>
      <c r="AD125" s="1">
        <f>E125</f>
        <v>3</v>
      </c>
      <c r="AE125" s="1">
        <f>F125</f>
        <v>0</v>
      </c>
      <c r="AF125" s="1">
        <f>G125</f>
        <v>0</v>
      </c>
      <c r="AG125" s="1">
        <f>I125</f>
        <v>0</v>
      </c>
      <c r="AH125" s="1">
        <f>J125</f>
        <v>0</v>
      </c>
      <c r="AI125" s="1">
        <f>Q125</f>
        <v>1</v>
      </c>
      <c r="AJ125" s="1">
        <f>K125</f>
        <v>0</v>
      </c>
      <c r="AK125" s="1">
        <f>L125</f>
        <v>0</v>
      </c>
      <c r="AL125" s="1">
        <f>M125</f>
        <v>1</v>
      </c>
      <c r="AM125" s="1">
        <f>N125</f>
        <v>0</v>
      </c>
      <c r="AN125" s="1">
        <f>O125</f>
        <v>0</v>
      </c>
    </row>
    <row r="126">
      <c r="A126" s="1">
        <v>150</v>
      </c>
      <c r="B126" s="1">
        <v>14</v>
      </c>
      <c r="C126" s="1">
        <v>1.6</v>
      </c>
      <c r="D126" s="1">
        <v>83</v>
      </c>
      <c r="E126" s="1">
        <v>3</v>
      </c>
      <c r="F126" s="1">
        <v>0</v>
      </c>
      <c r="G126" s="1">
        <v>0</v>
      </c>
      <c r="H126" s="1">
        <v>1</v>
      </c>
      <c r="I126" s="1">
        <v>0</v>
      </c>
      <c r="J126" s="1">
        <v>0</v>
      </c>
      <c r="K126" s="1">
        <v>0</v>
      </c>
      <c r="L126" s="1">
        <v>0</v>
      </c>
      <c r="M126" s="1">
        <v>0</v>
      </c>
      <c r="N126" s="1">
        <v>1</v>
      </c>
      <c r="O126" s="1">
        <v>0</v>
      </c>
      <c r="P126" s="1">
        <f>LN(B126)</f>
        <v>2.63905732961526</v>
      </c>
      <c r="Q126" s="1">
        <f>1-SUM(F126:J126)</f>
        <v>0</v>
      </c>
      <c r="R126" s="1" t="str">
        <f>IF(F126=1,"Napa valley",IF(G126=1,"Bay area",IF(H126=1,"Sonoma",IF(I126=1,"Sierra/foothills",IF(J126=1,"Mendocino/lake","Generic California")))))</f>
        <v>Sonoma</v>
      </c>
      <c r="S126" s="1" t="str">
        <f>IF(F126=1,"Napa valley",IF(H126=1,"Sonoma","Other"))</f>
        <v>Sonoma</v>
      </c>
      <c r="T126" s="1" t="str">
        <f>IF(M126=1,"Cabernet",IF(N126=1,"Merlot",IF(L126=1,"Pinot noir","Other")))</f>
        <v>Merlot</v>
      </c>
      <c r="U126" s="1" t="str">
        <f>IF(F126=1,B126,"")</f>
        <v/>
      </c>
      <c r="V126" s="1">
        <f>IF(F126=0,B126,"")</f>
        <v>14</v>
      </c>
      <c r="W126" s="1">
        <f>'Part B'!$B$150+SUMPRODUCT('Part B'!$B$164:$N$164,C126:O126)</f>
        <v>15.1076736170954</v>
      </c>
      <c r="X126" s="1">
        <f>B126-W126</f>
        <v>-1.10767361709543</v>
      </c>
      <c r="Y126" s="1">
        <f>'Part B'!$B$179+SUMPRODUCT('Part B'!$B$193:$N$193,C126:O126)</f>
        <v>2.97432534256701</v>
      </c>
      <c r="Z126" s="1">
        <f>P126-Y126</f>
        <v>-0.335268012951756</v>
      </c>
      <c r="AB126" s="1">
        <f>C126</f>
        <v>1.6</v>
      </c>
      <c r="AC126" s="1">
        <f>D126</f>
        <v>83</v>
      </c>
      <c r="AD126" s="1">
        <f>E126</f>
        <v>3</v>
      </c>
      <c r="AE126" s="1">
        <f>F126</f>
        <v>0</v>
      </c>
      <c r="AF126" s="1">
        <f>G126</f>
        <v>0</v>
      </c>
      <c r="AG126" s="1">
        <f>I126</f>
        <v>0</v>
      </c>
      <c r="AH126" s="1">
        <f>J126</f>
        <v>0</v>
      </c>
      <c r="AI126" s="1">
        <f>Q126</f>
        <v>0</v>
      </c>
      <c r="AJ126" s="1">
        <f>K126</f>
        <v>0</v>
      </c>
      <c r="AK126" s="1">
        <f>L126</f>
        <v>0</v>
      </c>
      <c r="AL126" s="1">
        <f>M126</f>
        <v>0</v>
      </c>
      <c r="AM126" s="1">
        <f>N126</f>
        <v>1</v>
      </c>
      <c r="AN126" s="1">
        <f>O126</f>
        <v>0</v>
      </c>
    </row>
    <row r="127">
      <c r="A127" s="1">
        <v>151</v>
      </c>
      <c r="B127" s="1">
        <v>14</v>
      </c>
      <c r="C127" s="1">
        <v>0.6</v>
      </c>
      <c r="D127" s="1">
        <v>87</v>
      </c>
      <c r="E127" s="1">
        <v>3</v>
      </c>
      <c r="F127" s="1">
        <v>0</v>
      </c>
      <c r="G127" s="1">
        <v>0</v>
      </c>
      <c r="H127" s="1">
        <v>0</v>
      </c>
      <c r="I127" s="1">
        <v>0</v>
      </c>
      <c r="J127" s="1">
        <v>1</v>
      </c>
      <c r="K127" s="1">
        <v>0</v>
      </c>
      <c r="L127" s="1">
        <v>1</v>
      </c>
      <c r="M127" s="1">
        <v>0</v>
      </c>
      <c r="N127" s="1">
        <v>0</v>
      </c>
      <c r="O127" s="1">
        <v>0</v>
      </c>
      <c r="P127" s="1">
        <f>LN(B127)</f>
        <v>2.63905732961526</v>
      </c>
      <c r="Q127" s="1">
        <f>1-SUM(F127:J127)</f>
        <v>0</v>
      </c>
      <c r="R127" s="1" t="str">
        <f>IF(F127=1,"Napa valley",IF(G127=1,"Bay area",IF(H127=1,"Sonoma",IF(I127=1,"Sierra/foothills",IF(J127=1,"Mendocino/lake","Generic California")))))</f>
        <v>Mendocino/lake</v>
      </c>
      <c r="S127" s="1" t="str">
        <f>IF(F127=1,"Napa valley",IF(H127=1,"Sonoma","Other"))</f>
        <v>Other</v>
      </c>
      <c r="T127" s="1" t="str">
        <f>IF(M127=1,"Cabernet",IF(N127=1,"Merlot",IF(L127=1,"Pinot noir","Other")))</f>
        <v>Pinot noir</v>
      </c>
      <c r="U127" s="1" t="str">
        <f>IF(F127=1,B127,"")</f>
        <v/>
      </c>
      <c r="V127" s="1">
        <f>IF(F127=0,B127,"")</f>
        <v>14</v>
      </c>
      <c r="W127" s="1">
        <f>'Part B'!$B$150+SUMPRODUCT('Part B'!$B$164:$N$164,C127:O127)</f>
        <v>31.2940086739526</v>
      </c>
      <c r="X127" s="1">
        <f>B127-W127</f>
        <v>-17.2940086739526</v>
      </c>
      <c r="Y127" s="1">
        <f>'Part B'!$B$179+SUMPRODUCT('Part B'!$B$193:$N$193,C127:O127)</f>
        <v>3.27575249404942</v>
      </c>
      <c r="Z127" s="1">
        <f>P127-Y127</f>
        <v>-0.636695164434157</v>
      </c>
      <c r="AB127" s="1">
        <f>C127</f>
        <v>0.6</v>
      </c>
      <c r="AC127" s="1">
        <f>D127</f>
        <v>87</v>
      </c>
      <c r="AD127" s="1">
        <f>E127</f>
        <v>3</v>
      </c>
      <c r="AE127" s="1">
        <f>F127</f>
        <v>0</v>
      </c>
      <c r="AF127" s="1">
        <f>G127</f>
        <v>0</v>
      </c>
      <c r="AG127" s="1">
        <f>I127</f>
        <v>0</v>
      </c>
      <c r="AH127" s="1">
        <f>J127</f>
        <v>1</v>
      </c>
      <c r="AI127" s="1">
        <f>Q127</f>
        <v>0</v>
      </c>
      <c r="AJ127" s="1">
        <f>K127</f>
        <v>0</v>
      </c>
      <c r="AK127" s="1">
        <f>L127</f>
        <v>1</v>
      </c>
      <c r="AL127" s="1">
        <f>M127</f>
        <v>0</v>
      </c>
      <c r="AM127" s="1">
        <f>N127</f>
        <v>0</v>
      </c>
      <c r="AN127" s="1">
        <f>O127</f>
        <v>0</v>
      </c>
    </row>
    <row r="128">
      <c r="A128" s="1">
        <v>152</v>
      </c>
      <c r="B128" s="1">
        <v>14</v>
      </c>
      <c r="C128" s="1">
        <v>9.9</v>
      </c>
      <c r="D128" s="1">
        <v>87</v>
      </c>
      <c r="E128" s="1">
        <v>3</v>
      </c>
      <c r="F128" s="1">
        <v>0</v>
      </c>
      <c r="G128" s="1">
        <v>0</v>
      </c>
      <c r="H128" s="1">
        <v>1</v>
      </c>
      <c r="I128" s="1">
        <v>0</v>
      </c>
      <c r="J128" s="1">
        <v>0</v>
      </c>
      <c r="K128" s="1">
        <v>0</v>
      </c>
      <c r="L128" s="1">
        <v>0</v>
      </c>
      <c r="M128" s="1">
        <v>0</v>
      </c>
      <c r="N128" s="1">
        <v>0</v>
      </c>
      <c r="O128" s="1">
        <v>0</v>
      </c>
      <c r="P128" s="1">
        <f>LN(B128)</f>
        <v>2.63905732961526</v>
      </c>
      <c r="Q128" s="1">
        <f>1-SUM(F128:J128)</f>
        <v>0</v>
      </c>
      <c r="R128" s="1" t="str">
        <f>IF(F128=1,"Napa valley",IF(G128=1,"Bay area",IF(H128=1,"Sonoma",IF(I128=1,"Sierra/foothills",IF(J128=1,"Mendocino/lake","Generic California")))))</f>
        <v>Sonoma</v>
      </c>
      <c r="S128" s="1" t="str">
        <f>IF(F128=1,"Napa valley",IF(H128=1,"Sonoma","Other"))</f>
        <v>Sonoma</v>
      </c>
      <c r="T128" s="1" t="str">
        <f>IF(M128=1,"Cabernet",IF(N128=1,"Merlot",IF(L128=1,"Pinot noir","Other")))</f>
        <v>Other</v>
      </c>
      <c r="U128" s="1" t="str">
        <f>IF(F128=1,B128,"")</f>
        <v/>
      </c>
      <c r="V128" s="1">
        <f>IF(F128=0,B128,"")</f>
        <v>14</v>
      </c>
      <c r="W128" s="1">
        <f>'Part B'!$B$150+SUMPRODUCT('Part B'!$B$164:$N$164,C128:O128)</f>
        <v>19.2400681442451</v>
      </c>
      <c r="X128" s="1">
        <f>B128-W128</f>
        <v>-5.24006814424507</v>
      </c>
      <c r="Y128" s="1">
        <f>'Part B'!$B$179+SUMPRODUCT('Part B'!$B$193:$N$193,C128:O128)</f>
        <v>2.9341398305842</v>
      </c>
      <c r="Z128" s="1">
        <f>P128-Y128</f>
        <v>-0.295082500968939</v>
      </c>
      <c r="AB128" s="1">
        <f>C128</f>
        <v>9.9</v>
      </c>
      <c r="AC128" s="1">
        <f>D128</f>
        <v>87</v>
      </c>
      <c r="AD128" s="1">
        <f>E128</f>
        <v>3</v>
      </c>
      <c r="AE128" s="1">
        <f>F128</f>
        <v>0</v>
      </c>
      <c r="AF128" s="1">
        <f>G128</f>
        <v>0</v>
      </c>
      <c r="AG128" s="1">
        <f>I128</f>
        <v>0</v>
      </c>
      <c r="AH128" s="1">
        <f>J128</f>
        <v>0</v>
      </c>
      <c r="AI128" s="1">
        <f>Q128</f>
        <v>0</v>
      </c>
      <c r="AJ128" s="1">
        <f>K128</f>
        <v>0</v>
      </c>
      <c r="AK128" s="1">
        <f>L128</f>
        <v>0</v>
      </c>
      <c r="AL128" s="1">
        <f>M128</f>
        <v>0</v>
      </c>
      <c r="AM128" s="1">
        <f>N128</f>
        <v>0</v>
      </c>
      <c r="AN128" s="1">
        <f>O128</f>
        <v>0</v>
      </c>
    </row>
    <row r="129">
      <c r="A129" s="1">
        <v>153</v>
      </c>
      <c r="B129" s="1">
        <v>14</v>
      </c>
      <c r="C129" s="1">
        <v>2.974</v>
      </c>
      <c r="D129" s="1">
        <v>79</v>
      </c>
      <c r="E129" s="1">
        <v>3</v>
      </c>
      <c r="F129" s="1">
        <v>0</v>
      </c>
      <c r="G129" s="1">
        <v>0</v>
      </c>
      <c r="H129" s="1">
        <v>0</v>
      </c>
      <c r="I129" s="1">
        <v>0</v>
      </c>
      <c r="J129" s="1">
        <v>0</v>
      </c>
      <c r="K129" s="1">
        <v>0</v>
      </c>
      <c r="L129" s="1">
        <v>0</v>
      </c>
      <c r="M129" s="1">
        <v>1</v>
      </c>
      <c r="N129" s="1">
        <v>0</v>
      </c>
      <c r="O129" s="1">
        <v>0</v>
      </c>
      <c r="P129" s="1">
        <f>LN(B129)</f>
        <v>2.63905732961526</v>
      </c>
      <c r="Q129" s="1">
        <f>1-SUM(F129:J129)</f>
        <v>1</v>
      </c>
      <c r="R129" s="1" t="str">
        <f>IF(F129=1,"Napa valley",IF(G129=1,"Bay area",IF(H129=1,"Sonoma",IF(I129=1,"Sierra/foothills",IF(J129=1,"Mendocino/lake","Generic California")))))</f>
        <v>Generic California</v>
      </c>
      <c r="S129" s="1" t="str">
        <f>IF(F129=1,"Napa valley",IF(H129=1,"Sonoma","Other"))</f>
        <v>Other</v>
      </c>
      <c r="T129" s="1" t="str">
        <f>IF(M129=1,"Cabernet",IF(N129=1,"Merlot",IF(L129=1,"Pinot noir","Other")))</f>
        <v>Cabernet</v>
      </c>
      <c r="U129" s="1" t="str">
        <f>IF(F129=1,B129,"")</f>
        <v/>
      </c>
      <c r="V129" s="1">
        <f>IF(F129=0,B129,"")</f>
        <v>14</v>
      </c>
      <c r="W129" s="1">
        <f>'Part B'!$B$150+SUMPRODUCT('Part B'!$B$164:$N$164,C129:O129)</f>
        <v>8.19936120247542</v>
      </c>
      <c r="X129" s="1">
        <f>B129-W129</f>
        <v>5.80063879752458</v>
      </c>
      <c r="Y129" s="1">
        <f>'Part B'!$B$179+SUMPRODUCT('Part B'!$B$193:$N$193,C129:O129)</f>
        <v>2.44314951166557</v>
      </c>
      <c r="Z129" s="1">
        <f>P129-Y129</f>
        <v>0.195907817949684</v>
      </c>
      <c r="AB129" s="1">
        <f>C129</f>
        <v>2.974</v>
      </c>
      <c r="AC129" s="1">
        <f>D129</f>
        <v>79</v>
      </c>
      <c r="AD129" s="1">
        <f>E129</f>
        <v>3</v>
      </c>
      <c r="AE129" s="1">
        <f>F129</f>
        <v>0</v>
      </c>
      <c r="AF129" s="1">
        <f>G129</f>
        <v>0</v>
      </c>
      <c r="AG129" s="1">
        <f>I129</f>
        <v>0</v>
      </c>
      <c r="AH129" s="1">
        <f>J129</f>
        <v>0</v>
      </c>
      <c r="AI129" s="1">
        <f>Q129</f>
        <v>1</v>
      </c>
      <c r="AJ129" s="1">
        <f>K129</f>
        <v>0</v>
      </c>
      <c r="AK129" s="1">
        <f>L129</f>
        <v>0</v>
      </c>
      <c r="AL129" s="1">
        <f>M129</f>
        <v>1</v>
      </c>
      <c r="AM129" s="1">
        <f>N129</f>
        <v>0</v>
      </c>
      <c r="AN129" s="1">
        <f>O129</f>
        <v>0</v>
      </c>
    </row>
    <row r="130">
      <c r="A130" s="1">
        <v>154</v>
      </c>
      <c r="B130" s="1">
        <v>14</v>
      </c>
      <c r="C130" s="1">
        <v>2.461</v>
      </c>
      <c r="D130" s="1">
        <v>82</v>
      </c>
      <c r="E130" s="1">
        <v>3</v>
      </c>
      <c r="F130" s="1">
        <v>0</v>
      </c>
      <c r="G130" s="1">
        <v>0</v>
      </c>
      <c r="H130" s="1">
        <v>0</v>
      </c>
      <c r="I130" s="1">
        <v>0</v>
      </c>
      <c r="J130" s="1">
        <v>0</v>
      </c>
      <c r="K130" s="1">
        <v>0</v>
      </c>
      <c r="L130" s="1">
        <v>0</v>
      </c>
      <c r="M130" s="1">
        <v>0</v>
      </c>
      <c r="N130" s="1">
        <v>1</v>
      </c>
      <c r="O130" s="1">
        <v>0</v>
      </c>
      <c r="P130" s="1">
        <f>LN(B130)</f>
        <v>2.63905732961526</v>
      </c>
      <c r="Q130" s="1">
        <f>1-SUM(F130:J130)</f>
        <v>1</v>
      </c>
      <c r="R130" s="1" t="str">
        <f>IF(F130=1,"Napa valley",IF(G130=1,"Bay area",IF(H130=1,"Sonoma",IF(I130=1,"Sierra/foothills",IF(J130=1,"Mendocino/lake","Generic California")))))</f>
        <v>Generic California</v>
      </c>
      <c r="S130" s="1" t="str">
        <f>IF(F130=1,"Napa valley",IF(H130=1,"Sonoma","Other"))</f>
        <v>Other</v>
      </c>
      <c r="T130" s="1" t="str">
        <f>IF(M130=1,"Cabernet",IF(N130=1,"Merlot",IF(L130=1,"Pinot noir","Other")))</f>
        <v>Merlot</v>
      </c>
      <c r="U130" s="1" t="str">
        <f>IF(F130=1,B130,"")</f>
        <v/>
      </c>
      <c r="V130" s="1">
        <f>IF(F130=0,B130,"")</f>
        <v>14</v>
      </c>
      <c r="W130" s="1">
        <f>'Part B'!$B$150+SUMPRODUCT('Part B'!$B$164:$N$164,C130:O130)</f>
        <v>12.716299155551</v>
      </c>
      <c r="X130" s="1">
        <f>B130-W130</f>
        <v>1.28370084444902</v>
      </c>
      <c r="Y130" s="1">
        <f>'Part B'!$B$179+SUMPRODUCT('Part B'!$B$193:$N$193,C130:O130)</f>
        <v>2.61874784898424</v>
      </c>
      <c r="Z130" s="1">
        <f>P130-Y130</f>
        <v>0.0203094806310182</v>
      </c>
      <c r="AB130" s="1">
        <f>C130</f>
        <v>2.461</v>
      </c>
      <c r="AC130" s="1">
        <f>D130</f>
        <v>82</v>
      </c>
      <c r="AD130" s="1">
        <f>E130</f>
        <v>3</v>
      </c>
      <c r="AE130" s="1">
        <f>F130</f>
        <v>0</v>
      </c>
      <c r="AF130" s="1">
        <f>G130</f>
        <v>0</v>
      </c>
      <c r="AG130" s="1">
        <f>I130</f>
        <v>0</v>
      </c>
      <c r="AH130" s="1">
        <f>J130</f>
        <v>0</v>
      </c>
      <c r="AI130" s="1">
        <f>Q130</f>
        <v>1</v>
      </c>
      <c r="AJ130" s="1">
        <f>K130</f>
        <v>0</v>
      </c>
      <c r="AK130" s="1">
        <f>L130</f>
        <v>0</v>
      </c>
      <c r="AL130" s="1">
        <f>M130</f>
        <v>0</v>
      </c>
      <c r="AM130" s="1">
        <f>N130</f>
        <v>1</v>
      </c>
      <c r="AN130" s="1">
        <f>O130</f>
        <v>0</v>
      </c>
    </row>
    <row r="131">
      <c r="A131" s="1">
        <v>156</v>
      </c>
      <c r="B131" s="1">
        <v>14</v>
      </c>
      <c r="C131" s="1">
        <v>0.6</v>
      </c>
      <c r="D131" s="1">
        <v>87</v>
      </c>
      <c r="E131" s="1">
        <v>3</v>
      </c>
      <c r="F131" s="1">
        <v>0</v>
      </c>
      <c r="G131" s="1">
        <v>0</v>
      </c>
      <c r="H131" s="1">
        <v>0</v>
      </c>
      <c r="I131" s="1">
        <v>0</v>
      </c>
      <c r="J131" s="1">
        <v>1</v>
      </c>
      <c r="K131" s="1">
        <v>0</v>
      </c>
      <c r="L131" s="1">
        <v>0</v>
      </c>
      <c r="M131" s="1">
        <v>0</v>
      </c>
      <c r="N131" s="1">
        <v>0</v>
      </c>
      <c r="O131" s="1">
        <v>1</v>
      </c>
      <c r="P131" s="1">
        <f>LN(B131)</f>
        <v>2.63905732961526</v>
      </c>
      <c r="Q131" s="1">
        <f>1-SUM(F131:J131)</f>
        <v>0</v>
      </c>
      <c r="R131" s="1" t="str">
        <f>IF(F131=1,"Napa valley",IF(G131=1,"Bay area",IF(H131=1,"Sonoma",IF(I131=1,"Sierra/foothills",IF(J131=1,"Mendocino/lake","Generic California")))))</f>
        <v>Mendocino/lake</v>
      </c>
      <c r="S131" s="1" t="str">
        <f>IF(F131=1,"Napa valley",IF(H131=1,"Sonoma","Other"))</f>
        <v>Other</v>
      </c>
      <c r="T131" s="1" t="str">
        <f>IF(M131=1,"Cabernet",IF(N131=1,"Merlot",IF(L131=1,"Pinot noir","Other")))</f>
        <v>Other</v>
      </c>
      <c r="U131" s="1" t="str">
        <f>IF(F131=1,B131,"")</f>
        <v/>
      </c>
      <c r="V131" s="1">
        <f>IF(F131=0,B131,"")</f>
        <v>14</v>
      </c>
      <c r="W131" s="1">
        <f>'Part B'!$B$150+SUMPRODUCT('Part B'!$B$164:$N$164,C131:O131)</f>
        <v>21.4334619467087</v>
      </c>
      <c r="X131" s="1">
        <f>B131-W131</f>
        <v>-7.43346194670869</v>
      </c>
      <c r="Y131" s="1">
        <f>'Part B'!$B$179+SUMPRODUCT('Part B'!$B$193:$N$193,C131:O131)</f>
        <v>2.97246416722527</v>
      </c>
      <c r="Z131" s="1">
        <f>P131-Y131</f>
        <v>-0.333406837610007</v>
      </c>
      <c r="AB131" s="1">
        <f>C131</f>
        <v>0.6</v>
      </c>
      <c r="AC131" s="1">
        <f>D131</f>
        <v>87</v>
      </c>
      <c r="AD131" s="1">
        <f>E131</f>
        <v>3</v>
      </c>
      <c r="AE131" s="1">
        <f>F131</f>
        <v>0</v>
      </c>
      <c r="AF131" s="1">
        <f>G131</f>
        <v>0</v>
      </c>
      <c r="AG131" s="1">
        <f>I131</f>
        <v>0</v>
      </c>
      <c r="AH131" s="1">
        <f>J131</f>
        <v>1</v>
      </c>
      <c r="AI131" s="1">
        <f>Q131</f>
        <v>0</v>
      </c>
      <c r="AJ131" s="1">
        <f>K131</f>
        <v>0</v>
      </c>
      <c r="AK131" s="1">
        <f>L131</f>
        <v>0</v>
      </c>
      <c r="AL131" s="1">
        <f>M131</f>
        <v>0</v>
      </c>
      <c r="AM131" s="1">
        <f>N131</f>
        <v>0</v>
      </c>
      <c r="AN131" s="1">
        <f>O131</f>
        <v>1</v>
      </c>
    </row>
    <row r="132">
      <c r="A132" s="1">
        <v>157</v>
      </c>
      <c r="B132" s="1">
        <v>14</v>
      </c>
      <c r="C132" s="1">
        <v>5</v>
      </c>
      <c r="D132" s="1">
        <v>84</v>
      </c>
      <c r="E132" s="1">
        <v>3</v>
      </c>
      <c r="F132" s="1">
        <v>0</v>
      </c>
      <c r="G132" s="1">
        <v>0</v>
      </c>
      <c r="H132" s="1">
        <v>1</v>
      </c>
      <c r="I132" s="1">
        <v>0</v>
      </c>
      <c r="J132" s="1">
        <v>0</v>
      </c>
      <c r="K132" s="1">
        <v>0</v>
      </c>
      <c r="L132" s="1">
        <v>0</v>
      </c>
      <c r="M132" s="1">
        <v>0</v>
      </c>
      <c r="N132" s="1">
        <v>0</v>
      </c>
      <c r="O132" s="1">
        <v>0</v>
      </c>
      <c r="P132" s="1">
        <f>LN(B132)</f>
        <v>2.63905732961526</v>
      </c>
      <c r="Q132" s="1">
        <f>1-SUM(F132:J132)</f>
        <v>0</v>
      </c>
      <c r="R132" s="1" t="str">
        <f>IF(F132=1,"Napa valley",IF(G132=1,"Bay area",IF(H132=1,"Sonoma",IF(I132=1,"Sierra/foothills",IF(J132=1,"Mendocino/lake","Generic California")))))</f>
        <v>Sonoma</v>
      </c>
      <c r="S132" s="1" t="str">
        <f>IF(F132=1,"Napa valley",IF(H132=1,"Sonoma","Other"))</f>
        <v>Sonoma</v>
      </c>
      <c r="T132" s="1" t="str">
        <f>IF(M132=1,"Cabernet",IF(N132=1,"Merlot",IF(L132=1,"Pinot noir","Other")))</f>
        <v>Other</v>
      </c>
      <c r="U132" s="1" t="str">
        <f>IF(F132=1,B132,"")</f>
        <v/>
      </c>
      <c r="V132" s="1">
        <f>IF(F132=0,B132,"")</f>
        <v>14</v>
      </c>
      <c r="W132" s="1">
        <f>'Part B'!$B$150+SUMPRODUCT('Part B'!$B$164:$N$164,C132:O132)</f>
        <v>10.2698543383504</v>
      </c>
      <c r="X132" s="1">
        <f>B132-W132</f>
        <v>3.7301456616496</v>
      </c>
      <c r="Y132" s="1">
        <f>'Part B'!$B$179+SUMPRODUCT('Part B'!$B$193:$N$193,C132:O132)</f>
        <v>2.74522315320283</v>
      </c>
      <c r="Z132" s="1">
        <f>P132-Y132</f>
        <v>-0.106165823587568</v>
      </c>
      <c r="AB132" s="1">
        <f>C132</f>
        <v>5</v>
      </c>
      <c r="AC132" s="1">
        <f>D132</f>
        <v>84</v>
      </c>
      <c r="AD132" s="1">
        <f>E132</f>
        <v>3</v>
      </c>
      <c r="AE132" s="1">
        <f>F132</f>
        <v>0</v>
      </c>
      <c r="AF132" s="1">
        <f>G132</f>
        <v>0</v>
      </c>
      <c r="AG132" s="1">
        <f>I132</f>
        <v>0</v>
      </c>
      <c r="AH132" s="1">
        <f>J132</f>
        <v>0</v>
      </c>
      <c r="AI132" s="1">
        <f>Q132</f>
        <v>0</v>
      </c>
      <c r="AJ132" s="1">
        <f>K132</f>
        <v>0</v>
      </c>
      <c r="AK132" s="1">
        <f>L132</f>
        <v>0</v>
      </c>
      <c r="AL132" s="1">
        <f>M132</f>
        <v>0</v>
      </c>
      <c r="AM132" s="1">
        <f>N132</f>
        <v>0</v>
      </c>
      <c r="AN132" s="1">
        <f>O132</f>
        <v>0</v>
      </c>
    </row>
    <row r="133">
      <c r="A133" s="1">
        <v>158</v>
      </c>
      <c r="B133" s="1">
        <v>14</v>
      </c>
      <c r="C133" s="1">
        <v>1.6</v>
      </c>
      <c r="D133" s="1">
        <v>82</v>
      </c>
      <c r="E133" s="1">
        <v>3</v>
      </c>
      <c r="F133" s="1">
        <v>0</v>
      </c>
      <c r="G133" s="1">
        <v>0</v>
      </c>
      <c r="H133" s="1">
        <v>1</v>
      </c>
      <c r="I133" s="1">
        <v>0</v>
      </c>
      <c r="J133" s="1">
        <v>0</v>
      </c>
      <c r="K133" s="1">
        <v>0</v>
      </c>
      <c r="L133" s="1">
        <v>1</v>
      </c>
      <c r="M133" s="1">
        <v>0</v>
      </c>
      <c r="N133" s="1">
        <v>0</v>
      </c>
      <c r="O133" s="1">
        <v>0</v>
      </c>
      <c r="P133" s="1">
        <f>LN(B133)</f>
        <v>2.63905732961526</v>
      </c>
      <c r="Q133" s="1">
        <f>1-SUM(F133:J133)</f>
        <v>0</v>
      </c>
      <c r="R133" s="1" t="str">
        <f>IF(F133=1,"Napa valley",IF(G133=1,"Bay area",IF(H133=1,"Sonoma",IF(I133=1,"Sierra/foothills",IF(J133=1,"Mendocino/lake","Generic California")))))</f>
        <v>Sonoma</v>
      </c>
      <c r="S133" s="1" t="str">
        <f>IF(F133=1,"Napa valley",IF(H133=1,"Sonoma","Other"))</f>
        <v>Sonoma</v>
      </c>
      <c r="T133" s="1" t="str">
        <f>IF(M133=1,"Cabernet",IF(N133=1,"Merlot",IF(L133=1,"Pinot noir","Other")))</f>
        <v>Pinot noir</v>
      </c>
      <c r="U133" s="1" t="str">
        <f>IF(F133=1,B133,"")</f>
        <v/>
      </c>
      <c r="V133" s="1">
        <f>IF(F133=0,B133,"")</f>
        <v>14</v>
      </c>
      <c r="W133" s="1">
        <f>'Part B'!$B$150+SUMPRODUCT('Part B'!$B$164:$N$164,C133:O133)</f>
        <v>13.7566264970491</v>
      </c>
      <c r="X133" s="1">
        <f>B133-W133</f>
        <v>0.243373502950931</v>
      </c>
      <c r="Y133" s="1">
        <f>'Part B'!$B$179+SUMPRODUCT('Part B'!$B$193:$N$193,C133:O133)</f>
        <v>2.96637152196557</v>
      </c>
      <c r="Z133" s="1">
        <f>P133-Y133</f>
        <v>-0.327314192350313</v>
      </c>
      <c r="AB133" s="1">
        <f>C133</f>
        <v>1.6</v>
      </c>
      <c r="AC133" s="1">
        <f>D133</f>
        <v>82</v>
      </c>
      <c r="AD133" s="1">
        <f>E133</f>
        <v>3</v>
      </c>
      <c r="AE133" s="1">
        <f>F133</f>
        <v>0</v>
      </c>
      <c r="AF133" s="1">
        <f>G133</f>
        <v>0</v>
      </c>
      <c r="AG133" s="1">
        <f>I133</f>
        <v>0</v>
      </c>
      <c r="AH133" s="1">
        <f>J133</f>
        <v>0</v>
      </c>
      <c r="AI133" s="1">
        <f>Q133</f>
        <v>0</v>
      </c>
      <c r="AJ133" s="1">
        <f>K133</f>
        <v>0</v>
      </c>
      <c r="AK133" s="1">
        <f>L133</f>
        <v>1</v>
      </c>
      <c r="AL133" s="1">
        <f>M133</f>
        <v>0</v>
      </c>
      <c r="AM133" s="1">
        <f>N133</f>
        <v>0</v>
      </c>
      <c r="AN133" s="1">
        <f>O133</f>
        <v>0</v>
      </c>
    </row>
    <row r="134">
      <c r="A134" s="1">
        <v>159</v>
      </c>
      <c r="B134" s="1">
        <v>14</v>
      </c>
      <c r="C134" s="1">
        <v>80</v>
      </c>
      <c r="D134" s="1">
        <v>86</v>
      </c>
      <c r="E134" s="1">
        <v>3</v>
      </c>
      <c r="F134" s="1">
        <v>1</v>
      </c>
      <c r="G134" s="1">
        <v>0</v>
      </c>
      <c r="H134" s="1">
        <v>0</v>
      </c>
      <c r="I134" s="1">
        <v>0</v>
      </c>
      <c r="J134" s="1">
        <v>0</v>
      </c>
      <c r="K134" s="1">
        <v>0</v>
      </c>
      <c r="L134" s="1">
        <v>0</v>
      </c>
      <c r="M134" s="1">
        <v>0</v>
      </c>
      <c r="N134" s="1">
        <v>1</v>
      </c>
      <c r="O134" s="1">
        <v>0</v>
      </c>
      <c r="P134" s="1">
        <f>LN(B134)</f>
        <v>2.63905732961526</v>
      </c>
      <c r="Q134" s="1">
        <f>1-SUM(F134:J134)</f>
        <v>0</v>
      </c>
      <c r="R134" s="1" t="str">
        <f>IF(F134=1,"Napa valley",IF(G134=1,"Bay area",IF(H134=1,"Sonoma",IF(I134=1,"Sierra/foothills",IF(J134=1,"Mendocino/lake","Generic California")))))</f>
        <v>Napa valley</v>
      </c>
      <c r="S134" s="1" t="str">
        <f>IF(F134=1,"Napa valley",IF(H134=1,"Sonoma","Other"))</f>
        <v>Napa valley</v>
      </c>
      <c r="T134" s="1" t="str">
        <f>IF(M134=1,"Cabernet",IF(N134=1,"Merlot",IF(L134=1,"Pinot noir","Other")))</f>
        <v>Merlot</v>
      </c>
      <c r="U134" s="1">
        <f>IF(F134=1,B134,"")</f>
        <v>14</v>
      </c>
      <c r="V134" s="1" t="str">
        <f>IF(F134=0,B134,"")</f>
        <v/>
      </c>
      <c r="W134" s="1">
        <f>'Part B'!$B$150+SUMPRODUCT('Part B'!$B$164:$N$164,C134:O134)</f>
        <v>24.9981731749787</v>
      </c>
      <c r="X134" s="1">
        <f>B134-W134</f>
        <v>-10.9981731749787</v>
      </c>
      <c r="Y134" s="1">
        <f>'Part B'!$B$179+SUMPRODUCT('Part B'!$B$193:$N$193,C134:O134)</f>
        <v>2.99651814968492</v>
      </c>
      <c r="Z134" s="1">
        <f>P134-Y134</f>
        <v>-0.357460820069657</v>
      </c>
      <c r="AB134" s="1">
        <f>C134</f>
        <v>80</v>
      </c>
      <c r="AC134" s="1">
        <f>D134</f>
        <v>86</v>
      </c>
      <c r="AD134" s="1">
        <f>E134</f>
        <v>3</v>
      </c>
      <c r="AE134" s="1">
        <f>F134</f>
        <v>1</v>
      </c>
      <c r="AF134" s="1">
        <f>G134</f>
        <v>0</v>
      </c>
      <c r="AG134" s="1">
        <f>I134</f>
        <v>0</v>
      </c>
      <c r="AH134" s="1">
        <f>J134</f>
        <v>0</v>
      </c>
      <c r="AI134" s="1">
        <f>Q134</f>
        <v>0</v>
      </c>
      <c r="AJ134" s="1">
        <f>K134</f>
        <v>0</v>
      </c>
      <c r="AK134" s="1">
        <f>L134</f>
        <v>0</v>
      </c>
      <c r="AL134" s="1">
        <f>M134</f>
        <v>0</v>
      </c>
      <c r="AM134" s="1">
        <f>N134</f>
        <v>1</v>
      </c>
      <c r="AN134" s="1">
        <f>O134</f>
        <v>0</v>
      </c>
    </row>
    <row r="135">
      <c r="A135" s="1">
        <v>163</v>
      </c>
      <c r="B135" s="1">
        <v>14</v>
      </c>
      <c r="C135" s="1">
        <v>5.175</v>
      </c>
      <c r="D135" s="1">
        <v>89</v>
      </c>
      <c r="E135" s="1">
        <v>2</v>
      </c>
      <c r="F135" s="1">
        <v>0</v>
      </c>
      <c r="G135" s="1">
        <v>0</v>
      </c>
      <c r="H135" s="1">
        <v>1</v>
      </c>
      <c r="I135" s="1">
        <v>0</v>
      </c>
      <c r="J135" s="1">
        <v>0</v>
      </c>
      <c r="K135" s="1">
        <v>0</v>
      </c>
      <c r="L135" s="1">
        <v>0</v>
      </c>
      <c r="M135" s="1">
        <v>0</v>
      </c>
      <c r="N135" s="1">
        <v>0</v>
      </c>
      <c r="O135" s="1">
        <v>0</v>
      </c>
      <c r="P135" s="1">
        <f>LN(B135)</f>
        <v>2.63905732961526</v>
      </c>
      <c r="Q135" s="1">
        <f>1-SUM(F135:J135)</f>
        <v>0</v>
      </c>
      <c r="R135" s="1" t="str">
        <f>IF(F135=1,"Napa valley",IF(G135=1,"Bay area",IF(H135=1,"Sonoma",IF(I135=1,"Sierra/foothills",IF(J135=1,"Mendocino/lake","Generic California")))))</f>
        <v>Sonoma</v>
      </c>
      <c r="S135" s="1" t="str">
        <f>IF(F135=1,"Napa valley",IF(H135=1,"Sonoma","Other"))</f>
        <v>Sonoma</v>
      </c>
      <c r="T135" s="1" t="str">
        <f>IF(M135=1,"Cabernet",IF(N135=1,"Merlot",IF(L135=1,"Pinot noir","Other")))</f>
        <v>Other</v>
      </c>
      <c r="U135" s="1" t="str">
        <f>IF(F135=1,B135,"")</f>
        <v/>
      </c>
      <c r="V135" s="1">
        <f>IF(F135=0,B135,"")</f>
        <v>14</v>
      </c>
      <c r="W135" s="1">
        <f>'Part B'!$B$150+SUMPRODUCT('Part B'!$B$164:$N$164,C135:O135)</f>
        <v>19.3591251320903</v>
      </c>
      <c r="X135" s="1">
        <f>B135-W135</f>
        <v>-5.3591251320903</v>
      </c>
      <c r="Y135" s="1">
        <f>'Part B'!$B$179+SUMPRODUCT('Part B'!$B$193:$N$193,C135:O135)</f>
        <v>2.91119587799796</v>
      </c>
      <c r="Z135" s="1">
        <f>P135-Y135</f>
        <v>-0.272138548382702</v>
      </c>
      <c r="AB135" s="1">
        <f>C135</f>
        <v>5.175</v>
      </c>
      <c r="AC135" s="1">
        <f>D135</f>
        <v>89</v>
      </c>
      <c r="AD135" s="1">
        <f>E135</f>
        <v>2</v>
      </c>
      <c r="AE135" s="1">
        <f>F135</f>
        <v>0</v>
      </c>
      <c r="AF135" s="1">
        <f>G135</f>
        <v>0</v>
      </c>
      <c r="AG135" s="1">
        <f>I135</f>
        <v>0</v>
      </c>
      <c r="AH135" s="1">
        <f>J135</f>
        <v>0</v>
      </c>
      <c r="AI135" s="1">
        <f>Q135</f>
        <v>0</v>
      </c>
      <c r="AJ135" s="1">
        <f>K135</f>
        <v>0</v>
      </c>
      <c r="AK135" s="1">
        <f>L135</f>
        <v>0</v>
      </c>
      <c r="AL135" s="1">
        <f>M135</f>
        <v>0</v>
      </c>
      <c r="AM135" s="1">
        <f>N135</f>
        <v>0</v>
      </c>
      <c r="AN135" s="1">
        <f>O135</f>
        <v>0</v>
      </c>
    </row>
    <row r="136">
      <c r="A136" s="1">
        <v>165</v>
      </c>
      <c r="B136" s="1">
        <v>14</v>
      </c>
      <c r="C136" s="1">
        <v>4.874</v>
      </c>
      <c r="D136" s="1">
        <v>80</v>
      </c>
      <c r="E136" s="1">
        <v>2</v>
      </c>
      <c r="F136" s="1">
        <v>1</v>
      </c>
      <c r="G136" s="1">
        <v>0</v>
      </c>
      <c r="H136" s="1">
        <v>0</v>
      </c>
      <c r="I136" s="1">
        <v>0</v>
      </c>
      <c r="J136" s="1">
        <v>0</v>
      </c>
      <c r="K136" s="1">
        <v>0</v>
      </c>
      <c r="L136" s="1">
        <v>0</v>
      </c>
      <c r="M136" s="1">
        <v>0</v>
      </c>
      <c r="N136" s="1">
        <v>0</v>
      </c>
      <c r="O136" s="1">
        <v>0</v>
      </c>
      <c r="P136" s="1">
        <f>LN(B136)</f>
        <v>2.63905732961526</v>
      </c>
      <c r="Q136" s="1">
        <f>1-SUM(F136:J136)</f>
        <v>0</v>
      </c>
      <c r="R136" s="1" t="str">
        <f>IF(F136=1,"Napa valley",IF(G136=1,"Bay area",IF(H136=1,"Sonoma",IF(I136=1,"Sierra/foothills",IF(J136=1,"Mendocino/lake","Generic California")))))</f>
        <v>Napa valley</v>
      </c>
      <c r="S136" s="1" t="str">
        <f>IF(F136=1,"Napa valley",IF(H136=1,"Sonoma","Other"))</f>
        <v>Napa valley</v>
      </c>
      <c r="T136" s="1" t="str">
        <f>IF(M136=1,"Cabernet",IF(N136=1,"Merlot",IF(L136=1,"Pinot noir","Other")))</f>
        <v>Other</v>
      </c>
      <c r="U136" s="1">
        <f>IF(F136=1,B136,"")</f>
        <v>14</v>
      </c>
      <c r="V136" s="1" t="str">
        <f>IF(F136=0,B136,"")</f>
        <v/>
      </c>
      <c r="W136" s="1">
        <f>'Part B'!$B$150+SUMPRODUCT('Part B'!$B$164:$N$164,C136:O136)</f>
        <v>-1.02173183469966</v>
      </c>
      <c r="X136" s="1">
        <f>B136-W136</f>
        <v>15.0217318346997</v>
      </c>
      <c r="Y136" s="1">
        <f>'Part B'!$B$179+SUMPRODUCT('Part B'!$B$193:$N$193,C136:O136)</f>
        <v>2.43061912293196</v>
      </c>
      <c r="Z136" s="1">
        <f>P136-Y136</f>
        <v>0.208438206683297</v>
      </c>
      <c r="AB136" s="1">
        <f>C136</f>
        <v>4.874</v>
      </c>
      <c r="AC136" s="1">
        <f>D136</f>
        <v>80</v>
      </c>
      <c r="AD136" s="1">
        <f>E136</f>
        <v>2</v>
      </c>
      <c r="AE136" s="1">
        <f>F136</f>
        <v>1</v>
      </c>
      <c r="AF136" s="1">
        <f>G136</f>
        <v>0</v>
      </c>
      <c r="AG136" s="1">
        <f>I136</f>
        <v>0</v>
      </c>
      <c r="AH136" s="1">
        <f>J136</f>
        <v>0</v>
      </c>
      <c r="AI136" s="1">
        <f>Q136</f>
        <v>0</v>
      </c>
      <c r="AJ136" s="1">
        <f>K136</f>
        <v>0</v>
      </c>
      <c r="AK136" s="1">
        <f>L136</f>
        <v>0</v>
      </c>
      <c r="AL136" s="1">
        <f>M136</f>
        <v>0</v>
      </c>
      <c r="AM136" s="1">
        <f>N136</f>
        <v>0</v>
      </c>
      <c r="AN136" s="1">
        <f>O136</f>
        <v>0</v>
      </c>
    </row>
    <row r="137">
      <c r="A137" s="1">
        <v>167</v>
      </c>
      <c r="B137" s="1">
        <v>14</v>
      </c>
      <c r="C137" s="1">
        <v>1.6</v>
      </c>
      <c r="D137" s="1">
        <v>88</v>
      </c>
      <c r="E137" s="1">
        <v>2</v>
      </c>
      <c r="F137" s="1">
        <v>0</v>
      </c>
      <c r="G137" s="1">
        <v>0</v>
      </c>
      <c r="H137" s="1">
        <v>1</v>
      </c>
      <c r="I137" s="1">
        <v>0</v>
      </c>
      <c r="J137" s="1">
        <v>0</v>
      </c>
      <c r="K137" s="1">
        <v>0</v>
      </c>
      <c r="L137" s="1">
        <v>0</v>
      </c>
      <c r="M137" s="1">
        <v>0</v>
      </c>
      <c r="N137" s="1">
        <v>1</v>
      </c>
      <c r="O137" s="1">
        <v>0</v>
      </c>
      <c r="P137" s="1">
        <f>LN(B137)</f>
        <v>2.63905732961526</v>
      </c>
      <c r="Q137" s="1">
        <f>1-SUM(F137:J137)</f>
        <v>0</v>
      </c>
      <c r="R137" s="1" t="str">
        <f>IF(F137=1,"Napa valley",IF(G137=1,"Bay area",IF(H137=1,"Sonoma",IF(I137=1,"Sierra/foothills",IF(J137=1,"Mendocino/lake","Generic California")))))</f>
        <v>Sonoma</v>
      </c>
      <c r="S137" s="1" t="str">
        <f>IF(F137=1,"Napa valley",IF(H137=1,"Sonoma","Other"))</f>
        <v>Sonoma</v>
      </c>
      <c r="T137" s="1" t="str">
        <f>IF(M137=1,"Cabernet",IF(N137=1,"Merlot",IF(L137=1,"Pinot noir","Other")))</f>
        <v>Merlot</v>
      </c>
      <c r="U137" s="1" t="str">
        <f>IF(F137=1,B137,"")</f>
        <v/>
      </c>
      <c r="V137" s="1">
        <f>IF(F137=0,B137,"")</f>
        <v>14</v>
      </c>
      <c r="W137" s="1">
        <f>'Part B'!$B$150+SUMPRODUCT('Part B'!$B$164:$N$164,C137:O137)</f>
        <v>24.2135543205206</v>
      </c>
      <c r="X137" s="1">
        <f>B137-W137</f>
        <v>-10.2135543205206</v>
      </c>
      <c r="Y137" s="1">
        <f>'Part B'!$B$179+SUMPRODUCT('Part B'!$B$193:$N$193,C137:O137)</f>
        <v>3.14104690411254</v>
      </c>
      <c r="Z137" s="1">
        <f>P137-Y137</f>
        <v>-0.501989574497279</v>
      </c>
      <c r="AB137" s="1">
        <f>C137</f>
        <v>1.6</v>
      </c>
      <c r="AC137" s="1">
        <f>D137</f>
        <v>88</v>
      </c>
      <c r="AD137" s="1">
        <f>E137</f>
        <v>2</v>
      </c>
      <c r="AE137" s="1">
        <f>F137</f>
        <v>0</v>
      </c>
      <c r="AF137" s="1">
        <f>G137</f>
        <v>0</v>
      </c>
      <c r="AG137" s="1">
        <f>I137</f>
        <v>0</v>
      </c>
      <c r="AH137" s="1">
        <f>J137</f>
        <v>0</v>
      </c>
      <c r="AI137" s="1">
        <f>Q137</f>
        <v>0</v>
      </c>
      <c r="AJ137" s="1">
        <f>K137</f>
        <v>0</v>
      </c>
      <c r="AK137" s="1">
        <f>L137</f>
        <v>0</v>
      </c>
      <c r="AL137" s="1">
        <f>M137</f>
        <v>0</v>
      </c>
      <c r="AM137" s="1">
        <f>N137</f>
        <v>1</v>
      </c>
      <c r="AN137" s="1">
        <f>O137</f>
        <v>0</v>
      </c>
    </row>
    <row r="138">
      <c r="A138" s="1">
        <v>168</v>
      </c>
      <c r="B138" s="1">
        <v>14</v>
      </c>
      <c r="C138" s="1">
        <v>0.27</v>
      </c>
      <c r="D138" s="1">
        <v>87</v>
      </c>
      <c r="E138" s="1">
        <v>2</v>
      </c>
      <c r="F138" s="1">
        <v>0</v>
      </c>
      <c r="G138" s="1">
        <v>0</v>
      </c>
      <c r="H138" s="1">
        <v>0</v>
      </c>
      <c r="I138" s="1">
        <v>0</v>
      </c>
      <c r="J138" s="1">
        <v>0</v>
      </c>
      <c r="K138" s="1">
        <v>0</v>
      </c>
      <c r="L138" s="1">
        <v>0</v>
      </c>
      <c r="M138" s="1">
        <v>0</v>
      </c>
      <c r="N138" s="1">
        <v>0</v>
      </c>
      <c r="O138" s="1">
        <v>0</v>
      </c>
      <c r="P138" s="1">
        <f>LN(B138)</f>
        <v>2.63905732961526</v>
      </c>
      <c r="Q138" s="1">
        <f>1-SUM(F138:J138)</f>
        <v>1</v>
      </c>
      <c r="R138" s="1" t="str">
        <f>IF(F138=1,"Napa valley",IF(G138=1,"Bay area",IF(H138=1,"Sonoma",IF(I138=1,"Sierra/foothills",IF(J138=1,"Mendocino/lake","Generic California")))))</f>
        <v>Generic California</v>
      </c>
      <c r="S138" s="1" t="str">
        <f>IF(F138=1,"Napa valley",IF(H138=1,"Sonoma","Other"))</f>
        <v>Other</v>
      </c>
      <c r="T138" s="1" t="str">
        <f>IF(M138=1,"Cabernet",IF(N138=1,"Merlot",IF(L138=1,"Pinot noir","Other")))</f>
        <v>Other</v>
      </c>
      <c r="U138" s="1" t="str">
        <f>IF(F138=1,B138,"")</f>
        <v/>
      </c>
      <c r="V138" s="1">
        <f>IF(F138=0,B138,"")</f>
        <v>14</v>
      </c>
      <c r="W138" s="1">
        <f>'Part B'!$B$150+SUMPRODUCT('Part B'!$B$164:$N$164,C138:O138)</f>
        <v>14.369926373872</v>
      </c>
      <c r="X138" s="1">
        <f>B138-W138</f>
        <v>-0.369926373872033</v>
      </c>
      <c r="Y138" s="1">
        <f>'Part B'!$B$179+SUMPRODUCT('Part B'!$B$193:$N$193,C138:O138)</f>
        <v>2.51033011677631</v>
      </c>
      <c r="Z138" s="1">
        <f>P138-Y138</f>
        <v>0.128727212838947</v>
      </c>
      <c r="AB138" s="1">
        <f>C138</f>
        <v>0.27</v>
      </c>
      <c r="AC138" s="1">
        <f>D138</f>
        <v>87</v>
      </c>
      <c r="AD138" s="1">
        <f>E138</f>
        <v>2</v>
      </c>
      <c r="AE138" s="1">
        <f>F138</f>
        <v>0</v>
      </c>
      <c r="AF138" s="1">
        <f>G138</f>
        <v>0</v>
      </c>
      <c r="AG138" s="1">
        <f>I138</f>
        <v>0</v>
      </c>
      <c r="AH138" s="1">
        <f>J138</f>
        <v>0</v>
      </c>
      <c r="AI138" s="1">
        <f>Q138</f>
        <v>1</v>
      </c>
      <c r="AJ138" s="1">
        <f>K138</f>
        <v>0</v>
      </c>
      <c r="AK138" s="1">
        <f>L138</f>
        <v>0</v>
      </c>
      <c r="AL138" s="1">
        <f>M138</f>
        <v>0</v>
      </c>
      <c r="AM138" s="1">
        <f>N138</f>
        <v>0</v>
      </c>
      <c r="AN138" s="1">
        <f>O138</f>
        <v>0</v>
      </c>
    </row>
    <row r="139">
      <c r="A139" s="1">
        <v>174</v>
      </c>
      <c r="B139" s="1">
        <v>14</v>
      </c>
      <c r="C139" s="1">
        <v>7</v>
      </c>
      <c r="D139" s="1">
        <v>89</v>
      </c>
      <c r="E139" s="1">
        <v>2</v>
      </c>
      <c r="F139" s="1">
        <v>0</v>
      </c>
      <c r="G139" s="1">
        <v>1</v>
      </c>
      <c r="H139" s="1">
        <v>0</v>
      </c>
      <c r="I139" s="1">
        <v>0</v>
      </c>
      <c r="J139" s="1">
        <v>0</v>
      </c>
      <c r="K139" s="1">
        <v>0</v>
      </c>
      <c r="L139" s="1">
        <v>0</v>
      </c>
      <c r="M139" s="1">
        <v>0</v>
      </c>
      <c r="N139" s="1">
        <v>0</v>
      </c>
      <c r="O139" s="1">
        <v>0</v>
      </c>
      <c r="P139" s="1">
        <f>LN(B139)</f>
        <v>2.63905732961526</v>
      </c>
      <c r="Q139" s="1">
        <f>1-SUM(F139:J139)</f>
        <v>0</v>
      </c>
      <c r="R139" s="1" t="str">
        <f>IF(F139=1,"Napa valley",IF(G139=1,"Bay area",IF(H139=1,"Sonoma",IF(I139=1,"Sierra/foothills",IF(J139=1,"Mendocino/lake","Generic California")))))</f>
        <v>Bay area</v>
      </c>
      <c r="S139" s="1" t="str">
        <f>IF(F139=1,"Napa valley",IF(H139=1,"Sonoma","Other"))</f>
        <v>Other</v>
      </c>
      <c r="T139" s="1" t="str">
        <f>IF(M139=1,"Cabernet",IF(N139=1,"Merlot",IF(L139=1,"Pinot noir","Other")))</f>
        <v>Other</v>
      </c>
      <c r="U139" s="1" t="str">
        <f>IF(F139=1,B139,"")</f>
        <v/>
      </c>
      <c r="V139" s="1">
        <f>IF(F139=0,B139,"")</f>
        <v>14</v>
      </c>
      <c r="W139" s="1">
        <f>'Part B'!$B$150+SUMPRODUCT('Part B'!$B$164:$N$164,C139:O139)</f>
        <v>22.3002286159104</v>
      </c>
      <c r="X139" s="1">
        <f>B139-W139</f>
        <v>-8.30022861591044</v>
      </c>
      <c r="Y139" s="1">
        <f>'Part B'!$B$179+SUMPRODUCT('Part B'!$B$193:$N$193,C139:O139)</f>
        <v>2.87644170527273</v>
      </c>
      <c r="Z139" s="1">
        <f>P139-Y139</f>
        <v>-0.237384375657467</v>
      </c>
      <c r="AB139" s="1">
        <f>C139</f>
        <v>7</v>
      </c>
      <c r="AC139" s="1">
        <f>D139</f>
        <v>89</v>
      </c>
      <c r="AD139" s="1">
        <f>E139</f>
        <v>2</v>
      </c>
      <c r="AE139" s="1">
        <f>F139</f>
        <v>0</v>
      </c>
      <c r="AF139" s="1">
        <f>G139</f>
        <v>1</v>
      </c>
      <c r="AG139" s="1">
        <f>I139</f>
        <v>0</v>
      </c>
      <c r="AH139" s="1">
        <f>J139</f>
        <v>0</v>
      </c>
      <c r="AI139" s="1">
        <f>Q139</f>
        <v>0</v>
      </c>
      <c r="AJ139" s="1">
        <f>K139</f>
        <v>0</v>
      </c>
      <c r="AK139" s="1">
        <f>L139</f>
        <v>0</v>
      </c>
      <c r="AL139" s="1">
        <f>M139</f>
        <v>0</v>
      </c>
      <c r="AM139" s="1">
        <f>N139</f>
        <v>0</v>
      </c>
      <c r="AN139" s="1">
        <f>O139</f>
        <v>0</v>
      </c>
    </row>
    <row r="140">
      <c r="A140" s="1">
        <v>175</v>
      </c>
      <c r="B140" s="1">
        <v>14</v>
      </c>
      <c r="C140" s="1">
        <v>0.57</v>
      </c>
      <c r="D140" s="1">
        <v>90</v>
      </c>
      <c r="E140" s="1">
        <v>2</v>
      </c>
      <c r="F140" s="1">
        <v>0</v>
      </c>
      <c r="G140" s="1">
        <v>0</v>
      </c>
      <c r="H140" s="1">
        <v>0</v>
      </c>
      <c r="I140" s="1">
        <v>0</v>
      </c>
      <c r="J140" s="1">
        <v>0</v>
      </c>
      <c r="K140" s="1">
        <v>0</v>
      </c>
      <c r="L140" s="1">
        <v>0</v>
      </c>
      <c r="M140" s="1">
        <v>0</v>
      </c>
      <c r="N140" s="1">
        <v>0</v>
      </c>
      <c r="O140" s="1">
        <v>0</v>
      </c>
      <c r="P140" s="1">
        <f>LN(B140)</f>
        <v>2.63905732961526</v>
      </c>
      <c r="Q140" s="1">
        <f>1-SUM(F140:J140)</f>
        <v>1</v>
      </c>
      <c r="R140" s="1" t="str">
        <f>IF(F140=1,"Napa valley",IF(G140=1,"Bay area",IF(H140=1,"Sonoma",IF(I140=1,"Sierra/foothills",IF(J140=1,"Mendocino/lake","Generic California")))))</f>
        <v>Generic California</v>
      </c>
      <c r="S140" s="1" t="str">
        <f>IF(F140=1,"Napa valley",IF(H140=1,"Sonoma","Other"))</f>
        <v>Other</v>
      </c>
      <c r="T140" s="1" t="str">
        <f>IF(M140=1,"Cabernet",IF(N140=1,"Merlot",IF(L140=1,"Pinot noir","Other")))</f>
        <v>Other</v>
      </c>
      <c r="U140" s="1" t="str">
        <f>IF(F140=1,B140,"")</f>
        <v/>
      </c>
      <c r="V140" s="1">
        <f>IF(F140=0,B140,"")</f>
        <v>14</v>
      </c>
      <c r="W140" s="1">
        <f>'Part B'!$B$150+SUMPRODUCT('Part B'!$B$164:$N$164,C140:O140)</f>
        <v>23.7767435200649</v>
      </c>
      <c r="X140" s="1">
        <f>B140-W140</f>
        <v>-9.77674352006494</v>
      </c>
      <c r="Y140" s="1">
        <f>'Part B'!$B$179+SUMPRODUCT('Part B'!$B$193:$N$193,C140:O140)</f>
        <v>2.71893050302507</v>
      </c>
      <c r="Z140" s="1">
        <f>P140-Y140</f>
        <v>-0.0798731734098088</v>
      </c>
      <c r="AB140" s="1">
        <f>C140</f>
        <v>0.57</v>
      </c>
      <c r="AC140" s="1">
        <f>D140</f>
        <v>90</v>
      </c>
      <c r="AD140" s="1">
        <f>E140</f>
        <v>2</v>
      </c>
      <c r="AE140" s="1">
        <f>F140</f>
        <v>0</v>
      </c>
      <c r="AF140" s="1">
        <f>G140</f>
        <v>0</v>
      </c>
      <c r="AG140" s="1">
        <f>I140</f>
        <v>0</v>
      </c>
      <c r="AH140" s="1">
        <f>J140</f>
        <v>0</v>
      </c>
      <c r="AI140" s="1">
        <f>Q140</f>
        <v>1</v>
      </c>
      <c r="AJ140" s="1">
        <f>K140</f>
        <v>0</v>
      </c>
      <c r="AK140" s="1">
        <f>L140</f>
        <v>0</v>
      </c>
      <c r="AL140" s="1">
        <f>M140</f>
        <v>0</v>
      </c>
      <c r="AM140" s="1">
        <f>N140</f>
        <v>0</v>
      </c>
      <c r="AN140" s="1">
        <f>O140</f>
        <v>0</v>
      </c>
    </row>
    <row r="141">
      <c r="A141" s="1">
        <v>176</v>
      </c>
      <c r="B141" s="1">
        <v>14</v>
      </c>
      <c r="C141" s="1">
        <v>30</v>
      </c>
      <c r="D141" s="1">
        <v>85</v>
      </c>
      <c r="E141" s="1">
        <v>2</v>
      </c>
      <c r="F141" s="1">
        <v>0</v>
      </c>
      <c r="G141" s="1">
        <v>0</v>
      </c>
      <c r="H141" s="1">
        <v>1</v>
      </c>
      <c r="I141" s="1">
        <v>0</v>
      </c>
      <c r="J141" s="1">
        <v>0</v>
      </c>
      <c r="K141" s="1">
        <v>0</v>
      </c>
      <c r="L141" s="1">
        <v>0</v>
      </c>
      <c r="M141" s="1">
        <v>1</v>
      </c>
      <c r="N141" s="1">
        <v>0</v>
      </c>
      <c r="O141" s="1">
        <v>0</v>
      </c>
      <c r="P141" s="1">
        <f>LN(B141)</f>
        <v>2.63905732961526</v>
      </c>
      <c r="Q141" s="1">
        <f>1-SUM(F141:J141)</f>
        <v>0</v>
      </c>
      <c r="R141" s="1" t="str">
        <f>IF(F141=1,"Napa valley",IF(G141=1,"Bay area",IF(H141=1,"Sonoma",IF(I141=1,"Sierra/foothills",IF(J141=1,"Mendocino/lake","Generic California")))))</f>
        <v>Sonoma</v>
      </c>
      <c r="S141" s="1" t="str">
        <f>IF(F141=1,"Napa valley",IF(H141=1,"Sonoma","Other"))</f>
        <v>Sonoma</v>
      </c>
      <c r="T141" s="1" t="str">
        <f>IF(M141=1,"Cabernet",IF(N141=1,"Merlot",IF(L141=1,"Pinot noir","Other")))</f>
        <v>Cabernet</v>
      </c>
      <c r="U141" s="1" t="str">
        <f>IF(F141=1,B141,"")</f>
        <v/>
      </c>
      <c r="V141" s="1">
        <f>IF(F141=0,B141,"")</f>
        <v>14</v>
      </c>
      <c r="W141" s="1">
        <f>'Part B'!$B$150+SUMPRODUCT('Part B'!$B$164:$N$164,C141:O141)</f>
        <v>17.0497560737719</v>
      </c>
      <c r="X141" s="1">
        <f>B141-W141</f>
        <v>-3.0497560737719</v>
      </c>
      <c r="Y141" s="1">
        <f>'Part B'!$B$179+SUMPRODUCT('Part B'!$B$193:$N$193,C141:O141)</f>
        <v>2.84611822131893</v>
      </c>
      <c r="Z141" s="1">
        <f>P141-Y141</f>
        <v>-0.207060891703669</v>
      </c>
      <c r="AB141" s="1">
        <f>C141</f>
        <v>30</v>
      </c>
      <c r="AC141" s="1">
        <f>D141</f>
        <v>85</v>
      </c>
      <c r="AD141" s="1">
        <f>E141</f>
        <v>2</v>
      </c>
      <c r="AE141" s="1">
        <f>F141</f>
        <v>0</v>
      </c>
      <c r="AF141" s="1">
        <f>G141</f>
        <v>0</v>
      </c>
      <c r="AG141" s="1">
        <f>I141</f>
        <v>0</v>
      </c>
      <c r="AH141" s="1">
        <f>J141</f>
        <v>0</v>
      </c>
      <c r="AI141" s="1">
        <f>Q141</f>
        <v>0</v>
      </c>
      <c r="AJ141" s="1">
        <f>K141</f>
        <v>0</v>
      </c>
      <c r="AK141" s="1">
        <f>L141</f>
        <v>0</v>
      </c>
      <c r="AL141" s="1">
        <f>M141</f>
        <v>1</v>
      </c>
      <c r="AM141" s="1">
        <f>N141</f>
        <v>0</v>
      </c>
      <c r="AN141" s="1">
        <f>O141</f>
        <v>0</v>
      </c>
    </row>
    <row r="142">
      <c r="A142" s="1">
        <v>178</v>
      </c>
      <c r="B142" s="1">
        <v>15</v>
      </c>
      <c r="C142" s="1">
        <v>0.683</v>
      </c>
      <c r="D142" s="1">
        <v>81</v>
      </c>
      <c r="E142" s="1">
        <v>4</v>
      </c>
      <c r="F142" s="1">
        <v>0</v>
      </c>
      <c r="G142" s="1">
        <v>0</v>
      </c>
      <c r="H142" s="1">
        <v>0</v>
      </c>
      <c r="I142" s="1">
        <v>1</v>
      </c>
      <c r="J142" s="1">
        <v>0</v>
      </c>
      <c r="K142" s="1">
        <v>1</v>
      </c>
      <c r="L142" s="1">
        <v>0</v>
      </c>
      <c r="M142" s="1">
        <v>0</v>
      </c>
      <c r="N142" s="1">
        <v>0</v>
      </c>
      <c r="O142" s="1">
        <v>0</v>
      </c>
      <c r="P142" s="1">
        <f>LN(B142)</f>
        <v>2.70805020110221</v>
      </c>
      <c r="Q142" s="1">
        <f>1-SUM(F142:J142)</f>
        <v>0</v>
      </c>
      <c r="R142" s="1" t="str">
        <f>IF(F142=1,"Napa valley",IF(G142=1,"Bay area",IF(H142=1,"Sonoma",IF(I142=1,"Sierra/foothills",IF(J142=1,"Mendocino/lake","Generic California")))))</f>
        <v>Sierra/foothills</v>
      </c>
      <c r="S142" s="1" t="str">
        <f>IF(F142=1,"Napa valley",IF(H142=1,"Sonoma","Other"))</f>
        <v>Other</v>
      </c>
      <c r="T142" s="1" t="str">
        <f>IF(M142=1,"Cabernet",IF(N142=1,"Merlot",IF(L142=1,"Pinot noir","Other")))</f>
        <v>Other</v>
      </c>
      <c r="U142" s="1" t="str">
        <f>IF(F142=1,B142,"")</f>
        <v/>
      </c>
      <c r="V142" s="1">
        <f>IF(F142=0,B142,"")</f>
        <v>15</v>
      </c>
      <c r="W142" s="1">
        <f>'Part B'!$B$150+SUMPRODUCT('Part B'!$B$164:$N$164,C142:O142)</f>
        <v>34.0111201328289</v>
      </c>
      <c r="X142" s="1">
        <f>B142-W142</f>
        <v>-19.0111201328289</v>
      </c>
      <c r="Y142" s="1">
        <f>'Part B'!$B$179+SUMPRODUCT('Part B'!$B$193:$N$193,C142:O142)</f>
        <v>3.18478719515102</v>
      </c>
      <c r="Z142" s="1">
        <f>P142-Y142</f>
        <v>-0.476736994048805</v>
      </c>
      <c r="AB142" s="1">
        <f>C142</f>
        <v>0.683</v>
      </c>
      <c r="AC142" s="1">
        <f>D142</f>
        <v>81</v>
      </c>
      <c r="AD142" s="1">
        <f>E142</f>
        <v>4</v>
      </c>
      <c r="AE142" s="1">
        <f>F142</f>
        <v>0</v>
      </c>
      <c r="AF142" s="1">
        <f>G142</f>
        <v>0</v>
      </c>
      <c r="AG142" s="1">
        <f>I142</f>
        <v>1</v>
      </c>
      <c r="AH142" s="1">
        <f>J142</f>
        <v>0</v>
      </c>
      <c r="AI142" s="1">
        <f>Q142</f>
        <v>0</v>
      </c>
      <c r="AJ142" s="1">
        <f>K142</f>
        <v>1</v>
      </c>
      <c r="AK142" s="1">
        <f>L142</f>
        <v>0</v>
      </c>
      <c r="AL142" s="1">
        <f>M142</f>
        <v>0</v>
      </c>
      <c r="AM142" s="1">
        <f>N142</f>
        <v>0</v>
      </c>
      <c r="AN142" s="1">
        <f>O142</f>
        <v>0</v>
      </c>
    </row>
    <row r="143">
      <c r="A143" s="1">
        <v>180</v>
      </c>
      <c r="B143" s="1">
        <v>15</v>
      </c>
      <c r="C143" s="1">
        <v>4</v>
      </c>
      <c r="D143" s="1">
        <v>78</v>
      </c>
      <c r="E143" s="1">
        <v>3</v>
      </c>
      <c r="F143" s="1">
        <v>1</v>
      </c>
      <c r="G143" s="1">
        <v>0</v>
      </c>
      <c r="H143" s="1">
        <v>0</v>
      </c>
      <c r="I143" s="1">
        <v>0</v>
      </c>
      <c r="J143" s="1">
        <v>0</v>
      </c>
      <c r="K143" s="1">
        <v>0</v>
      </c>
      <c r="L143" s="1">
        <v>0</v>
      </c>
      <c r="M143" s="1">
        <v>1</v>
      </c>
      <c r="N143" s="1">
        <v>0</v>
      </c>
      <c r="O143" s="1">
        <v>0</v>
      </c>
      <c r="P143" s="1">
        <f>LN(B143)</f>
        <v>2.70805020110221</v>
      </c>
      <c r="Q143" s="1">
        <f>1-SUM(F143:J143)</f>
        <v>0</v>
      </c>
      <c r="R143" s="1" t="str">
        <f>IF(F143=1,"Napa valley",IF(G143=1,"Bay area",IF(H143=1,"Sonoma",IF(I143=1,"Sierra/foothills",IF(J143=1,"Mendocino/lake","Generic California")))))</f>
        <v>Napa valley</v>
      </c>
      <c r="S143" s="1" t="str">
        <f>IF(F143=1,"Napa valley",IF(H143=1,"Sonoma","Other"))</f>
        <v>Napa valley</v>
      </c>
      <c r="T143" s="1" t="str">
        <f>IF(M143=1,"Cabernet",IF(N143=1,"Merlot",IF(L143=1,"Pinot noir","Other")))</f>
        <v>Cabernet</v>
      </c>
      <c r="U143" s="1">
        <f>IF(F143=1,B143,"")</f>
        <v>15</v>
      </c>
      <c r="V143" s="1" t="str">
        <f>IF(F143=0,B143,"")</f>
        <v/>
      </c>
      <c r="W143" s="1">
        <f>'Part B'!$B$150+SUMPRODUCT('Part B'!$B$164:$N$164,C143:O143)</f>
        <v>12.017887015804</v>
      </c>
      <c r="X143" s="1">
        <f>B143-W143</f>
        <v>2.98211298419602</v>
      </c>
      <c r="Y143" s="1">
        <f>'Part B'!$B$179+SUMPRODUCT('Part B'!$B$193:$N$193,C143:O143)</f>
        <v>2.79851723285089</v>
      </c>
      <c r="Z143" s="1">
        <f>P143-Y143</f>
        <v>-0.0904670317486827</v>
      </c>
      <c r="AB143" s="1">
        <f>C143</f>
        <v>4</v>
      </c>
      <c r="AC143" s="1">
        <f>D143</f>
        <v>78</v>
      </c>
      <c r="AD143" s="1">
        <f>E143</f>
        <v>3</v>
      </c>
      <c r="AE143" s="1">
        <f>F143</f>
        <v>1</v>
      </c>
      <c r="AF143" s="1">
        <f>G143</f>
        <v>0</v>
      </c>
      <c r="AG143" s="1">
        <f>I143</f>
        <v>0</v>
      </c>
      <c r="AH143" s="1">
        <f>J143</f>
        <v>0</v>
      </c>
      <c r="AI143" s="1">
        <f>Q143</f>
        <v>0</v>
      </c>
      <c r="AJ143" s="1">
        <f>K143</f>
        <v>0</v>
      </c>
      <c r="AK143" s="1">
        <f>L143</f>
        <v>0</v>
      </c>
      <c r="AL143" s="1">
        <f>M143</f>
        <v>1</v>
      </c>
      <c r="AM143" s="1">
        <f>N143</f>
        <v>0</v>
      </c>
      <c r="AN143" s="1">
        <f>O143</f>
        <v>0</v>
      </c>
    </row>
    <row r="144">
      <c r="A144" s="1">
        <v>182</v>
      </c>
      <c r="B144" s="1">
        <v>15</v>
      </c>
      <c r="C144" s="1">
        <v>1.85</v>
      </c>
      <c r="D144" s="1">
        <v>88</v>
      </c>
      <c r="E144" s="1">
        <v>3</v>
      </c>
      <c r="F144" s="1">
        <v>0</v>
      </c>
      <c r="G144" s="1">
        <v>0</v>
      </c>
      <c r="H144" s="1">
        <v>0</v>
      </c>
      <c r="I144" s="1">
        <v>1</v>
      </c>
      <c r="J144" s="1">
        <v>0</v>
      </c>
      <c r="K144" s="1">
        <v>0</v>
      </c>
      <c r="L144" s="1">
        <v>0</v>
      </c>
      <c r="M144" s="1">
        <v>0</v>
      </c>
      <c r="N144" s="1">
        <v>0</v>
      </c>
      <c r="O144" s="1">
        <v>0</v>
      </c>
      <c r="P144" s="1">
        <f>LN(B144)</f>
        <v>2.70805020110221</v>
      </c>
      <c r="Q144" s="1">
        <f>1-SUM(F144:J144)</f>
        <v>0</v>
      </c>
      <c r="R144" s="1" t="str">
        <f>IF(F144=1,"Napa valley",IF(G144=1,"Bay area",IF(H144=1,"Sonoma",IF(I144=1,"Sierra/foothills",IF(J144=1,"Mendocino/lake","Generic California")))))</f>
        <v>Sierra/foothills</v>
      </c>
      <c r="S144" s="1" t="str">
        <f>IF(F144=1,"Napa valley",IF(H144=1,"Sonoma","Other"))</f>
        <v>Other</v>
      </c>
      <c r="T144" s="1" t="str">
        <f>IF(M144=1,"Cabernet",IF(N144=1,"Merlot",IF(L144=1,"Pinot noir","Other")))</f>
        <v>Other</v>
      </c>
      <c r="U144" s="1" t="str">
        <f>IF(F144=1,B144,"")</f>
        <v/>
      </c>
      <c r="V144" s="1">
        <f>IF(F144=0,B144,"")</f>
        <v>15</v>
      </c>
      <c r="W144" s="1">
        <f>'Part B'!$B$150+SUMPRODUCT('Part B'!$B$164:$N$164,C144:O144)</f>
        <v>29.0086372444769</v>
      </c>
      <c r="X144" s="1">
        <f>B144-W144</f>
        <v>-14.0086372444769</v>
      </c>
      <c r="Y144" s="1">
        <f>'Part B'!$B$179+SUMPRODUCT('Part B'!$B$193:$N$193,C144:O144)</f>
        <v>3.0078503589119</v>
      </c>
      <c r="Z144" s="1">
        <f>P144-Y144</f>
        <v>-0.299800157809693</v>
      </c>
      <c r="AB144" s="1">
        <f>C144</f>
        <v>1.85</v>
      </c>
      <c r="AC144" s="1">
        <f>D144</f>
        <v>88</v>
      </c>
      <c r="AD144" s="1">
        <f>E144</f>
        <v>3</v>
      </c>
      <c r="AE144" s="1">
        <f>F144</f>
        <v>0</v>
      </c>
      <c r="AF144" s="1">
        <f>G144</f>
        <v>0</v>
      </c>
      <c r="AG144" s="1">
        <f>I144</f>
        <v>1</v>
      </c>
      <c r="AH144" s="1">
        <f>J144</f>
        <v>0</v>
      </c>
      <c r="AI144" s="1">
        <f>Q144</f>
        <v>0</v>
      </c>
      <c r="AJ144" s="1">
        <f>K144</f>
        <v>0</v>
      </c>
      <c r="AK144" s="1">
        <f>L144</f>
        <v>0</v>
      </c>
      <c r="AL144" s="1">
        <f>M144</f>
        <v>0</v>
      </c>
      <c r="AM144" s="1">
        <f>N144</f>
        <v>0</v>
      </c>
      <c r="AN144" s="1">
        <f>O144</f>
        <v>0</v>
      </c>
    </row>
    <row r="145">
      <c r="A145" s="1">
        <v>185</v>
      </c>
      <c r="B145" s="1">
        <v>15</v>
      </c>
      <c r="C145" s="1">
        <v>1.6</v>
      </c>
      <c r="D145" s="1">
        <v>84</v>
      </c>
      <c r="E145" s="1">
        <v>3</v>
      </c>
      <c r="F145" s="1">
        <v>0</v>
      </c>
      <c r="G145" s="1">
        <v>0</v>
      </c>
      <c r="H145" s="1">
        <v>1</v>
      </c>
      <c r="I145" s="1">
        <v>0</v>
      </c>
      <c r="J145" s="1">
        <v>0</v>
      </c>
      <c r="K145" s="1">
        <v>0</v>
      </c>
      <c r="L145" s="1">
        <v>0</v>
      </c>
      <c r="M145" s="1">
        <v>1</v>
      </c>
      <c r="N145" s="1">
        <v>0</v>
      </c>
      <c r="O145" s="1">
        <v>0</v>
      </c>
      <c r="P145" s="1">
        <f>LN(B145)</f>
        <v>2.70805020110221</v>
      </c>
      <c r="Q145" s="1">
        <f>1-SUM(F145:J145)</f>
        <v>0</v>
      </c>
      <c r="R145" s="1" t="str">
        <f>IF(F145=1,"Napa valley",IF(G145=1,"Bay area",IF(H145=1,"Sonoma",IF(I145=1,"Sierra/foothills",IF(J145=1,"Mendocino/lake","Generic California")))))</f>
        <v>Sonoma</v>
      </c>
      <c r="S145" s="1" t="str">
        <f>IF(F145=1,"Napa valley",IF(H145=1,"Sonoma","Other"))</f>
        <v>Sonoma</v>
      </c>
      <c r="T145" s="1" t="str">
        <f>IF(M145=1,"Cabernet",IF(N145=1,"Merlot",IF(L145=1,"Pinot noir","Other")))</f>
        <v>Cabernet</v>
      </c>
      <c r="U145" s="1" t="str">
        <f>IF(F145=1,B145,"")</f>
        <v/>
      </c>
      <c r="V145" s="1">
        <f>IF(F145=0,B145,"")</f>
        <v>15</v>
      </c>
      <c r="W145" s="1">
        <f>'Part B'!$B$150+SUMPRODUCT('Part B'!$B$164:$N$164,C145:O145)</f>
        <v>23.2198147972828</v>
      </c>
      <c r="X145" s="1">
        <f>B145-W145</f>
        <v>-8.21981479728277</v>
      </c>
      <c r="Y145" s="1">
        <f>'Part B'!$B$179+SUMPRODUCT('Part B'!$B$193:$N$193,C145:O145)</f>
        <v>3.08076764188348</v>
      </c>
      <c r="Z145" s="1">
        <f>P145-Y145</f>
        <v>-0.372717440781273</v>
      </c>
      <c r="AB145" s="1">
        <f>C145</f>
        <v>1.6</v>
      </c>
      <c r="AC145" s="1">
        <f>D145</f>
        <v>84</v>
      </c>
      <c r="AD145" s="1">
        <f>E145</f>
        <v>3</v>
      </c>
      <c r="AE145" s="1">
        <f>F145</f>
        <v>0</v>
      </c>
      <c r="AF145" s="1">
        <f>G145</f>
        <v>0</v>
      </c>
      <c r="AG145" s="1">
        <f>I145</f>
        <v>0</v>
      </c>
      <c r="AH145" s="1">
        <f>J145</f>
        <v>0</v>
      </c>
      <c r="AI145" s="1">
        <f>Q145</f>
        <v>0</v>
      </c>
      <c r="AJ145" s="1">
        <f>K145</f>
        <v>0</v>
      </c>
      <c r="AK145" s="1">
        <f>L145</f>
        <v>0</v>
      </c>
      <c r="AL145" s="1">
        <f>M145</f>
        <v>1</v>
      </c>
      <c r="AM145" s="1">
        <f>N145</f>
        <v>0</v>
      </c>
      <c r="AN145" s="1">
        <f>O145</f>
        <v>0</v>
      </c>
    </row>
    <row r="146">
      <c r="A146" s="1">
        <v>187</v>
      </c>
      <c r="B146" s="1">
        <v>15</v>
      </c>
      <c r="C146" s="1">
        <v>0.319</v>
      </c>
      <c r="D146" s="1">
        <v>82</v>
      </c>
      <c r="E146" s="1">
        <v>3</v>
      </c>
      <c r="F146" s="1">
        <v>0</v>
      </c>
      <c r="G146" s="1">
        <v>1</v>
      </c>
      <c r="H146" s="1">
        <v>0</v>
      </c>
      <c r="I146" s="1">
        <v>0</v>
      </c>
      <c r="J146" s="1">
        <v>0</v>
      </c>
      <c r="K146" s="1">
        <v>0</v>
      </c>
      <c r="L146" s="1">
        <v>0</v>
      </c>
      <c r="M146" s="1">
        <v>0</v>
      </c>
      <c r="N146" s="1">
        <v>1</v>
      </c>
      <c r="O146" s="1">
        <v>0</v>
      </c>
      <c r="P146" s="1">
        <f>LN(B146)</f>
        <v>2.70805020110221</v>
      </c>
      <c r="Q146" s="1">
        <f>1-SUM(F146:J146)</f>
        <v>0</v>
      </c>
      <c r="R146" s="1" t="str">
        <f>IF(F146=1,"Napa valley",IF(G146=1,"Bay area",IF(H146=1,"Sonoma",IF(I146=1,"Sierra/foothills",IF(J146=1,"Mendocino/lake","Generic California")))))</f>
        <v>Bay area</v>
      </c>
      <c r="S146" s="1" t="str">
        <f>IF(F146=1,"Napa valley",IF(H146=1,"Sonoma","Other"))</f>
        <v>Other</v>
      </c>
      <c r="T146" s="1" t="str">
        <f>IF(M146=1,"Cabernet",IF(N146=1,"Merlot",IF(L146=1,"Pinot noir","Other")))</f>
        <v>Merlot</v>
      </c>
      <c r="U146" s="1" t="str">
        <f>IF(F146=1,B146,"")</f>
        <v/>
      </c>
      <c r="V146" s="1">
        <f>IF(F146=0,B146,"")</f>
        <v>15</v>
      </c>
      <c r="W146" s="1">
        <f>'Part B'!$B$150+SUMPRODUCT('Part B'!$B$164:$N$164,C146:O146)</f>
        <v>15.1984821770259</v>
      </c>
      <c r="X146" s="1">
        <f>B146-W146</f>
        <v>-0.19848217702588</v>
      </c>
      <c r="Y146" s="1">
        <f>'Part B'!$B$179+SUMPRODUCT('Part B'!$B$193:$N$193,C146:O146)</f>
        <v>2.88290058359698</v>
      </c>
      <c r="Z146" s="1">
        <f>P146-Y146</f>
        <v>-0.174850382494772</v>
      </c>
      <c r="AB146" s="1">
        <f>C146</f>
        <v>0.319</v>
      </c>
      <c r="AC146" s="1">
        <f>D146</f>
        <v>82</v>
      </c>
      <c r="AD146" s="1">
        <f>E146</f>
        <v>3</v>
      </c>
      <c r="AE146" s="1">
        <f>F146</f>
        <v>0</v>
      </c>
      <c r="AF146" s="1">
        <f>G146</f>
        <v>1</v>
      </c>
      <c r="AG146" s="1">
        <f>I146</f>
        <v>0</v>
      </c>
      <c r="AH146" s="1">
        <f>J146</f>
        <v>0</v>
      </c>
      <c r="AI146" s="1">
        <f>Q146</f>
        <v>0</v>
      </c>
      <c r="AJ146" s="1">
        <f>K146</f>
        <v>0</v>
      </c>
      <c r="AK146" s="1">
        <f>L146</f>
        <v>0</v>
      </c>
      <c r="AL146" s="1">
        <f>M146</f>
        <v>0</v>
      </c>
      <c r="AM146" s="1">
        <f>N146</f>
        <v>1</v>
      </c>
      <c r="AN146" s="1">
        <f>O146</f>
        <v>0</v>
      </c>
    </row>
    <row r="147">
      <c r="A147" s="1">
        <v>189</v>
      </c>
      <c r="B147" s="1">
        <v>15</v>
      </c>
      <c r="C147" s="1">
        <v>0.4</v>
      </c>
      <c r="D147" s="1">
        <v>86</v>
      </c>
      <c r="E147" s="1">
        <v>3</v>
      </c>
      <c r="F147" s="1">
        <v>0</v>
      </c>
      <c r="G147" s="1">
        <v>0</v>
      </c>
      <c r="H147" s="1">
        <v>0</v>
      </c>
      <c r="I147" s="1">
        <v>1</v>
      </c>
      <c r="J147" s="1">
        <v>0</v>
      </c>
      <c r="K147" s="1">
        <v>0</v>
      </c>
      <c r="L147" s="1">
        <v>0</v>
      </c>
      <c r="M147" s="1">
        <v>0</v>
      </c>
      <c r="N147" s="1">
        <v>0</v>
      </c>
      <c r="O147" s="1">
        <v>0</v>
      </c>
      <c r="P147" s="1">
        <f>LN(B147)</f>
        <v>2.70805020110221</v>
      </c>
      <c r="Q147" s="1">
        <f>1-SUM(F147:J147)</f>
        <v>0</v>
      </c>
      <c r="R147" s="1" t="str">
        <f>IF(F147=1,"Napa valley",IF(G147=1,"Bay area",IF(H147=1,"Sonoma",IF(I147=1,"Sierra/foothills",IF(J147=1,"Mendocino/lake","Generic California")))))</f>
        <v>Sierra/foothills</v>
      </c>
      <c r="S147" s="1" t="str">
        <f>IF(F147=1,"Napa valley",IF(H147=1,"Sonoma","Other"))</f>
        <v>Other</v>
      </c>
      <c r="T147" s="1" t="str">
        <f>IF(M147=1,"Cabernet",IF(N147=1,"Merlot",IF(L147=1,"Pinot noir","Other")))</f>
        <v>Other</v>
      </c>
      <c r="U147" s="1" t="str">
        <f>IF(F147=1,B147,"")</f>
        <v/>
      </c>
      <c r="V147" s="1">
        <f>IF(F147=0,B147,"")</f>
        <v>15</v>
      </c>
      <c r="W147" s="1">
        <f>'Part B'!$B$150+SUMPRODUCT('Part B'!$B$164:$N$164,C147:O147)</f>
        <v>22.8560680257191</v>
      </c>
      <c r="X147" s="1">
        <f>B147-W147</f>
        <v>-7.85606802571914</v>
      </c>
      <c r="Y147" s="1">
        <f>'Part B'!$B$179+SUMPRODUCT('Part B'!$B$193:$N$193,C147:O147)</f>
        <v>2.87413226867742</v>
      </c>
      <c r="Z147" s="1">
        <f>P147-Y147</f>
        <v>-0.166082067575211</v>
      </c>
      <c r="AB147" s="1">
        <f>C147</f>
        <v>0.4</v>
      </c>
      <c r="AC147" s="1">
        <f>D147</f>
        <v>86</v>
      </c>
      <c r="AD147" s="1">
        <f>E147</f>
        <v>3</v>
      </c>
      <c r="AE147" s="1">
        <f>F147</f>
        <v>0</v>
      </c>
      <c r="AF147" s="1">
        <f>G147</f>
        <v>0</v>
      </c>
      <c r="AG147" s="1">
        <f>I147</f>
        <v>1</v>
      </c>
      <c r="AH147" s="1">
        <f>J147</f>
        <v>0</v>
      </c>
      <c r="AI147" s="1">
        <f>Q147</f>
        <v>0</v>
      </c>
      <c r="AJ147" s="1">
        <f>K147</f>
        <v>0</v>
      </c>
      <c r="AK147" s="1">
        <f>L147</f>
        <v>0</v>
      </c>
      <c r="AL147" s="1">
        <f>M147</f>
        <v>0</v>
      </c>
      <c r="AM147" s="1">
        <f>N147</f>
        <v>0</v>
      </c>
      <c r="AN147" s="1">
        <f>O147</f>
        <v>0</v>
      </c>
    </row>
    <row r="148">
      <c r="A148" s="1">
        <v>190</v>
      </c>
      <c r="B148" s="1">
        <v>15</v>
      </c>
      <c r="C148" s="1">
        <v>1.45</v>
      </c>
      <c r="D148" s="1">
        <v>83</v>
      </c>
      <c r="E148" s="1">
        <v>3</v>
      </c>
      <c r="F148" s="1">
        <v>0</v>
      </c>
      <c r="G148" s="1">
        <v>0</v>
      </c>
      <c r="H148" s="1">
        <v>1</v>
      </c>
      <c r="I148" s="1">
        <v>0</v>
      </c>
      <c r="J148" s="1">
        <v>0</v>
      </c>
      <c r="K148" s="1">
        <v>0</v>
      </c>
      <c r="L148" s="1">
        <v>0</v>
      </c>
      <c r="M148" s="1">
        <v>0</v>
      </c>
      <c r="N148" s="1">
        <v>0</v>
      </c>
      <c r="O148" s="1">
        <v>0</v>
      </c>
      <c r="P148" s="1">
        <f>LN(B148)</f>
        <v>2.70805020110221</v>
      </c>
      <c r="Q148" s="1">
        <f>1-SUM(F148:J148)</f>
        <v>0</v>
      </c>
      <c r="R148" s="1" t="str">
        <f>IF(F148=1,"Napa valley",IF(G148=1,"Bay area",IF(H148=1,"Sonoma",IF(I148=1,"Sierra/foothills",IF(J148=1,"Mendocino/lake","Generic California")))))</f>
        <v>Sonoma</v>
      </c>
      <c r="S148" s="1" t="str">
        <f>IF(F148=1,"Napa valley",IF(H148=1,"Sonoma","Other"))</f>
        <v>Sonoma</v>
      </c>
      <c r="T148" s="1" t="str">
        <f>IF(M148=1,"Cabernet",IF(N148=1,"Merlot",IF(L148=1,"Pinot noir","Other")))</f>
        <v>Other</v>
      </c>
      <c r="U148" s="1" t="str">
        <f>IF(F148=1,B148,"")</f>
        <v/>
      </c>
      <c r="V148" s="1">
        <f>IF(F148=0,B148,"")</f>
        <v>15</v>
      </c>
      <c r="W148" s="1">
        <f>'Part B'!$B$150+SUMPRODUCT('Part B'!$B$164:$N$164,C148:O148)</f>
        <v>7.46170112817634</v>
      </c>
      <c r="X148" s="1">
        <f>B148-W148</f>
        <v>7.53829887182366</v>
      </c>
      <c r="Y148" s="1">
        <f>'Part B'!$B$179+SUMPRODUCT('Part B'!$B$193:$N$193,C148:O148)</f>
        <v>2.69045247277045</v>
      </c>
      <c r="Z148" s="1">
        <f>P148-Y148</f>
        <v>0.0175977283317637</v>
      </c>
      <c r="AB148" s="1">
        <f>C148</f>
        <v>1.45</v>
      </c>
      <c r="AC148" s="1">
        <f>D148</f>
        <v>83</v>
      </c>
      <c r="AD148" s="1">
        <f>E148</f>
        <v>3</v>
      </c>
      <c r="AE148" s="1">
        <f>F148</f>
        <v>0</v>
      </c>
      <c r="AF148" s="1">
        <f>G148</f>
        <v>0</v>
      </c>
      <c r="AG148" s="1">
        <f>I148</f>
        <v>0</v>
      </c>
      <c r="AH148" s="1">
        <f>J148</f>
        <v>0</v>
      </c>
      <c r="AI148" s="1">
        <f>Q148</f>
        <v>0</v>
      </c>
      <c r="AJ148" s="1">
        <f>K148</f>
        <v>0</v>
      </c>
      <c r="AK148" s="1">
        <f>L148</f>
        <v>0</v>
      </c>
      <c r="AL148" s="1">
        <f>M148</f>
        <v>0</v>
      </c>
      <c r="AM148" s="1">
        <f>N148</f>
        <v>0</v>
      </c>
      <c r="AN148" s="1">
        <f>O148</f>
        <v>0</v>
      </c>
    </row>
    <row r="149">
      <c r="A149" s="1">
        <v>195</v>
      </c>
      <c r="B149" s="1">
        <v>15</v>
      </c>
      <c r="C149" s="1">
        <v>0.3</v>
      </c>
      <c r="D149" s="1">
        <v>87</v>
      </c>
      <c r="E149" s="1">
        <v>3</v>
      </c>
      <c r="F149" s="1">
        <v>1</v>
      </c>
      <c r="G149" s="1">
        <v>0</v>
      </c>
      <c r="H149" s="1">
        <v>0</v>
      </c>
      <c r="I149" s="1">
        <v>0</v>
      </c>
      <c r="J149" s="1">
        <v>0</v>
      </c>
      <c r="K149" s="1">
        <v>0</v>
      </c>
      <c r="L149" s="1">
        <v>0</v>
      </c>
      <c r="M149" s="1">
        <v>1</v>
      </c>
      <c r="N149" s="1">
        <v>0</v>
      </c>
      <c r="O149" s="1">
        <v>0</v>
      </c>
      <c r="P149" s="1">
        <f>LN(B149)</f>
        <v>2.70805020110221</v>
      </c>
      <c r="Q149" s="1">
        <f>1-SUM(F149:J149)</f>
        <v>0</v>
      </c>
      <c r="R149" s="1" t="str">
        <f>IF(F149=1,"Napa valley",IF(G149=1,"Bay area",IF(H149=1,"Sonoma",IF(I149=1,"Sierra/foothills",IF(J149=1,"Mendocino/lake","Generic California")))))</f>
        <v>Napa valley</v>
      </c>
      <c r="S149" s="1" t="str">
        <f>IF(F149=1,"Napa valley",IF(H149=1,"Sonoma","Other"))</f>
        <v>Napa valley</v>
      </c>
      <c r="T149" s="1" t="str">
        <f>IF(M149=1,"Cabernet",IF(N149=1,"Merlot",IF(L149=1,"Pinot noir","Other")))</f>
        <v>Cabernet</v>
      </c>
      <c r="U149" s="1">
        <f>IF(F149=1,B149,"")</f>
        <v>15</v>
      </c>
      <c r="V149" s="1" t="str">
        <f>IF(F149=0,B149,"")</f>
        <v/>
      </c>
      <c r="W149" s="1">
        <f>'Part B'!$B$150+SUMPRODUCT('Part B'!$B$164:$N$164,C149:O149)</f>
        <v>40.674941794681</v>
      </c>
      <c r="X149" s="1">
        <f>B149-W149</f>
        <v>-25.674941794681</v>
      </c>
      <c r="Y149" s="1">
        <f>'Part B'!$B$179+SUMPRODUCT('Part B'!$B$193:$N$193,C149:O149)</f>
        <v>3.44400210046454</v>
      </c>
      <c r="Z149" s="1">
        <f>P149-Y149</f>
        <v>-0.735951899362332</v>
      </c>
      <c r="AB149" s="1">
        <f>C149</f>
        <v>0.3</v>
      </c>
      <c r="AC149" s="1">
        <f>D149</f>
        <v>87</v>
      </c>
      <c r="AD149" s="1">
        <f>E149</f>
        <v>3</v>
      </c>
      <c r="AE149" s="1">
        <f>F149</f>
        <v>1</v>
      </c>
      <c r="AF149" s="1">
        <f>G149</f>
        <v>0</v>
      </c>
      <c r="AG149" s="1">
        <f>I149</f>
        <v>0</v>
      </c>
      <c r="AH149" s="1">
        <f>J149</f>
        <v>0</v>
      </c>
      <c r="AI149" s="1">
        <f>Q149</f>
        <v>0</v>
      </c>
      <c r="AJ149" s="1">
        <f>K149</f>
        <v>0</v>
      </c>
      <c r="AK149" s="1">
        <f>L149</f>
        <v>0</v>
      </c>
      <c r="AL149" s="1">
        <f>M149</f>
        <v>1</v>
      </c>
      <c r="AM149" s="1">
        <f>N149</f>
        <v>0</v>
      </c>
      <c r="AN149" s="1">
        <f>O149</f>
        <v>0</v>
      </c>
    </row>
    <row r="150">
      <c r="A150" s="1">
        <v>196</v>
      </c>
      <c r="B150" s="1">
        <v>15</v>
      </c>
      <c r="C150" s="1">
        <v>5</v>
      </c>
      <c r="D150" s="1">
        <v>87</v>
      </c>
      <c r="E150" s="1">
        <v>3</v>
      </c>
      <c r="F150" s="1">
        <v>0</v>
      </c>
      <c r="G150" s="1">
        <v>0</v>
      </c>
      <c r="H150" s="1">
        <v>1</v>
      </c>
      <c r="I150" s="1">
        <v>0</v>
      </c>
      <c r="J150" s="1">
        <v>0</v>
      </c>
      <c r="K150" s="1">
        <v>0</v>
      </c>
      <c r="L150" s="1">
        <v>0</v>
      </c>
      <c r="M150" s="1">
        <v>0</v>
      </c>
      <c r="N150" s="1">
        <v>0</v>
      </c>
      <c r="O150" s="1">
        <v>1</v>
      </c>
      <c r="P150" s="1">
        <f>LN(B150)</f>
        <v>2.70805020110221</v>
      </c>
      <c r="Q150" s="1">
        <f>1-SUM(F150:J150)</f>
        <v>0</v>
      </c>
      <c r="R150" s="1" t="str">
        <f>IF(F150=1,"Napa valley",IF(G150=1,"Bay area",IF(H150=1,"Sonoma",IF(I150=1,"Sierra/foothills",IF(J150=1,"Mendocino/lake","Generic California")))))</f>
        <v>Sonoma</v>
      </c>
      <c r="S150" s="1" t="str">
        <f>IF(F150=1,"Napa valley",IF(H150=1,"Sonoma","Other"))</f>
        <v>Sonoma</v>
      </c>
      <c r="T150" s="1" t="str">
        <f>IF(M150=1,"Cabernet",IF(N150=1,"Merlot",IF(L150=1,"Pinot noir","Other")))</f>
        <v>Other</v>
      </c>
      <c r="U150" s="1" t="str">
        <f>IF(F150=1,B150,"")</f>
        <v/>
      </c>
      <c r="V150" s="1">
        <f>IF(F150=0,B150,"")</f>
        <v>15</v>
      </c>
      <c r="W150" s="1">
        <f>'Part B'!$B$150+SUMPRODUCT('Part B'!$B$164:$N$164,C150:O150)</f>
        <v>19.2988584148663</v>
      </c>
      <c r="X150" s="1">
        <f>B150-W150</f>
        <v>-4.29885841486629</v>
      </c>
      <c r="Y150" s="1">
        <f>'Part B'!$B$179+SUMPRODUCT('Part B'!$B$193:$N$193,C150:O150)</f>
        <v>2.99834121083527</v>
      </c>
      <c r="Z150" s="1">
        <f>P150-Y150</f>
        <v>-0.29029100973306</v>
      </c>
      <c r="AB150" s="1">
        <f>C150</f>
        <v>5</v>
      </c>
      <c r="AC150" s="1">
        <f>D150</f>
        <v>87</v>
      </c>
      <c r="AD150" s="1">
        <f>E150</f>
        <v>3</v>
      </c>
      <c r="AE150" s="1">
        <f>F150</f>
        <v>0</v>
      </c>
      <c r="AF150" s="1">
        <f>G150</f>
        <v>0</v>
      </c>
      <c r="AG150" s="1">
        <f>I150</f>
        <v>0</v>
      </c>
      <c r="AH150" s="1">
        <f>J150</f>
        <v>0</v>
      </c>
      <c r="AI150" s="1">
        <f>Q150</f>
        <v>0</v>
      </c>
      <c r="AJ150" s="1">
        <f>K150</f>
        <v>0</v>
      </c>
      <c r="AK150" s="1">
        <f>L150</f>
        <v>0</v>
      </c>
      <c r="AL150" s="1">
        <f>M150</f>
        <v>0</v>
      </c>
      <c r="AM150" s="1">
        <f>N150</f>
        <v>0</v>
      </c>
      <c r="AN150" s="1">
        <f>O150</f>
        <v>1</v>
      </c>
    </row>
    <row r="151">
      <c r="A151" s="1">
        <v>198</v>
      </c>
      <c r="B151" s="1">
        <v>15</v>
      </c>
      <c r="C151" s="1">
        <v>0.521</v>
      </c>
      <c r="D151" s="1">
        <v>86</v>
      </c>
      <c r="E151" s="1">
        <v>3</v>
      </c>
      <c r="F151" s="1">
        <v>0</v>
      </c>
      <c r="G151" s="1">
        <v>0</v>
      </c>
      <c r="H151" s="1">
        <v>0</v>
      </c>
      <c r="I151" s="1">
        <v>1</v>
      </c>
      <c r="J151" s="1">
        <v>0</v>
      </c>
      <c r="K151" s="1">
        <v>0</v>
      </c>
      <c r="L151" s="1">
        <v>0</v>
      </c>
      <c r="M151" s="1">
        <v>0</v>
      </c>
      <c r="N151" s="1">
        <v>0</v>
      </c>
      <c r="O151" s="1">
        <v>1</v>
      </c>
      <c r="P151" s="1">
        <f>LN(B151)</f>
        <v>2.70805020110221</v>
      </c>
      <c r="Q151" s="1">
        <f>1-SUM(F151:J151)</f>
        <v>0</v>
      </c>
      <c r="R151" s="1" t="str">
        <f>IF(F151=1,"Napa valley",IF(G151=1,"Bay area",IF(H151=1,"Sonoma",IF(I151=1,"Sierra/foothills",IF(J151=1,"Mendocino/lake","Generic California")))))</f>
        <v>Sierra/foothills</v>
      </c>
      <c r="S151" s="1" t="str">
        <f>IF(F151=1,"Napa valley",IF(H151=1,"Sonoma","Other"))</f>
        <v>Other</v>
      </c>
      <c r="T151" s="1" t="str">
        <f>IF(M151=1,"Cabernet",IF(N151=1,"Merlot",IF(L151=1,"Pinot noir","Other")))</f>
        <v>Other</v>
      </c>
      <c r="U151" s="1" t="str">
        <f>IF(F151=1,B151,"")</f>
        <v/>
      </c>
      <c r="V151" s="1">
        <f>IF(F151=0,B151,"")</f>
        <v>15</v>
      </c>
      <c r="W151" s="1">
        <f>'Part B'!$B$150+SUMPRODUCT('Part B'!$B$164:$N$164,C151:O151)</f>
        <v>22.4382962590279</v>
      </c>
      <c r="X151" s="1">
        <f>B151-W151</f>
        <v>-7.43829625902788</v>
      </c>
      <c r="Y151" s="1">
        <f>'Part B'!$B$179+SUMPRODUCT('Part B'!$B$193:$N$193,C151:O151)</f>
        <v>2.91684845279303</v>
      </c>
      <c r="Z151" s="1">
        <f>P151-Y151</f>
        <v>-0.20879825169082</v>
      </c>
      <c r="AB151" s="1">
        <f>C151</f>
        <v>0.521</v>
      </c>
      <c r="AC151" s="1">
        <f>D151</f>
        <v>86</v>
      </c>
      <c r="AD151" s="1">
        <f>E151</f>
        <v>3</v>
      </c>
      <c r="AE151" s="1">
        <f>F151</f>
        <v>0</v>
      </c>
      <c r="AF151" s="1">
        <f>G151</f>
        <v>0</v>
      </c>
      <c r="AG151" s="1">
        <f>I151</f>
        <v>1</v>
      </c>
      <c r="AH151" s="1">
        <f>J151</f>
        <v>0</v>
      </c>
      <c r="AI151" s="1">
        <f>Q151</f>
        <v>0</v>
      </c>
      <c r="AJ151" s="1">
        <f>K151</f>
        <v>0</v>
      </c>
      <c r="AK151" s="1">
        <f>L151</f>
        <v>0</v>
      </c>
      <c r="AL151" s="1">
        <f>M151</f>
        <v>0</v>
      </c>
      <c r="AM151" s="1">
        <f>N151</f>
        <v>0</v>
      </c>
      <c r="AN151" s="1">
        <f>O151</f>
        <v>1</v>
      </c>
    </row>
    <row r="152">
      <c r="A152" s="1">
        <v>199</v>
      </c>
      <c r="B152" s="1">
        <v>15</v>
      </c>
      <c r="C152" s="1">
        <v>11.944</v>
      </c>
      <c r="D152" s="1">
        <v>85</v>
      </c>
      <c r="E152" s="1">
        <v>3</v>
      </c>
      <c r="F152" s="1">
        <v>0</v>
      </c>
      <c r="G152" s="1">
        <v>0</v>
      </c>
      <c r="H152" s="1">
        <v>1</v>
      </c>
      <c r="I152" s="1">
        <v>0</v>
      </c>
      <c r="J152" s="1">
        <v>0</v>
      </c>
      <c r="K152" s="1">
        <v>0</v>
      </c>
      <c r="L152" s="1">
        <v>0</v>
      </c>
      <c r="M152" s="1">
        <v>0</v>
      </c>
      <c r="N152" s="1">
        <v>0</v>
      </c>
      <c r="O152" s="1">
        <v>0</v>
      </c>
      <c r="P152" s="1">
        <f>LN(B152)</f>
        <v>2.70805020110221</v>
      </c>
      <c r="Q152" s="1">
        <f>1-SUM(F152:J152)</f>
        <v>0</v>
      </c>
      <c r="R152" s="1" t="str">
        <f>IF(F152=1,"Napa valley",IF(G152=1,"Bay area",IF(H152=1,"Sonoma",IF(I152=1,"Sierra/foothills",IF(J152=1,"Mendocino/lake","Generic California")))))</f>
        <v>Sonoma</v>
      </c>
      <c r="S152" s="1" t="str">
        <f>IF(F152=1,"Napa valley",IF(H152=1,"Sonoma","Other"))</f>
        <v>Sonoma</v>
      </c>
      <c r="T152" s="1" t="str">
        <f>IF(M152=1,"Cabernet",IF(N152=1,"Merlot",IF(L152=1,"Pinot noir","Other")))</f>
        <v>Other</v>
      </c>
      <c r="U152" s="1" t="str">
        <f>IF(F152=1,B152,"")</f>
        <v/>
      </c>
      <c r="V152" s="1">
        <f>IF(F152=0,B152,"")</f>
        <v>15</v>
      </c>
      <c r="W152" s="1">
        <f>'Part B'!$B$150+SUMPRODUCT('Part B'!$B$164:$N$164,C152:O152)</f>
        <v>12.7558702143999</v>
      </c>
      <c r="X152" s="1">
        <f>B152-W152</f>
        <v>2.24412978560008</v>
      </c>
      <c r="Y152" s="1">
        <f>'Part B'!$B$179+SUMPRODUCT('Part B'!$B$193:$N$193,C152:O152)</f>
        <v>2.78547067974479</v>
      </c>
      <c r="Z152" s="1">
        <f>P152-Y152</f>
        <v>-0.0774204786425829</v>
      </c>
      <c r="AB152" s="1">
        <f>C152</f>
        <v>11.944</v>
      </c>
      <c r="AC152" s="1">
        <f>D152</f>
        <v>85</v>
      </c>
      <c r="AD152" s="1">
        <f>E152</f>
        <v>3</v>
      </c>
      <c r="AE152" s="1">
        <f>F152</f>
        <v>0</v>
      </c>
      <c r="AF152" s="1">
        <f>G152</f>
        <v>0</v>
      </c>
      <c r="AG152" s="1">
        <f>I152</f>
        <v>0</v>
      </c>
      <c r="AH152" s="1">
        <f>J152</f>
        <v>0</v>
      </c>
      <c r="AI152" s="1">
        <f>Q152</f>
        <v>0</v>
      </c>
      <c r="AJ152" s="1">
        <f>K152</f>
        <v>0</v>
      </c>
      <c r="AK152" s="1">
        <f>L152</f>
        <v>0</v>
      </c>
      <c r="AL152" s="1">
        <f>M152</f>
        <v>0</v>
      </c>
      <c r="AM152" s="1">
        <f>N152</f>
        <v>0</v>
      </c>
      <c r="AN152" s="1">
        <f>O152</f>
        <v>0</v>
      </c>
    </row>
    <row r="153">
      <c r="A153" s="1">
        <v>200</v>
      </c>
      <c r="B153" s="1">
        <v>15</v>
      </c>
      <c r="C153" s="1">
        <v>2.98</v>
      </c>
      <c r="D153" s="1">
        <v>84</v>
      </c>
      <c r="E153" s="1">
        <v>3</v>
      </c>
      <c r="F153" s="1">
        <v>0</v>
      </c>
      <c r="G153" s="1">
        <v>0</v>
      </c>
      <c r="H153" s="1">
        <v>1</v>
      </c>
      <c r="I153" s="1">
        <v>0</v>
      </c>
      <c r="J153" s="1">
        <v>0</v>
      </c>
      <c r="K153" s="1">
        <v>0</v>
      </c>
      <c r="L153" s="1">
        <v>0</v>
      </c>
      <c r="M153" s="1">
        <v>0</v>
      </c>
      <c r="N153" s="1">
        <v>0</v>
      </c>
      <c r="O153" s="1">
        <v>0</v>
      </c>
      <c r="P153" s="1">
        <f>LN(B153)</f>
        <v>2.70805020110221</v>
      </c>
      <c r="Q153" s="1">
        <f>1-SUM(F153:J153)</f>
        <v>0</v>
      </c>
      <c r="R153" s="1" t="str">
        <f>IF(F153=1,"Napa valley",IF(G153=1,"Bay area",IF(H153=1,"Sonoma",IF(I153=1,"Sierra/foothills",IF(J153=1,"Mendocino/lake","Generic California")))))</f>
        <v>Sonoma</v>
      </c>
      <c r="S153" s="1" t="str">
        <f>IF(F153=1,"Napa valley",IF(H153=1,"Sonoma","Other"))</f>
        <v>Sonoma</v>
      </c>
      <c r="T153" s="1" t="str">
        <f>IF(M153=1,"Cabernet",IF(N153=1,"Merlot",IF(L153=1,"Pinot noir","Other")))</f>
        <v>Other</v>
      </c>
      <c r="U153" s="1" t="str">
        <f>IF(F153=1,B153,"")</f>
        <v/>
      </c>
      <c r="V153" s="1">
        <f>IF(F153=0,B153,"")</f>
        <v>15</v>
      </c>
      <c r="W153" s="1">
        <f>'Part B'!$B$150+SUMPRODUCT('Part B'!$B$164:$N$164,C153:O153)</f>
        <v>10.4615801530031</v>
      </c>
      <c r="X153" s="1">
        <f>B153-W153</f>
        <v>4.53841984699693</v>
      </c>
      <c r="Y153" s="1">
        <f>'Part B'!$B$179+SUMPRODUCT('Part B'!$B$193:$N$193,C153:O153)</f>
        <v>2.7538668688359</v>
      </c>
      <c r="Z153" s="1">
        <f>P153-Y153</f>
        <v>-0.0458166677336851</v>
      </c>
      <c r="AB153" s="1">
        <f>C153</f>
        <v>2.98</v>
      </c>
      <c r="AC153" s="1">
        <f>D153</f>
        <v>84</v>
      </c>
      <c r="AD153" s="1">
        <f>E153</f>
        <v>3</v>
      </c>
      <c r="AE153" s="1">
        <f>F153</f>
        <v>0</v>
      </c>
      <c r="AF153" s="1">
        <f>G153</f>
        <v>0</v>
      </c>
      <c r="AG153" s="1">
        <f>I153</f>
        <v>0</v>
      </c>
      <c r="AH153" s="1">
        <f>J153</f>
        <v>0</v>
      </c>
      <c r="AI153" s="1">
        <f>Q153</f>
        <v>0</v>
      </c>
      <c r="AJ153" s="1">
        <f>K153</f>
        <v>0</v>
      </c>
      <c r="AK153" s="1">
        <f>L153</f>
        <v>0</v>
      </c>
      <c r="AL153" s="1">
        <f>M153</f>
        <v>0</v>
      </c>
      <c r="AM153" s="1">
        <f>N153</f>
        <v>0</v>
      </c>
      <c r="AN153" s="1">
        <f>O153</f>
        <v>0</v>
      </c>
    </row>
    <row r="154">
      <c r="A154" s="1">
        <v>201</v>
      </c>
      <c r="B154" s="1">
        <v>15</v>
      </c>
      <c r="C154" s="1">
        <v>0.248</v>
      </c>
      <c r="D154" s="1">
        <v>74</v>
      </c>
      <c r="E154" s="1">
        <v>3</v>
      </c>
      <c r="F154" s="1">
        <v>0</v>
      </c>
      <c r="G154" s="1">
        <v>0</v>
      </c>
      <c r="H154" s="1">
        <v>0</v>
      </c>
      <c r="I154" s="1">
        <v>0</v>
      </c>
      <c r="J154" s="1">
        <v>1</v>
      </c>
      <c r="K154" s="1">
        <v>0</v>
      </c>
      <c r="L154" s="1">
        <v>0</v>
      </c>
      <c r="M154" s="1">
        <v>0</v>
      </c>
      <c r="N154" s="1">
        <v>0</v>
      </c>
      <c r="O154" s="1">
        <v>0</v>
      </c>
      <c r="P154" s="1">
        <f>LN(B154)</f>
        <v>2.70805020110221</v>
      </c>
      <c r="Q154" s="1">
        <f>1-SUM(F154:J154)</f>
        <v>0</v>
      </c>
      <c r="R154" s="1" t="str">
        <f>IF(F154=1,"Napa valley",IF(G154=1,"Bay area",IF(H154=1,"Sonoma",IF(I154=1,"Sierra/foothills",IF(J154=1,"Mendocino/lake","Generic California")))))</f>
        <v>Mendocino/lake</v>
      </c>
      <c r="S154" s="1" t="str">
        <f>IF(F154=1,"Napa valley",IF(H154=1,"Sonoma","Other"))</f>
        <v>Other</v>
      </c>
      <c r="T154" s="1" t="str">
        <f>IF(M154=1,"Cabernet",IF(N154=1,"Merlot",IF(L154=1,"Pinot noir","Other")))</f>
        <v>Other</v>
      </c>
      <c r="U154" s="1" t="str">
        <f>IF(F154=1,B154,"")</f>
        <v/>
      </c>
      <c r="V154" s="1">
        <f>IF(F154=0,B154,"")</f>
        <v>15</v>
      </c>
      <c r="W154" s="1">
        <f>'Part B'!$B$150+SUMPRODUCT('Part B'!$B$164:$N$164,C154:O154)</f>
        <v>-19.013103406504</v>
      </c>
      <c r="X154" s="1">
        <f>B154-W154</f>
        <v>34.013103406504</v>
      </c>
      <c r="Y154" s="1">
        <f>'Part B'!$B$179+SUMPRODUCT('Part B'!$B$193:$N$193,C154:O154)</f>
        <v>2.02123865325362</v>
      </c>
      <c r="Z154" s="1">
        <f>P154-Y154</f>
        <v>0.686811547848586</v>
      </c>
      <c r="AB154" s="1">
        <f>C154</f>
        <v>0.248</v>
      </c>
      <c r="AC154" s="1">
        <f>D154</f>
        <v>74</v>
      </c>
      <c r="AD154" s="1">
        <f>E154</f>
        <v>3</v>
      </c>
      <c r="AE154" s="1">
        <f>F154</f>
        <v>0</v>
      </c>
      <c r="AF154" s="1">
        <f>G154</f>
        <v>0</v>
      </c>
      <c r="AG154" s="1">
        <f>I154</f>
        <v>0</v>
      </c>
      <c r="AH154" s="1">
        <f>J154</f>
        <v>1</v>
      </c>
      <c r="AI154" s="1">
        <f>Q154</f>
        <v>0</v>
      </c>
      <c r="AJ154" s="1">
        <f>K154</f>
        <v>0</v>
      </c>
      <c r="AK154" s="1">
        <f>L154</f>
        <v>0</v>
      </c>
      <c r="AL154" s="1">
        <f>M154</f>
        <v>0</v>
      </c>
      <c r="AM154" s="1">
        <f>N154</f>
        <v>0</v>
      </c>
      <c r="AN154" s="1">
        <f>O154</f>
        <v>0</v>
      </c>
    </row>
    <row r="155">
      <c r="A155" s="1">
        <v>202</v>
      </c>
      <c r="B155" s="1">
        <v>15</v>
      </c>
      <c r="C155" s="1">
        <v>76</v>
      </c>
      <c r="D155" s="1">
        <v>87</v>
      </c>
      <c r="E155" s="1">
        <v>3</v>
      </c>
      <c r="F155" s="1">
        <v>0</v>
      </c>
      <c r="G155" s="1">
        <v>0</v>
      </c>
      <c r="H155" s="1">
        <v>1</v>
      </c>
      <c r="I155" s="1">
        <v>0</v>
      </c>
      <c r="J155" s="1">
        <v>0</v>
      </c>
      <c r="K155" s="1">
        <v>0</v>
      </c>
      <c r="L155" s="1">
        <v>0</v>
      </c>
      <c r="M155" s="1">
        <v>1</v>
      </c>
      <c r="N155" s="1">
        <v>0</v>
      </c>
      <c r="O155" s="1">
        <v>0</v>
      </c>
      <c r="P155" s="1">
        <f>LN(B155)</f>
        <v>2.70805020110221</v>
      </c>
      <c r="Q155" s="1">
        <f>1-SUM(F155:J155)</f>
        <v>0</v>
      </c>
      <c r="R155" s="1" t="str">
        <f>IF(F155=1,"Napa valley",IF(G155=1,"Bay area",IF(H155=1,"Sonoma",IF(I155=1,"Sierra/foothills",IF(J155=1,"Mendocino/lake","Generic California")))))</f>
        <v>Sonoma</v>
      </c>
      <c r="S155" s="1" t="str">
        <f>IF(F155=1,"Napa valley",IF(H155=1,"Sonoma","Other"))</f>
        <v>Sonoma</v>
      </c>
      <c r="T155" s="1" t="str">
        <f>IF(M155=1,"Cabernet",IF(N155=1,"Merlot",IF(L155=1,"Pinot noir","Other")))</f>
        <v>Cabernet</v>
      </c>
      <c r="U155" s="1" t="str">
        <f>IF(F155=1,B155,"")</f>
        <v/>
      </c>
      <c r="V155" s="1">
        <f>IF(F155=0,B155,"")</f>
        <v>15</v>
      </c>
      <c r="W155" s="1">
        <f>'Part B'!$B$150+SUMPRODUCT('Part B'!$B$164:$N$164,C155:O155)</f>
        <v>25.5935216138889</v>
      </c>
      <c r="X155" s="1">
        <f>B155-W155</f>
        <v>-10.5935216138889</v>
      </c>
      <c r="Y155" s="1">
        <f>'Part B'!$B$179+SUMPRODUCT('Part B'!$B$193:$N$193,C155:O155)</f>
        <v>2.97228915268155</v>
      </c>
      <c r="Z155" s="1">
        <f>P155-Y155</f>
        <v>-0.264238951579337</v>
      </c>
      <c r="AB155" s="1">
        <f>C155</f>
        <v>76</v>
      </c>
      <c r="AC155" s="1">
        <f>D155</f>
        <v>87</v>
      </c>
      <c r="AD155" s="1">
        <f>E155</f>
        <v>3</v>
      </c>
      <c r="AE155" s="1">
        <f>F155</f>
        <v>0</v>
      </c>
      <c r="AF155" s="1">
        <f>G155</f>
        <v>0</v>
      </c>
      <c r="AG155" s="1">
        <f>I155</f>
        <v>0</v>
      </c>
      <c r="AH155" s="1">
        <f>J155</f>
        <v>0</v>
      </c>
      <c r="AI155" s="1">
        <f>Q155</f>
        <v>0</v>
      </c>
      <c r="AJ155" s="1">
        <f>K155</f>
        <v>0</v>
      </c>
      <c r="AK155" s="1">
        <f>L155</f>
        <v>0</v>
      </c>
      <c r="AL155" s="1">
        <f>M155</f>
        <v>1</v>
      </c>
      <c r="AM155" s="1">
        <f>N155</f>
        <v>0</v>
      </c>
      <c r="AN155" s="1">
        <f>O155</f>
        <v>0</v>
      </c>
    </row>
    <row r="156">
      <c r="A156" s="1">
        <v>203</v>
      </c>
      <c r="B156" s="1">
        <v>15</v>
      </c>
      <c r="C156" s="1">
        <v>1.1</v>
      </c>
      <c r="D156" s="1">
        <v>89</v>
      </c>
      <c r="E156" s="1">
        <v>3</v>
      </c>
      <c r="F156" s="1">
        <v>0</v>
      </c>
      <c r="G156" s="1">
        <v>0</v>
      </c>
      <c r="H156" s="1">
        <v>1</v>
      </c>
      <c r="I156" s="1">
        <v>0</v>
      </c>
      <c r="J156" s="1">
        <v>0</v>
      </c>
      <c r="K156" s="1">
        <v>0</v>
      </c>
      <c r="L156" s="1">
        <v>0</v>
      </c>
      <c r="M156" s="1">
        <v>0</v>
      </c>
      <c r="N156" s="1">
        <v>0</v>
      </c>
      <c r="O156" s="1">
        <v>1</v>
      </c>
      <c r="P156" s="1">
        <f>LN(B156)</f>
        <v>2.70805020110221</v>
      </c>
      <c r="Q156" s="1">
        <f>1-SUM(F156:J156)</f>
        <v>0</v>
      </c>
      <c r="R156" s="1" t="str">
        <f>IF(F156=1,"Napa valley",IF(G156=1,"Bay area",IF(H156=1,"Sonoma",IF(I156=1,"Sierra/foothills",IF(J156=1,"Mendocino/lake","Generic California")))))</f>
        <v>Sonoma</v>
      </c>
      <c r="S156" s="1" t="str">
        <f>IF(F156=1,"Napa valley",IF(H156=1,"Sonoma","Other"))</f>
        <v>Sonoma</v>
      </c>
      <c r="T156" s="1" t="str">
        <f>IF(M156=1,"Cabernet",IF(N156=1,"Merlot",IF(L156=1,"Pinot noir","Other")))</f>
        <v>Other</v>
      </c>
      <c r="U156" s="1" t="str">
        <f>IF(F156=1,B156,"")</f>
        <v/>
      </c>
      <c r="V156" s="1">
        <f>IF(F156=0,B156,"")</f>
        <v>15</v>
      </c>
      <c r="W156" s="1">
        <f>'Part B'!$B$150+SUMPRODUCT('Part B'!$B$164:$N$164,C156:O156)</f>
        <v>25.9592163011448</v>
      </c>
      <c r="X156" s="1">
        <f>B156-W156</f>
        <v>-10.9592163011448</v>
      </c>
      <c r="Y156" s="1">
        <f>'Part B'!$B$179+SUMPRODUCT('Part B'!$B$193:$N$193,C156:O156)</f>
        <v>3.15495231029595</v>
      </c>
      <c r="Z156" s="1">
        <f>P156-Y156</f>
        <v>-0.44690210919374</v>
      </c>
      <c r="AB156" s="1">
        <f>C156</f>
        <v>1.1</v>
      </c>
      <c r="AC156" s="1">
        <f>D156</f>
        <v>89</v>
      </c>
      <c r="AD156" s="1">
        <f>E156</f>
        <v>3</v>
      </c>
      <c r="AE156" s="1">
        <f>F156</f>
        <v>0</v>
      </c>
      <c r="AF156" s="1">
        <f>G156</f>
        <v>0</v>
      </c>
      <c r="AG156" s="1">
        <f>I156</f>
        <v>0</v>
      </c>
      <c r="AH156" s="1">
        <f>J156</f>
        <v>0</v>
      </c>
      <c r="AI156" s="1">
        <f>Q156</f>
        <v>0</v>
      </c>
      <c r="AJ156" s="1">
        <f>K156</f>
        <v>0</v>
      </c>
      <c r="AK156" s="1">
        <f>L156</f>
        <v>0</v>
      </c>
      <c r="AL156" s="1">
        <f>M156</f>
        <v>0</v>
      </c>
      <c r="AM156" s="1">
        <f>N156</f>
        <v>0</v>
      </c>
      <c r="AN156" s="1">
        <f>O156</f>
        <v>1</v>
      </c>
    </row>
    <row r="157">
      <c r="A157" s="1">
        <v>204</v>
      </c>
      <c r="B157" s="1">
        <v>15</v>
      </c>
      <c r="C157" s="1">
        <v>2.5</v>
      </c>
      <c r="D157" s="1">
        <v>78</v>
      </c>
      <c r="E157" s="1">
        <v>3</v>
      </c>
      <c r="F157" s="1">
        <v>1</v>
      </c>
      <c r="G157" s="1">
        <v>0</v>
      </c>
      <c r="H157" s="1">
        <v>0</v>
      </c>
      <c r="I157" s="1">
        <v>0</v>
      </c>
      <c r="J157" s="1">
        <v>0</v>
      </c>
      <c r="K157" s="1">
        <v>0</v>
      </c>
      <c r="L157" s="1">
        <v>0</v>
      </c>
      <c r="M157" s="1">
        <v>0</v>
      </c>
      <c r="N157" s="1">
        <v>0</v>
      </c>
      <c r="O157" s="1">
        <v>0</v>
      </c>
      <c r="P157" s="1">
        <f>LN(B157)</f>
        <v>2.70805020110221</v>
      </c>
      <c r="Q157" s="1">
        <f>1-SUM(F157:J157)</f>
        <v>0</v>
      </c>
      <c r="R157" s="1" t="str">
        <f>IF(F157=1,"Napa valley",IF(G157=1,"Bay area",IF(H157=1,"Sonoma",IF(I157=1,"Sierra/foothills",IF(J157=1,"Mendocino/lake","Generic California")))))</f>
        <v>Napa valley</v>
      </c>
      <c r="S157" s="1" t="str">
        <f>IF(F157=1,"Napa valley",IF(H157=1,"Sonoma","Other"))</f>
        <v>Napa valley</v>
      </c>
      <c r="T157" s="1" t="str">
        <f>IF(M157=1,"Cabernet",IF(N157=1,"Merlot",IF(L157=1,"Pinot noir","Other")))</f>
        <v>Other</v>
      </c>
      <c r="U157" s="1">
        <f>IF(F157=1,B157,"")</f>
        <v>15</v>
      </c>
      <c r="V157" s="1" t="str">
        <f>IF(F157=0,B157,"")</f>
        <v/>
      </c>
      <c r="W157" s="1">
        <f>'Part B'!$B$150+SUMPRODUCT('Part B'!$B$164:$N$164,C157:O157)</f>
        <v>-0.466995971941174</v>
      </c>
      <c r="X157" s="1">
        <f>B157-W157</f>
        <v>15.4669959719412</v>
      </c>
      <c r="Y157" s="1">
        <f>'Part B'!$B$179+SUMPRODUCT('Part B'!$B$193:$N$193,C157:O157)</f>
        <v>2.48394017318115</v>
      </c>
      <c r="Z157" s="1">
        <f>P157-Y157</f>
        <v>0.224110027921064</v>
      </c>
      <c r="AB157" s="1">
        <f>C157</f>
        <v>2.5</v>
      </c>
      <c r="AC157" s="1">
        <f>D157</f>
        <v>78</v>
      </c>
      <c r="AD157" s="1">
        <f>E157</f>
        <v>3</v>
      </c>
      <c r="AE157" s="1">
        <f>F157</f>
        <v>1</v>
      </c>
      <c r="AF157" s="1">
        <f>G157</f>
        <v>0</v>
      </c>
      <c r="AG157" s="1">
        <f>I157</f>
        <v>0</v>
      </c>
      <c r="AH157" s="1">
        <f>J157</f>
        <v>0</v>
      </c>
      <c r="AI157" s="1">
        <f>Q157</f>
        <v>0</v>
      </c>
      <c r="AJ157" s="1">
        <f>K157</f>
        <v>0</v>
      </c>
      <c r="AK157" s="1">
        <f>L157</f>
        <v>0</v>
      </c>
      <c r="AL157" s="1">
        <f>M157</f>
        <v>0</v>
      </c>
      <c r="AM157" s="1">
        <f>N157</f>
        <v>0</v>
      </c>
      <c r="AN157" s="1">
        <f>O157</f>
        <v>0</v>
      </c>
    </row>
    <row r="158">
      <c r="A158" s="1">
        <v>206</v>
      </c>
      <c r="B158" s="1">
        <v>15</v>
      </c>
      <c r="C158" s="1">
        <v>0.437</v>
      </c>
      <c r="D158" s="1">
        <v>85</v>
      </c>
      <c r="E158" s="1">
        <v>3</v>
      </c>
      <c r="F158" s="1">
        <v>0</v>
      </c>
      <c r="G158" s="1">
        <v>0</v>
      </c>
      <c r="H158" s="1">
        <v>1</v>
      </c>
      <c r="I158" s="1">
        <v>0</v>
      </c>
      <c r="J158" s="1">
        <v>0</v>
      </c>
      <c r="K158" s="1">
        <v>0</v>
      </c>
      <c r="L158" s="1">
        <v>0</v>
      </c>
      <c r="M158" s="1">
        <v>1</v>
      </c>
      <c r="N158" s="1">
        <v>0</v>
      </c>
      <c r="O158" s="1">
        <v>0</v>
      </c>
      <c r="P158" s="1">
        <f>LN(B158)</f>
        <v>2.70805020110221</v>
      </c>
      <c r="Q158" s="1">
        <f>1-SUM(F158:J158)</f>
        <v>0</v>
      </c>
      <c r="R158" s="1" t="str">
        <f>IF(F158=1,"Napa valley",IF(G158=1,"Bay area",IF(H158=1,"Sonoma",IF(I158=1,"Sierra/foothills",IF(J158=1,"Mendocino/lake","Generic California")))))</f>
        <v>Sonoma</v>
      </c>
      <c r="S158" s="1" t="str">
        <f>IF(F158=1,"Napa valley",IF(H158=1,"Sonoma","Other"))</f>
        <v>Sonoma</v>
      </c>
      <c r="T158" s="1" t="str">
        <f>IF(M158=1,"Cabernet",IF(N158=1,"Merlot",IF(L158=1,"Pinot noir","Other")))</f>
        <v>Cabernet</v>
      </c>
      <c r="U158" s="1" t="str">
        <f>IF(F158=1,B158,"")</f>
        <v/>
      </c>
      <c r="V158" s="1">
        <f>IF(F158=0,B158,"")</f>
        <v>15</v>
      </c>
      <c r="W158" s="1">
        <f>'Part B'!$B$150+SUMPRODUCT('Part B'!$B$164:$N$164,C158:O158)</f>
        <v>26.4752966037231</v>
      </c>
      <c r="X158" s="1">
        <f>B158-W158</f>
        <v>-11.4752966037231</v>
      </c>
      <c r="Y158" s="1">
        <f>'Part B'!$B$179+SUMPRODUCT('Part B'!$B$193:$N$193,C158:O158)</f>
        <v>3.15570556577064</v>
      </c>
      <c r="Z158" s="1">
        <f>P158-Y158</f>
        <v>-0.447655364668431</v>
      </c>
      <c r="AB158" s="1">
        <f>C158</f>
        <v>0.437</v>
      </c>
      <c r="AC158" s="1">
        <f>D158</f>
        <v>85</v>
      </c>
      <c r="AD158" s="1">
        <f>E158</f>
        <v>3</v>
      </c>
      <c r="AE158" s="1">
        <f>F158</f>
        <v>0</v>
      </c>
      <c r="AF158" s="1">
        <f>G158</f>
        <v>0</v>
      </c>
      <c r="AG158" s="1">
        <f>I158</f>
        <v>0</v>
      </c>
      <c r="AH158" s="1">
        <f>J158</f>
        <v>0</v>
      </c>
      <c r="AI158" s="1">
        <f>Q158</f>
        <v>0</v>
      </c>
      <c r="AJ158" s="1">
        <f>K158</f>
        <v>0</v>
      </c>
      <c r="AK158" s="1">
        <f>L158</f>
        <v>0</v>
      </c>
      <c r="AL158" s="1">
        <f>M158</f>
        <v>1</v>
      </c>
      <c r="AM158" s="1">
        <f>N158</f>
        <v>0</v>
      </c>
      <c r="AN158" s="1">
        <f>O158</f>
        <v>0</v>
      </c>
    </row>
    <row r="159">
      <c r="A159" s="1">
        <v>207</v>
      </c>
      <c r="B159" s="1">
        <v>15</v>
      </c>
      <c r="C159" s="1">
        <v>2.5</v>
      </c>
      <c r="D159" s="1">
        <v>70</v>
      </c>
      <c r="E159" s="1">
        <v>3</v>
      </c>
      <c r="F159" s="1">
        <v>0</v>
      </c>
      <c r="G159" s="1">
        <v>1</v>
      </c>
      <c r="H159" s="1">
        <v>0</v>
      </c>
      <c r="I159" s="1">
        <v>0</v>
      </c>
      <c r="J159" s="1">
        <v>0</v>
      </c>
      <c r="K159" s="1">
        <v>0</v>
      </c>
      <c r="L159" s="1">
        <v>1</v>
      </c>
      <c r="M159" s="1">
        <v>0</v>
      </c>
      <c r="N159" s="1">
        <v>0</v>
      </c>
      <c r="O159" s="1">
        <v>0</v>
      </c>
      <c r="P159" s="1">
        <f>LN(B159)</f>
        <v>2.70805020110221</v>
      </c>
      <c r="Q159" s="1">
        <f>1-SUM(F159:J159)</f>
        <v>0</v>
      </c>
      <c r="R159" s="1" t="str">
        <f>IF(F159=1,"Napa valley",IF(G159=1,"Bay area",IF(H159=1,"Sonoma",IF(I159=1,"Sierra/foothills",IF(J159=1,"Mendocino/lake","Generic California")))))</f>
        <v>Bay area</v>
      </c>
      <c r="S159" s="1" t="str">
        <f>IF(F159=1,"Napa valley",IF(H159=1,"Sonoma","Other"))</f>
        <v>Other</v>
      </c>
      <c r="T159" s="1" t="str">
        <f>IF(M159=1,"Cabernet",IF(N159=1,"Merlot",IF(L159=1,"Pinot noir","Other")))</f>
        <v>Pinot noir</v>
      </c>
      <c r="U159" s="1" t="str">
        <f>IF(F159=1,B159,"")</f>
        <v/>
      </c>
      <c r="V159" s="1">
        <f>IF(F159=0,B159,"")</f>
        <v>15</v>
      </c>
      <c r="W159" s="1">
        <f>'Part B'!$B$150+SUMPRODUCT('Part B'!$B$164:$N$164,C159:O159)</f>
        <v>-20.9556398905508</v>
      </c>
      <c r="X159" s="1">
        <f>B159-W159</f>
        <v>35.9556398905508</v>
      </c>
      <c r="Y159" s="1">
        <f>'Part B'!$B$179+SUMPRODUCT('Part B'!$B$193:$N$193,C159:O159)</f>
        <v>2.09603906078042</v>
      </c>
      <c r="Z159" s="1">
        <f>P159-Y159</f>
        <v>0.612011140321792</v>
      </c>
      <c r="AB159" s="1">
        <f>C159</f>
        <v>2.5</v>
      </c>
      <c r="AC159" s="1">
        <f>D159</f>
        <v>70</v>
      </c>
      <c r="AD159" s="1">
        <f>E159</f>
        <v>3</v>
      </c>
      <c r="AE159" s="1">
        <f>F159</f>
        <v>0</v>
      </c>
      <c r="AF159" s="1">
        <f>G159</f>
        <v>1</v>
      </c>
      <c r="AG159" s="1">
        <f>I159</f>
        <v>0</v>
      </c>
      <c r="AH159" s="1">
        <f>J159</f>
        <v>0</v>
      </c>
      <c r="AI159" s="1">
        <f>Q159</f>
        <v>0</v>
      </c>
      <c r="AJ159" s="1">
        <f>K159</f>
        <v>0</v>
      </c>
      <c r="AK159" s="1">
        <f>L159</f>
        <v>1</v>
      </c>
      <c r="AL159" s="1">
        <f>M159</f>
        <v>0</v>
      </c>
      <c r="AM159" s="1">
        <f>N159</f>
        <v>0</v>
      </c>
      <c r="AN159" s="1">
        <f>O159</f>
        <v>0</v>
      </c>
    </row>
    <row r="160">
      <c r="A160" s="1">
        <v>208</v>
      </c>
      <c r="B160" s="1">
        <v>15</v>
      </c>
      <c r="C160" s="1">
        <v>1.6</v>
      </c>
      <c r="D160" s="1">
        <v>81</v>
      </c>
      <c r="E160" s="1">
        <v>3</v>
      </c>
      <c r="F160" s="1">
        <v>0</v>
      </c>
      <c r="G160" s="1">
        <v>0</v>
      </c>
      <c r="H160" s="1">
        <v>1</v>
      </c>
      <c r="I160" s="1">
        <v>0</v>
      </c>
      <c r="J160" s="1">
        <v>0</v>
      </c>
      <c r="K160" s="1">
        <v>0</v>
      </c>
      <c r="L160" s="1">
        <v>0</v>
      </c>
      <c r="M160" s="1">
        <v>0</v>
      </c>
      <c r="N160" s="1">
        <v>0</v>
      </c>
      <c r="O160" s="1">
        <v>0</v>
      </c>
      <c r="P160" s="1">
        <f>LN(B160)</f>
        <v>2.70805020110221</v>
      </c>
      <c r="Q160" s="1">
        <f>1-SUM(F160:J160)</f>
        <v>0</v>
      </c>
      <c r="R160" s="1" t="str">
        <f>IF(F160=1,"Napa valley",IF(G160=1,"Bay area",IF(H160=1,"Sonoma",IF(I160=1,"Sierra/foothills",IF(J160=1,"Mendocino/lake","Generic California")))))</f>
        <v>Sonoma</v>
      </c>
      <c r="S160" s="1" t="str">
        <f>IF(F160=1,"Napa valley",IF(H160=1,"Sonoma","Other"))</f>
        <v>Sonoma</v>
      </c>
      <c r="T160" s="1" t="str">
        <f>IF(M160=1,"Cabernet",IF(N160=1,"Merlot",IF(L160=1,"Pinot noir","Other")))</f>
        <v>Other</v>
      </c>
      <c r="U160" s="1" t="str">
        <f>IF(F160=1,B160,"")</f>
        <v/>
      </c>
      <c r="V160" s="1">
        <f>IF(F160=0,B160,"")</f>
        <v>15</v>
      </c>
      <c r="W160" s="1">
        <f>'Part B'!$B$150+SUMPRODUCT('Part B'!$B$164:$N$164,C160:O160)</f>
        <v>1.1572698780106</v>
      </c>
      <c r="X160" s="1">
        <f>B160-W160</f>
        <v>13.8427301219894</v>
      </c>
      <c r="Y160" s="1">
        <f>'Part B'!$B$179+SUMPRODUCT('Part B'!$B$193:$N$193,C160:O160)</f>
        <v>2.54988787510383</v>
      </c>
      <c r="Z160" s="1">
        <f>P160-Y160</f>
        <v>0.15816232599838</v>
      </c>
      <c r="AB160" s="1">
        <f>C160</f>
        <v>1.6</v>
      </c>
      <c r="AC160" s="1">
        <f>D160</f>
        <v>81</v>
      </c>
      <c r="AD160" s="1">
        <f>E160</f>
        <v>3</v>
      </c>
      <c r="AE160" s="1">
        <f>F160</f>
        <v>0</v>
      </c>
      <c r="AF160" s="1">
        <f>G160</f>
        <v>0</v>
      </c>
      <c r="AG160" s="1">
        <f>I160</f>
        <v>0</v>
      </c>
      <c r="AH160" s="1">
        <f>J160</f>
        <v>0</v>
      </c>
      <c r="AI160" s="1">
        <f>Q160</f>
        <v>0</v>
      </c>
      <c r="AJ160" s="1">
        <f>K160</f>
        <v>0</v>
      </c>
      <c r="AK160" s="1">
        <f>L160</f>
        <v>0</v>
      </c>
      <c r="AL160" s="1">
        <f>M160</f>
        <v>0</v>
      </c>
      <c r="AM160" s="1">
        <f>N160</f>
        <v>0</v>
      </c>
      <c r="AN160" s="1">
        <f>O160</f>
        <v>0</v>
      </c>
    </row>
    <row r="161">
      <c r="A161" s="1">
        <v>209</v>
      </c>
      <c r="B161" s="1">
        <v>15</v>
      </c>
      <c r="C161" s="1">
        <v>1.275</v>
      </c>
      <c r="D161" s="1">
        <v>83</v>
      </c>
      <c r="E161" s="1">
        <v>2</v>
      </c>
      <c r="F161" s="1">
        <v>0</v>
      </c>
      <c r="G161" s="1">
        <v>0</v>
      </c>
      <c r="H161" s="1">
        <v>0</v>
      </c>
      <c r="I161" s="1">
        <v>1</v>
      </c>
      <c r="J161" s="1">
        <v>0</v>
      </c>
      <c r="K161" s="1">
        <v>0</v>
      </c>
      <c r="L161" s="1">
        <v>0</v>
      </c>
      <c r="M161" s="1">
        <v>0</v>
      </c>
      <c r="N161" s="1">
        <v>1</v>
      </c>
      <c r="O161" s="1">
        <v>0</v>
      </c>
      <c r="P161" s="1">
        <f>LN(B161)</f>
        <v>2.70805020110221</v>
      </c>
      <c r="Q161" s="1">
        <f>1-SUM(F161:J161)</f>
        <v>0</v>
      </c>
      <c r="R161" s="1" t="str">
        <f>IF(F161=1,"Napa valley",IF(G161=1,"Bay area",IF(H161=1,"Sonoma",IF(I161=1,"Sierra/foothills",IF(J161=1,"Mendocino/lake","Generic California")))))</f>
        <v>Sierra/foothills</v>
      </c>
      <c r="S161" s="1" t="str">
        <f>IF(F161=1,"Napa valley",IF(H161=1,"Sonoma","Other"))</f>
        <v>Other</v>
      </c>
      <c r="T161" s="1" t="str">
        <f>IF(M161=1,"Cabernet",IF(N161=1,"Merlot",IF(L161=1,"Pinot noir","Other")))</f>
        <v>Merlot</v>
      </c>
      <c r="U161" s="1" t="str">
        <f>IF(F161=1,B161,"")</f>
        <v/>
      </c>
      <c r="V161" s="1">
        <f>IF(F161=0,B161,"")</f>
        <v>15</v>
      </c>
      <c r="W161" s="1">
        <f>'Part B'!$B$150+SUMPRODUCT('Part B'!$B$164:$N$164,C161:O161)</f>
        <v>14.3783319961964</v>
      </c>
      <c r="X161" s="1">
        <f>B161-W161</f>
        <v>0.62166800380362</v>
      </c>
      <c r="Y161" s="1">
        <f>'Part B'!$B$179+SUMPRODUCT('Part B'!$B$193:$N$193,C161:O161)</f>
        <v>2.76193342595991</v>
      </c>
      <c r="Z161" s="1">
        <f>P161-Y161</f>
        <v>-0.0538832248577044</v>
      </c>
      <c r="AB161" s="1">
        <f>C161</f>
        <v>1.275</v>
      </c>
      <c r="AC161" s="1">
        <f>D161</f>
        <v>83</v>
      </c>
      <c r="AD161" s="1">
        <f>E161</f>
        <v>2</v>
      </c>
      <c r="AE161" s="1">
        <f>F161</f>
        <v>0</v>
      </c>
      <c r="AF161" s="1">
        <f>G161</f>
        <v>0</v>
      </c>
      <c r="AG161" s="1">
        <f>I161</f>
        <v>1</v>
      </c>
      <c r="AH161" s="1">
        <f>J161</f>
        <v>0</v>
      </c>
      <c r="AI161" s="1">
        <f>Q161</f>
        <v>0</v>
      </c>
      <c r="AJ161" s="1">
        <f>K161</f>
        <v>0</v>
      </c>
      <c r="AK161" s="1">
        <f>L161</f>
        <v>0</v>
      </c>
      <c r="AL161" s="1">
        <f>M161</f>
        <v>0</v>
      </c>
      <c r="AM161" s="1">
        <f>N161</f>
        <v>1</v>
      </c>
      <c r="AN161" s="1">
        <f>O161</f>
        <v>0</v>
      </c>
    </row>
    <row r="162">
      <c r="A162" s="1">
        <v>210</v>
      </c>
      <c r="B162" s="1">
        <v>15</v>
      </c>
      <c r="C162" s="1">
        <v>3.8</v>
      </c>
      <c r="D162" s="1">
        <v>87</v>
      </c>
      <c r="E162" s="1">
        <v>2</v>
      </c>
      <c r="F162" s="1">
        <v>0</v>
      </c>
      <c r="G162" s="1">
        <v>0</v>
      </c>
      <c r="H162" s="1">
        <v>0</v>
      </c>
      <c r="I162" s="1">
        <v>0</v>
      </c>
      <c r="J162" s="1">
        <v>0</v>
      </c>
      <c r="K162" s="1">
        <v>0</v>
      </c>
      <c r="L162" s="1">
        <v>0</v>
      </c>
      <c r="M162" s="1">
        <v>0</v>
      </c>
      <c r="N162" s="1">
        <v>0</v>
      </c>
      <c r="O162" s="1">
        <v>0</v>
      </c>
      <c r="P162" s="1">
        <f>LN(B162)</f>
        <v>2.70805020110221</v>
      </c>
      <c r="Q162" s="1">
        <f>1-SUM(F162:J162)</f>
        <v>1</v>
      </c>
      <c r="R162" s="1" t="str">
        <f>IF(F162=1,"Napa valley",IF(G162=1,"Bay area",IF(H162=1,"Sonoma",IF(I162=1,"Sierra/foothills",IF(J162=1,"Mendocino/lake","Generic California")))))</f>
        <v>Generic California</v>
      </c>
      <c r="S162" s="1" t="str">
        <f>IF(F162=1,"Napa valley",IF(H162=1,"Sonoma","Other"))</f>
        <v>Other</v>
      </c>
      <c r="T162" s="1" t="str">
        <f>IF(M162=1,"Cabernet",IF(N162=1,"Merlot",IF(L162=1,"Pinot noir","Other")))</f>
        <v>Other</v>
      </c>
      <c r="U162" s="1" t="str">
        <f>IF(F162=1,B162,"")</f>
        <v/>
      </c>
      <c r="V162" s="1">
        <f>IF(F162=0,B162,"")</f>
        <v>15</v>
      </c>
      <c r="W162" s="1">
        <f>'Part B'!$B$150+SUMPRODUCT('Part B'!$B$164:$N$164,C162:O162)</f>
        <v>14.0348807670779</v>
      </c>
      <c r="X162" s="1">
        <f>B162-W162</f>
        <v>0.965119232922064</v>
      </c>
      <c r="Y162" s="1">
        <f>'Part B'!$B$179+SUMPRODUCT('Part B'!$B$193:$N$193,C162:O162)</f>
        <v>2.49522500975417</v>
      </c>
      <c r="Z162" s="1">
        <f>P162-Y162</f>
        <v>0.212825191348043</v>
      </c>
      <c r="AB162" s="1">
        <f>C162</f>
        <v>3.8</v>
      </c>
      <c r="AC162" s="1">
        <f>D162</f>
        <v>87</v>
      </c>
      <c r="AD162" s="1">
        <f>E162</f>
        <v>2</v>
      </c>
      <c r="AE162" s="1">
        <f>F162</f>
        <v>0</v>
      </c>
      <c r="AF162" s="1">
        <f>G162</f>
        <v>0</v>
      </c>
      <c r="AG162" s="1">
        <f>I162</f>
        <v>0</v>
      </c>
      <c r="AH162" s="1">
        <f>J162</f>
        <v>0</v>
      </c>
      <c r="AI162" s="1">
        <f>Q162</f>
        <v>1</v>
      </c>
      <c r="AJ162" s="1">
        <f>K162</f>
        <v>0</v>
      </c>
      <c r="AK162" s="1">
        <f>L162</f>
        <v>0</v>
      </c>
      <c r="AL162" s="1">
        <f>M162</f>
        <v>0</v>
      </c>
      <c r="AM162" s="1">
        <f>N162</f>
        <v>0</v>
      </c>
      <c r="AN162" s="1">
        <f>O162</f>
        <v>0</v>
      </c>
    </row>
    <row r="163">
      <c r="A163" s="1">
        <v>211</v>
      </c>
      <c r="B163" s="1">
        <v>15</v>
      </c>
      <c r="C163" s="1">
        <v>8.7</v>
      </c>
      <c r="D163" s="1">
        <v>92</v>
      </c>
      <c r="E163" s="1">
        <v>2</v>
      </c>
      <c r="F163" s="1">
        <v>1</v>
      </c>
      <c r="G163" s="1">
        <v>0</v>
      </c>
      <c r="H163" s="1">
        <v>0</v>
      </c>
      <c r="I163" s="1">
        <v>0</v>
      </c>
      <c r="J163" s="1">
        <v>0</v>
      </c>
      <c r="K163" s="1">
        <v>0</v>
      </c>
      <c r="L163" s="1">
        <v>0</v>
      </c>
      <c r="M163" s="1">
        <v>0</v>
      </c>
      <c r="N163" s="1">
        <v>1</v>
      </c>
      <c r="O163" s="1">
        <v>0</v>
      </c>
      <c r="P163" s="1">
        <f>LN(B163)</f>
        <v>2.70805020110221</v>
      </c>
      <c r="Q163" s="1">
        <f>1-SUM(F163:J163)</f>
        <v>0</v>
      </c>
      <c r="R163" s="1" t="str">
        <f>IF(F163=1,"Napa valley",IF(G163=1,"Bay area",IF(H163=1,"Sonoma",IF(I163=1,"Sierra/foothills",IF(J163=1,"Mendocino/lake","Generic California")))))</f>
        <v>Napa valley</v>
      </c>
      <c r="S163" s="1" t="str">
        <f>IF(F163=1,"Napa valley",IF(H163=1,"Sonoma","Other"))</f>
        <v>Napa valley</v>
      </c>
      <c r="T163" s="1" t="str">
        <f>IF(M163=1,"Cabernet",IF(N163=1,"Merlot",IF(L163=1,"Pinot noir","Other")))</f>
        <v>Merlot</v>
      </c>
      <c r="U163" s="1">
        <f>IF(F163=1,B163,"")</f>
        <v>15</v>
      </c>
      <c r="V163" s="1" t="str">
        <f>IF(F163=0,B163,"")</f>
        <v/>
      </c>
      <c r="W163" s="1">
        <f>'Part B'!$B$150+SUMPRODUCT('Part B'!$B$164:$N$164,C163:O163)</f>
        <v>44.0165027453872</v>
      </c>
      <c r="X163" s="1">
        <f>B163-W163</f>
        <v>-29.0165027453872</v>
      </c>
      <c r="Y163" s="1">
        <f>'Part B'!$B$179+SUMPRODUCT('Part B'!$B$193:$N$193,C163:O163)</f>
        <v>3.53829856747232</v>
      </c>
      <c r="Z163" s="1">
        <f>P163-Y163</f>
        <v>-0.830248366370112</v>
      </c>
      <c r="AB163" s="1">
        <f>C163</f>
        <v>8.7</v>
      </c>
      <c r="AC163" s="1">
        <f>D163</f>
        <v>92</v>
      </c>
      <c r="AD163" s="1">
        <f>E163</f>
        <v>2</v>
      </c>
      <c r="AE163" s="1">
        <f>F163</f>
        <v>1</v>
      </c>
      <c r="AF163" s="1">
        <f>G163</f>
        <v>0</v>
      </c>
      <c r="AG163" s="1">
        <f>I163</f>
        <v>0</v>
      </c>
      <c r="AH163" s="1">
        <f>J163</f>
        <v>0</v>
      </c>
      <c r="AI163" s="1">
        <f>Q163</f>
        <v>0</v>
      </c>
      <c r="AJ163" s="1">
        <f>K163</f>
        <v>0</v>
      </c>
      <c r="AK163" s="1">
        <f>L163</f>
        <v>0</v>
      </c>
      <c r="AL163" s="1">
        <f>M163</f>
        <v>0</v>
      </c>
      <c r="AM163" s="1">
        <f>N163</f>
        <v>1</v>
      </c>
      <c r="AN163" s="1">
        <f>O163</f>
        <v>0</v>
      </c>
    </row>
    <row r="164">
      <c r="A164" s="1">
        <v>212</v>
      </c>
      <c r="B164" s="1">
        <v>15</v>
      </c>
      <c r="C164" s="1">
        <v>4.2</v>
      </c>
      <c r="D164" s="1">
        <v>88</v>
      </c>
      <c r="E164" s="1">
        <v>2</v>
      </c>
      <c r="F164" s="1">
        <v>0</v>
      </c>
      <c r="G164" s="1">
        <v>0</v>
      </c>
      <c r="H164" s="1">
        <v>1</v>
      </c>
      <c r="I164" s="1">
        <v>0</v>
      </c>
      <c r="J164" s="1">
        <v>0</v>
      </c>
      <c r="K164" s="1">
        <v>0</v>
      </c>
      <c r="L164" s="1">
        <v>0</v>
      </c>
      <c r="M164" s="1">
        <v>0</v>
      </c>
      <c r="N164" s="1">
        <v>0</v>
      </c>
      <c r="O164" s="1">
        <v>0</v>
      </c>
      <c r="P164" s="1">
        <f>LN(B164)</f>
        <v>2.70805020110221</v>
      </c>
      <c r="Q164" s="1">
        <f>1-SUM(F164:J164)</f>
        <v>0</v>
      </c>
      <c r="R164" s="1" t="str">
        <f>IF(F164=1,"Napa valley",IF(G164=1,"Bay area",IF(H164=1,"Sonoma",IF(I164=1,"Sierra/foothills",IF(J164=1,"Mendocino/lake","Generic California")))))</f>
        <v>Sonoma</v>
      </c>
      <c r="S164" s="1" t="str">
        <f>IF(F164=1,"Napa valley",IF(H164=1,"Sonoma","Other"))</f>
        <v>Sonoma</v>
      </c>
      <c r="T164" s="1" t="str">
        <f>IF(M164=1,"Cabernet",IF(N164=1,"Merlot",IF(L164=1,"Pinot noir","Other")))</f>
        <v>Other</v>
      </c>
      <c r="U164" s="1" t="str">
        <f>IF(F164=1,B164,"")</f>
        <v/>
      </c>
      <c r="V164" s="1">
        <f>IF(F164=0,B164,"")</f>
        <v>15</v>
      </c>
      <c r="W164" s="1">
        <f>'Part B'!$B$150+SUMPRODUCT('Part B'!$B$164:$N$164,C164:O164)</f>
        <v>16.3065689651189</v>
      </c>
      <c r="X164" s="1">
        <f>B164-W164</f>
        <v>-1.30656896511891</v>
      </c>
      <c r="Y164" s="1">
        <f>'Part B'!$B$179+SUMPRODUCT('Part B'!$B$193:$N$193,C164:O164)</f>
        <v>2.84540659966699</v>
      </c>
      <c r="Z164" s="1">
        <f>P164-Y164</f>
        <v>-0.13735639856478</v>
      </c>
      <c r="AB164" s="1">
        <f>C164</f>
        <v>4.2</v>
      </c>
      <c r="AC164" s="1">
        <f>D164</f>
        <v>88</v>
      </c>
      <c r="AD164" s="1">
        <f>E164</f>
        <v>2</v>
      </c>
      <c r="AE164" s="1">
        <f>F164</f>
        <v>0</v>
      </c>
      <c r="AF164" s="1">
        <f>G164</f>
        <v>0</v>
      </c>
      <c r="AG164" s="1">
        <f>I164</f>
        <v>0</v>
      </c>
      <c r="AH164" s="1">
        <f>J164</f>
        <v>0</v>
      </c>
      <c r="AI164" s="1">
        <f>Q164</f>
        <v>0</v>
      </c>
      <c r="AJ164" s="1">
        <f>K164</f>
        <v>0</v>
      </c>
      <c r="AK164" s="1">
        <f>L164</f>
        <v>0</v>
      </c>
      <c r="AL164" s="1">
        <f>M164</f>
        <v>0</v>
      </c>
      <c r="AM164" s="1">
        <f>N164</f>
        <v>0</v>
      </c>
      <c r="AN164" s="1">
        <f>O164</f>
        <v>0</v>
      </c>
    </row>
    <row r="165">
      <c r="A165" s="1">
        <v>214</v>
      </c>
      <c r="B165" s="1">
        <v>15</v>
      </c>
      <c r="C165" s="1">
        <v>5.4</v>
      </c>
      <c r="D165" s="1">
        <v>85</v>
      </c>
      <c r="E165" s="1">
        <v>2</v>
      </c>
      <c r="F165" s="1">
        <v>0</v>
      </c>
      <c r="G165" s="1">
        <v>0</v>
      </c>
      <c r="H165" s="1">
        <v>1</v>
      </c>
      <c r="I165" s="1">
        <v>0</v>
      </c>
      <c r="J165" s="1">
        <v>0</v>
      </c>
      <c r="K165" s="1">
        <v>0</v>
      </c>
      <c r="L165" s="1">
        <v>0</v>
      </c>
      <c r="M165" s="1">
        <v>0</v>
      </c>
      <c r="N165" s="1">
        <v>0</v>
      </c>
      <c r="O165" s="1">
        <v>0</v>
      </c>
      <c r="P165" s="1">
        <f>LN(B165)</f>
        <v>2.70805020110221</v>
      </c>
      <c r="Q165" s="1">
        <f>1-SUM(F165:J165)</f>
        <v>0</v>
      </c>
      <c r="R165" s="1" t="str">
        <f>IF(F165=1,"Napa valley",IF(G165=1,"Bay area",IF(H165=1,"Sonoma",IF(I165=1,"Sierra/foothills",IF(J165=1,"Mendocino/lake","Generic California")))))</f>
        <v>Sonoma</v>
      </c>
      <c r="S165" s="1" t="str">
        <f>IF(F165=1,"Napa valley",IF(H165=1,"Sonoma","Other"))</f>
        <v>Sonoma</v>
      </c>
      <c r="T165" s="1" t="str">
        <f>IF(M165=1,"Cabernet",IF(N165=1,"Merlot",IF(L165=1,"Pinot noir","Other")))</f>
        <v>Other</v>
      </c>
      <c r="U165" s="1" t="str">
        <f>IF(F165=1,B165,"")</f>
        <v/>
      </c>
      <c r="V165" s="1">
        <f>IF(F165=0,B165,"")</f>
        <v>15</v>
      </c>
      <c r="W165" s="1">
        <f>'Part B'!$B$150+SUMPRODUCT('Part B'!$B$164:$N$164,C165:O165)</f>
        <v>6.75738116448093</v>
      </c>
      <c r="X165" s="1">
        <f>B165-W165</f>
        <v>8.24261883551907</v>
      </c>
      <c r="Y165" s="1">
        <f>'Part B'!$B$179+SUMPRODUCT('Part B'!$B$193:$N$193,C165:O165)</f>
        <v>2.63038761270061</v>
      </c>
      <c r="Z165" s="1">
        <f>P165-Y165</f>
        <v>0.0776625884016</v>
      </c>
      <c r="AB165" s="1">
        <f>C165</f>
        <v>5.4</v>
      </c>
      <c r="AC165" s="1">
        <f>D165</f>
        <v>85</v>
      </c>
      <c r="AD165" s="1">
        <f>E165</f>
        <v>2</v>
      </c>
      <c r="AE165" s="1">
        <f>F165</f>
        <v>0</v>
      </c>
      <c r="AF165" s="1">
        <f>G165</f>
        <v>0</v>
      </c>
      <c r="AG165" s="1">
        <f>I165</f>
        <v>0</v>
      </c>
      <c r="AH165" s="1">
        <f>J165</f>
        <v>0</v>
      </c>
      <c r="AI165" s="1">
        <f>Q165</f>
        <v>0</v>
      </c>
      <c r="AJ165" s="1">
        <f>K165</f>
        <v>0</v>
      </c>
      <c r="AK165" s="1">
        <f>L165</f>
        <v>0</v>
      </c>
      <c r="AL165" s="1">
        <f>M165</f>
        <v>0</v>
      </c>
      <c r="AM165" s="1">
        <f>N165</f>
        <v>0</v>
      </c>
      <c r="AN165" s="1">
        <f>O165</f>
        <v>0</v>
      </c>
    </row>
    <row r="166">
      <c r="A166" s="1">
        <v>215</v>
      </c>
      <c r="B166" s="1">
        <v>15</v>
      </c>
      <c r="C166" s="1">
        <v>1.6</v>
      </c>
      <c r="D166" s="1">
        <v>88</v>
      </c>
      <c r="E166" s="1">
        <v>2</v>
      </c>
      <c r="F166" s="1">
        <v>0</v>
      </c>
      <c r="G166" s="1">
        <v>0</v>
      </c>
      <c r="H166" s="1">
        <v>1</v>
      </c>
      <c r="I166" s="1">
        <v>0</v>
      </c>
      <c r="J166" s="1">
        <v>0</v>
      </c>
      <c r="K166" s="1">
        <v>0</v>
      </c>
      <c r="L166" s="1">
        <v>0</v>
      </c>
      <c r="M166" s="1">
        <v>0</v>
      </c>
      <c r="N166" s="1">
        <v>0</v>
      </c>
      <c r="O166" s="1">
        <v>0</v>
      </c>
      <c r="P166" s="1">
        <f>LN(B166)</f>
        <v>2.70805020110221</v>
      </c>
      <c r="Q166" s="1">
        <f>1-SUM(F166:J166)</f>
        <v>0</v>
      </c>
      <c r="R166" s="1" t="str">
        <f>IF(F166=1,"Napa valley",IF(G166=1,"Bay area",IF(H166=1,"Sonoma",IF(I166=1,"Sierra/foothills",IF(J166=1,"Mendocino/lake","Generic California")))))</f>
        <v>Sonoma</v>
      </c>
      <c r="S166" s="1" t="str">
        <f>IF(F166=1,"Napa valley",IF(H166=1,"Sonoma","Other"))</f>
        <v>Sonoma</v>
      </c>
      <c r="T166" s="1" t="str">
        <f>IF(M166=1,"Cabernet",IF(N166=1,"Merlot",IF(L166=1,"Pinot noir","Other")))</f>
        <v>Other</v>
      </c>
      <c r="U166" s="1" t="str">
        <f>IF(F166=1,B166,"")</f>
        <v/>
      </c>
      <c r="V166" s="1">
        <f>IF(F166=0,B166,"")</f>
        <v>15</v>
      </c>
      <c r="W166" s="1">
        <f>'Part B'!$B$150+SUMPRODUCT('Part B'!$B$164:$N$164,C166:O166)</f>
        <v>16.5533447661571</v>
      </c>
      <c r="X166" s="1">
        <f>B166-W166</f>
        <v>-1.55334476615707</v>
      </c>
      <c r="Y166" s="1">
        <f>'Part B'!$B$179+SUMPRODUCT('Part B'!$B$193:$N$193,C166:O166)</f>
        <v>2.85653217424421</v>
      </c>
      <c r="Z166" s="1">
        <f>P166-Y166</f>
        <v>-0.148481973141997</v>
      </c>
      <c r="AB166" s="1">
        <f>C166</f>
        <v>1.6</v>
      </c>
      <c r="AC166" s="1">
        <f>D166</f>
        <v>88</v>
      </c>
      <c r="AD166" s="1">
        <f>E166</f>
        <v>2</v>
      </c>
      <c r="AE166" s="1">
        <f>F166</f>
        <v>0</v>
      </c>
      <c r="AF166" s="1">
        <f>G166</f>
        <v>0</v>
      </c>
      <c r="AG166" s="1">
        <f>I166</f>
        <v>0</v>
      </c>
      <c r="AH166" s="1">
        <f>J166</f>
        <v>0</v>
      </c>
      <c r="AI166" s="1">
        <f>Q166</f>
        <v>0</v>
      </c>
      <c r="AJ166" s="1">
        <f>K166</f>
        <v>0</v>
      </c>
      <c r="AK166" s="1">
        <f>L166</f>
        <v>0</v>
      </c>
      <c r="AL166" s="1">
        <f>M166</f>
        <v>0</v>
      </c>
      <c r="AM166" s="1">
        <f>N166</f>
        <v>0</v>
      </c>
      <c r="AN166" s="1">
        <f>O166</f>
        <v>0</v>
      </c>
    </row>
    <row r="167">
      <c r="A167" s="1">
        <v>218</v>
      </c>
      <c r="B167" s="1">
        <v>15</v>
      </c>
      <c r="C167" s="1">
        <v>2.987</v>
      </c>
      <c r="D167" s="1">
        <v>87</v>
      </c>
      <c r="E167" s="1">
        <v>2</v>
      </c>
      <c r="F167" s="1">
        <v>0</v>
      </c>
      <c r="G167" s="1">
        <v>0</v>
      </c>
      <c r="H167" s="1">
        <v>1</v>
      </c>
      <c r="I167" s="1">
        <v>0</v>
      </c>
      <c r="J167" s="1">
        <v>0</v>
      </c>
      <c r="K167" s="1">
        <v>0</v>
      </c>
      <c r="L167" s="1">
        <v>0</v>
      </c>
      <c r="M167" s="1">
        <v>0</v>
      </c>
      <c r="N167" s="1">
        <v>0</v>
      </c>
      <c r="O167" s="1">
        <v>0</v>
      </c>
      <c r="P167" s="1">
        <f>LN(B167)</f>
        <v>2.70805020110221</v>
      </c>
      <c r="Q167" s="1">
        <f>1-SUM(F167:J167)</f>
        <v>0</v>
      </c>
      <c r="R167" s="1" t="str">
        <f>IF(F167=1,"Napa valley",IF(G167=1,"Bay area",IF(H167=1,"Sonoma",IF(I167=1,"Sierra/foothills",IF(J167=1,"Mendocino/lake","Generic California")))))</f>
        <v>Sonoma</v>
      </c>
      <c r="S167" s="1" t="str">
        <f>IF(F167=1,"Napa valley",IF(H167=1,"Sonoma","Other"))</f>
        <v>Sonoma</v>
      </c>
      <c r="T167" s="1" t="str">
        <f>IF(M167=1,"Cabernet",IF(N167=1,"Merlot",IF(L167=1,"Pinot noir","Other")))</f>
        <v>Other</v>
      </c>
      <c r="U167" s="1" t="str">
        <f>IF(F167=1,B167,"")</f>
        <v/>
      </c>
      <c r="V167" s="1">
        <f>IF(F167=0,B167,"")</f>
        <v>15</v>
      </c>
      <c r="W167" s="1">
        <f>'Part B'!$B$150+SUMPRODUCT('Part B'!$B$164:$N$164,C167:O167)</f>
        <v>13.2766022753195</v>
      </c>
      <c r="X167" s="1">
        <f>B167-W167</f>
        <v>1.72339772468047</v>
      </c>
      <c r="Y167" s="1">
        <f>'Part B'!$B$179+SUMPRODUCT('Part B'!$B$193:$N$193,C167:O167)</f>
        <v>2.78063573931655</v>
      </c>
      <c r="Z167" s="1">
        <f>P167-Y167</f>
        <v>-0.0725855382143403</v>
      </c>
      <c r="AB167" s="1">
        <f>C167</f>
        <v>2.987</v>
      </c>
      <c r="AC167" s="1">
        <f>D167</f>
        <v>87</v>
      </c>
      <c r="AD167" s="1">
        <f>E167</f>
        <v>2</v>
      </c>
      <c r="AE167" s="1">
        <f>F167</f>
        <v>0</v>
      </c>
      <c r="AF167" s="1">
        <f>G167</f>
        <v>0</v>
      </c>
      <c r="AG167" s="1">
        <f>I167</f>
        <v>0</v>
      </c>
      <c r="AH167" s="1">
        <f>J167</f>
        <v>0</v>
      </c>
      <c r="AI167" s="1">
        <f>Q167</f>
        <v>0</v>
      </c>
      <c r="AJ167" s="1">
        <f>K167</f>
        <v>0</v>
      </c>
      <c r="AK167" s="1">
        <f>L167</f>
        <v>0</v>
      </c>
      <c r="AL167" s="1">
        <f>M167</f>
        <v>0</v>
      </c>
      <c r="AM167" s="1">
        <f>N167</f>
        <v>0</v>
      </c>
      <c r="AN167" s="1">
        <f>O167</f>
        <v>0</v>
      </c>
    </row>
    <row r="168">
      <c r="A168" s="1">
        <v>219</v>
      </c>
      <c r="B168" s="1">
        <v>15</v>
      </c>
      <c r="C168" s="1">
        <v>0.6</v>
      </c>
      <c r="D168" s="1">
        <v>86</v>
      </c>
      <c r="E168" s="1">
        <v>2</v>
      </c>
      <c r="F168" s="1">
        <v>0</v>
      </c>
      <c r="G168" s="1">
        <v>0</v>
      </c>
      <c r="H168" s="1">
        <v>0</v>
      </c>
      <c r="I168" s="1">
        <v>1</v>
      </c>
      <c r="J168" s="1">
        <v>0</v>
      </c>
      <c r="K168" s="1">
        <v>0</v>
      </c>
      <c r="L168" s="1">
        <v>0</v>
      </c>
      <c r="M168" s="1">
        <v>0</v>
      </c>
      <c r="N168" s="1">
        <v>0</v>
      </c>
      <c r="O168" s="1">
        <v>0</v>
      </c>
      <c r="P168" s="1">
        <f>LN(B168)</f>
        <v>2.70805020110221</v>
      </c>
      <c r="Q168" s="1">
        <f>1-SUM(F168:J168)</f>
        <v>0</v>
      </c>
      <c r="R168" s="1" t="str">
        <f>IF(F168=1,"Napa valley",IF(G168=1,"Bay area",IF(H168=1,"Sonoma",IF(I168=1,"Sierra/foothills",IF(J168=1,"Mendocino/lake","Generic California")))))</f>
        <v>Sierra/foothills</v>
      </c>
      <c r="S168" s="1" t="str">
        <f>IF(F168=1,"Napa valley",IF(H168=1,"Sonoma","Other"))</f>
        <v>Other</v>
      </c>
      <c r="T168" s="1" t="str">
        <f>IF(M168=1,"Cabernet",IF(N168=1,"Merlot",IF(L168=1,"Pinot noir","Other")))</f>
        <v>Other</v>
      </c>
      <c r="U168" s="1" t="str">
        <f>IF(F168=1,B168,"")</f>
        <v/>
      </c>
      <c r="V168" s="1">
        <f>IF(F168=0,B168,"")</f>
        <v>15</v>
      </c>
      <c r="W168" s="1">
        <f>'Part B'!$B$150+SUMPRODUCT('Part B'!$B$164:$N$164,C168:O168)</f>
        <v>16.2174805134151</v>
      </c>
      <c r="X168" s="1">
        <f>B168-W168</f>
        <v>-1.21748051341507</v>
      </c>
      <c r="Y168" s="1">
        <f>'Part B'!$B$179+SUMPRODUCT('Part B'!$B$193:$N$193,C168:O168)</f>
        <v>2.69019117280679</v>
      </c>
      <c r="Z168" s="1">
        <f>P168-Y168</f>
        <v>0.017859028295415</v>
      </c>
      <c r="AB168" s="1">
        <f>C168</f>
        <v>0.6</v>
      </c>
      <c r="AC168" s="1">
        <f>D168</f>
        <v>86</v>
      </c>
      <c r="AD168" s="1">
        <f>E168</f>
        <v>2</v>
      </c>
      <c r="AE168" s="1">
        <f>F168</f>
        <v>0</v>
      </c>
      <c r="AF168" s="1">
        <f>G168</f>
        <v>0</v>
      </c>
      <c r="AG168" s="1">
        <f>I168</f>
        <v>1</v>
      </c>
      <c r="AH168" s="1">
        <f>J168</f>
        <v>0</v>
      </c>
      <c r="AI168" s="1">
        <f>Q168</f>
        <v>0</v>
      </c>
      <c r="AJ168" s="1">
        <f>K168</f>
        <v>0</v>
      </c>
      <c r="AK168" s="1">
        <f>L168</f>
        <v>0</v>
      </c>
      <c r="AL168" s="1">
        <f>M168</f>
        <v>0</v>
      </c>
      <c r="AM168" s="1">
        <f>N168</f>
        <v>0</v>
      </c>
      <c r="AN168" s="1">
        <f>O168</f>
        <v>0</v>
      </c>
    </row>
    <row r="169">
      <c r="A169" s="1">
        <v>220</v>
      </c>
      <c r="B169" s="1">
        <v>15</v>
      </c>
      <c r="C169" s="1">
        <v>0.68</v>
      </c>
      <c r="D169" s="1">
        <v>86</v>
      </c>
      <c r="E169" s="1">
        <v>2</v>
      </c>
      <c r="F169" s="1">
        <v>0</v>
      </c>
      <c r="G169" s="1">
        <v>0</v>
      </c>
      <c r="H169" s="1">
        <v>0</v>
      </c>
      <c r="I169" s="1">
        <v>1</v>
      </c>
      <c r="J169" s="1">
        <v>0</v>
      </c>
      <c r="K169" s="1">
        <v>0</v>
      </c>
      <c r="L169" s="1">
        <v>0</v>
      </c>
      <c r="M169" s="1">
        <v>0</v>
      </c>
      <c r="N169" s="1">
        <v>0</v>
      </c>
      <c r="O169" s="1">
        <v>0</v>
      </c>
      <c r="P169" s="1">
        <f>LN(B169)</f>
        <v>2.70805020110221</v>
      </c>
      <c r="Q169" s="1">
        <f>1-SUM(F169:J169)</f>
        <v>0</v>
      </c>
      <c r="R169" s="1" t="str">
        <f>IF(F169=1,"Napa valley",IF(G169=1,"Bay area",IF(H169=1,"Sonoma",IF(I169=1,"Sierra/foothills",IF(J169=1,"Mendocino/lake","Generic California")))))</f>
        <v>Sierra/foothills</v>
      </c>
      <c r="S169" s="1" t="str">
        <f>IF(F169=1,"Napa valley",IF(H169=1,"Sonoma","Other"))</f>
        <v>Other</v>
      </c>
      <c r="T169" s="1" t="str">
        <f>IF(M169=1,"Cabernet",IF(N169=1,"Merlot",IF(L169=1,"Pinot noir","Other")))</f>
        <v>Other</v>
      </c>
      <c r="U169" s="1" t="str">
        <f>IF(F169=1,B169,"")</f>
        <v/>
      </c>
      <c r="V169" s="1">
        <f>IF(F169=0,B169,"")</f>
        <v>15</v>
      </c>
      <c r="W169" s="1">
        <f>'Part B'!$B$150+SUMPRODUCT('Part B'!$B$164:$N$164,C169:O169)</f>
        <v>16.2098874118447</v>
      </c>
      <c r="X169" s="1">
        <f>B169-W169</f>
        <v>-1.2098874118447</v>
      </c>
      <c r="Y169" s="1">
        <f>'Part B'!$B$179+SUMPRODUCT('Part B'!$B$193:$N$193,C169:O169)</f>
        <v>2.68984884743519</v>
      </c>
      <c r="Z169" s="1">
        <f>P169-Y169</f>
        <v>0.0182013536670218</v>
      </c>
      <c r="AB169" s="1">
        <f>C169</f>
        <v>0.68</v>
      </c>
      <c r="AC169" s="1">
        <f>D169</f>
        <v>86</v>
      </c>
      <c r="AD169" s="1">
        <f>E169</f>
        <v>2</v>
      </c>
      <c r="AE169" s="1">
        <f>F169</f>
        <v>0</v>
      </c>
      <c r="AF169" s="1">
        <f>G169</f>
        <v>0</v>
      </c>
      <c r="AG169" s="1">
        <f>I169</f>
        <v>1</v>
      </c>
      <c r="AH169" s="1">
        <f>J169</f>
        <v>0</v>
      </c>
      <c r="AI169" s="1">
        <f>Q169</f>
        <v>0</v>
      </c>
      <c r="AJ169" s="1">
        <f>K169</f>
        <v>0</v>
      </c>
      <c r="AK169" s="1">
        <f>L169</f>
        <v>0</v>
      </c>
      <c r="AL169" s="1">
        <f>M169</f>
        <v>0</v>
      </c>
      <c r="AM169" s="1">
        <f>N169</f>
        <v>0</v>
      </c>
      <c r="AN169" s="1">
        <f>O169</f>
        <v>0</v>
      </c>
    </row>
    <row r="170">
      <c r="A170" s="1">
        <v>221</v>
      </c>
      <c r="B170" s="1">
        <v>15</v>
      </c>
      <c r="C170" s="1">
        <v>9.5</v>
      </c>
      <c r="D170" s="1">
        <v>86</v>
      </c>
      <c r="E170" s="1">
        <v>2</v>
      </c>
      <c r="F170" s="1">
        <v>1</v>
      </c>
      <c r="G170" s="1">
        <v>0</v>
      </c>
      <c r="H170" s="1">
        <v>0</v>
      </c>
      <c r="I170" s="1">
        <v>0</v>
      </c>
      <c r="J170" s="1">
        <v>0</v>
      </c>
      <c r="K170" s="1">
        <v>0</v>
      </c>
      <c r="L170" s="1">
        <v>0</v>
      </c>
      <c r="M170" s="1">
        <v>1</v>
      </c>
      <c r="N170" s="1">
        <v>0</v>
      </c>
      <c r="O170" s="1">
        <v>0</v>
      </c>
      <c r="P170" s="1">
        <f>LN(B170)</f>
        <v>2.70805020110221</v>
      </c>
      <c r="Q170" s="1">
        <f>1-SUM(F170:J170)</f>
        <v>0</v>
      </c>
      <c r="R170" s="1" t="str">
        <f>IF(F170=1,"Napa valley",IF(G170=1,"Bay area",IF(H170=1,"Sonoma",IF(I170=1,"Sierra/foothills",IF(J170=1,"Mendocino/lake","Generic California")))))</f>
        <v>Napa valley</v>
      </c>
      <c r="S170" s="1" t="str">
        <f>IF(F170=1,"Napa valley",IF(H170=1,"Sonoma","Other"))</f>
        <v>Napa valley</v>
      </c>
      <c r="T170" s="1" t="str">
        <f>IF(M170=1,"Cabernet",IF(N170=1,"Merlot",IF(L170=1,"Pinot noir","Other")))</f>
        <v>Cabernet</v>
      </c>
      <c r="U170" s="1">
        <f>IF(F170=1,B170,"")</f>
        <v>15</v>
      </c>
      <c r="V170" s="1" t="str">
        <f>IF(F170=0,B170,"")</f>
        <v/>
      </c>
      <c r="W170" s="1">
        <f>'Part B'!$B$150+SUMPRODUCT('Part B'!$B$164:$N$164,C170:O170)</f>
        <v>30.0370332633458</v>
      </c>
      <c r="X170" s="1">
        <f>B170-W170</f>
        <v>-15.0370332633458</v>
      </c>
      <c r="Y170" s="1">
        <f>'Part B'!$B$179+SUMPRODUCT('Part B'!$B$193:$N$193,C170:O170)</f>
        <v>3.15158803149074</v>
      </c>
      <c r="Z170" s="1">
        <f>P170-Y170</f>
        <v>-0.443537830388527</v>
      </c>
      <c r="AB170" s="1">
        <f>C170</f>
        <v>9.5</v>
      </c>
      <c r="AC170" s="1">
        <f>D170</f>
        <v>86</v>
      </c>
      <c r="AD170" s="1">
        <f>E170</f>
        <v>2</v>
      </c>
      <c r="AE170" s="1">
        <f>F170</f>
        <v>1</v>
      </c>
      <c r="AF170" s="1">
        <f>G170</f>
        <v>0</v>
      </c>
      <c r="AG170" s="1">
        <f>I170</f>
        <v>0</v>
      </c>
      <c r="AH170" s="1">
        <f>J170</f>
        <v>0</v>
      </c>
      <c r="AI170" s="1">
        <f>Q170</f>
        <v>0</v>
      </c>
      <c r="AJ170" s="1">
        <f>K170</f>
        <v>0</v>
      </c>
      <c r="AK170" s="1">
        <f>L170</f>
        <v>0</v>
      </c>
      <c r="AL170" s="1">
        <f>M170</f>
        <v>1</v>
      </c>
      <c r="AM170" s="1">
        <f>N170</f>
        <v>0</v>
      </c>
      <c r="AN170" s="1">
        <f>O170</f>
        <v>0</v>
      </c>
    </row>
    <row r="171">
      <c r="A171" s="1">
        <v>226</v>
      </c>
      <c r="B171" s="1">
        <v>15</v>
      </c>
      <c r="C171" s="1">
        <v>0.375</v>
      </c>
      <c r="D171" s="1">
        <v>85</v>
      </c>
      <c r="E171" s="1">
        <v>2</v>
      </c>
      <c r="F171" s="1">
        <v>0</v>
      </c>
      <c r="G171" s="1">
        <v>0</v>
      </c>
      <c r="H171" s="1">
        <v>0</v>
      </c>
      <c r="I171" s="1">
        <v>0</v>
      </c>
      <c r="J171" s="1">
        <v>0</v>
      </c>
      <c r="K171" s="1">
        <v>0</v>
      </c>
      <c r="L171" s="1">
        <v>0</v>
      </c>
      <c r="M171" s="1">
        <v>1</v>
      </c>
      <c r="N171" s="1">
        <v>0</v>
      </c>
      <c r="O171" s="1">
        <v>0</v>
      </c>
      <c r="P171" s="1">
        <f>LN(B171)</f>
        <v>2.70805020110221</v>
      </c>
      <c r="Q171" s="1">
        <f>1-SUM(F171:J171)</f>
        <v>1</v>
      </c>
      <c r="R171" s="1" t="str">
        <f>IF(F171=1,"Napa valley",IF(G171=1,"Bay area",IF(H171=1,"Sonoma",IF(I171=1,"Sierra/foothills",IF(J171=1,"Mendocino/lake","Generic California")))))</f>
        <v>Generic California</v>
      </c>
      <c r="S171" s="1" t="str">
        <f>IF(F171=1,"Napa valley",IF(H171=1,"Sonoma","Other"))</f>
        <v>Other</v>
      </c>
      <c r="T171" s="1" t="str">
        <f>IF(M171=1,"Cabernet",IF(N171=1,"Merlot",IF(L171=1,"Pinot noir","Other")))</f>
        <v>Cabernet</v>
      </c>
      <c r="U171" s="1" t="str">
        <f>IF(F171=1,B171,"")</f>
        <v/>
      </c>
      <c r="V171" s="1">
        <f>IF(F171=0,B171,"")</f>
        <v>15</v>
      </c>
      <c r="W171" s="1">
        <f>'Part B'!$B$150+SUMPRODUCT('Part B'!$B$164:$N$164,C171:O171)</f>
        <v>20.6970198855298</v>
      </c>
      <c r="X171" s="1">
        <f>B171-W171</f>
        <v>-5.69701988552976</v>
      </c>
      <c r="Y171" s="1">
        <f>'Part B'!$B$179+SUMPRODUCT('Part B'!$B$193:$N$193,C171:O171)</f>
        <v>2.6909537375186</v>
      </c>
      <c r="Z171" s="1">
        <f>P171-Y171</f>
        <v>0.0170964635836133</v>
      </c>
      <c r="AB171" s="1">
        <f>C171</f>
        <v>0.375</v>
      </c>
      <c r="AC171" s="1">
        <f>D171</f>
        <v>85</v>
      </c>
      <c r="AD171" s="1">
        <f>E171</f>
        <v>2</v>
      </c>
      <c r="AE171" s="1">
        <f>F171</f>
        <v>0</v>
      </c>
      <c r="AF171" s="1">
        <f>G171</f>
        <v>0</v>
      </c>
      <c r="AG171" s="1">
        <f>I171</f>
        <v>0</v>
      </c>
      <c r="AH171" s="1">
        <f>J171</f>
        <v>0</v>
      </c>
      <c r="AI171" s="1">
        <f>Q171</f>
        <v>1</v>
      </c>
      <c r="AJ171" s="1">
        <f>K171</f>
        <v>0</v>
      </c>
      <c r="AK171" s="1">
        <f>L171</f>
        <v>0</v>
      </c>
      <c r="AL171" s="1">
        <f>M171</f>
        <v>1</v>
      </c>
      <c r="AM171" s="1">
        <f>N171</f>
        <v>0</v>
      </c>
      <c r="AN171" s="1">
        <f>O171</f>
        <v>0</v>
      </c>
    </row>
    <row r="172">
      <c r="A172" s="1">
        <v>229</v>
      </c>
      <c r="B172" s="1">
        <v>16</v>
      </c>
      <c r="C172" s="1">
        <v>1.6</v>
      </c>
      <c r="D172" s="1">
        <v>84</v>
      </c>
      <c r="E172" s="1">
        <v>3</v>
      </c>
      <c r="F172" s="1">
        <v>1</v>
      </c>
      <c r="G172" s="1">
        <v>0</v>
      </c>
      <c r="H172" s="1">
        <v>0</v>
      </c>
      <c r="I172" s="1">
        <v>0</v>
      </c>
      <c r="J172" s="1">
        <v>0</v>
      </c>
      <c r="K172" s="1">
        <v>0</v>
      </c>
      <c r="L172" s="1">
        <v>0</v>
      </c>
      <c r="M172" s="1">
        <v>1</v>
      </c>
      <c r="N172" s="1">
        <v>0</v>
      </c>
      <c r="O172" s="1">
        <v>0</v>
      </c>
      <c r="P172" s="1">
        <f>LN(B172)</f>
        <v>2.77258872223978</v>
      </c>
      <c r="Q172" s="1">
        <f>1-SUM(F172:J172)</f>
        <v>0</v>
      </c>
      <c r="R172" s="1" t="str">
        <f>IF(F172=1,"Napa valley",IF(G172=1,"Bay area",IF(H172=1,"Sonoma",IF(I172=1,"Sierra/foothills",IF(J172=1,"Mendocino/lake","Generic California")))))</f>
        <v>Napa valley</v>
      </c>
      <c r="S172" s="1" t="str">
        <f>IF(F172=1,"Napa valley",IF(H172=1,"Sonoma","Other"))</f>
        <v>Napa valley</v>
      </c>
      <c r="T172" s="1" t="str">
        <f>IF(M172=1,"Cabernet",IF(N172=1,"Merlot",IF(L172=1,"Pinot noir","Other")))</f>
        <v>Cabernet</v>
      </c>
      <c r="U172" s="1">
        <f>IF(F172=1,B172,"")</f>
        <v>16</v>
      </c>
      <c r="V172" s="1" t="str">
        <f>IF(F172=0,B172,"")</f>
        <v/>
      </c>
      <c r="W172" s="1">
        <f>'Part B'!$B$150+SUMPRODUCT('Part B'!$B$164:$N$164,C172:O172)</f>
        <v>31.11626261708</v>
      </c>
      <c r="X172" s="1">
        <f>B172-W172</f>
        <v>-15.11626261708</v>
      </c>
      <c r="Y172" s="1">
        <f>'Part B'!$B$179+SUMPRODUCT('Part B'!$B$193:$N$193,C172:O172)</f>
        <v>3.22855520678365</v>
      </c>
      <c r="Z172" s="1">
        <f>P172-Y172</f>
        <v>-0.455966484543872</v>
      </c>
      <c r="AB172" s="1">
        <f>C172</f>
        <v>1.6</v>
      </c>
      <c r="AC172" s="1">
        <f>D172</f>
        <v>84</v>
      </c>
      <c r="AD172" s="1">
        <f>E172</f>
        <v>3</v>
      </c>
      <c r="AE172" s="1">
        <f>F172</f>
        <v>1</v>
      </c>
      <c r="AF172" s="1">
        <f>G172</f>
        <v>0</v>
      </c>
      <c r="AG172" s="1">
        <f>I172</f>
        <v>0</v>
      </c>
      <c r="AH172" s="1">
        <f>J172</f>
        <v>0</v>
      </c>
      <c r="AI172" s="1">
        <f>Q172</f>
        <v>0</v>
      </c>
      <c r="AJ172" s="1">
        <f>K172</f>
        <v>0</v>
      </c>
      <c r="AK172" s="1">
        <f>L172</f>
        <v>0</v>
      </c>
      <c r="AL172" s="1">
        <f>M172</f>
        <v>1</v>
      </c>
      <c r="AM172" s="1">
        <f>N172</f>
        <v>0</v>
      </c>
      <c r="AN172" s="1">
        <f>O172</f>
        <v>0</v>
      </c>
    </row>
    <row r="173">
      <c r="A173" s="1">
        <v>230</v>
      </c>
      <c r="B173" s="1">
        <v>16</v>
      </c>
      <c r="C173" s="1">
        <v>1.977</v>
      </c>
      <c r="D173" s="1">
        <v>84</v>
      </c>
      <c r="E173" s="1">
        <v>3</v>
      </c>
      <c r="F173" s="1">
        <v>0</v>
      </c>
      <c r="G173" s="1">
        <v>0</v>
      </c>
      <c r="H173" s="1">
        <v>0</v>
      </c>
      <c r="I173" s="1">
        <v>0</v>
      </c>
      <c r="J173" s="1">
        <v>0</v>
      </c>
      <c r="K173" s="1">
        <v>0</v>
      </c>
      <c r="L173" s="1">
        <v>0</v>
      </c>
      <c r="M173" s="1">
        <v>0</v>
      </c>
      <c r="N173" s="1">
        <v>0</v>
      </c>
      <c r="O173" s="1">
        <v>0</v>
      </c>
      <c r="P173" s="1">
        <f>LN(B173)</f>
        <v>2.77258872223978</v>
      </c>
      <c r="Q173" s="1">
        <f>1-SUM(F173:J173)</f>
        <v>1</v>
      </c>
      <c r="R173" s="1" t="str">
        <f>IF(F173=1,"Napa valley",IF(G173=1,"Bay area",IF(H173=1,"Sonoma",IF(I173=1,"Sierra/foothills",IF(J173=1,"Mendocino/lake","Generic California")))))</f>
        <v>Generic California</v>
      </c>
      <c r="S173" s="1" t="str">
        <f>IF(F173=1,"Napa valley",IF(H173=1,"Sonoma","Other"))</f>
        <v>Other</v>
      </c>
      <c r="T173" s="1" t="str">
        <f>IF(M173=1,"Cabernet",IF(N173=1,"Merlot",IF(L173=1,"Pinot noir","Other")))</f>
        <v>Other</v>
      </c>
      <c r="U173" s="1" t="str">
        <f>IF(F173=1,B173,"")</f>
        <v/>
      </c>
      <c r="V173" s="1">
        <f>IF(F173=0,B173,"")</f>
        <v>16</v>
      </c>
      <c r="W173" s="1">
        <f>'Part B'!$B$150+SUMPRODUCT('Part B'!$B$164:$N$164,C173:O173)</f>
        <v>11.3922220504097</v>
      </c>
      <c r="X173" s="1">
        <f>B173-W173</f>
        <v>4.60777794959034</v>
      </c>
      <c r="Y173" s="1">
        <f>'Part B'!$B$179+SUMPRODUCT('Part B'!$B$193:$N$193,C173:O173)</f>
        <v>2.47622692520898</v>
      </c>
      <c r="Z173" s="1">
        <f>P173-Y173</f>
        <v>0.296361797030797</v>
      </c>
      <c r="AB173" s="1">
        <f>C173</f>
        <v>1.977</v>
      </c>
      <c r="AC173" s="1">
        <f>D173</f>
        <v>84</v>
      </c>
      <c r="AD173" s="1">
        <f>E173</f>
        <v>3</v>
      </c>
      <c r="AE173" s="1">
        <f>F173</f>
        <v>0</v>
      </c>
      <c r="AF173" s="1">
        <f>G173</f>
        <v>0</v>
      </c>
      <c r="AG173" s="1">
        <f>I173</f>
        <v>0</v>
      </c>
      <c r="AH173" s="1">
        <f>J173</f>
        <v>0</v>
      </c>
      <c r="AI173" s="1">
        <f>Q173</f>
        <v>1</v>
      </c>
      <c r="AJ173" s="1">
        <f>K173</f>
        <v>0</v>
      </c>
      <c r="AK173" s="1">
        <f>L173</f>
        <v>0</v>
      </c>
      <c r="AL173" s="1">
        <f>M173</f>
        <v>0</v>
      </c>
      <c r="AM173" s="1">
        <f>N173</f>
        <v>0</v>
      </c>
      <c r="AN173" s="1">
        <f>O173</f>
        <v>0</v>
      </c>
    </row>
    <row r="174">
      <c r="A174" s="1">
        <v>231</v>
      </c>
      <c r="B174" s="1">
        <v>16</v>
      </c>
      <c r="C174" s="1">
        <v>1.1</v>
      </c>
      <c r="D174" s="1">
        <v>80</v>
      </c>
      <c r="E174" s="1">
        <v>3</v>
      </c>
      <c r="F174" s="1">
        <v>0</v>
      </c>
      <c r="G174" s="1">
        <v>0</v>
      </c>
      <c r="H174" s="1">
        <v>1</v>
      </c>
      <c r="I174" s="1">
        <v>0</v>
      </c>
      <c r="J174" s="1">
        <v>0</v>
      </c>
      <c r="K174" s="1">
        <v>0</v>
      </c>
      <c r="L174" s="1">
        <v>0</v>
      </c>
      <c r="M174" s="1">
        <v>1</v>
      </c>
      <c r="N174" s="1">
        <v>0</v>
      </c>
      <c r="O174" s="1">
        <v>0</v>
      </c>
      <c r="P174" s="1">
        <f>LN(B174)</f>
        <v>2.77258872223978</v>
      </c>
      <c r="Q174" s="1">
        <f>1-SUM(F174:J174)</f>
        <v>0</v>
      </c>
      <c r="R174" s="1" t="str">
        <f>IF(F174=1,"Napa valley",IF(G174=1,"Bay area",IF(H174=1,"Sonoma",IF(I174=1,"Sierra/foothills",IF(J174=1,"Mendocino/lake","Generic California")))))</f>
        <v>Sonoma</v>
      </c>
      <c r="S174" s="1" t="str">
        <f>IF(F174=1,"Napa valley",IF(H174=1,"Sonoma","Other"))</f>
        <v>Sonoma</v>
      </c>
      <c r="T174" s="1" t="str">
        <f>IF(M174=1,"Cabernet",IF(N174=1,"Merlot",IF(L174=1,"Pinot noir","Other")))</f>
        <v>Cabernet</v>
      </c>
      <c r="U174" s="1" t="str">
        <f>IF(F174=1,B174,"")</f>
        <v/>
      </c>
      <c r="V174" s="1">
        <f>IF(F174=0,B174,"")</f>
        <v>16</v>
      </c>
      <c r="W174" s="1">
        <f>'Part B'!$B$150+SUMPRODUCT('Part B'!$B$164:$N$164,C174:O174)</f>
        <v>10.6868833126551</v>
      </c>
      <c r="X174" s="1">
        <f>B174-W174</f>
        <v>5.31311668734486</v>
      </c>
      <c r="Y174" s="1">
        <f>'Part B'!$B$179+SUMPRODUCT('Part B'!$B$193:$N$193,C174:O174)</f>
        <v>2.80306170026632</v>
      </c>
      <c r="Z174" s="1">
        <f>P174-Y174</f>
        <v>-0.0304729780265363</v>
      </c>
      <c r="AB174" s="1">
        <f>C174</f>
        <v>1.1</v>
      </c>
      <c r="AC174" s="1">
        <f>D174</f>
        <v>80</v>
      </c>
      <c r="AD174" s="1">
        <f>E174</f>
        <v>3</v>
      </c>
      <c r="AE174" s="1">
        <f>F174</f>
        <v>0</v>
      </c>
      <c r="AF174" s="1">
        <f>G174</f>
        <v>0</v>
      </c>
      <c r="AG174" s="1">
        <f>I174</f>
        <v>0</v>
      </c>
      <c r="AH174" s="1">
        <f>J174</f>
        <v>0</v>
      </c>
      <c r="AI174" s="1">
        <f>Q174</f>
        <v>0</v>
      </c>
      <c r="AJ174" s="1">
        <f>K174</f>
        <v>0</v>
      </c>
      <c r="AK174" s="1">
        <f>L174</f>
        <v>0</v>
      </c>
      <c r="AL174" s="1">
        <f>M174</f>
        <v>1</v>
      </c>
      <c r="AM174" s="1">
        <f>N174</f>
        <v>0</v>
      </c>
      <c r="AN174" s="1">
        <f>O174</f>
        <v>0</v>
      </c>
    </row>
    <row r="175">
      <c r="A175" s="1">
        <v>233</v>
      </c>
      <c r="B175" s="1">
        <v>16</v>
      </c>
      <c r="C175" s="1">
        <v>1.857</v>
      </c>
      <c r="D175" s="1">
        <v>88</v>
      </c>
      <c r="E175" s="1">
        <v>3</v>
      </c>
      <c r="F175" s="1">
        <v>0</v>
      </c>
      <c r="G175" s="1">
        <v>0</v>
      </c>
      <c r="H175" s="1">
        <v>1</v>
      </c>
      <c r="I175" s="1">
        <v>0</v>
      </c>
      <c r="J175" s="1">
        <v>0</v>
      </c>
      <c r="K175" s="1">
        <v>0</v>
      </c>
      <c r="L175" s="1">
        <v>0</v>
      </c>
      <c r="M175" s="1">
        <v>1</v>
      </c>
      <c r="N175" s="1">
        <v>0</v>
      </c>
      <c r="O175" s="1">
        <v>0</v>
      </c>
      <c r="P175" s="1">
        <f>LN(B175)</f>
        <v>2.77258872223978</v>
      </c>
      <c r="Q175" s="1">
        <f>1-SUM(F175:J175)</f>
        <v>0</v>
      </c>
      <c r="R175" s="1" t="str">
        <f>IF(F175=1,"Napa valley",IF(G175=1,"Bay area",IF(H175=1,"Sonoma",IF(I175=1,"Sierra/foothills",IF(J175=1,"Mendocino/lake","Generic California")))))</f>
        <v>Sonoma</v>
      </c>
      <c r="S175" s="1" t="str">
        <f>IF(F175=1,"Napa valley",IF(H175=1,"Sonoma","Other"))</f>
        <v>Sonoma</v>
      </c>
      <c r="T175" s="1" t="str">
        <f>IF(M175=1,"Cabernet",IF(N175=1,"Merlot",IF(L175=1,"Pinot noir","Other")))</f>
        <v>Cabernet</v>
      </c>
      <c r="U175" s="1" t="str">
        <f>IF(F175=1,B175,"")</f>
        <v/>
      </c>
      <c r="V175" s="1">
        <f>IF(F175=0,B175,"")</f>
        <v>16</v>
      </c>
      <c r="W175" s="1">
        <f>'Part B'!$B$150+SUMPRODUCT('Part B'!$B$164:$N$164,C175:O175)</f>
        <v>35.7758103279304</v>
      </c>
      <c r="X175" s="1">
        <f>B175-W175</f>
        <v>-19.7758103279304</v>
      </c>
      <c r="Y175" s="1">
        <f>'Part B'!$B$179+SUMPRODUCT('Part B'!$B$193:$N$193,C175:O175)</f>
        <v>3.3595133968169</v>
      </c>
      <c r="Z175" s="1">
        <f>P175-Y175</f>
        <v>-0.586924674577122</v>
      </c>
      <c r="AB175" s="1">
        <f>C175</f>
        <v>1.857</v>
      </c>
      <c r="AC175" s="1">
        <f>D175</f>
        <v>88</v>
      </c>
      <c r="AD175" s="1">
        <f>E175</f>
        <v>3</v>
      </c>
      <c r="AE175" s="1">
        <f>F175</f>
        <v>0</v>
      </c>
      <c r="AF175" s="1">
        <f>G175</f>
        <v>0</v>
      </c>
      <c r="AG175" s="1">
        <f>I175</f>
        <v>0</v>
      </c>
      <c r="AH175" s="1">
        <f>J175</f>
        <v>0</v>
      </c>
      <c r="AI175" s="1">
        <f>Q175</f>
        <v>0</v>
      </c>
      <c r="AJ175" s="1">
        <f>K175</f>
        <v>0</v>
      </c>
      <c r="AK175" s="1">
        <f>L175</f>
        <v>0</v>
      </c>
      <c r="AL175" s="1">
        <f>M175</f>
        <v>1</v>
      </c>
      <c r="AM175" s="1">
        <f>N175</f>
        <v>0</v>
      </c>
      <c r="AN175" s="1">
        <f>O175</f>
        <v>0</v>
      </c>
    </row>
    <row r="176">
      <c r="A176" s="1">
        <v>234</v>
      </c>
      <c r="B176" s="1">
        <v>16</v>
      </c>
      <c r="C176" s="1">
        <v>3.6</v>
      </c>
      <c r="D176" s="1">
        <v>84</v>
      </c>
      <c r="E176" s="1">
        <v>3</v>
      </c>
      <c r="F176" s="1">
        <v>1</v>
      </c>
      <c r="G176" s="1">
        <v>0</v>
      </c>
      <c r="H176" s="1">
        <v>0</v>
      </c>
      <c r="I176" s="1">
        <v>0</v>
      </c>
      <c r="J176" s="1">
        <v>0</v>
      </c>
      <c r="K176" s="1">
        <v>0</v>
      </c>
      <c r="L176" s="1">
        <v>0</v>
      </c>
      <c r="M176" s="1">
        <v>0</v>
      </c>
      <c r="N176" s="1">
        <v>1</v>
      </c>
      <c r="O176" s="1">
        <v>0</v>
      </c>
      <c r="P176" s="1">
        <f>LN(B176)</f>
        <v>2.77258872223978</v>
      </c>
      <c r="Q176" s="1">
        <f>1-SUM(F176:J176)</f>
        <v>0</v>
      </c>
      <c r="R176" s="1" t="str">
        <f>IF(F176=1,"Napa valley",IF(G176=1,"Bay area",IF(H176=1,"Sonoma",IF(I176=1,"Sierra/foothills",IF(J176=1,"Mendocino/lake","Generic California")))))</f>
        <v>Napa valley</v>
      </c>
      <c r="S176" s="1" t="str">
        <f>IF(F176=1,"Napa valley",IF(H176=1,"Sonoma","Other"))</f>
        <v>Napa valley</v>
      </c>
      <c r="T176" s="1" t="str">
        <f>IF(M176=1,"Cabernet",IF(N176=1,"Merlot",IF(L176=1,"Pinot noir","Other")))</f>
        <v>Merlot</v>
      </c>
      <c r="U176" s="1">
        <f>IF(F176=1,B176,"")</f>
        <v>16</v>
      </c>
      <c r="V176" s="1" t="str">
        <f>IF(F176=0,B176,"")</f>
        <v/>
      </c>
      <c r="W176" s="1">
        <f>'Part B'!$B$150+SUMPRODUCT('Part B'!$B$164:$N$164,C176:O176)</f>
        <v>25.9593909899933</v>
      </c>
      <c r="X176" s="1">
        <f>B176-W176</f>
        <v>-9.95939098999327</v>
      </c>
      <c r="Y176" s="1">
        <f>'Part B'!$B$179+SUMPRODUCT('Part B'!$B$193:$N$193,C176:O176)</f>
        <v>3.18351614197444</v>
      </c>
      <c r="Z176" s="1">
        <f>P176-Y176</f>
        <v>-0.410927419734663</v>
      </c>
      <c r="AB176" s="1">
        <f>C176</f>
        <v>3.6</v>
      </c>
      <c r="AC176" s="1">
        <f>D176</f>
        <v>84</v>
      </c>
      <c r="AD176" s="1">
        <f>E176</f>
        <v>3</v>
      </c>
      <c r="AE176" s="1">
        <f>F176</f>
        <v>1</v>
      </c>
      <c r="AF176" s="1">
        <f>G176</f>
        <v>0</v>
      </c>
      <c r="AG176" s="1">
        <f>I176</f>
        <v>0</v>
      </c>
      <c r="AH176" s="1">
        <f>J176</f>
        <v>0</v>
      </c>
      <c r="AI176" s="1">
        <f>Q176</f>
        <v>0</v>
      </c>
      <c r="AJ176" s="1">
        <f>K176</f>
        <v>0</v>
      </c>
      <c r="AK176" s="1">
        <f>L176</f>
        <v>0</v>
      </c>
      <c r="AL176" s="1">
        <f>M176</f>
        <v>0</v>
      </c>
      <c r="AM176" s="1">
        <f>N176</f>
        <v>1</v>
      </c>
      <c r="AN176" s="1">
        <f>O176</f>
        <v>0</v>
      </c>
    </row>
    <row r="177">
      <c r="A177" s="1">
        <v>235</v>
      </c>
      <c r="B177" s="1">
        <v>16</v>
      </c>
      <c r="C177" s="1">
        <v>34</v>
      </c>
      <c r="D177" s="1">
        <v>86</v>
      </c>
      <c r="E177" s="1">
        <v>3</v>
      </c>
      <c r="F177" s="1">
        <v>0</v>
      </c>
      <c r="G177" s="1">
        <v>0</v>
      </c>
      <c r="H177" s="1">
        <v>1</v>
      </c>
      <c r="I177" s="1">
        <v>0</v>
      </c>
      <c r="J177" s="1">
        <v>0</v>
      </c>
      <c r="K177" s="1">
        <v>0</v>
      </c>
      <c r="L177" s="1">
        <v>0</v>
      </c>
      <c r="M177" s="1">
        <v>0</v>
      </c>
      <c r="N177" s="1">
        <v>1</v>
      </c>
      <c r="O177" s="1">
        <v>0</v>
      </c>
      <c r="P177" s="1">
        <f>LN(B177)</f>
        <v>2.77258872223978</v>
      </c>
      <c r="Q177" s="1">
        <f>1-SUM(F177:J177)</f>
        <v>0</v>
      </c>
      <c r="R177" s="1" t="str">
        <f>IF(F177=1,"Napa valley",IF(G177=1,"Bay area",IF(H177=1,"Sonoma",IF(I177=1,"Sierra/foothills",IF(J177=1,"Mendocino/lake","Generic California")))))</f>
        <v>Sonoma</v>
      </c>
      <c r="S177" s="1" t="str">
        <f>IF(F177=1,"Napa valley",IF(H177=1,"Sonoma","Other"))</f>
        <v>Sonoma</v>
      </c>
      <c r="T177" s="1" t="str">
        <f>IF(M177=1,"Cabernet",IF(N177=1,"Merlot",IF(L177=1,"Pinot noir","Other")))</f>
        <v>Merlot</v>
      </c>
      <c r="U177" s="1" t="str">
        <f>IF(F177=1,B177,"")</f>
        <v/>
      </c>
      <c r="V177" s="1">
        <f>IF(F177=0,B177,"")</f>
        <v>16</v>
      </c>
      <c r="W177" s="1">
        <f>'Part B'!$B$150+SUMPRODUCT('Part B'!$B$164:$N$164,C177:O177)</f>
        <v>21.4677587581638</v>
      </c>
      <c r="X177" s="1">
        <f>B177-W177</f>
        <v>-5.46775875816383</v>
      </c>
      <c r="Y177" s="1">
        <f>'Part B'!$B$179+SUMPRODUCT('Part B'!$B$193:$N$193,C177:O177)</f>
        <v>3.04556767345859</v>
      </c>
      <c r="Z177" s="1">
        <f>P177-Y177</f>
        <v>-0.272978951218806</v>
      </c>
      <c r="AB177" s="1">
        <f>C177</f>
        <v>34</v>
      </c>
      <c r="AC177" s="1">
        <f>D177</f>
        <v>86</v>
      </c>
      <c r="AD177" s="1">
        <f>E177</f>
        <v>3</v>
      </c>
      <c r="AE177" s="1">
        <f>F177</f>
        <v>0</v>
      </c>
      <c r="AF177" s="1">
        <f>G177</f>
        <v>0</v>
      </c>
      <c r="AG177" s="1">
        <f>I177</f>
        <v>0</v>
      </c>
      <c r="AH177" s="1">
        <f>J177</f>
        <v>0</v>
      </c>
      <c r="AI177" s="1">
        <f>Q177</f>
        <v>0</v>
      </c>
      <c r="AJ177" s="1">
        <f>K177</f>
        <v>0</v>
      </c>
      <c r="AK177" s="1">
        <f>L177</f>
        <v>0</v>
      </c>
      <c r="AL177" s="1">
        <f>M177</f>
        <v>0</v>
      </c>
      <c r="AM177" s="1">
        <f>N177</f>
        <v>1</v>
      </c>
      <c r="AN177" s="1">
        <f>O177</f>
        <v>0</v>
      </c>
    </row>
    <row r="178">
      <c r="A178" s="1">
        <v>236</v>
      </c>
      <c r="B178" s="1">
        <v>16</v>
      </c>
      <c r="C178" s="1">
        <v>8.7</v>
      </c>
      <c r="D178" s="1">
        <v>82</v>
      </c>
      <c r="E178" s="1">
        <v>3</v>
      </c>
      <c r="F178" s="1">
        <v>0</v>
      </c>
      <c r="G178" s="1">
        <v>0</v>
      </c>
      <c r="H178" s="1">
        <v>0</v>
      </c>
      <c r="I178" s="1">
        <v>0</v>
      </c>
      <c r="J178" s="1">
        <v>0</v>
      </c>
      <c r="K178" s="1">
        <v>0</v>
      </c>
      <c r="L178" s="1">
        <v>0</v>
      </c>
      <c r="M178" s="1">
        <v>1</v>
      </c>
      <c r="N178" s="1">
        <v>0</v>
      </c>
      <c r="O178" s="1">
        <v>0</v>
      </c>
      <c r="P178" s="1">
        <f>LN(B178)</f>
        <v>2.77258872223978</v>
      </c>
      <c r="Q178" s="1">
        <f>1-SUM(F178:J178)</f>
        <v>1</v>
      </c>
      <c r="R178" s="1" t="str">
        <f>IF(F178=1,"Napa valley",IF(G178=1,"Bay area",IF(H178=1,"Sonoma",IF(I178=1,"Sierra/foothills",IF(J178=1,"Mendocino/lake","Generic California")))))</f>
        <v>Generic California</v>
      </c>
      <c r="S178" s="1" t="str">
        <f>IF(F178=1,"Napa valley",IF(H178=1,"Sonoma","Other"))</f>
        <v>Other</v>
      </c>
      <c r="T178" s="1" t="str">
        <f>IF(M178=1,"Cabernet",IF(N178=1,"Merlot",IF(L178=1,"Pinot noir","Other")))</f>
        <v>Cabernet</v>
      </c>
      <c r="U178" s="1" t="str">
        <f>IF(F178=1,B178,"")</f>
        <v/>
      </c>
      <c r="V178" s="1">
        <f>IF(F178=0,B178,"")</f>
        <v>16</v>
      </c>
      <c r="W178" s="1">
        <f>'Part B'!$B$150+SUMPRODUCT('Part B'!$B$164:$N$164,C178:O178)</f>
        <v>17.0911762346557</v>
      </c>
      <c r="X178" s="1">
        <f>B178-W178</f>
        <v>-1.09117623465568</v>
      </c>
      <c r="Y178" s="1">
        <f>'Part B'!$B$179+SUMPRODUCT('Part B'!$B$193:$N$193,C178:O178)</f>
        <v>2.62853167958511</v>
      </c>
      <c r="Z178" s="1">
        <f>P178-Y178</f>
        <v>0.144057042654675</v>
      </c>
      <c r="AB178" s="1">
        <f>C178</f>
        <v>8.7</v>
      </c>
      <c r="AC178" s="1">
        <f>D178</f>
        <v>82</v>
      </c>
      <c r="AD178" s="1">
        <f>E178</f>
        <v>3</v>
      </c>
      <c r="AE178" s="1">
        <f>F178</f>
        <v>0</v>
      </c>
      <c r="AF178" s="1">
        <f>G178</f>
        <v>0</v>
      </c>
      <c r="AG178" s="1">
        <f>I178</f>
        <v>0</v>
      </c>
      <c r="AH178" s="1">
        <f>J178</f>
        <v>0</v>
      </c>
      <c r="AI178" s="1">
        <f>Q178</f>
        <v>1</v>
      </c>
      <c r="AJ178" s="1">
        <f>K178</f>
        <v>0</v>
      </c>
      <c r="AK178" s="1">
        <f>L178</f>
        <v>0</v>
      </c>
      <c r="AL178" s="1">
        <f>M178</f>
        <v>1</v>
      </c>
      <c r="AM178" s="1">
        <f>N178</f>
        <v>0</v>
      </c>
      <c r="AN178" s="1">
        <f>O178</f>
        <v>0</v>
      </c>
    </row>
    <row r="179">
      <c r="A179" s="1">
        <v>237</v>
      </c>
      <c r="B179" s="1">
        <v>16</v>
      </c>
      <c r="C179" s="1">
        <v>0.8</v>
      </c>
      <c r="D179" s="1">
        <v>87</v>
      </c>
      <c r="E179" s="1">
        <v>3</v>
      </c>
      <c r="F179" s="1">
        <v>0</v>
      </c>
      <c r="G179" s="1">
        <v>0</v>
      </c>
      <c r="H179" s="1">
        <v>0</v>
      </c>
      <c r="I179" s="1">
        <v>0</v>
      </c>
      <c r="J179" s="1">
        <v>1</v>
      </c>
      <c r="K179" s="1">
        <v>0</v>
      </c>
      <c r="L179" s="1">
        <v>0</v>
      </c>
      <c r="M179" s="1">
        <v>0</v>
      </c>
      <c r="N179" s="1">
        <v>0</v>
      </c>
      <c r="O179" s="1">
        <v>1</v>
      </c>
      <c r="P179" s="1">
        <f>LN(B179)</f>
        <v>2.77258872223978</v>
      </c>
      <c r="Q179" s="1">
        <f>1-SUM(F179:J179)</f>
        <v>0</v>
      </c>
      <c r="R179" s="1" t="str">
        <f>IF(F179=1,"Napa valley",IF(G179=1,"Bay area",IF(H179=1,"Sonoma",IF(I179=1,"Sierra/foothills",IF(J179=1,"Mendocino/lake","Generic California")))))</f>
        <v>Mendocino/lake</v>
      </c>
      <c r="S179" s="1" t="str">
        <f>IF(F179=1,"Napa valley",IF(H179=1,"Sonoma","Other"))</f>
        <v>Other</v>
      </c>
      <c r="T179" s="1" t="str">
        <f>IF(M179=1,"Cabernet",IF(N179=1,"Merlot",IF(L179=1,"Pinot noir","Other")))</f>
        <v>Other</v>
      </c>
      <c r="U179" s="1" t="str">
        <f>IF(F179=1,B179,"")</f>
        <v/>
      </c>
      <c r="V179" s="1">
        <f>IF(F179=0,B179,"")</f>
        <v>16</v>
      </c>
      <c r="W179" s="1">
        <f>'Part B'!$B$150+SUMPRODUCT('Part B'!$B$164:$N$164,C179:O179)</f>
        <v>21.4144791927827</v>
      </c>
      <c r="X179" s="1">
        <f>B179-W179</f>
        <v>-5.41447919278266</v>
      </c>
      <c r="Y179" s="1">
        <f>'Part B'!$B$179+SUMPRODUCT('Part B'!$B$193:$N$193,C179:O179)</f>
        <v>2.97160835379625</v>
      </c>
      <c r="Z179" s="1">
        <f>P179-Y179</f>
        <v>-0.199019631556467</v>
      </c>
      <c r="AB179" s="1">
        <f>C179</f>
        <v>0.8</v>
      </c>
      <c r="AC179" s="1">
        <f>D179</f>
        <v>87</v>
      </c>
      <c r="AD179" s="1">
        <f>E179</f>
        <v>3</v>
      </c>
      <c r="AE179" s="1">
        <f>F179</f>
        <v>0</v>
      </c>
      <c r="AF179" s="1">
        <f>G179</f>
        <v>0</v>
      </c>
      <c r="AG179" s="1">
        <f>I179</f>
        <v>0</v>
      </c>
      <c r="AH179" s="1">
        <f>J179</f>
        <v>1</v>
      </c>
      <c r="AI179" s="1">
        <f>Q179</f>
        <v>0</v>
      </c>
      <c r="AJ179" s="1">
        <f>K179</f>
        <v>0</v>
      </c>
      <c r="AK179" s="1">
        <f>L179</f>
        <v>0</v>
      </c>
      <c r="AL179" s="1">
        <f>M179</f>
        <v>0</v>
      </c>
      <c r="AM179" s="1">
        <f>N179</f>
        <v>0</v>
      </c>
      <c r="AN179" s="1">
        <f>O179</f>
        <v>1</v>
      </c>
    </row>
    <row r="180">
      <c r="A180" s="1">
        <v>238</v>
      </c>
      <c r="B180" s="1">
        <v>16</v>
      </c>
      <c r="C180" s="1">
        <v>3.2</v>
      </c>
      <c r="D180" s="1">
        <v>80</v>
      </c>
      <c r="E180" s="1">
        <v>3</v>
      </c>
      <c r="F180" s="1">
        <v>0</v>
      </c>
      <c r="G180" s="1">
        <v>0</v>
      </c>
      <c r="H180" s="1">
        <v>0</v>
      </c>
      <c r="I180" s="1">
        <v>0</v>
      </c>
      <c r="J180" s="1">
        <v>1</v>
      </c>
      <c r="K180" s="1">
        <v>0</v>
      </c>
      <c r="L180" s="1">
        <v>0</v>
      </c>
      <c r="M180" s="1">
        <v>0</v>
      </c>
      <c r="N180" s="1">
        <v>0</v>
      </c>
      <c r="O180" s="1">
        <v>0</v>
      </c>
      <c r="P180" s="1">
        <f>LN(B180)</f>
        <v>2.77258872223978</v>
      </c>
      <c r="Q180" s="1">
        <f>1-SUM(F180:J180)</f>
        <v>0</v>
      </c>
      <c r="R180" s="1" t="str">
        <f>IF(F180=1,"Napa valley",IF(G180=1,"Bay area",IF(H180=1,"Sonoma",IF(I180=1,"Sierra/foothills",IF(J180=1,"Mendocino/lake","Generic California")))))</f>
        <v>Mendocino/lake</v>
      </c>
      <c r="S180" s="1" t="str">
        <f>IF(F180=1,"Napa valley",IF(H180=1,"Sonoma","Other"))</f>
        <v>Other</v>
      </c>
      <c r="T180" s="1" t="str">
        <f>IF(M180=1,"Cabernet",IF(N180=1,"Merlot",IF(L180=1,"Pinot noir","Other")))</f>
        <v>Other</v>
      </c>
      <c r="U180" s="1" t="str">
        <f>IF(F180=1,B180,"")</f>
        <v/>
      </c>
      <c r="V180" s="1">
        <f>IF(F180=0,B180,"")</f>
        <v>16</v>
      </c>
      <c r="W180" s="1">
        <f>'Part B'!$B$150+SUMPRODUCT('Part B'!$B$164:$N$164,C180:O180)</f>
        <v>-0.422706300287985</v>
      </c>
      <c r="X180" s="1">
        <f>B180-W180</f>
        <v>16.422706300288</v>
      </c>
      <c r="Y180" s="1">
        <f>'Part B'!$B$179+SUMPRODUCT('Part B'!$B$193:$N$193,C180:O180)</f>
        <v>2.4283750598259</v>
      </c>
      <c r="Z180" s="1">
        <f>P180-Y180</f>
        <v>0.344213662413883</v>
      </c>
      <c r="AB180" s="1">
        <f>C180</f>
        <v>3.2</v>
      </c>
      <c r="AC180" s="1">
        <f>D180</f>
        <v>80</v>
      </c>
      <c r="AD180" s="1">
        <f>E180</f>
        <v>3</v>
      </c>
      <c r="AE180" s="1">
        <f>F180</f>
        <v>0</v>
      </c>
      <c r="AF180" s="1">
        <f>G180</f>
        <v>0</v>
      </c>
      <c r="AG180" s="1">
        <f>I180</f>
        <v>0</v>
      </c>
      <c r="AH180" s="1">
        <f>J180</f>
        <v>1</v>
      </c>
      <c r="AI180" s="1">
        <f>Q180</f>
        <v>0</v>
      </c>
      <c r="AJ180" s="1">
        <f>K180</f>
        <v>0</v>
      </c>
      <c r="AK180" s="1">
        <f>L180</f>
        <v>0</v>
      </c>
      <c r="AL180" s="1">
        <f>M180</f>
        <v>0</v>
      </c>
      <c r="AM180" s="1">
        <f>N180</f>
        <v>0</v>
      </c>
      <c r="AN180" s="1">
        <f>O180</f>
        <v>0</v>
      </c>
    </row>
    <row r="181">
      <c r="A181" s="1">
        <v>239</v>
      </c>
      <c r="B181" s="1">
        <v>16</v>
      </c>
      <c r="C181" s="1">
        <v>11.637</v>
      </c>
      <c r="D181" s="1">
        <v>82</v>
      </c>
      <c r="E181" s="1">
        <v>3</v>
      </c>
      <c r="F181" s="1">
        <v>0</v>
      </c>
      <c r="G181" s="1">
        <v>1</v>
      </c>
      <c r="H181" s="1">
        <v>0</v>
      </c>
      <c r="I181" s="1">
        <v>0</v>
      </c>
      <c r="J181" s="1">
        <v>0</v>
      </c>
      <c r="K181" s="1">
        <v>0</v>
      </c>
      <c r="L181" s="1">
        <v>0</v>
      </c>
      <c r="M181" s="1">
        <v>1</v>
      </c>
      <c r="N181" s="1">
        <v>0</v>
      </c>
      <c r="O181" s="1">
        <v>0</v>
      </c>
      <c r="P181" s="1">
        <f>LN(B181)</f>
        <v>2.77258872223978</v>
      </c>
      <c r="Q181" s="1">
        <f>1-SUM(F181:J181)</f>
        <v>0</v>
      </c>
      <c r="R181" s="1" t="str">
        <f>IF(F181=1,"Napa valley",IF(G181=1,"Bay area",IF(H181=1,"Sonoma",IF(I181=1,"Sierra/foothills",IF(J181=1,"Mendocino/lake","Generic California")))))</f>
        <v>Bay area</v>
      </c>
      <c r="S181" s="1" t="str">
        <f>IF(F181=1,"Napa valley",IF(H181=1,"Sonoma","Other"))</f>
        <v>Other</v>
      </c>
      <c r="T181" s="1" t="str">
        <f>IF(M181=1,"Cabernet",IF(N181=1,"Merlot",IF(L181=1,"Pinot noir","Other")))</f>
        <v>Cabernet</v>
      </c>
      <c r="U181" s="1" t="str">
        <f>IF(F181=1,B181,"")</f>
        <v/>
      </c>
      <c r="V181" s="1">
        <f>IF(F181=0,B181,"")</f>
        <v>16</v>
      </c>
      <c r="W181" s="1">
        <f>'Part B'!$B$150+SUMPRODUCT('Part B'!$B$164:$N$164,C181:O181)</f>
        <v>19.0912922201796</v>
      </c>
      <c r="X181" s="1">
        <f>B181-W181</f>
        <v>-3.09129222017958</v>
      </c>
      <c r="Y181" s="1">
        <f>'Part B'!$B$179+SUMPRODUCT('Part B'!$B$193:$N$193,C181:O181)</f>
        <v>2.87095103216797</v>
      </c>
      <c r="Z181" s="1">
        <f>P181-Y181</f>
        <v>-0.0983623099281865</v>
      </c>
      <c r="AB181" s="1">
        <f>C181</f>
        <v>11.637</v>
      </c>
      <c r="AC181" s="1">
        <f>D181</f>
        <v>82</v>
      </c>
      <c r="AD181" s="1">
        <f>E181</f>
        <v>3</v>
      </c>
      <c r="AE181" s="1">
        <f>F181</f>
        <v>0</v>
      </c>
      <c r="AF181" s="1">
        <f>G181</f>
        <v>1</v>
      </c>
      <c r="AG181" s="1">
        <f>I181</f>
        <v>0</v>
      </c>
      <c r="AH181" s="1">
        <f>J181</f>
        <v>0</v>
      </c>
      <c r="AI181" s="1">
        <f>Q181</f>
        <v>0</v>
      </c>
      <c r="AJ181" s="1">
        <f>K181</f>
        <v>0</v>
      </c>
      <c r="AK181" s="1">
        <f>L181</f>
        <v>0</v>
      </c>
      <c r="AL181" s="1">
        <f>M181</f>
        <v>1</v>
      </c>
      <c r="AM181" s="1">
        <f>N181</f>
        <v>0</v>
      </c>
      <c r="AN181" s="1">
        <f>O181</f>
        <v>0</v>
      </c>
    </row>
    <row r="182">
      <c r="A182" s="1">
        <v>240</v>
      </c>
      <c r="B182" s="1">
        <v>16</v>
      </c>
      <c r="C182" s="1">
        <v>1.65</v>
      </c>
      <c r="D182" s="1">
        <v>87</v>
      </c>
      <c r="E182" s="1">
        <v>3</v>
      </c>
      <c r="F182" s="1">
        <v>0</v>
      </c>
      <c r="G182" s="1">
        <v>1</v>
      </c>
      <c r="H182" s="1">
        <v>0</v>
      </c>
      <c r="I182" s="1">
        <v>0</v>
      </c>
      <c r="J182" s="1">
        <v>0</v>
      </c>
      <c r="K182" s="1">
        <v>0</v>
      </c>
      <c r="L182" s="1">
        <v>0</v>
      </c>
      <c r="M182" s="1">
        <v>0</v>
      </c>
      <c r="N182" s="1">
        <v>0</v>
      </c>
      <c r="O182" s="1">
        <v>1</v>
      </c>
      <c r="P182" s="1">
        <f>LN(B182)</f>
        <v>2.77258872223978</v>
      </c>
      <c r="Q182" s="1">
        <f>1-SUM(F182:J182)</f>
        <v>0</v>
      </c>
      <c r="R182" s="1" t="str">
        <f>IF(F182=1,"Napa valley",IF(G182=1,"Bay area",IF(H182=1,"Sonoma",IF(I182=1,"Sierra/foothills",IF(J182=1,"Mendocino/lake","Generic California")))))</f>
        <v>Bay area</v>
      </c>
      <c r="S182" s="1" t="str">
        <f>IF(F182=1,"Napa valley",IF(H182=1,"Sonoma","Other"))</f>
        <v>Other</v>
      </c>
      <c r="T182" s="1" t="str">
        <f>IF(M182=1,"Cabernet",IF(N182=1,"Merlot",IF(L182=1,"Pinot noir","Other")))</f>
        <v>Other</v>
      </c>
      <c r="U182" s="1" t="str">
        <f>IF(F182=1,B182,"")</f>
        <v/>
      </c>
      <c r="V182" s="1">
        <f>IF(F182=0,B182,"")</f>
        <v>16</v>
      </c>
      <c r="W182" s="1">
        <f>'Part B'!$B$150+SUMPRODUCT('Part B'!$B$164:$N$164,C182:O182)</f>
        <v>22.731140656522</v>
      </c>
      <c r="X182" s="1">
        <f>B182-W182</f>
        <v>-6.73114065652197</v>
      </c>
      <c r="Y182" s="1">
        <f>'Part B'!$B$179+SUMPRODUCT('Part B'!$B$193:$N$193,C182:O182)</f>
        <v>2.98573121058584</v>
      </c>
      <c r="Z182" s="1">
        <f>P182-Y182</f>
        <v>-0.21314248834606</v>
      </c>
      <c r="AB182" s="1">
        <f>C182</f>
        <v>1.65</v>
      </c>
      <c r="AC182" s="1">
        <f>D182</f>
        <v>87</v>
      </c>
      <c r="AD182" s="1">
        <f>E182</f>
        <v>3</v>
      </c>
      <c r="AE182" s="1">
        <f>F182</f>
        <v>0</v>
      </c>
      <c r="AF182" s="1">
        <f>G182</f>
        <v>1</v>
      </c>
      <c r="AG182" s="1">
        <f>I182</f>
        <v>0</v>
      </c>
      <c r="AH182" s="1">
        <f>J182</f>
        <v>0</v>
      </c>
      <c r="AI182" s="1">
        <f>Q182</f>
        <v>0</v>
      </c>
      <c r="AJ182" s="1">
        <f>K182</f>
        <v>0</v>
      </c>
      <c r="AK182" s="1">
        <f>L182</f>
        <v>0</v>
      </c>
      <c r="AL182" s="1">
        <f>M182</f>
        <v>0</v>
      </c>
      <c r="AM182" s="1">
        <f>N182</f>
        <v>0</v>
      </c>
      <c r="AN182" s="1">
        <f>O182</f>
        <v>1</v>
      </c>
    </row>
    <row r="183">
      <c r="A183" s="1">
        <v>241</v>
      </c>
      <c r="B183" s="1">
        <v>16</v>
      </c>
      <c r="C183" s="1">
        <v>2.5</v>
      </c>
      <c r="D183" s="1">
        <v>89</v>
      </c>
      <c r="E183" s="1">
        <v>3</v>
      </c>
      <c r="F183" s="1">
        <v>0</v>
      </c>
      <c r="G183" s="1">
        <v>0</v>
      </c>
      <c r="H183" s="1">
        <v>0</v>
      </c>
      <c r="I183" s="1">
        <v>0</v>
      </c>
      <c r="J183" s="1">
        <v>1</v>
      </c>
      <c r="K183" s="1">
        <v>0</v>
      </c>
      <c r="L183" s="1">
        <v>0</v>
      </c>
      <c r="M183" s="1">
        <v>0</v>
      </c>
      <c r="N183" s="1">
        <v>0</v>
      </c>
      <c r="O183" s="1">
        <v>0</v>
      </c>
      <c r="P183" s="1">
        <f>LN(B183)</f>
        <v>2.77258872223978</v>
      </c>
      <c r="Q183" s="1">
        <f>1-SUM(F183:J183)</f>
        <v>0</v>
      </c>
      <c r="R183" s="1" t="str">
        <f>IF(F183=1,"Napa valley",IF(G183=1,"Bay area",IF(H183=1,"Sonoma",IF(I183=1,"Sierra/foothills",IF(J183=1,"Mendocino/lake","Generic California")))))</f>
        <v>Mendocino/lake</v>
      </c>
      <c r="S183" s="1" t="str">
        <f>IF(F183=1,"Napa valley",IF(H183=1,"Sonoma","Other"))</f>
        <v>Other</v>
      </c>
      <c r="T183" s="1" t="str">
        <f>IF(M183=1,"Cabernet",IF(N183=1,"Merlot",IF(L183=1,"Pinot noir","Other")))</f>
        <v>Other</v>
      </c>
      <c r="U183" s="1" t="str">
        <f>IF(F183=1,B183,"")</f>
        <v/>
      </c>
      <c r="V183" s="1">
        <f>IF(F183=0,B183,"")</f>
        <v>16</v>
      </c>
      <c r="W183" s="1">
        <f>'Part B'!$B$150+SUMPRODUCT('Part B'!$B$164:$N$164,C183:O183)</f>
        <v>27.9496071696989</v>
      </c>
      <c r="X183" s="1">
        <f>B183-W183</f>
        <v>-11.9496071696989</v>
      </c>
      <c r="Y183" s="1">
        <f>'Part B'!$B$179+SUMPRODUCT('Part B'!$B$193:$N$193,C183:O183)</f>
        <v>3.0610227260043</v>
      </c>
      <c r="Z183" s="1">
        <f>P183-Y183</f>
        <v>-0.288434003764516</v>
      </c>
      <c r="AB183" s="1">
        <f>C183</f>
        <v>2.5</v>
      </c>
      <c r="AC183" s="1">
        <f>D183</f>
        <v>89</v>
      </c>
      <c r="AD183" s="1">
        <f>E183</f>
        <v>3</v>
      </c>
      <c r="AE183" s="1">
        <f>F183</f>
        <v>0</v>
      </c>
      <c r="AF183" s="1">
        <f>G183</f>
        <v>0</v>
      </c>
      <c r="AG183" s="1">
        <f>I183</f>
        <v>0</v>
      </c>
      <c r="AH183" s="1">
        <f>J183</f>
        <v>1</v>
      </c>
      <c r="AI183" s="1">
        <f>Q183</f>
        <v>0</v>
      </c>
      <c r="AJ183" s="1">
        <f>K183</f>
        <v>0</v>
      </c>
      <c r="AK183" s="1">
        <f>L183</f>
        <v>0</v>
      </c>
      <c r="AL183" s="1">
        <f>M183</f>
        <v>0</v>
      </c>
      <c r="AM183" s="1">
        <f>N183</f>
        <v>0</v>
      </c>
      <c r="AN183" s="1">
        <f>O183</f>
        <v>0</v>
      </c>
    </row>
    <row r="184">
      <c r="A184" s="1">
        <v>242</v>
      </c>
      <c r="B184" s="1">
        <v>16</v>
      </c>
      <c r="C184" s="1">
        <v>2.25</v>
      </c>
      <c r="D184" s="1">
        <v>86</v>
      </c>
      <c r="E184" s="1">
        <v>3</v>
      </c>
      <c r="F184" s="1">
        <v>1</v>
      </c>
      <c r="G184" s="1">
        <v>0</v>
      </c>
      <c r="H184" s="1">
        <v>0</v>
      </c>
      <c r="I184" s="1">
        <v>0</v>
      </c>
      <c r="J184" s="1">
        <v>0</v>
      </c>
      <c r="K184" s="1">
        <v>0</v>
      </c>
      <c r="L184" s="1">
        <v>0</v>
      </c>
      <c r="M184" s="1">
        <v>0</v>
      </c>
      <c r="N184" s="1">
        <v>0</v>
      </c>
      <c r="O184" s="1">
        <v>0</v>
      </c>
      <c r="P184" s="1">
        <f>LN(B184)</f>
        <v>2.77258872223978</v>
      </c>
      <c r="Q184" s="1">
        <f>1-SUM(F184:J184)</f>
        <v>0</v>
      </c>
      <c r="R184" s="1" t="str">
        <f>IF(F184=1,"Napa valley",IF(G184=1,"Bay area",IF(H184=1,"Sonoma",IF(I184=1,"Sierra/foothills",IF(J184=1,"Mendocino/lake","Generic California")))))</f>
        <v>Napa valley</v>
      </c>
      <c r="S184" s="1" t="str">
        <f>IF(F184=1,"Napa valley",IF(H184=1,"Sonoma","Other"))</f>
        <v>Napa valley</v>
      </c>
      <c r="T184" s="1" t="str">
        <f>IF(M184=1,"Cabernet",IF(N184=1,"Merlot",IF(L184=1,"Pinot noir","Other")))</f>
        <v>Other</v>
      </c>
      <c r="U184" s="1">
        <f>IF(F184=1,B184,"")</f>
        <v>16</v>
      </c>
      <c r="V184" s="1" t="str">
        <f>IF(F184=0,B184,"")</f>
        <v/>
      </c>
      <c r="W184" s="1">
        <f>'Part B'!$B$150+SUMPRODUCT('Part B'!$B$164:$N$164,C184:O184)</f>
        <v>24.7175092093516</v>
      </c>
      <c r="X184" s="1">
        <f>B184-W184</f>
        <v>-8.71750920935159</v>
      </c>
      <c r="Y184" s="1">
        <f>'Part B'!$B$179+SUMPRODUCT('Part B'!$B$193:$N$193,C184:O184)</f>
        <v>3.04470089034683</v>
      </c>
      <c r="Z184" s="1">
        <f>P184-Y184</f>
        <v>-0.272112168107049</v>
      </c>
      <c r="AB184" s="1">
        <f>C184</f>
        <v>2.25</v>
      </c>
      <c r="AC184" s="1">
        <f>D184</f>
        <v>86</v>
      </c>
      <c r="AD184" s="1">
        <f>E184</f>
        <v>3</v>
      </c>
      <c r="AE184" s="1">
        <f>F184</f>
        <v>1</v>
      </c>
      <c r="AF184" s="1">
        <f>G184</f>
        <v>0</v>
      </c>
      <c r="AG184" s="1">
        <f>I184</f>
        <v>0</v>
      </c>
      <c r="AH184" s="1">
        <f>J184</f>
        <v>0</v>
      </c>
      <c r="AI184" s="1">
        <f>Q184</f>
        <v>0</v>
      </c>
      <c r="AJ184" s="1">
        <f>K184</f>
        <v>0</v>
      </c>
      <c r="AK184" s="1">
        <f>L184</f>
        <v>0</v>
      </c>
      <c r="AL184" s="1">
        <f>M184</f>
        <v>0</v>
      </c>
      <c r="AM184" s="1">
        <f>N184</f>
        <v>0</v>
      </c>
      <c r="AN184" s="1">
        <f>O184</f>
        <v>0</v>
      </c>
    </row>
    <row r="185">
      <c r="A185" s="1">
        <v>244</v>
      </c>
      <c r="B185" s="1">
        <v>16</v>
      </c>
      <c r="C185" s="1">
        <v>1.6</v>
      </c>
      <c r="D185" s="1">
        <v>85</v>
      </c>
      <c r="E185" s="1">
        <v>3</v>
      </c>
      <c r="F185" s="1">
        <v>0</v>
      </c>
      <c r="G185" s="1">
        <v>1</v>
      </c>
      <c r="H185" s="1">
        <v>0</v>
      </c>
      <c r="I185" s="1">
        <v>0</v>
      </c>
      <c r="J185" s="1">
        <v>0</v>
      </c>
      <c r="K185" s="1">
        <v>0</v>
      </c>
      <c r="L185" s="1">
        <v>1</v>
      </c>
      <c r="M185" s="1">
        <v>0</v>
      </c>
      <c r="N185" s="1">
        <v>0</v>
      </c>
      <c r="O185" s="1">
        <v>0</v>
      </c>
      <c r="P185" s="1">
        <f>LN(B185)</f>
        <v>2.77258872223978</v>
      </c>
      <c r="Q185" s="1">
        <f>1-SUM(F185:J185)</f>
        <v>0</v>
      </c>
      <c r="R185" s="1" t="str">
        <f>IF(F185=1,"Napa valley",IF(G185=1,"Bay area",IF(H185=1,"Sonoma",IF(I185=1,"Sierra/foothills",IF(J185=1,"Mendocino/lake","Generic California")))))</f>
        <v>Bay area</v>
      </c>
      <c r="S185" s="1" t="str">
        <f>IF(F185=1,"Napa valley",IF(H185=1,"Sonoma","Other"))</f>
        <v>Other</v>
      </c>
      <c r="T185" s="1" t="str">
        <f>IF(M185=1,"Cabernet",IF(N185=1,"Merlot",IF(L185=1,"Pinot noir","Other")))</f>
        <v>Pinot noir</v>
      </c>
      <c r="U185" s="1" t="str">
        <f>IF(F185=1,B185,"")</f>
        <v/>
      </c>
      <c r="V185" s="1">
        <f>IF(F185=0,B185,"")</f>
        <v>16</v>
      </c>
      <c r="W185" s="1">
        <f>'Part B'!$B$150+SUMPRODUCT('Part B'!$B$164:$N$164,C185:O185)</f>
        <v>26.306238887526</v>
      </c>
      <c r="X185" s="1">
        <f>B185-W185</f>
        <v>-10.306238887526</v>
      </c>
      <c r="Y185" s="1">
        <f>'Part B'!$B$179+SUMPRODUCT('Part B'!$B$193:$N$193,C185:O185)</f>
        <v>3.14931075317239</v>
      </c>
      <c r="Z185" s="1">
        <f>P185-Y185</f>
        <v>-0.376722030932612</v>
      </c>
      <c r="AB185" s="1">
        <f>C185</f>
        <v>1.6</v>
      </c>
      <c r="AC185" s="1">
        <f>D185</f>
        <v>85</v>
      </c>
      <c r="AD185" s="1">
        <f>E185</f>
        <v>3</v>
      </c>
      <c r="AE185" s="1">
        <f>F185</f>
        <v>0</v>
      </c>
      <c r="AF185" s="1">
        <f>G185</f>
        <v>1</v>
      </c>
      <c r="AG185" s="1">
        <f>I185</f>
        <v>0</v>
      </c>
      <c r="AH185" s="1">
        <f>J185</f>
        <v>0</v>
      </c>
      <c r="AI185" s="1">
        <f>Q185</f>
        <v>0</v>
      </c>
      <c r="AJ185" s="1">
        <f>K185</f>
        <v>0</v>
      </c>
      <c r="AK185" s="1">
        <f>L185</f>
        <v>1</v>
      </c>
      <c r="AL185" s="1">
        <f>M185</f>
        <v>0</v>
      </c>
      <c r="AM185" s="1">
        <f>N185</f>
        <v>0</v>
      </c>
      <c r="AN185" s="1">
        <f>O185</f>
        <v>0</v>
      </c>
    </row>
    <row r="186">
      <c r="A186" s="1">
        <v>245</v>
      </c>
      <c r="B186" s="1">
        <v>16</v>
      </c>
      <c r="C186" s="1">
        <v>0.873</v>
      </c>
      <c r="D186" s="1">
        <v>82</v>
      </c>
      <c r="E186" s="1">
        <v>3</v>
      </c>
      <c r="F186" s="1">
        <v>0</v>
      </c>
      <c r="G186" s="1">
        <v>1</v>
      </c>
      <c r="H186" s="1">
        <v>0</v>
      </c>
      <c r="I186" s="1">
        <v>0</v>
      </c>
      <c r="J186" s="1">
        <v>0</v>
      </c>
      <c r="K186" s="1">
        <v>0</v>
      </c>
      <c r="L186" s="1">
        <v>0</v>
      </c>
      <c r="M186" s="1">
        <v>0</v>
      </c>
      <c r="N186" s="1">
        <v>0</v>
      </c>
      <c r="O186" s="1">
        <v>0</v>
      </c>
      <c r="P186" s="1">
        <f>LN(B186)</f>
        <v>2.77258872223978</v>
      </c>
      <c r="Q186" s="1">
        <f>1-SUM(F186:J186)</f>
        <v>0</v>
      </c>
      <c r="R186" s="1" t="str">
        <f>IF(F186=1,"Napa valley",IF(G186=1,"Bay area",IF(H186=1,"Sonoma",IF(I186=1,"Sierra/foothills",IF(J186=1,"Mendocino/lake","Generic California")))))</f>
        <v>Bay area</v>
      </c>
      <c r="S186" s="1" t="str">
        <f>IF(F186=1,"Napa valley",IF(H186=1,"Sonoma","Other"))</f>
        <v>Other</v>
      </c>
      <c r="T186" s="1" t="str">
        <f>IF(M186=1,"Cabernet",IF(N186=1,"Merlot",IF(L186=1,"Pinot noir","Other")))</f>
        <v>Other</v>
      </c>
      <c r="U186" s="1" t="str">
        <f>IF(F186=1,B186,"")</f>
        <v/>
      </c>
      <c r="V186" s="1">
        <f>IF(F186=0,B186,"")</f>
        <v>16</v>
      </c>
      <c r="W186" s="1">
        <f>'Part B'!$B$150+SUMPRODUCT('Part B'!$B$164:$N$164,C186:O186)</f>
        <v>7.48569039428725</v>
      </c>
      <c r="X186" s="1">
        <f>B186-W186</f>
        <v>8.51430960571275</v>
      </c>
      <c r="Y186" s="1">
        <f>'Part B'!$B$179+SUMPRODUCT('Part B'!$B$193:$N$193,C186:O186)</f>
        <v>2.59601525053028</v>
      </c>
      <c r="Z186" s="1">
        <f>P186-Y186</f>
        <v>0.176573471709506</v>
      </c>
      <c r="AB186" s="1">
        <f>C186</f>
        <v>0.873</v>
      </c>
      <c r="AC186" s="1">
        <f>D186</f>
        <v>82</v>
      </c>
      <c r="AD186" s="1">
        <f>E186</f>
        <v>3</v>
      </c>
      <c r="AE186" s="1">
        <f>F186</f>
        <v>0</v>
      </c>
      <c r="AF186" s="1">
        <f>G186</f>
        <v>1</v>
      </c>
      <c r="AG186" s="1">
        <f>I186</f>
        <v>0</v>
      </c>
      <c r="AH186" s="1">
        <f>J186</f>
        <v>0</v>
      </c>
      <c r="AI186" s="1">
        <f>Q186</f>
        <v>0</v>
      </c>
      <c r="AJ186" s="1">
        <f>K186</f>
        <v>0</v>
      </c>
      <c r="AK186" s="1">
        <f>L186</f>
        <v>0</v>
      </c>
      <c r="AL186" s="1">
        <f>M186</f>
        <v>0</v>
      </c>
      <c r="AM186" s="1">
        <f>N186</f>
        <v>0</v>
      </c>
      <c r="AN186" s="1">
        <f>O186</f>
        <v>0</v>
      </c>
    </row>
    <row r="187">
      <c r="A187" s="1">
        <v>246</v>
      </c>
      <c r="B187" s="1">
        <v>16</v>
      </c>
      <c r="C187" s="1">
        <v>0.483</v>
      </c>
      <c r="D187" s="1">
        <v>87</v>
      </c>
      <c r="E187" s="1">
        <v>3</v>
      </c>
      <c r="F187" s="1">
        <v>0</v>
      </c>
      <c r="G187" s="1">
        <v>0</v>
      </c>
      <c r="H187" s="1">
        <v>1</v>
      </c>
      <c r="I187" s="1">
        <v>0</v>
      </c>
      <c r="J187" s="1">
        <v>0</v>
      </c>
      <c r="K187" s="1">
        <v>0</v>
      </c>
      <c r="L187" s="1">
        <v>1</v>
      </c>
      <c r="M187" s="1">
        <v>0</v>
      </c>
      <c r="N187" s="1">
        <v>0</v>
      </c>
      <c r="O187" s="1">
        <v>0</v>
      </c>
      <c r="P187" s="1">
        <f>LN(B187)</f>
        <v>2.77258872223978</v>
      </c>
      <c r="Q187" s="1">
        <f>1-SUM(F187:J187)</f>
        <v>0</v>
      </c>
      <c r="R187" s="1" t="str">
        <f>IF(F187=1,"Napa valley",IF(G187=1,"Bay area",IF(H187=1,"Sonoma",IF(I187=1,"Sierra/foothills",IF(J187=1,"Mendocino/lake","Generic California")))))</f>
        <v>Sonoma</v>
      </c>
      <c r="S187" s="1" t="str">
        <f>IF(F187=1,"Napa valley",IF(H187=1,"Sonoma","Other"))</f>
        <v>Sonoma</v>
      </c>
      <c r="T187" s="1" t="str">
        <f>IF(M187=1,"Cabernet",IF(N187=1,"Merlot",IF(L187=1,"Pinot noir","Other")))</f>
        <v>Pinot noir</v>
      </c>
      <c r="U187" s="1" t="str">
        <f>IF(F187=1,B187,"")</f>
        <v/>
      </c>
      <c r="V187" s="1">
        <f>IF(F187=0,B187,"")</f>
        <v>16</v>
      </c>
      <c r="W187" s="1">
        <f>'Part B'!$B$150+SUMPRODUCT('Part B'!$B$164:$N$164,C187:O187)</f>
        <v>29.5881306395291</v>
      </c>
      <c r="X187" s="1">
        <f>B187-W187</f>
        <v>-13.5881306395291</v>
      </c>
      <c r="Y187" s="1">
        <f>'Part B'!$B$179+SUMPRODUCT('Part B'!$B$193:$N$193,C187:O187)</f>
        <v>3.32095808395376</v>
      </c>
      <c r="Z187" s="1">
        <f>P187-Y187</f>
        <v>-0.548369361713981</v>
      </c>
      <c r="AB187" s="1">
        <f>C187</f>
        <v>0.483</v>
      </c>
      <c r="AC187" s="1">
        <f>D187</f>
        <v>87</v>
      </c>
      <c r="AD187" s="1">
        <f>E187</f>
        <v>3</v>
      </c>
      <c r="AE187" s="1">
        <f>F187</f>
        <v>0</v>
      </c>
      <c r="AF187" s="1">
        <f>G187</f>
        <v>0</v>
      </c>
      <c r="AG187" s="1">
        <f>I187</f>
        <v>0</v>
      </c>
      <c r="AH187" s="1">
        <f>J187</f>
        <v>0</v>
      </c>
      <c r="AI187" s="1">
        <f>Q187</f>
        <v>0</v>
      </c>
      <c r="AJ187" s="1">
        <f>K187</f>
        <v>0</v>
      </c>
      <c r="AK187" s="1">
        <f>L187</f>
        <v>1</v>
      </c>
      <c r="AL187" s="1">
        <f>M187</f>
        <v>0</v>
      </c>
      <c r="AM187" s="1">
        <f>N187</f>
        <v>0</v>
      </c>
      <c r="AN187" s="1">
        <f>O187</f>
        <v>0</v>
      </c>
    </row>
    <row r="188">
      <c r="A188" s="1">
        <v>250</v>
      </c>
      <c r="B188" s="1">
        <v>16</v>
      </c>
      <c r="C188" s="1">
        <v>1.6</v>
      </c>
      <c r="D188" s="1">
        <v>86</v>
      </c>
      <c r="E188" s="1">
        <v>3</v>
      </c>
      <c r="F188" s="1">
        <v>0</v>
      </c>
      <c r="G188" s="1">
        <v>0</v>
      </c>
      <c r="H188" s="1">
        <v>1</v>
      </c>
      <c r="I188" s="1">
        <v>0</v>
      </c>
      <c r="J188" s="1">
        <v>0</v>
      </c>
      <c r="K188" s="1">
        <v>0</v>
      </c>
      <c r="L188" s="1">
        <v>0</v>
      </c>
      <c r="M188" s="1">
        <v>0</v>
      </c>
      <c r="N188" s="1">
        <v>0</v>
      </c>
      <c r="O188" s="1">
        <v>0</v>
      </c>
      <c r="P188" s="1">
        <f>LN(B188)</f>
        <v>2.77258872223978</v>
      </c>
      <c r="Q188" s="1">
        <f>1-SUM(F188:J188)</f>
        <v>0</v>
      </c>
      <c r="R188" s="1" t="str">
        <f>IF(F188=1,"Napa valley",IF(G188=1,"Bay area",IF(H188=1,"Sonoma",IF(I188=1,"Sierra/foothills",IF(J188=1,"Mendocino/lake","Generic California")))))</f>
        <v>Sonoma</v>
      </c>
      <c r="S188" s="1" t="str">
        <f>IF(F188=1,"Napa valley",IF(H188=1,"Sonoma","Other"))</f>
        <v>Sonoma</v>
      </c>
      <c r="T188" s="1" t="str">
        <f>IF(M188=1,"Cabernet",IF(N188=1,"Merlot",IF(L188=1,"Pinot noir","Other")))</f>
        <v>Other</v>
      </c>
      <c r="U188" s="1" t="str">
        <f>IF(F188=1,B188,"")</f>
        <v/>
      </c>
      <c r="V188" s="1">
        <f>IF(F188=0,B188,"")</f>
        <v>16</v>
      </c>
      <c r="W188" s="1">
        <f>'Part B'!$B$150+SUMPRODUCT('Part B'!$B$164:$N$164,C188:O188)</f>
        <v>16.8827553398139</v>
      </c>
      <c r="X188" s="1">
        <f>B188-W188</f>
        <v>-0.882755339813855</v>
      </c>
      <c r="Y188" s="1">
        <f>'Part B'!$B$179+SUMPRODUCT('Part B'!$B$193:$N$193,C188:O188)</f>
        <v>2.89969471909096</v>
      </c>
      <c r="Z188" s="1">
        <f>P188-Y188</f>
        <v>-0.127105996851183</v>
      </c>
      <c r="AB188" s="1">
        <f>C188</f>
        <v>1.6</v>
      </c>
      <c r="AC188" s="1">
        <f>D188</f>
        <v>86</v>
      </c>
      <c r="AD188" s="1">
        <f>E188</f>
        <v>3</v>
      </c>
      <c r="AE188" s="1">
        <f>F188</f>
        <v>0</v>
      </c>
      <c r="AF188" s="1">
        <f>G188</f>
        <v>0</v>
      </c>
      <c r="AG188" s="1">
        <f>I188</f>
        <v>0</v>
      </c>
      <c r="AH188" s="1">
        <f>J188</f>
        <v>0</v>
      </c>
      <c r="AI188" s="1">
        <f>Q188</f>
        <v>0</v>
      </c>
      <c r="AJ188" s="1">
        <f>K188</f>
        <v>0</v>
      </c>
      <c r="AK188" s="1">
        <f>L188</f>
        <v>0</v>
      </c>
      <c r="AL188" s="1">
        <f>M188</f>
        <v>0</v>
      </c>
      <c r="AM188" s="1">
        <f>N188</f>
        <v>0</v>
      </c>
      <c r="AN188" s="1">
        <f>O188</f>
        <v>0</v>
      </c>
    </row>
    <row r="189">
      <c r="A189" s="1">
        <v>251</v>
      </c>
      <c r="B189" s="1">
        <v>16</v>
      </c>
      <c r="C189" s="1">
        <v>15</v>
      </c>
      <c r="D189" s="1">
        <v>87</v>
      </c>
      <c r="E189" s="1">
        <v>3</v>
      </c>
      <c r="F189" s="1">
        <v>0</v>
      </c>
      <c r="G189" s="1">
        <v>0</v>
      </c>
      <c r="H189" s="1">
        <v>1</v>
      </c>
      <c r="I189" s="1">
        <v>0</v>
      </c>
      <c r="J189" s="1">
        <v>0</v>
      </c>
      <c r="K189" s="1">
        <v>0</v>
      </c>
      <c r="L189" s="1">
        <v>0</v>
      </c>
      <c r="M189" s="1">
        <v>0</v>
      </c>
      <c r="N189" s="1">
        <v>1</v>
      </c>
      <c r="O189" s="1">
        <v>0</v>
      </c>
      <c r="P189" s="1">
        <f>LN(B189)</f>
        <v>2.77258872223978</v>
      </c>
      <c r="Q189" s="1">
        <f>1-SUM(F189:J189)</f>
        <v>0</v>
      </c>
      <c r="R189" s="1" t="str">
        <f>IF(F189=1,"Napa valley",IF(G189=1,"Bay area",IF(H189=1,"Sonoma",IF(I189=1,"Sierra/foothills",IF(J189=1,"Mendocino/lake","Generic California")))))</f>
        <v>Sonoma</v>
      </c>
      <c r="S189" s="1" t="str">
        <f>IF(F189=1,"Napa valley",IF(H189=1,"Sonoma","Other"))</f>
        <v>Sonoma</v>
      </c>
      <c r="T189" s="1" t="str">
        <f>IF(M189=1,"Cabernet",IF(N189=1,"Merlot",IF(L189=1,"Pinot noir","Other")))</f>
        <v>Merlot</v>
      </c>
      <c r="U189" s="1" t="str">
        <f>IF(F189=1,B189,"")</f>
        <v/>
      </c>
      <c r="V189" s="1">
        <f>IF(F189=0,B189,"")</f>
        <v>16</v>
      </c>
      <c r="W189" s="1">
        <f>'Part B'!$B$150+SUMPRODUCT('Part B'!$B$164:$N$164,C189:O189)</f>
        <v>26.4162174734954</v>
      </c>
      <c r="X189" s="1">
        <f>B189-W189</f>
        <v>-10.4162174734954</v>
      </c>
      <c r="Y189" s="1">
        <f>'Part B'!$B$179+SUMPRODUCT('Part B'!$B$193:$N$193,C189:O189)</f>
        <v>3.1968313180126</v>
      </c>
      <c r="Z189" s="1">
        <f>P189-Y189</f>
        <v>-0.42424259577282</v>
      </c>
      <c r="AB189" s="1">
        <f>C189</f>
        <v>15</v>
      </c>
      <c r="AC189" s="1">
        <f>D189</f>
        <v>87</v>
      </c>
      <c r="AD189" s="1">
        <f>E189</f>
        <v>3</v>
      </c>
      <c r="AE189" s="1">
        <f>F189</f>
        <v>0</v>
      </c>
      <c r="AF189" s="1">
        <f>G189</f>
        <v>0</v>
      </c>
      <c r="AG189" s="1">
        <f>I189</f>
        <v>0</v>
      </c>
      <c r="AH189" s="1">
        <f>J189</f>
        <v>0</v>
      </c>
      <c r="AI189" s="1">
        <f>Q189</f>
        <v>0</v>
      </c>
      <c r="AJ189" s="1">
        <f>K189</f>
        <v>0</v>
      </c>
      <c r="AK189" s="1">
        <f>L189</f>
        <v>0</v>
      </c>
      <c r="AL189" s="1">
        <f>M189</f>
        <v>0</v>
      </c>
      <c r="AM189" s="1">
        <f>N189</f>
        <v>1</v>
      </c>
      <c r="AN189" s="1">
        <f>O189</f>
        <v>0</v>
      </c>
    </row>
    <row r="190">
      <c r="A190" s="1">
        <v>253</v>
      </c>
      <c r="B190" s="1">
        <v>16</v>
      </c>
      <c r="C190" s="1">
        <v>0.415</v>
      </c>
      <c r="D190" s="1">
        <v>87</v>
      </c>
      <c r="E190" s="1">
        <v>3</v>
      </c>
      <c r="F190" s="1">
        <v>0</v>
      </c>
      <c r="G190" s="1">
        <v>1</v>
      </c>
      <c r="H190" s="1">
        <v>0</v>
      </c>
      <c r="I190" s="1">
        <v>0</v>
      </c>
      <c r="J190" s="1">
        <v>0</v>
      </c>
      <c r="K190" s="1">
        <v>0</v>
      </c>
      <c r="L190" s="1">
        <v>1</v>
      </c>
      <c r="M190" s="1">
        <v>0</v>
      </c>
      <c r="N190" s="1">
        <v>0</v>
      </c>
      <c r="O190" s="1">
        <v>0</v>
      </c>
      <c r="P190" s="1">
        <f>LN(B190)</f>
        <v>2.77258872223978</v>
      </c>
      <c r="Q190" s="1">
        <f>1-SUM(F190:J190)</f>
        <v>0</v>
      </c>
      <c r="R190" s="1" t="str">
        <f>IF(F190=1,"Napa valley",IF(G190=1,"Bay area",IF(H190=1,"Sonoma",IF(I190=1,"Sierra/foothills",IF(J190=1,"Mendocino/lake","Generic California")))))</f>
        <v>Bay area</v>
      </c>
      <c r="S190" s="1" t="str">
        <f>IF(F190=1,"Napa valley",IF(H190=1,"Sonoma","Other"))</f>
        <v>Other</v>
      </c>
      <c r="T190" s="1" t="str">
        <f>IF(M190=1,"Cabernet",IF(N190=1,"Merlot",IF(L190=1,"Pinot noir","Other")))</f>
        <v>Pinot noir</v>
      </c>
      <c r="U190" s="1" t="str">
        <f>IF(F190=1,B190,"")</f>
        <v/>
      </c>
      <c r="V190" s="1">
        <f>IF(F190=0,B190,"")</f>
        <v>16</v>
      </c>
      <c r="W190" s="1">
        <f>'Part B'!$B$150+SUMPRODUCT('Part B'!$B$164:$N$164,C190:O190)</f>
        <v>32.7089058892589</v>
      </c>
      <c r="X190" s="1">
        <f>B190-W190</f>
        <v>-16.7089058892589</v>
      </c>
      <c r="Y190" s="1">
        <f>'Part B'!$B$179+SUMPRODUCT('Part B'!$B$193:$N$193,C190:O190)</f>
        <v>3.29430418533417</v>
      </c>
      <c r="Z190" s="1">
        <f>P190-Y190</f>
        <v>-0.521715463094389</v>
      </c>
      <c r="AB190" s="1">
        <f>C190</f>
        <v>0.415</v>
      </c>
      <c r="AC190" s="1">
        <f>D190</f>
        <v>87</v>
      </c>
      <c r="AD190" s="1">
        <f>E190</f>
        <v>3</v>
      </c>
      <c r="AE190" s="1">
        <f>F190</f>
        <v>0</v>
      </c>
      <c r="AF190" s="1">
        <f>G190</f>
        <v>1</v>
      </c>
      <c r="AG190" s="1">
        <f>I190</f>
        <v>0</v>
      </c>
      <c r="AH190" s="1">
        <f>J190</f>
        <v>0</v>
      </c>
      <c r="AI190" s="1">
        <f>Q190</f>
        <v>0</v>
      </c>
      <c r="AJ190" s="1">
        <f>K190</f>
        <v>0</v>
      </c>
      <c r="AK190" s="1">
        <f>L190</f>
        <v>1</v>
      </c>
      <c r="AL190" s="1">
        <f>M190</f>
        <v>0</v>
      </c>
      <c r="AM190" s="1">
        <f>N190</f>
        <v>0</v>
      </c>
      <c r="AN190" s="1">
        <f>O190</f>
        <v>0</v>
      </c>
    </row>
    <row r="191">
      <c r="A191" s="1">
        <v>254</v>
      </c>
      <c r="B191" s="1">
        <v>16</v>
      </c>
      <c r="C191" s="1">
        <v>0.3</v>
      </c>
      <c r="D191" s="1">
        <v>83</v>
      </c>
      <c r="E191" s="1">
        <v>3</v>
      </c>
      <c r="F191" s="1">
        <v>0</v>
      </c>
      <c r="G191" s="1">
        <v>1</v>
      </c>
      <c r="H191" s="1">
        <v>0</v>
      </c>
      <c r="I191" s="1">
        <v>0</v>
      </c>
      <c r="J191" s="1">
        <v>0</v>
      </c>
      <c r="K191" s="1">
        <v>0</v>
      </c>
      <c r="L191" s="1">
        <v>1</v>
      </c>
      <c r="M191" s="1">
        <v>0</v>
      </c>
      <c r="N191" s="1">
        <v>0</v>
      </c>
      <c r="O191" s="1">
        <v>0</v>
      </c>
      <c r="P191" s="1">
        <f>LN(B191)</f>
        <v>2.77258872223978</v>
      </c>
      <c r="Q191" s="1">
        <f>1-SUM(F191:J191)</f>
        <v>0</v>
      </c>
      <c r="R191" s="1" t="str">
        <f>IF(F191=1,"Napa valley",IF(G191=1,"Bay area",IF(H191=1,"Sonoma",IF(I191=1,"Sierra/foothills",IF(J191=1,"Mendocino/lake","Generic California")))))</f>
        <v>Bay area</v>
      </c>
      <c r="S191" s="1" t="str">
        <f>IF(F191=1,"Napa valley",IF(H191=1,"Sonoma","Other"))</f>
        <v>Other</v>
      </c>
      <c r="T191" s="1" t="str">
        <f>IF(M191=1,"Cabernet",IF(N191=1,"Merlot",IF(L191=1,"Pinot noir","Other")))</f>
        <v>Pinot noir</v>
      </c>
      <c r="U191" s="1" t="str">
        <f>IF(F191=1,B191,"")</f>
        <v/>
      </c>
      <c r="V191" s="1">
        <f>IF(F191=0,B191,"")</f>
        <v>16</v>
      </c>
      <c r="W191" s="1">
        <f>'Part B'!$B$150+SUMPRODUCT('Part B'!$B$164:$N$164,C191:O191)</f>
        <v>20.1394326033238</v>
      </c>
      <c r="X191" s="1">
        <f>B191-W191</f>
        <v>-4.13943260332377</v>
      </c>
      <c r="Y191" s="1">
        <f>'Part B'!$B$179+SUMPRODUCT('Part B'!$B$193:$N$193,C191:O191)</f>
        <v>3.01495080286615</v>
      </c>
      <c r="Z191" s="1">
        <f>P191-Y191</f>
        <v>-0.242362080626367</v>
      </c>
      <c r="AB191" s="1">
        <f>C191</f>
        <v>0.3</v>
      </c>
      <c r="AC191" s="1">
        <f>D191</f>
        <v>83</v>
      </c>
      <c r="AD191" s="1">
        <f>E191</f>
        <v>3</v>
      </c>
      <c r="AE191" s="1">
        <f>F191</f>
        <v>0</v>
      </c>
      <c r="AF191" s="1">
        <f>G191</f>
        <v>1</v>
      </c>
      <c r="AG191" s="1">
        <f>I191</f>
        <v>0</v>
      </c>
      <c r="AH191" s="1">
        <f>J191</f>
        <v>0</v>
      </c>
      <c r="AI191" s="1">
        <f>Q191</f>
        <v>0</v>
      </c>
      <c r="AJ191" s="1">
        <f>K191</f>
        <v>0</v>
      </c>
      <c r="AK191" s="1">
        <f>L191</f>
        <v>1</v>
      </c>
      <c r="AL191" s="1">
        <f>M191</f>
        <v>0</v>
      </c>
      <c r="AM191" s="1">
        <f>N191</f>
        <v>0</v>
      </c>
      <c r="AN191" s="1">
        <f>O191</f>
        <v>0</v>
      </c>
    </row>
    <row r="192">
      <c r="A192" s="1">
        <v>255</v>
      </c>
      <c r="B192" s="1">
        <v>16</v>
      </c>
      <c r="C192" s="1">
        <v>0.42</v>
      </c>
      <c r="D192" s="1">
        <v>88</v>
      </c>
      <c r="E192" s="1">
        <v>3</v>
      </c>
      <c r="F192" s="1">
        <v>0</v>
      </c>
      <c r="G192" s="1">
        <v>0</v>
      </c>
      <c r="H192" s="1">
        <v>1</v>
      </c>
      <c r="I192" s="1">
        <v>0</v>
      </c>
      <c r="J192" s="1">
        <v>0</v>
      </c>
      <c r="K192" s="1">
        <v>0</v>
      </c>
      <c r="L192" s="1">
        <v>0</v>
      </c>
      <c r="M192" s="1">
        <v>0</v>
      </c>
      <c r="N192" s="1">
        <v>0</v>
      </c>
      <c r="O192" s="1">
        <v>1</v>
      </c>
      <c r="P192" s="1">
        <f>LN(B192)</f>
        <v>2.77258872223978</v>
      </c>
      <c r="Q192" s="1">
        <f>1-SUM(F192:J192)</f>
        <v>0</v>
      </c>
      <c r="R192" s="1" t="str">
        <f>IF(F192=1,"Napa valley",IF(G192=1,"Bay area",IF(H192=1,"Sonoma",IF(I192=1,"Sierra/foothills",IF(J192=1,"Mendocino/lake","Generic California")))))</f>
        <v>Sonoma</v>
      </c>
      <c r="S192" s="1" t="str">
        <f>IF(F192=1,"Napa valley",IF(H192=1,"Sonoma","Other"))</f>
        <v>Sonoma</v>
      </c>
      <c r="T192" s="1" t="str">
        <f>IF(M192=1,"Cabernet",IF(N192=1,"Merlot",IF(L192=1,"Pinot noir","Other")))</f>
        <v>Other</v>
      </c>
      <c r="U192" s="1" t="str">
        <f>IF(F192=1,B192,"")</f>
        <v/>
      </c>
      <c r="V192" s="1">
        <f>IF(F192=0,B192,"")</f>
        <v>16</v>
      </c>
      <c r="W192" s="1">
        <f>'Part B'!$B$150+SUMPRODUCT('Part B'!$B$164:$N$164,C192:O192)</f>
        <v>22.8786605721326</v>
      </c>
      <c r="X192" s="1">
        <f>B192-W192</f>
        <v>-6.87866057213256</v>
      </c>
      <c r="Y192" s="1">
        <f>'Part B'!$B$179+SUMPRODUCT('Part B'!$B$193:$N$193,C192:O192)</f>
        <v>3.08790070715718</v>
      </c>
      <c r="Z192" s="1">
        <f>P192-Y192</f>
        <v>-0.315311984917397</v>
      </c>
      <c r="AB192" s="1">
        <f>C192</f>
        <v>0.42</v>
      </c>
      <c r="AC192" s="1">
        <f>D192</f>
        <v>88</v>
      </c>
      <c r="AD192" s="1">
        <f>E192</f>
        <v>3</v>
      </c>
      <c r="AE192" s="1">
        <f>F192</f>
        <v>0</v>
      </c>
      <c r="AF192" s="1">
        <f>G192</f>
        <v>0</v>
      </c>
      <c r="AG192" s="1">
        <f>I192</f>
        <v>0</v>
      </c>
      <c r="AH192" s="1">
        <f>J192</f>
        <v>0</v>
      </c>
      <c r="AI192" s="1">
        <f>Q192</f>
        <v>0</v>
      </c>
      <c r="AJ192" s="1">
        <f>K192</f>
        <v>0</v>
      </c>
      <c r="AK192" s="1">
        <f>L192</f>
        <v>0</v>
      </c>
      <c r="AL192" s="1">
        <f>M192</f>
        <v>0</v>
      </c>
      <c r="AM192" s="1">
        <f>N192</f>
        <v>0</v>
      </c>
      <c r="AN192" s="1">
        <f>O192</f>
        <v>1</v>
      </c>
    </row>
    <row r="193">
      <c r="A193" s="1">
        <v>256</v>
      </c>
      <c r="B193" s="1">
        <v>16</v>
      </c>
      <c r="C193" s="1">
        <v>14</v>
      </c>
      <c r="D193" s="1">
        <v>82</v>
      </c>
      <c r="E193" s="1">
        <v>2</v>
      </c>
      <c r="F193" s="1">
        <v>0</v>
      </c>
      <c r="G193" s="1">
        <v>0</v>
      </c>
      <c r="H193" s="1">
        <v>1</v>
      </c>
      <c r="I193" s="1">
        <v>0</v>
      </c>
      <c r="J193" s="1">
        <v>0</v>
      </c>
      <c r="K193" s="1">
        <v>0</v>
      </c>
      <c r="L193" s="1">
        <v>0</v>
      </c>
      <c r="M193" s="1">
        <v>1</v>
      </c>
      <c r="N193" s="1">
        <v>0</v>
      </c>
      <c r="O193" s="1">
        <v>0</v>
      </c>
      <c r="P193" s="1">
        <f>LN(B193)</f>
        <v>2.77258872223978</v>
      </c>
      <c r="Q193" s="1">
        <f>1-SUM(F193:J193)</f>
        <v>0</v>
      </c>
      <c r="R193" s="1" t="str">
        <f>IF(F193=1,"Napa valley",IF(G193=1,"Bay area",IF(H193=1,"Sonoma",IF(I193=1,"Sierra/foothills",IF(J193=1,"Mendocino/lake","Generic California")))))</f>
        <v>Sonoma</v>
      </c>
      <c r="S193" s="1" t="str">
        <f>IF(F193=1,"Napa valley",IF(H193=1,"Sonoma","Other"))</f>
        <v>Sonoma</v>
      </c>
      <c r="T193" s="1" t="str">
        <f>IF(M193=1,"Cabernet",IF(N193=1,"Merlot",IF(L193=1,"Pinot noir","Other")))</f>
        <v>Cabernet</v>
      </c>
      <c r="U193" s="1" t="str">
        <f>IF(F193=1,B193,"")</f>
        <v/>
      </c>
      <c r="V193" s="1">
        <f>IF(F193=0,B193,"")</f>
        <v>16</v>
      </c>
      <c r="W193" s="1">
        <f>'Part B'!$B$150+SUMPRODUCT('Part B'!$B$164:$N$164,C193:O193)</f>
        <v>9.13308511077076</v>
      </c>
      <c r="X193" s="1">
        <f>B193-W193</f>
        <v>6.86691488922924</v>
      </c>
      <c r="Y193" s="1">
        <f>'Part B'!$B$179+SUMPRODUCT('Part B'!$B$193:$N$193,C193:O193)</f>
        <v>2.70469918924798</v>
      </c>
      <c r="Z193" s="1">
        <f>P193-Y193</f>
        <v>0.067889532991797</v>
      </c>
      <c r="AB193" s="1">
        <f>C193</f>
        <v>14</v>
      </c>
      <c r="AC193" s="1">
        <f>D193</f>
        <v>82</v>
      </c>
      <c r="AD193" s="1">
        <f>E193</f>
        <v>2</v>
      </c>
      <c r="AE193" s="1">
        <f>F193</f>
        <v>0</v>
      </c>
      <c r="AF193" s="1">
        <f>G193</f>
        <v>0</v>
      </c>
      <c r="AG193" s="1">
        <f>I193</f>
        <v>0</v>
      </c>
      <c r="AH193" s="1">
        <f>J193</f>
        <v>0</v>
      </c>
      <c r="AI193" s="1">
        <f>Q193</f>
        <v>0</v>
      </c>
      <c r="AJ193" s="1">
        <f>K193</f>
        <v>0</v>
      </c>
      <c r="AK193" s="1">
        <f>L193</f>
        <v>0</v>
      </c>
      <c r="AL193" s="1">
        <f>M193</f>
        <v>1</v>
      </c>
      <c r="AM193" s="1">
        <f>N193</f>
        <v>0</v>
      </c>
      <c r="AN193" s="1">
        <f>O193</f>
        <v>0</v>
      </c>
    </row>
    <row r="194">
      <c r="A194" s="1">
        <v>257</v>
      </c>
      <c r="B194" s="1">
        <v>16</v>
      </c>
      <c r="C194" s="1">
        <v>6.5</v>
      </c>
      <c r="D194" s="1">
        <v>88</v>
      </c>
      <c r="E194" s="1">
        <v>2</v>
      </c>
      <c r="F194" s="1">
        <v>1</v>
      </c>
      <c r="G194" s="1">
        <v>0</v>
      </c>
      <c r="H194" s="1">
        <v>0</v>
      </c>
      <c r="I194" s="1">
        <v>0</v>
      </c>
      <c r="J194" s="1">
        <v>0</v>
      </c>
      <c r="K194" s="1">
        <v>0</v>
      </c>
      <c r="L194" s="1">
        <v>0</v>
      </c>
      <c r="M194" s="1">
        <v>0</v>
      </c>
      <c r="N194" s="1">
        <v>0</v>
      </c>
      <c r="O194" s="1">
        <v>0</v>
      </c>
      <c r="P194" s="1">
        <f>LN(B194)</f>
        <v>2.77258872223978</v>
      </c>
      <c r="Q194" s="1">
        <f>1-SUM(F194:J194)</f>
        <v>0</v>
      </c>
      <c r="R194" s="1" t="str">
        <f>IF(F194=1,"Napa valley",IF(G194=1,"Bay area",IF(H194=1,"Sonoma",IF(I194=1,"Sierra/foothills",IF(J194=1,"Mendocino/lake","Generic California")))))</f>
        <v>Napa valley</v>
      </c>
      <c r="S194" s="1" t="str">
        <f>IF(F194=1,"Napa valley",IF(H194=1,"Sonoma","Other"))</f>
        <v>Napa valley</v>
      </c>
      <c r="T194" s="1" t="str">
        <f>IF(M194=1,"Cabernet",IF(N194=1,"Merlot",IF(L194=1,"Pinot noir","Other")))</f>
        <v>Other</v>
      </c>
      <c r="U194" s="1">
        <f>IF(F194=1,B194,"")</f>
        <v>16</v>
      </c>
      <c r="V194" s="1" t="str">
        <f>IF(F194=0,B194,"")</f>
        <v/>
      </c>
      <c r="W194" s="1">
        <f>'Part B'!$B$150+SUMPRODUCT('Part B'!$B$164:$N$164,C194:O194)</f>
        <v>23.9847151147671</v>
      </c>
      <c r="X194" s="1">
        <f>B194-W194</f>
        <v>-7.98471511476708</v>
      </c>
      <c r="Y194" s="1">
        <f>'Part B'!$B$179+SUMPRODUCT('Part B'!$B$193:$N$193,C194:O194)</f>
        <v>2.98335231013347</v>
      </c>
      <c r="Z194" s="1">
        <f>P194-Y194</f>
        <v>-0.210763587893688</v>
      </c>
      <c r="AB194" s="1">
        <f>C194</f>
        <v>6.5</v>
      </c>
      <c r="AC194" s="1">
        <f>D194</f>
        <v>88</v>
      </c>
      <c r="AD194" s="1">
        <f>E194</f>
        <v>2</v>
      </c>
      <c r="AE194" s="1">
        <f>F194</f>
        <v>1</v>
      </c>
      <c r="AF194" s="1">
        <f>G194</f>
        <v>0</v>
      </c>
      <c r="AG194" s="1">
        <f>I194</f>
        <v>0</v>
      </c>
      <c r="AH194" s="1">
        <f>J194</f>
        <v>0</v>
      </c>
      <c r="AI194" s="1">
        <f>Q194</f>
        <v>0</v>
      </c>
      <c r="AJ194" s="1">
        <f>K194</f>
        <v>0</v>
      </c>
      <c r="AK194" s="1">
        <f>L194</f>
        <v>0</v>
      </c>
      <c r="AL194" s="1">
        <f>M194</f>
        <v>0</v>
      </c>
      <c r="AM194" s="1">
        <f>N194</f>
        <v>0</v>
      </c>
      <c r="AN194" s="1">
        <f>O194</f>
        <v>0</v>
      </c>
    </row>
    <row r="195">
      <c r="A195" s="1">
        <v>258</v>
      </c>
      <c r="B195" s="1">
        <v>16</v>
      </c>
      <c r="C195" s="1">
        <v>33.607</v>
      </c>
      <c r="D195" s="1">
        <v>87</v>
      </c>
      <c r="E195" s="1">
        <v>2</v>
      </c>
      <c r="F195" s="1">
        <v>0</v>
      </c>
      <c r="G195" s="1">
        <v>0</v>
      </c>
      <c r="H195" s="1">
        <v>1</v>
      </c>
      <c r="I195" s="1">
        <v>0</v>
      </c>
      <c r="J195" s="1">
        <v>0</v>
      </c>
      <c r="K195" s="1">
        <v>0</v>
      </c>
      <c r="L195" s="1">
        <v>0</v>
      </c>
      <c r="M195" s="1">
        <v>1</v>
      </c>
      <c r="N195" s="1">
        <v>0</v>
      </c>
      <c r="O195" s="1">
        <v>0</v>
      </c>
      <c r="P195" s="1">
        <f>LN(B195)</f>
        <v>2.77258872223978</v>
      </c>
      <c r="Q195" s="1">
        <f>1-SUM(F195:J195)</f>
        <v>0</v>
      </c>
      <c r="R195" s="1" t="str">
        <f>IF(F195=1,"Napa valley",IF(G195=1,"Bay area",IF(H195=1,"Sonoma",IF(I195=1,"Sierra/foothills",IF(J195=1,"Mendocino/lake","Generic California")))))</f>
        <v>Sonoma</v>
      </c>
      <c r="S195" s="1" t="str">
        <f>IF(F195=1,"Napa valley",IF(H195=1,"Sonoma","Other"))</f>
        <v>Sonoma</v>
      </c>
      <c r="T195" s="1" t="str">
        <f>IF(M195=1,"Cabernet",IF(N195=1,"Merlot",IF(L195=1,"Pinot noir","Other")))</f>
        <v>Cabernet</v>
      </c>
      <c r="U195" s="1" t="str">
        <f>IF(F195=1,B195,"")</f>
        <v/>
      </c>
      <c r="V195" s="1">
        <f>IF(F195=0,B195,"")</f>
        <v>16</v>
      </c>
      <c r="W195" s="1">
        <f>'Part B'!$B$150+SUMPRODUCT('Part B'!$B$164:$N$164,C195:O195)</f>
        <v>22.9975962914376</v>
      </c>
      <c r="X195" s="1">
        <f>B195-W195</f>
        <v>-6.99759629143762</v>
      </c>
      <c r="Y195" s="1">
        <f>'Part B'!$B$179+SUMPRODUCT('Part B'!$B$193:$N$193,C195:O195)</f>
        <v>2.97060636372146</v>
      </c>
      <c r="Z195" s="1">
        <f>P195-Y195</f>
        <v>-0.198017641481683</v>
      </c>
      <c r="AB195" s="1">
        <f>C195</f>
        <v>33.607</v>
      </c>
      <c r="AC195" s="1">
        <f>D195</f>
        <v>87</v>
      </c>
      <c r="AD195" s="1">
        <f>E195</f>
        <v>2</v>
      </c>
      <c r="AE195" s="1">
        <f>F195</f>
        <v>0</v>
      </c>
      <c r="AF195" s="1">
        <f>G195</f>
        <v>0</v>
      </c>
      <c r="AG195" s="1">
        <f>I195</f>
        <v>0</v>
      </c>
      <c r="AH195" s="1">
        <f>J195</f>
        <v>0</v>
      </c>
      <c r="AI195" s="1">
        <f>Q195</f>
        <v>0</v>
      </c>
      <c r="AJ195" s="1">
        <f>K195</f>
        <v>0</v>
      </c>
      <c r="AK195" s="1">
        <f>L195</f>
        <v>0</v>
      </c>
      <c r="AL195" s="1">
        <f>M195</f>
        <v>1</v>
      </c>
      <c r="AM195" s="1">
        <f>N195</f>
        <v>0</v>
      </c>
      <c r="AN195" s="1">
        <f>O195</f>
        <v>0</v>
      </c>
    </row>
    <row r="196">
      <c r="A196" s="1">
        <v>259</v>
      </c>
      <c r="B196" s="1">
        <v>16</v>
      </c>
      <c r="C196" s="1">
        <v>7</v>
      </c>
      <c r="D196" s="1">
        <v>80</v>
      </c>
      <c r="E196" s="1">
        <v>2</v>
      </c>
      <c r="F196" s="1">
        <v>0</v>
      </c>
      <c r="G196" s="1">
        <v>0</v>
      </c>
      <c r="H196" s="1">
        <v>1</v>
      </c>
      <c r="I196" s="1">
        <v>0</v>
      </c>
      <c r="J196" s="1">
        <v>0</v>
      </c>
      <c r="K196" s="1">
        <v>0</v>
      </c>
      <c r="L196" s="1">
        <v>0</v>
      </c>
      <c r="M196" s="1">
        <v>0</v>
      </c>
      <c r="N196" s="1">
        <v>1</v>
      </c>
      <c r="O196" s="1">
        <v>0</v>
      </c>
      <c r="P196" s="1">
        <f>LN(B196)</f>
        <v>2.77258872223978</v>
      </c>
      <c r="Q196" s="1">
        <f>1-SUM(F196:J196)</f>
        <v>0</v>
      </c>
      <c r="R196" s="1" t="str">
        <f>IF(F196=1,"Napa valley",IF(G196=1,"Bay area",IF(H196=1,"Sonoma",IF(I196=1,"Sierra/foothills",IF(J196=1,"Mendocino/lake","Generic California")))))</f>
        <v>Sonoma</v>
      </c>
      <c r="S196" s="1" t="str">
        <f>IF(F196=1,"Napa valley",IF(H196=1,"Sonoma","Other"))</f>
        <v>Sonoma</v>
      </c>
      <c r="T196" s="1" t="str">
        <f>IF(M196=1,"Cabernet",IF(N196=1,"Merlot",IF(L196=1,"Pinot noir","Other")))</f>
        <v>Merlot</v>
      </c>
      <c r="U196" s="1" t="str">
        <f>IF(F196=1,B196,"")</f>
        <v/>
      </c>
      <c r="V196" s="1">
        <f>IF(F196=0,B196,"")</f>
        <v>16</v>
      </c>
      <c r="W196" s="1">
        <f>'Part B'!$B$150+SUMPRODUCT('Part B'!$B$164:$N$164,C196:O196)</f>
        <v>-1.45975677436684</v>
      </c>
      <c r="X196" s="1">
        <f>B196-W196</f>
        <v>17.4597567743668</v>
      </c>
      <c r="Y196" s="1">
        <f>'Part B'!$B$179+SUMPRODUCT('Part B'!$B$193:$N$193,C196:O196)</f>
        <v>2.55824899114967</v>
      </c>
      <c r="Z196" s="1">
        <f>P196-Y196</f>
        <v>0.214339731090108</v>
      </c>
      <c r="AB196" s="1">
        <f>C196</f>
        <v>7</v>
      </c>
      <c r="AC196" s="1">
        <f>D196</f>
        <v>80</v>
      </c>
      <c r="AD196" s="1">
        <f>E196</f>
        <v>2</v>
      </c>
      <c r="AE196" s="1">
        <f>F196</f>
        <v>0</v>
      </c>
      <c r="AF196" s="1">
        <f>G196</f>
        <v>0</v>
      </c>
      <c r="AG196" s="1">
        <f>I196</f>
        <v>0</v>
      </c>
      <c r="AH196" s="1">
        <f>J196</f>
        <v>0</v>
      </c>
      <c r="AI196" s="1">
        <f>Q196</f>
        <v>0</v>
      </c>
      <c r="AJ196" s="1">
        <f>K196</f>
        <v>0</v>
      </c>
      <c r="AK196" s="1">
        <f>L196</f>
        <v>0</v>
      </c>
      <c r="AL196" s="1">
        <f>M196</f>
        <v>0</v>
      </c>
      <c r="AM196" s="1">
        <f>N196</f>
        <v>1</v>
      </c>
      <c r="AN196" s="1">
        <f>O196</f>
        <v>0</v>
      </c>
    </row>
    <row r="197">
      <c r="A197" s="1">
        <v>261</v>
      </c>
      <c r="B197" s="1">
        <v>16</v>
      </c>
      <c r="C197" s="1">
        <v>1.33</v>
      </c>
      <c r="D197" s="1">
        <v>88</v>
      </c>
      <c r="E197" s="1">
        <v>2</v>
      </c>
      <c r="F197" s="1">
        <v>0</v>
      </c>
      <c r="G197" s="1">
        <v>0</v>
      </c>
      <c r="H197" s="1">
        <v>0</v>
      </c>
      <c r="I197" s="1">
        <v>1</v>
      </c>
      <c r="J197" s="1">
        <v>0</v>
      </c>
      <c r="K197" s="1">
        <v>0</v>
      </c>
      <c r="L197" s="1">
        <v>0</v>
      </c>
      <c r="M197" s="1">
        <v>0</v>
      </c>
      <c r="N197" s="1">
        <v>0</v>
      </c>
      <c r="O197" s="1">
        <v>0</v>
      </c>
      <c r="P197" s="1">
        <f>LN(B197)</f>
        <v>2.77258872223978</v>
      </c>
      <c r="Q197" s="1">
        <f>1-SUM(F197:J197)</f>
        <v>0</v>
      </c>
      <c r="R197" s="1" t="str">
        <f>IF(F197=1,"Napa valley",IF(G197=1,"Bay area",IF(H197=1,"Sonoma",IF(I197=1,"Sierra/foothills",IF(J197=1,"Mendocino/lake","Generic California")))))</f>
        <v>Sierra/foothills</v>
      </c>
      <c r="S197" s="1" t="str">
        <f>IF(F197=1,"Napa valley",IF(H197=1,"Sonoma","Other"))</f>
        <v>Other</v>
      </c>
      <c r="T197" s="1" t="str">
        <f>IF(M197=1,"Cabernet",IF(N197=1,"Merlot",IF(L197=1,"Pinot noir","Other")))</f>
        <v>Other</v>
      </c>
      <c r="U197" s="1" t="str">
        <f>IF(F197=1,B197,"")</f>
        <v/>
      </c>
      <c r="V197" s="1">
        <f>IF(F197=0,B197,"")</f>
        <v>16</v>
      </c>
      <c r="W197" s="1">
        <f>'Part B'!$B$150+SUMPRODUCT('Part B'!$B$164:$N$164,C197:O197)</f>
        <v>22.4383876463064</v>
      </c>
      <c r="X197" s="1">
        <f>B197-W197</f>
        <v>-6.43838764630641</v>
      </c>
      <c r="Y197" s="1">
        <f>'Part B'!$B$179+SUMPRODUCT('Part B'!$B$193:$N$193,C197:O197)</f>
        <v>2.82699019138574</v>
      </c>
      <c r="Z197" s="1">
        <f>P197-Y197</f>
        <v>-0.0544014691459558</v>
      </c>
      <c r="AB197" s="1">
        <f>C197</f>
        <v>1.33</v>
      </c>
      <c r="AC197" s="1">
        <f>D197</f>
        <v>88</v>
      </c>
      <c r="AD197" s="1">
        <f>E197</f>
        <v>2</v>
      </c>
      <c r="AE197" s="1">
        <f>F197</f>
        <v>0</v>
      </c>
      <c r="AF197" s="1">
        <f>G197</f>
        <v>0</v>
      </c>
      <c r="AG197" s="1">
        <f>I197</f>
        <v>1</v>
      </c>
      <c r="AH197" s="1">
        <f>J197</f>
        <v>0</v>
      </c>
      <c r="AI197" s="1">
        <f>Q197</f>
        <v>0</v>
      </c>
      <c r="AJ197" s="1">
        <f>K197</f>
        <v>0</v>
      </c>
      <c r="AK197" s="1">
        <f>L197</f>
        <v>0</v>
      </c>
      <c r="AL197" s="1">
        <f>M197</f>
        <v>0</v>
      </c>
      <c r="AM197" s="1">
        <f>N197</f>
        <v>0</v>
      </c>
      <c r="AN197" s="1">
        <f>O197</f>
        <v>0</v>
      </c>
    </row>
    <row r="198">
      <c r="A198" s="1">
        <v>262</v>
      </c>
      <c r="B198" s="1">
        <v>16</v>
      </c>
      <c r="C198" s="1">
        <v>1.036</v>
      </c>
      <c r="D198" s="1">
        <v>89</v>
      </c>
      <c r="E198" s="1">
        <v>2</v>
      </c>
      <c r="F198" s="1">
        <v>0</v>
      </c>
      <c r="G198" s="1">
        <v>0</v>
      </c>
      <c r="H198" s="1">
        <v>1</v>
      </c>
      <c r="I198" s="1">
        <v>0</v>
      </c>
      <c r="J198" s="1">
        <v>0</v>
      </c>
      <c r="K198" s="1">
        <v>0</v>
      </c>
      <c r="L198" s="1">
        <v>0</v>
      </c>
      <c r="M198" s="1">
        <v>0</v>
      </c>
      <c r="N198" s="1">
        <v>0</v>
      </c>
      <c r="O198" s="1">
        <v>0</v>
      </c>
      <c r="P198" s="1">
        <f>LN(B198)</f>
        <v>2.77258872223978</v>
      </c>
      <c r="Q198" s="1">
        <f>1-SUM(F198:J198)</f>
        <v>0</v>
      </c>
      <c r="R198" s="1" t="str">
        <f>IF(F198=1,"Napa valley",IF(G198=1,"Bay area",IF(H198=1,"Sonoma",IF(I198=1,"Sierra/foothills",IF(J198=1,"Mendocino/lake","Generic California")))))</f>
        <v>Sonoma</v>
      </c>
      <c r="S198" s="1" t="str">
        <f>IF(F198=1,"Napa valley",IF(H198=1,"Sonoma","Other"))</f>
        <v>Sonoma</v>
      </c>
      <c r="T198" s="1" t="str">
        <f>IF(M198=1,"Cabernet",IF(N198=1,"Merlot",IF(L198=1,"Pinot noir","Other")))</f>
        <v>Other</v>
      </c>
      <c r="U198" s="1" t="str">
        <f>IF(F198=1,B198,"")</f>
        <v/>
      </c>
      <c r="V198" s="1">
        <f>IF(F198=0,B198,"")</f>
        <v>16</v>
      </c>
      <c r="W198" s="1">
        <f>'Part B'!$B$150+SUMPRODUCT('Part B'!$B$164:$N$164,C198:O198)</f>
        <v>19.7519732245891</v>
      </c>
      <c r="X198" s="1">
        <f>B198-W198</f>
        <v>-3.75197322458911</v>
      </c>
      <c r="Y198" s="1">
        <f>'Part B'!$B$179+SUMPRODUCT('Part B'!$B$193:$N$193,C198:O198)</f>
        <v>2.92890693691146</v>
      </c>
      <c r="Z198" s="1">
        <f>P198-Y198</f>
        <v>-0.156318214671681</v>
      </c>
      <c r="AB198" s="1">
        <f>C198</f>
        <v>1.036</v>
      </c>
      <c r="AC198" s="1">
        <f>D198</f>
        <v>89</v>
      </c>
      <c r="AD198" s="1">
        <f>E198</f>
        <v>2</v>
      </c>
      <c r="AE198" s="1">
        <f>F198</f>
        <v>0</v>
      </c>
      <c r="AF198" s="1">
        <f>G198</f>
        <v>0</v>
      </c>
      <c r="AG198" s="1">
        <f>I198</f>
        <v>0</v>
      </c>
      <c r="AH198" s="1">
        <f>J198</f>
        <v>0</v>
      </c>
      <c r="AI198" s="1">
        <f>Q198</f>
        <v>0</v>
      </c>
      <c r="AJ198" s="1">
        <f>K198</f>
        <v>0</v>
      </c>
      <c r="AK198" s="1">
        <f>L198</f>
        <v>0</v>
      </c>
      <c r="AL198" s="1">
        <f>M198</f>
        <v>0</v>
      </c>
      <c r="AM198" s="1">
        <f>N198</f>
        <v>0</v>
      </c>
      <c r="AN198" s="1">
        <f>O198</f>
        <v>0</v>
      </c>
    </row>
    <row r="199">
      <c r="A199" s="1">
        <v>263</v>
      </c>
      <c r="B199" s="1">
        <v>16</v>
      </c>
      <c r="C199" s="1">
        <v>1.075</v>
      </c>
      <c r="D199" s="1">
        <v>90</v>
      </c>
      <c r="E199" s="1">
        <v>2</v>
      </c>
      <c r="F199" s="1">
        <v>0</v>
      </c>
      <c r="G199" s="1">
        <v>0</v>
      </c>
      <c r="H199" s="1">
        <v>1</v>
      </c>
      <c r="I199" s="1">
        <v>0</v>
      </c>
      <c r="J199" s="1">
        <v>0</v>
      </c>
      <c r="K199" s="1">
        <v>0</v>
      </c>
      <c r="L199" s="1">
        <v>0</v>
      </c>
      <c r="M199" s="1">
        <v>0</v>
      </c>
      <c r="N199" s="1">
        <v>0</v>
      </c>
      <c r="O199" s="1">
        <v>0</v>
      </c>
      <c r="P199" s="1">
        <f>LN(B199)</f>
        <v>2.77258872223978</v>
      </c>
      <c r="Q199" s="1">
        <f>1-SUM(F199:J199)</f>
        <v>0</v>
      </c>
      <c r="R199" s="1" t="str">
        <f>IF(F199=1,"Napa valley",IF(G199=1,"Bay area",IF(H199=1,"Sonoma",IF(I199=1,"Sierra/foothills",IF(J199=1,"Mendocino/lake","Generic California")))))</f>
        <v>Sonoma</v>
      </c>
      <c r="S199" s="1" t="str">
        <f>IF(F199=1,"Napa valley",IF(H199=1,"Sonoma","Other"))</f>
        <v>Sonoma</v>
      </c>
      <c r="T199" s="1" t="str">
        <f>IF(M199=1,"Cabernet",IF(N199=1,"Merlot",IF(L199=1,"Pinot noir","Other")))</f>
        <v>Other</v>
      </c>
      <c r="U199" s="1" t="str">
        <f>IF(F199=1,B199,"")</f>
        <v/>
      </c>
      <c r="V199" s="1">
        <f>IF(F199=0,B199,"")</f>
        <v>16</v>
      </c>
      <c r="W199" s="1">
        <f>'Part B'!$B$150+SUMPRODUCT('Part B'!$B$164:$N$164,C199:O199)</f>
        <v>22.8933686799342</v>
      </c>
      <c r="X199" s="1">
        <f>B199-W199</f>
        <v>-6.89336867993416</v>
      </c>
      <c r="Y199" s="1">
        <f>'Part B'!$B$179+SUMPRODUCT('Part B'!$B$193:$N$193,C199:O199)</f>
        <v>2.99870142209023</v>
      </c>
      <c r="Z199" s="1">
        <f>P199-Y199</f>
        <v>-0.226112699850449</v>
      </c>
      <c r="AB199" s="1">
        <f>C199</f>
        <v>1.075</v>
      </c>
      <c r="AC199" s="1">
        <f>D199</f>
        <v>90</v>
      </c>
      <c r="AD199" s="1">
        <f>E199</f>
        <v>2</v>
      </c>
      <c r="AE199" s="1">
        <f>F199</f>
        <v>0</v>
      </c>
      <c r="AF199" s="1">
        <f>G199</f>
        <v>0</v>
      </c>
      <c r="AG199" s="1">
        <f>I199</f>
        <v>0</v>
      </c>
      <c r="AH199" s="1">
        <f>J199</f>
        <v>0</v>
      </c>
      <c r="AI199" s="1">
        <f>Q199</f>
        <v>0</v>
      </c>
      <c r="AJ199" s="1">
        <f>K199</f>
        <v>0</v>
      </c>
      <c r="AK199" s="1">
        <f>L199</f>
        <v>0</v>
      </c>
      <c r="AL199" s="1">
        <f>M199</f>
        <v>0</v>
      </c>
      <c r="AM199" s="1">
        <f>N199</f>
        <v>0</v>
      </c>
      <c r="AN199" s="1">
        <f>O199</f>
        <v>0</v>
      </c>
    </row>
    <row r="200">
      <c r="A200" s="1">
        <v>264</v>
      </c>
      <c r="B200" s="1">
        <v>16</v>
      </c>
      <c r="C200" s="1">
        <v>0.9</v>
      </c>
      <c r="D200" s="1">
        <v>89</v>
      </c>
      <c r="E200" s="1">
        <v>2</v>
      </c>
      <c r="F200" s="1">
        <v>1</v>
      </c>
      <c r="G200" s="1">
        <v>0</v>
      </c>
      <c r="H200" s="1">
        <v>0</v>
      </c>
      <c r="I200" s="1">
        <v>0</v>
      </c>
      <c r="J200" s="1">
        <v>0</v>
      </c>
      <c r="K200" s="1">
        <v>0</v>
      </c>
      <c r="L200" s="1">
        <v>0</v>
      </c>
      <c r="M200" s="1">
        <v>0</v>
      </c>
      <c r="N200" s="1">
        <v>0</v>
      </c>
      <c r="O200" s="1">
        <v>0</v>
      </c>
      <c r="P200" s="1">
        <f>LN(B200)</f>
        <v>2.77258872223978</v>
      </c>
      <c r="Q200" s="1">
        <f>1-SUM(F200:J200)</f>
        <v>0</v>
      </c>
      <c r="R200" s="1" t="str">
        <f>IF(F200=1,"Napa valley",IF(G200=1,"Bay area",IF(H200=1,"Sonoma",IF(I200=1,"Sierra/foothills",IF(J200=1,"Mendocino/lake","Generic California")))))</f>
        <v>Napa valley</v>
      </c>
      <c r="S200" s="1" t="str">
        <f>IF(F200=1,"Napa valley",IF(H200=1,"Sonoma","Other"))</f>
        <v>Napa valley</v>
      </c>
      <c r="T200" s="1" t="str">
        <f>IF(M200=1,"Cabernet",IF(N200=1,"Merlot",IF(L200=1,"Pinot noir","Other")))</f>
        <v>Other</v>
      </c>
      <c r="U200" s="1">
        <f>IF(F200=1,B200,"")</f>
        <v>16</v>
      </c>
      <c r="V200" s="1" t="str">
        <f>IF(F200=0,B200,"")</f>
        <v/>
      </c>
      <c r="W200" s="1">
        <f>'Part B'!$B$150+SUMPRODUCT('Part B'!$B$164:$N$164,C200:O200)</f>
        <v>27.661329317056</v>
      </c>
      <c r="X200" s="1">
        <f>B200-W200</f>
        <v>-11.661329317056</v>
      </c>
      <c r="Y200" s="1">
        <f>'Part B'!$B$179+SUMPRODUCT('Part B'!$B$193:$N$193,C200:O200)</f>
        <v>3.07727645494336</v>
      </c>
      <c r="Z200" s="1">
        <f>P200-Y200</f>
        <v>-0.304687732703583</v>
      </c>
      <c r="AB200" s="1">
        <f>C200</f>
        <v>0.9</v>
      </c>
      <c r="AC200" s="1">
        <f>D200</f>
        <v>89</v>
      </c>
      <c r="AD200" s="1">
        <f>E200</f>
        <v>2</v>
      </c>
      <c r="AE200" s="1">
        <f>F200</f>
        <v>1</v>
      </c>
      <c r="AF200" s="1">
        <f>G200</f>
        <v>0</v>
      </c>
      <c r="AG200" s="1">
        <f>I200</f>
        <v>0</v>
      </c>
      <c r="AH200" s="1">
        <f>J200</f>
        <v>0</v>
      </c>
      <c r="AI200" s="1">
        <f>Q200</f>
        <v>0</v>
      </c>
      <c r="AJ200" s="1">
        <f>K200</f>
        <v>0</v>
      </c>
      <c r="AK200" s="1">
        <f>L200</f>
        <v>0</v>
      </c>
      <c r="AL200" s="1">
        <f>M200</f>
        <v>0</v>
      </c>
      <c r="AM200" s="1">
        <f>N200</f>
        <v>0</v>
      </c>
      <c r="AN200" s="1">
        <f>O200</f>
        <v>0</v>
      </c>
    </row>
    <row r="201">
      <c r="A201" s="1">
        <v>265</v>
      </c>
      <c r="B201" s="1">
        <v>16</v>
      </c>
      <c r="C201" s="1">
        <v>0.07</v>
      </c>
      <c r="D201" s="1">
        <v>88</v>
      </c>
      <c r="E201" s="1">
        <v>2</v>
      </c>
      <c r="F201" s="1">
        <v>0</v>
      </c>
      <c r="G201" s="1">
        <v>0</v>
      </c>
      <c r="H201" s="1">
        <v>1</v>
      </c>
      <c r="I201" s="1">
        <v>0</v>
      </c>
      <c r="J201" s="1">
        <v>0</v>
      </c>
      <c r="K201" s="1">
        <v>0</v>
      </c>
      <c r="L201" s="1">
        <v>1</v>
      </c>
      <c r="M201" s="1">
        <v>0</v>
      </c>
      <c r="N201" s="1">
        <v>0</v>
      </c>
      <c r="O201" s="1">
        <v>0</v>
      </c>
      <c r="P201" s="1">
        <f>LN(B201)</f>
        <v>2.77258872223978</v>
      </c>
      <c r="Q201" s="1">
        <f>1-SUM(F201:J201)</f>
        <v>0</v>
      </c>
      <c r="R201" s="1" t="str">
        <f>IF(F201=1,"Napa valley",IF(G201=1,"Bay area",IF(H201=1,"Sonoma",IF(I201=1,"Sierra/foothills",IF(J201=1,"Mendocino/lake","Generic California")))))</f>
        <v>Sonoma</v>
      </c>
      <c r="S201" s="1" t="str">
        <f>IF(F201=1,"Napa valley",IF(H201=1,"Sonoma","Other"))</f>
        <v>Sonoma</v>
      </c>
      <c r="T201" s="1" t="str">
        <f>IF(M201=1,"Cabernet",IF(N201=1,"Merlot",IF(L201=1,"Pinot noir","Other")))</f>
        <v>Pinot noir</v>
      </c>
      <c r="U201" s="1" t="str">
        <f>IF(F201=1,B201,"")</f>
        <v/>
      </c>
      <c r="V201" s="1">
        <f>IF(F201=0,B201,"")</f>
        <v>16</v>
      </c>
      <c r="W201" s="1">
        <f>'Part B'!$B$150+SUMPRODUCT('Part B'!$B$164:$N$164,C201:O201)</f>
        <v>26.1528223603689</v>
      </c>
      <c r="X201" s="1">
        <f>B201-W201</f>
        <v>-10.1528223603689</v>
      </c>
      <c r="Y201" s="1">
        <f>'Part B'!$B$179+SUMPRODUCT('Part B'!$B$193:$N$193,C201:O201)</f>
        <v>3.2096014250405</v>
      </c>
      <c r="Z201" s="1">
        <f>P201-Y201</f>
        <v>-0.437012702800719</v>
      </c>
      <c r="AB201" s="1">
        <f>C201</f>
        <v>0.07</v>
      </c>
      <c r="AC201" s="1">
        <f>D201</f>
        <v>88</v>
      </c>
      <c r="AD201" s="1">
        <f>E201</f>
        <v>2</v>
      </c>
      <c r="AE201" s="1">
        <f>F201</f>
        <v>0</v>
      </c>
      <c r="AF201" s="1">
        <f>G201</f>
        <v>0</v>
      </c>
      <c r="AG201" s="1">
        <f>I201</f>
        <v>0</v>
      </c>
      <c r="AH201" s="1">
        <f>J201</f>
        <v>0</v>
      </c>
      <c r="AI201" s="1">
        <f>Q201</f>
        <v>0</v>
      </c>
      <c r="AJ201" s="1">
        <f>K201</f>
        <v>0</v>
      </c>
      <c r="AK201" s="1">
        <f>L201</f>
        <v>1</v>
      </c>
      <c r="AL201" s="1">
        <f>M201</f>
        <v>0</v>
      </c>
      <c r="AM201" s="1">
        <f>N201</f>
        <v>0</v>
      </c>
      <c r="AN201" s="1">
        <f>O201</f>
        <v>0</v>
      </c>
    </row>
    <row r="202">
      <c r="A202" s="1">
        <v>266</v>
      </c>
      <c r="B202" s="1">
        <v>16</v>
      </c>
      <c r="C202" s="1">
        <v>8.7</v>
      </c>
      <c r="D202" s="1">
        <v>82</v>
      </c>
      <c r="E202" s="1">
        <v>2</v>
      </c>
      <c r="F202" s="1">
        <v>0</v>
      </c>
      <c r="G202" s="1">
        <v>0</v>
      </c>
      <c r="H202" s="1">
        <v>1</v>
      </c>
      <c r="I202" s="1">
        <v>0</v>
      </c>
      <c r="J202" s="1">
        <v>0</v>
      </c>
      <c r="K202" s="1">
        <v>0</v>
      </c>
      <c r="L202" s="1">
        <v>1</v>
      </c>
      <c r="M202" s="1">
        <v>0</v>
      </c>
      <c r="N202" s="1">
        <v>0</v>
      </c>
      <c r="O202" s="1">
        <v>0</v>
      </c>
      <c r="P202" s="1">
        <f>LN(B202)</f>
        <v>2.77258872223978</v>
      </c>
      <c r="Q202" s="1">
        <f>1-SUM(F202:J202)</f>
        <v>0</v>
      </c>
      <c r="R202" s="1" t="str">
        <f>IF(F202=1,"Napa valley",IF(G202=1,"Bay area",IF(H202=1,"Sonoma",IF(I202=1,"Sierra/foothills",IF(J202=1,"Mendocino/lake","Generic California")))))</f>
        <v>Sonoma</v>
      </c>
      <c r="S202" s="1" t="str">
        <f>IF(F202=1,"Napa valley",IF(H202=1,"Sonoma","Other"))</f>
        <v>Sonoma</v>
      </c>
      <c r="T202" s="1" t="str">
        <f>IF(M202=1,"Cabernet",IF(N202=1,"Merlot",IF(L202=1,"Pinot noir","Other")))</f>
        <v>Pinot noir</v>
      </c>
      <c r="U202" s="1" t="str">
        <f>IF(F202=1,B202,"")</f>
        <v/>
      </c>
      <c r="V202" s="1">
        <f>IF(F202=0,B202,"")</f>
        <v>16</v>
      </c>
      <c r="W202" s="1">
        <f>'Part B'!$B$150+SUMPRODUCT('Part B'!$B$164:$N$164,C202:O202)</f>
        <v>6.46313397429765</v>
      </c>
      <c r="X202" s="1">
        <f>B202-W202</f>
        <v>9.53686602570235</v>
      </c>
      <c r="Y202" s="1">
        <f>'Part B'!$B$179+SUMPRODUCT('Part B'!$B$193:$N$193,C202:O202)</f>
        <v>2.75290486279387</v>
      </c>
      <c r="Z202" s="1">
        <f>P202-Y202</f>
        <v>0.0196838594459119</v>
      </c>
      <c r="AB202" s="1">
        <f>C202</f>
        <v>8.7</v>
      </c>
      <c r="AC202" s="1">
        <f>D202</f>
        <v>82</v>
      </c>
      <c r="AD202" s="1">
        <f>E202</f>
        <v>2</v>
      </c>
      <c r="AE202" s="1">
        <f>F202</f>
        <v>0</v>
      </c>
      <c r="AF202" s="1">
        <f>G202</f>
        <v>0</v>
      </c>
      <c r="AG202" s="1">
        <f>I202</f>
        <v>0</v>
      </c>
      <c r="AH202" s="1">
        <f>J202</f>
        <v>0</v>
      </c>
      <c r="AI202" s="1">
        <f>Q202</f>
        <v>0</v>
      </c>
      <c r="AJ202" s="1">
        <f>K202</f>
        <v>0</v>
      </c>
      <c r="AK202" s="1">
        <f>L202</f>
        <v>1</v>
      </c>
      <c r="AL202" s="1">
        <f>M202</f>
        <v>0</v>
      </c>
      <c r="AM202" s="1">
        <f>N202</f>
        <v>0</v>
      </c>
      <c r="AN202" s="1">
        <f>O202</f>
        <v>0</v>
      </c>
    </row>
    <row r="203">
      <c r="A203" s="1">
        <v>267</v>
      </c>
      <c r="B203" s="1">
        <v>16</v>
      </c>
      <c r="C203" s="1">
        <v>4.1</v>
      </c>
      <c r="D203" s="1">
        <v>81</v>
      </c>
      <c r="E203" s="1">
        <v>2</v>
      </c>
      <c r="F203" s="1">
        <v>0</v>
      </c>
      <c r="G203" s="1">
        <v>0</v>
      </c>
      <c r="H203" s="1">
        <v>1</v>
      </c>
      <c r="I203" s="1">
        <v>0</v>
      </c>
      <c r="J203" s="1">
        <v>0</v>
      </c>
      <c r="K203" s="1">
        <v>0</v>
      </c>
      <c r="L203" s="1">
        <v>0</v>
      </c>
      <c r="M203" s="1">
        <v>0</v>
      </c>
      <c r="N203" s="1">
        <v>0</v>
      </c>
      <c r="O203" s="1">
        <v>0</v>
      </c>
      <c r="P203" s="1">
        <f>LN(B203)</f>
        <v>2.77258872223978</v>
      </c>
      <c r="Q203" s="1">
        <f>1-SUM(F203:J203)</f>
        <v>0</v>
      </c>
      <c r="R203" s="1" t="str">
        <f>IF(F203=1,"Napa valley",IF(G203=1,"Bay area",IF(H203=1,"Sonoma",IF(I203=1,"Sierra/foothills",IF(J203=1,"Mendocino/lake","Generic California")))))</f>
        <v>Sonoma</v>
      </c>
      <c r="S203" s="1" t="str">
        <f>IF(F203=1,"Napa valley",IF(H203=1,"Sonoma","Other"))</f>
        <v>Sonoma</v>
      </c>
      <c r="T203" s="1" t="str">
        <f>IF(M203=1,"Cabernet",IF(N203=1,"Merlot",IF(L203=1,"Pinot noir","Other")))</f>
        <v>Other</v>
      </c>
      <c r="U203" s="1" t="str">
        <f>IF(F203=1,B203,"")</f>
        <v/>
      </c>
      <c r="V203" s="1">
        <f>IF(F203=0,B203,"")</f>
        <v>16</v>
      </c>
      <c r="W203" s="1">
        <f>'Part B'!$B$150+SUMPRODUCT('Part B'!$B$164:$N$164,C203:O203)</f>
        <v>-5.69961930444259</v>
      </c>
      <c r="X203" s="1">
        <f>B203-W203</f>
        <v>21.6996193044426</v>
      </c>
      <c r="Y203" s="1">
        <f>'Part B'!$B$179+SUMPRODUCT('Part B'!$B$193:$N$193,C203:O203)</f>
        <v>2.35610492479951</v>
      </c>
      <c r="Z203" s="1">
        <f>P203-Y203</f>
        <v>0.416483797440269</v>
      </c>
      <c r="AB203" s="1">
        <f>C203</f>
        <v>4.1</v>
      </c>
      <c r="AC203" s="1">
        <f>D203</f>
        <v>81</v>
      </c>
      <c r="AD203" s="1">
        <f>E203</f>
        <v>2</v>
      </c>
      <c r="AE203" s="1">
        <f>F203</f>
        <v>0</v>
      </c>
      <c r="AF203" s="1">
        <f>G203</f>
        <v>0</v>
      </c>
      <c r="AG203" s="1">
        <f>I203</f>
        <v>0</v>
      </c>
      <c r="AH203" s="1">
        <f>J203</f>
        <v>0</v>
      </c>
      <c r="AI203" s="1">
        <f>Q203</f>
        <v>0</v>
      </c>
      <c r="AJ203" s="1">
        <f>K203</f>
        <v>0</v>
      </c>
      <c r="AK203" s="1">
        <f>L203</f>
        <v>0</v>
      </c>
      <c r="AL203" s="1">
        <f>M203</f>
        <v>0</v>
      </c>
      <c r="AM203" s="1">
        <f>N203</f>
        <v>0</v>
      </c>
      <c r="AN203" s="1">
        <f>O203</f>
        <v>0</v>
      </c>
    </row>
    <row r="204">
      <c r="A204" s="1">
        <v>268</v>
      </c>
      <c r="B204" s="1">
        <v>16</v>
      </c>
      <c r="C204" s="1">
        <v>0.916</v>
      </c>
      <c r="D204" s="1">
        <v>84</v>
      </c>
      <c r="E204" s="1">
        <v>2</v>
      </c>
      <c r="F204" s="1">
        <v>1</v>
      </c>
      <c r="G204" s="1">
        <v>0</v>
      </c>
      <c r="H204" s="1">
        <v>0</v>
      </c>
      <c r="I204" s="1">
        <v>0</v>
      </c>
      <c r="J204" s="1">
        <v>0</v>
      </c>
      <c r="K204" s="1">
        <v>0</v>
      </c>
      <c r="L204" s="1">
        <v>0</v>
      </c>
      <c r="M204" s="1">
        <v>0</v>
      </c>
      <c r="N204" s="1">
        <v>0</v>
      </c>
      <c r="O204" s="1">
        <v>0</v>
      </c>
      <c r="P204" s="1">
        <f>LN(B204)</f>
        <v>2.77258872223978</v>
      </c>
      <c r="Q204" s="1">
        <f>1-SUM(F204:J204)</f>
        <v>0</v>
      </c>
      <c r="R204" s="1" t="str">
        <f>IF(F204=1,"Napa valley",IF(G204=1,"Bay area",IF(H204=1,"Sonoma",IF(I204=1,"Sierra/foothills",IF(J204=1,"Mendocino/lake","Generic California")))))</f>
        <v>Napa valley</v>
      </c>
      <c r="S204" s="1" t="str">
        <f>IF(F204=1,"Napa valley",IF(H204=1,"Sonoma","Other"))</f>
        <v>Napa valley</v>
      </c>
      <c r="T204" s="1" t="str">
        <f>IF(M204=1,"Cabernet",IF(N204=1,"Merlot",IF(L204=1,"Pinot noir","Other")))</f>
        <v>Other</v>
      </c>
      <c r="U204" s="1">
        <f>IF(F204=1,B204,"")</f>
        <v>16</v>
      </c>
      <c r="V204" s="1" t="str">
        <f>IF(F204=0,B204,"")</f>
        <v/>
      </c>
      <c r="W204" s="1">
        <f>'Part B'!$B$150+SUMPRODUCT('Part B'!$B$164:$N$164,C204:O204)</f>
        <v>11.9343252349387</v>
      </c>
      <c r="X204" s="1">
        <f>B204-W204</f>
        <v>4.06567476506132</v>
      </c>
      <c r="Y204" s="1">
        <f>'Part B'!$B$179+SUMPRODUCT('Part B'!$B$193:$N$193,C204:O204)</f>
        <v>2.72740114588191</v>
      </c>
      <c r="Z204" s="1">
        <f>P204-Y204</f>
        <v>0.0451875763578724</v>
      </c>
      <c r="AB204" s="1">
        <f>C204</f>
        <v>0.916</v>
      </c>
      <c r="AC204" s="1">
        <f>D204</f>
        <v>84</v>
      </c>
      <c r="AD204" s="1">
        <f>E204</f>
        <v>2</v>
      </c>
      <c r="AE204" s="1">
        <f>F204</f>
        <v>1</v>
      </c>
      <c r="AF204" s="1">
        <f>G204</f>
        <v>0</v>
      </c>
      <c r="AG204" s="1">
        <f>I204</f>
        <v>0</v>
      </c>
      <c r="AH204" s="1">
        <f>J204</f>
        <v>0</v>
      </c>
      <c r="AI204" s="1">
        <f>Q204</f>
        <v>0</v>
      </c>
      <c r="AJ204" s="1">
        <f>K204</f>
        <v>0</v>
      </c>
      <c r="AK204" s="1">
        <f>L204</f>
        <v>0</v>
      </c>
      <c r="AL204" s="1">
        <f>M204</f>
        <v>0</v>
      </c>
      <c r="AM204" s="1">
        <f>N204</f>
        <v>0</v>
      </c>
      <c r="AN204" s="1">
        <f>O204</f>
        <v>0</v>
      </c>
    </row>
    <row r="205">
      <c r="A205" s="1">
        <v>269</v>
      </c>
      <c r="B205" s="1">
        <v>16</v>
      </c>
      <c r="C205" s="1">
        <v>0.6</v>
      </c>
      <c r="D205" s="1">
        <v>82</v>
      </c>
      <c r="E205" s="1">
        <v>2</v>
      </c>
      <c r="F205" s="1">
        <v>0</v>
      </c>
      <c r="G205" s="1">
        <v>1</v>
      </c>
      <c r="H205" s="1">
        <v>0</v>
      </c>
      <c r="I205" s="1">
        <v>0</v>
      </c>
      <c r="J205" s="1">
        <v>0</v>
      </c>
      <c r="K205" s="1">
        <v>0</v>
      </c>
      <c r="L205" s="1">
        <v>1</v>
      </c>
      <c r="M205" s="1">
        <v>0</v>
      </c>
      <c r="N205" s="1">
        <v>0</v>
      </c>
      <c r="O205" s="1">
        <v>0</v>
      </c>
      <c r="P205" s="1">
        <f>LN(B205)</f>
        <v>2.77258872223978</v>
      </c>
      <c r="Q205" s="1">
        <f>1-SUM(F205:J205)</f>
        <v>0</v>
      </c>
      <c r="R205" s="1" t="str">
        <f>IF(F205=1,"Napa valley",IF(G205=1,"Bay area",IF(H205=1,"Sonoma",IF(I205=1,"Sierra/foothills",IF(J205=1,"Mendocino/lake","Generic California")))))</f>
        <v>Bay area</v>
      </c>
      <c r="S205" s="1" t="str">
        <f>IF(F205=1,"Napa valley",IF(H205=1,"Sonoma","Other"))</f>
        <v>Other</v>
      </c>
      <c r="T205" s="1" t="str">
        <f>IF(M205=1,"Cabernet",IF(N205=1,"Merlot",IF(L205=1,"Pinot noir","Other")))</f>
        <v>Pinot noir</v>
      </c>
      <c r="U205" s="1" t="str">
        <f>IF(F205=1,B205,"")</f>
        <v/>
      </c>
      <c r="V205" s="1">
        <f>IF(F205=0,B205,"")</f>
        <v>16</v>
      </c>
      <c r="W205" s="1">
        <f>'Part B'!$B$150+SUMPRODUCT('Part B'!$B$164:$N$164,C205:O205)</f>
        <v>10.3462566216961</v>
      </c>
      <c r="X205" s="1">
        <f>B205-W205</f>
        <v>5.65374337830394</v>
      </c>
      <c r="Y205" s="1">
        <f>'Part B'!$B$179+SUMPRODUCT('Part B'!$B$193:$N$193,C205:O205)</f>
        <v>2.76062043148359</v>
      </c>
      <c r="Z205" s="1">
        <f>P205-Y205</f>
        <v>0.0119682907561933</v>
      </c>
      <c r="AB205" s="1">
        <f>C205</f>
        <v>0.6</v>
      </c>
      <c r="AC205" s="1">
        <f>D205</f>
        <v>82</v>
      </c>
      <c r="AD205" s="1">
        <f>E205</f>
        <v>2</v>
      </c>
      <c r="AE205" s="1">
        <f>F205</f>
        <v>0</v>
      </c>
      <c r="AF205" s="1">
        <f>G205</f>
        <v>1</v>
      </c>
      <c r="AG205" s="1">
        <f>I205</f>
        <v>0</v>
      </c>
      <c r="AH205" s="1">
        <f>J205</f>
        <v>0</v>
      </c>
      <c r="AI205" s="1">
        <f>Q205</f>
        <v>0</v>
      </c>
      <c r="AJ205" s="1">
        <f>K205</f>
        <v>0</v>
      </c>
      <c r="AK205" s="1">
        <f>L205</f>
        <v>1</v>
      </c>
      <c r="AL205" s="1">
        <f>M205</f>
        <v>0</v>
      </c>
      <c r="AM205" s="1">
        <f>N205</f>
        <v>0</v>
      </c>
      <c r="AN205" s="1">
        <f>O205</f>
        <v>0</v>
      </c>
    </row>
    <row r="206">
      <c r="A206" s="1">
        <v>270</v>
      </c>
      <c r="B206" s="1">
        <v>16</v>
      </c>
      <c r="C206" s="1">
        <v>4.5</v>
      </c>
      <c r="D206" s="1">
        <v>87</v>
      </c>
      <c r="E206" s="1">
        <v>2</v>
      </c>
      <c r="F206" s="1">
        <v>0</v>
      </c>
      <c r="G206" s="1">
        <v>0</v>
      </c>
      <c r="H206" s="1">
        <v>1</v>
      </c>
      <c r="I206" s="1">
        <v>0</v>
      </c>
      <c r="J206" s="1">
        <v>0</v>
      </c>
      <c r="K206" s="1">
        <v>0</v>
      </c>
      <c r="L206" s="1">
        <v>0</v>
      </c>
      <c r="M206" s="1">
        <v>0</v>
      </c>
      <c r="N206" s="1">
        <v>0</v>
      </c>
      <c r="O206" s="1">
        <v>0</v>
      </c>
      <c r="P206" s="1">
        <f>LN(B206)</f>
        <v>2.77258872223978</v>
      </c>
      <c r="Q206" s="1">
        <f>1-SUM(F206:J206)</f>
        <v>0</v>
      </c>
      <c r="R206" s="1" t="str">
        <f>IF(F206=1,"Napa valley",IF(G206=1,"Bay area",IF(H206=1,"Sonoma",IF(I206=1,"Sierra/foothills",IF(J206=1,"Mendocino/lake","Generic California")))))</f>
        <v>Sonoma</v>
      </c>
      <c r="S206" s="1" t="str">
        <f>IF(F206=1,"Napa valley",IF(H206=1,"Sonoma","Other"))</f>
        <v>Sonoma</v>
      </c>
      <c r="T206" s="1" t="str">
        <f>IF(M206=1,"Cabernet",IF(N206=1,"Merlot",IF(L206=1,"Pinot noir","Other")))</f>
        <v>Other</v>
      </c>
      <c r="U206" s="1" t="str">
        <f>IF(F206=1,B206,"")</f>
        <v/>
      </c>
      <c r="V206" s="1">
        <f>IF(F206=0,B206,"")</f>
        <v>16</v>
      </c>
      <c r="W206" s="1">
        <f>'Part B'!$B$150+SUMPRODUCT('Part B'!$B$164:$N$164,C206:O206)</f>
        <v>13.1329977418693</v>
      </c>
      <c r="X206" s="1">
        <f>B206-W206</f>
        <v>2.8670022581307</v>
      </c>
      <c r="Y206" s="1">
        <f>'Part B'!$B$179+SUMPRODUCT('Part B'!$B$193:$N$193,C206:O206)</f>
        <v>2.77416151072604</v>
      </c>
      <c r="Z206" s="1">
        <f>P206-Y206</f>
        <v>-0.00157278848625753</v>
      </c>
      <c r="AB206" s="1">
        <f>C206</f>
        <v>4.5</v>
      </c>
      <c r="AC206" s="1">
        <f>D206</f>
        <v>87</v>
      </c>
      <c r="AD206" s="1">
        <f>E206</f>
        <v>2</v>
      </c>
      <c r="AE206" s="1">
        <f>F206</f>
        <v>0</v>
      </c>
      <c r="AF206" s="1">
        <f>G206</f>
        <v>0</v>
      </c>
      <c r="AG206" s="1">
        <f>I206</f>
        <v>0</v>
      </c>
      <c r="AH206" s="1">
        <f>J206</f>
        <v>0</v>
      </c>
      <c r="AI206" s="1">
        <f>Q206</f>
        <v>0</v>
      </c>
      <c r="AJ206" s="1">
        <f>K206</f>
        <v>0</v>
      </c>
      <c r="AK206" s="1">
        <f>L206</f>
        <v>0</v>
      </c>
      <c r="AL206" s="1">
        <f>M206</f>
        <v>0</v>
      </c>
      <c r="AM206" s="1">
        <f>N206</f>
        <v>0</v>
      </c>
      <c r="AN206" s="1">
        <f>O206</f>
        <v>0</v>
      </c>
    </row>
    <row r="207">
      <c r="A207" s="1">
        <v>271</v>
      </c>
      <c r="B207" s="1">
        <v>16</v>
      </c>
      <c r="C207" s="1">
        <v>0.4</v>
      </c>
      <c r="D207" s="1">
        <v>87</v>
      </c>
      <c r="E207" s="1">
        <v>2</v>
      </c>
      <c r="F207" s="1">
        <v>0</v>
      </c>
      <c r="G207" s="1">
        <v>0</v>
      </c>
      <c r="H207" s="1">
        <v>1</v>
      </c>
      <c r="I207" s="1">
        <v>0</v>
      </c>
      <c r="J207" s="1">
        <v>0</v>
      </c>
      <c r="K207" s="1">
        <v>0</v>
      </c>
      <c r="L207" s="1">
        <v>0</v>
      </c>
      <c r="M207" s="1">
        <v>0</v>
      </c>
      <c r="N207" s="1">
        <v>0</v>
      </c>
      <c r="O207" s="1">
        <v>0</v>
      </c>
      <c r="P207" s="1">
        <f>LN(B207)</f>
        <v>2.77258872223978</v>
      </c>
      <c r="Q207" s="1">
        <f>1-SUM(F207:J207)</f>
        <v>0</v>
      </c>
      <c r="R207" s="1" t="str">
        <f>IF(F207=1,"Napa valley",IF(G207=1,"Bay area",IF(H207=1,"Sonoma",IF(I207=1,"Sierra/foothills",IF(J207=1,"Mendocino/lake","Generic California")))))</f>
        <v>Sonoma</v>
      </c>
      <c r="S207" s="1" t="str">
        <f>IF(F207=1,"Napa valley",IF(H207=1,"Sonoma","Other"))</f>
        <v>Sonoma</v>
      </c>
      <c r="T207" s="1" t="str">
        <f>IF(M207=1,"Cabernet",IF(N207=1,"Merlot",IF(L207=1,"Pinot noir","Other")))</f>
        <v>Other</v>
      </c>
      <c r="U207" s="1" t="str">
        <f>IF(F207=1,B207,"")</f>
        <v/>
      </c>
      <c r="V207" s="1">
        <f>IF(F207=0,B207,"")</f>
        <v>16</v>
      </c>
      <c r="W207" s="1">
        <f>'Part B'!$B$150+SUMPRODUCT('Part B'!$B$164:$N$164,C207:O207)</f>
        <v>13.5221441973525</v>
      </c>
      <c r="X207" s="1">
        <f>B207-W207</f>
        <v>2.47785580264753</v>
      </c>
      <c r="Y207" s="1">
        <f>'Part B'!$B$179+SUMPRODUCT('Part B'!$B$193:$N$193,C207:O207)</f>
        <v>2.79170568602088</v>
      </c>
      <c r="Z207" s="1">
        <f>P207-Y207</f>
        <v>-0.0191169637811002</v>
      </c>
      <c r="AB207" s="1">
        <f>C207</f>
        <v>0.4</v>
      </c>
      <c r="AC207" s="1">
        <f>D207</f>
        <v>87</v>
      </c>
      <c r="AD207" s="1">
        <f>E207</f>
        <v>2</v>
      </c>
      <c r="AE207" s="1">
        <f>F207</f>
        <v>0</v>
      </c>
      <c r="AF207" s="1">
        <f>G207</f>
        <v>0</v>
      </c>
      <c r="AG207" s="1">
        <f>I207</f>
        <v>0</v>
      </c>
      <c r="AH207" s="1">
        <f>J207</f>
        <v>0</v>
      </c>
      <c r="AI207" s="1">
        <f>Q207</f>
        <v>0</v>
      </c>
      <c r="AJ207" s="1">
        <f>K207</f>
        <v>0</v>
      </c>
      <c r="AK207" s="1">
        <f>L207</f>
        <v>0</v>
      </c>
      <c r="AL207" s="1">
        <f>M207</f>
        <v>0</v>
      </c>
      <c r="AM207" s="1">
        <f>N207</f>
        <v>0</v>
      </c>
      <c r="AN207" s="1">
        <f>O207</f>
        <v>0</v>
      </c>
    </row>
    <row r="208">
      <c r="A208" s="1">
        <v>273</v>
      </c>
      <c r="B208" s="1">
        <v>16</v>
      </c>
      <c r="C208" s="1">
        <v>1.5</v>
      </c>
      <c r="D208" s="1">
        <v>88</v>
      </c>
      <c r="E208" s="1">
        <v>2</v>
      </c>
      <c r="F208" s="1">
        <v>0</v>
      </c>
      <c r="G208" s="1">
        <v>0</v>
      </c>
      <c r="H208" s="1">
        <v>0</v>
      </c>
      <c r="I208" s="1">
        <v>0</v>
      </c>
      <c r="J208" s="1">
        <v>1</v>
      </c>
      <c r="K208" s="1">
        <v>0</v>
      </c>
      <c r="L208" s="1">
        <v>0</v>
      </c>
      <c r="M208" s="1">
        <v>0</v>
      </c>
      <c r="N208" s="1">
        <v>0</v>
      </c>
      <c r="O208" s="1">
        <v>0</v>
      </c>
      <c r="P208" s="1">
        <f>LN(B208)</f>
        <v>2.77258872223978</v>
      </c>
      <c r="Q208" s="1">
        <f>1-SUM(F208:J208)</f>
        <v>0</v>
      </c>
      <c r="R208" s="1" t="str">
        <f>IF(F208=1,"Napa valley",IF(G208=1,"Bay area",IF(H208=1,"Sonoma",IF(I208=1,"Sierra/foothills",IF(J208=1,"Mendocino/lake","Generic California")))))</f>
        <v>Mendocino/lake</v>
      </c>
      <c r="S208" s="1" t="str">
        <f>IF(F208=1,"Napa valley",IF(H208=1,"Sonoma","Other"))</f>
        <v>Other</v>
      </c>
      <c r="T208" s="1" t="str">
        <f>IF(M208=1,"Cabernet",IF(N208=1,"Merlot",IF(L208=1,"Pinot noir","Other")))</f>
        <v>Other</v>
      </c>
      <c r="U208" s="1" t="str">
        <f>IF(F208=1,B208,"")</f>
        <v/>
      </c>
      <c r="V208" s="1">
        <f>IF(F208=0,B208,"")</f>
        <v>16</v>
      </c>
      <c r="W208" s="1">
        <f>'Part B'!$B$150+SUMPRODUCT('Part B'!$B$164:$N$164,C208:O208)</f>
        <v>18.2798190885903</v>
      </c>
      <c r="X208" s="1">
        <f>B208-W208</f>
        <v>-2.27981908859027</v>
      </c>
      <c r="Y208" s="1">
        <f>'Part B'!$B$179+SUMPRODUCT('Part B'!$B$193:$N$193,C208:O208)</f>
        <v>2.81225514191034</v>
      </c>
      <c r="Z208" s="1">
        <f>P208-Y208</f>
        <v>-0.0396664196705623</v>
      </c>
      <c r="AB208" s="1">
        <f>C208</f>
        <v>1.5</v>
      </c>
      <c r="AC208" s="1">
        <f>D208</f>
        <v>88</v>
      </c>
      <c r="AD208" s="1">
        <f>E208</f>
        <v>2</v>
      </c>
      <c r="AE208" s="1">
        <f>F208</f>
        <v>0</v>
      </c>
      <c r="AF208" s="1">
        <f>G208</f>
        <v>0</v>
      </c>
      <c r="AG208" s="1">
        <f>I208</f>
        <v>0</v>
      </c>
      <c r="AH208" s="1">
        <f>J208</f>
        <v>1</v>
      </c>
      <c r="AI208" s="1">
        <f>Q208</f>
        <v>0</v>
      </c>
      <c r="AJ208" s="1">
        <f>K208</f>
        <v>0</v>
      </c>
      <c r="AK208" s="1">
        <f>L208</f>
        <v>0</v>
      </c>
      <c r="AL208" s="1">
        <f>M208</f>
        <v>0</v>
      </c>
      <c r="AM208" s="1">
        <f>N208</f>
        <v>0</v>
      </c>
      <c r="AN208" s="1">
        <f>O208</f>
        <v>0</v>
      </c>
    </row>
    <row r="209">
      <c r="A209" s="1">
        <v>275</v>
      </c>
      <c r="B209" s="1">
        <v>16</v>
      </c>
      <c r="C209" s="1">
        <v>2.1</v>
      </c>
      <c r="D209" s="1">
        <v>87</v>
      </c>
      <c r="E209" s="1">
        <v>2</v>
      </c>
      <c r="F209" s="1">
        <v>0</v>
      </c>
      <c r="G209" s="1">
        <v>0</v>
      </c>
      <c r="H209" s="1">
        <v>1</v>
      </c>
      <c r="I209" s="1">
        <v>0</v>
      </c>
      <c r="J209" s="1">
        <v>0</v>
      </c>
      <c r="K209" s="1">
        <v>0</v>
      </c>
      <c r="L209" s="1">
        <v>0</v>
      </c>
      <c r="M209" s="1">
        <v>1</v>
      </c>
      <c r="N209" s="1">
        <v>0</v>
      </c>
      <c r="O209" s="1">
        <v>0</v>
      </c>
      <c r="P209" s="1">
        <f>LN(B209)</f>
        <v>2.77258872223978</v>
      </c>
      <c r="Q209" s="1">
        <f>1-SUM(F209:J209)</f>
        <v>0</v>
      </c>
      <c r="R209" s="1" t="str">
        <f>IF(F209=1,"Napa valley",IF(G209=1,"Bay area",IF(H209=1,"Sonoma",IF(I209=1,"Sierra/foothills",IF(J209=1,"Mendocino/lake","Generic California")))))</f>
        <v>Sonoma</v>
      </c>
      <c r="S209" s="1" t="str">
        <f>IF(F209=1,"Napa valley",IF(H209=1,"Sonoma","Other"))</f>
        <v>Sonoma</v>
      </c>
      <c r="T209" s="1" t="str">
        <f>IF(M209=1,"Cabernet",IF(N209=1,"Merlot",IF(L209=1,"Pinot noir","Other")))</f>
        <v>Cabernet</v>
      </c>
      <c r="U209" s="1" t="str">
        <f>IF(F209=1,B209,"")</f>
        <v/>
      </c>
      <c r="V209" s="1">
        <f>IF(F209=0,B209,"")</f>
        <v>16</v>
      </c>
      <c r="W209" s="1">
        <f>'Part B'!$B$150+SUMPRODUCT('Part B'!$B$164:$N$164,C209:O209)</f>
        <v>25.9880444311716</v>
      </c>
      <c r="X209" s="1">
        <f>B209-W209</f>
        <v>-9.9880444311716</v>
      </c>
      <c r="Y209" s="1">
        <f>'Part B'!$B$179+SUMPRODUCT('Part B'!$B$193:$N$193,C209:O209)</f>
        <v>3.10542693226161</v>
      </c>
      <c r="Z209" s="1">
        <f>P209-Y209</f>
        <v>-0.33283821002183</v>
      </c>
      <c r="AB209" s="1">
        <f>C209</f>
        <v>2.1</v>
      </c>
      <c r="AC209" s="1">
        <f>D209</f>
        <v>87</v>
      </c>
      <c r="AD209" s="1">
        <f>E209</f>
        <v>2</v>
      </c>
      <c r="AE209" s="1">
        <f>F209</f>
        <v>0</v>
      </c>
      <c r="AF209" s="1">
        <f>G209</f>
        <v>0</v>
      </c>
      <c r="AG209" s="1">
        <f>I209</f>
        <v>0</v>
      </c>
      <c r="AH209" s="1">
        <f>J209</f>
        <v>0</v>
      </c>
      <c r="AI209" s="1">
        <f>Q209</f>
        <v>0</v>
      </c>
      <c r="AJ209" s="1">
        <f>K209</f>
        <v>0</v>
      </c>
      <c r="AK209" s="1">
        <f>L209</f>
        <v>0</v>
      </c>
      <c r="AL209" s="1">
        <f>M209</f>
        <v>1</v>
      </c>
      <c r="AM209" s="1">
        <f>N209</f>
        <v>0</v>
      </c>
      <c r="AN209" s="1">
        <f>O209</f>
        <v>0</v>
      </c>
    </row>
    <row r="210">
      <c r="A210" s="1">
        <v>277</v>
      </c>
      <c r="B210" s="1">
        <v>16</v>
      </c>
      <c r="C210" s="1">
        <v>0.546</v>
      </c>
      <c r="D210" s="1">
        <v>79</v>
      </c>
      <c r="E210" s="1">
        <v>2</v>
      </c>
      <c r="F210" s="1">
        <v>1</v>
      </c>
      <c r="G210" s="1">
        <v>0</v>
      </c>
      <c r="H210" s="1">
        <v>0</v>
      </c>
      <c r="I210" s="1">
        <v>0</v>
      </c>
      <c r="J210" s="1">
        <v>0</v>
      </c>
      <c r="K210" s="1">
        <v>0</v>
      </c>
      <c r="L210" s="1">
        <v>0</v>
      </c>
      <c r="M210" s="1">
        <v>0</v>
      </c>
      <c r="N210" s="1">
        <v>0</v>
      </c>
      <c r="O210" s="1">
        <v>0</v>
      </c>
      <c r="P210" s="1">
        <f>LN(B210)</f>
        <v>2.77258872223978</v>
      </c>
      <c r="Q210" s="1">
        <f>1-SUM(F210:J210)</f>
        <v>0</v>
      </c>
      <c r="R210" s="1" t="str">
        <f>IF(F210=1,"Napa valley",IF(G210=1,"Bay area",IF(H210=1,"Sonoma",IF(I210=1,"Sierra/foothills",IF(J210=1,"Mendocino/lake","Generic California")))))</f>
        <v>Napa valley</v>
      </c>
      <c r="S210" s="1" t="str">
        <f>IF(F210=1,"Napa valley",IF(H210=1,"Sonoma","Other"))</f>
        <v>Napa valley</v>
      </c>
      <c r="T210" s="1" t="str">
        <f>IF(M210=1,"Cabernet",IF(N210=1,"Merlot",IF(L210=1,"Pinot noir","Other")))</f>
        <v>Other</v>
      </c>
      <c r="U210" s="1">
        <f>IF(F210=1,B210,"")</f>
        <v>16</v>
      </c>
      <c r="V210" s="1" t="str">
        <f>IF(F210=0,B210,"")</f>
        <v/>
      </c>
      <c r="W210" s="1">
        <f>'Part B'!$B$150+SUMPRODUCT('Part B'!$B$164:$N$164,C210:O210)</f>
        <v>-3.75604213210147</v>
      </c>
      <c r="X210" s="1">
        <f>B210-W210</f>
        <v>19.7560421321015</v>
      </c>
      <c r="Y210" s="1">
        <f>'Part B'!$B$179+SUMPRODUCT('Part B'!$B$193:$N$193,C210:O210)</f>
        <v>2.37917755673846</v>
      </c>
      <c r="Z210" s="1">
        <f>P210-Y210</f>
        <v>0.393411165501325</v>
      </c>
      <c r="AB210" s="1">
        <f>C210</f>
        <v>0.546</v>
      </c>
      <c r="AC210" s="1">
        <f>D210</f>
        <v>79</v>
      </c>
      <c r="AD210" s="1">
        <f>E210</f>
        <v>2</v>
      </c>
      <c r="AE210" s="1">
        <f>F210</f>
        <v>1</v>
      </c>
      <c r="AF210" s="1">
        <f>G210</f>
        <v>0</v>
      </c>
      <c r="AG210" s="1">
        <f>I210</f>
        <v>0</v>
      </c>
      <c r="AH210" s="1">
        <f>J210</f>
        <v>0</v>
      </c>
      <c r="AI210" s="1">
        <f>Q210</f>
        <v>0</v>
      </c>
      <c r="AJ210" s="1">
        <f>K210</f>
        <v>0</v>
      </c>
      <c r="AK210" s="1">
        <f>L210</f>
        <v>0</v>
      </c>
      <c r="AL210" s="1">
        <f>M210</f>
        <v>0</v>
      </c>
      <c r="AM210" s="1">
        <f>N210</f>
        <v>0</v>
      </c>
      <c r="AN210" s="1">
        <f>O210</f>
        <v>0</v>
      </c>
    </row>
    <row r="211">
      <c r="A211" s="1">
        <v>278</v>
      </c>
      <c r="B211" s="1">
        <v>16</v>
      </c>
      <c r="C211" s="1">
        <v>1.3</v>
      </c>
      <c r="D211" s="1">
        <v>80</v>
      </c>
      <c r="E211" s="1">
        <v>2</v>
      </c>
      <c r="F211" s="1">
        <v>0</v>
      </c>
      <c r="G211" s="1">
        <v>0</v>
      </c>
      <c r="H211" s="1">
        <v>1</v>
      </c>
      <c r="I211" s="1">
        <v>0</v>
      </c>
      <c r="J211" s="1">
        <v>0</v>
      </c>
      <c r="K211" s="1">
        <v>0</v>
      </c>
      <c r="L211" s="1">
        <v>0</v>
      </c>
      <c r="M211" s="1">
        <v>0</v>
      </c>
      <c r="N211" s="1">
        <v>1</v>
      </c>
      <c r="O211" s="1">
        <v>0</v>
      </c>
      <c r="P211" s="1">
        <f>LN(B211)</f>
        <v>2.77258872223978</v>
      </c>
      <c r="Q211" s="1">
        <f>1-SUM(F211:J211)</f>
        <v>0</v>
      </c>
      <c r="R211" s="1" t="str">
        <f>IF(F211=1,"Napa valley",IF(G211=1,"Bay area",IF(H211=1,"Sonoma",IF(I211=1,"Sierra/foothills",IF(J211=1,"Mendocino/lake","Generic California")))))</f>
        <v>Sonoma</v>
      </c>
      <c r="S211" s="1" t="str">
        <f>IF(F211=1,"Napa valley",IF(H211=1,"Sonoma","Other"))</f>
        <v>Sonoma</v>
      </c>
      <c r="T211" s="1" t="str">
        <f>IF(M211=1,"Cabernet",IF(N211=1,"Merlot",IF(L211=1,"Pinot noir","Other")))</f>
        <v>Merlot</v>
      </c>
      <c r="U211" s="1" t="str">
        <f>IF(F211=1,B211,"")</f>
        <v/>
      </c>
      <c r="V211" s="1">
        <f>IF(F211=0,B211,"")</f>
        <v>16</v>
      </c>
      <c r="W211" s="1">
        <f>'Part B'!$B$150+SUMPRODUCT('Part B'!$B$164:$N$164,C211:O211)</f>
        <v>-0.918748287475523</v>
      </c>
      <c r="X211" s="1">
        <f>B211-W211</f>
        <v>16.9187482874755</v>
      </c>
      <c r="Y211" s="1">
        <f>'Part B'!$B$179+SUMPRODUCT('Part B'!$B$193:$N$193,C211:O211)</f>
        <v>2.58263967387665</v>
      </c>
      <c r="Z211" s="1">
        <f>P211-Y211</f>
        <v>0.189949048363132</v>
      </c>
      <c r="AB211" s="1">
        <f>C211</f>
        <v>1.3</v>
      </c>
      <c r="AC211" s="1">
        <f>D211</f>
        <v>80</v>
      </c>
      <c r="AD211" s="1">
        <f>E211</f>
        <v>2</v>
      </c>
      <c r="AE211" s="1">
        <f>F211</f>
        <v>0</v>
      </c>
      <c r="AF211" s="1">
        <f>G211</f>
        <v>0</v>
      </c>
      <c r="AG211" s="1">
        <f>I211</f>
        <v>0</v>
      </c>
      <c r="AH211" s="1">
        <f>J211</f>
        <v>0</v>
      </c>
      <c r="AI211" s="1">
        <f>Q211</f>
        <v>0</v>
      </c>
      <c r="AJ211" s="1">
        <f>K211</f>
        <v>0</v>
      </c>
      <c r="AK211" s="1">
        <f>L211</f>
        <v>0</v>
      </c>
      <c r="AL211" s="1">
        <f>M211</f>
        <v>0</v>
      </c>
      <c r="AM211" s="1">
        <f>N211</f>
        <v>1</v>
      </c>
      <c r="AN211" s="1">
        <f>O211</f>
        <v>0</v>
      </c>
    </row>
    <row r="212">
      <c r="A212" s="1">
        <v>279</v>
      </c>
      <c r="B212" s="1">
        <v>16</v>
      </c>
      <c r="C212" s="1">
        <v>0.625</v>
      </c>
      <c r="D212" s="1">
        <v>86</v>
      </c>
      <c r="E212" s="1">
        <v>2</v>
      </c>
      <c r="F212" s="1">
        <v>0</v>
      </c>
      <c r="G212" s="1">
        <v>0</v>
      </c>
      <c r="H212" s="1">
        <v>1</v>
      </c>
      <c r="I212" s="1">
        <v>0</v>
      </c>
      <c r="J212" s="1">
        <v>0</v>
      </c>
      <c r="K212" s="1">
        <v>0</v>
      </c>
      <c r="L212" s="1">
        <v>0</v>
      </c>
      <c r="M212" s="1">
        <v>0</v>
      </c>
      <c r="N212" s="1">
        <v>0</v>
      </c>
      <c r="O212" s="1">
        <v>0</v>
      </c>
      <c r="P212" s="1">
        <f>LN(B212)</f>
        <v>2.77258872223978</v>
      </c>
      <c r="Q212" s="1">
        <f>1-SUM(F212:J212)</f>
        <v>0</v>
      </c>
      <c r="R212" s="1" t="str">
        <f>IF(F212=1,"Napa valley",IF(G212=1,"Bay area",IF(H212=1,"Sonoma",IF(I212=1,"Sierra/foothills",IF(J212=1,"Mendocino/lake","Generic California")))))</f>
        <v>Sonoma</v>
      </c>
      <c r="S212" s="1" t="str">
        <f>IF(F212=1,"Napa valley",IF(H212=1,"Sonoma","Other"))</f>
        <v>Sonoma</v>
      </c>
      <c r="T212" s="1" t="str">
        <f>IF(M212=1,"Cabernet",IF(N212=1,"Merlot",IF(L212=1,"Pinot noir","Other")))</f>
        <v>Other</v>
      </c>
      <c r="U212" s="1" t="str">
        <f>IF(F212=1,B212,"")</f>
        <v/>
      </c>
      <c r="V212" s="1">
        <f>IF(F212=0,B212,"")</f>
        <v>16</v>
      </c>
      <c r="W212" s="1">
        <f>'Part B'!$B$150+SUMPRODUCT('Part B'!$B$164:$N$164,C212:O212)</f>
        <v>10.3556915068251</v>
      </c>
      <c r="X212" s="1">
        <f>B212-W212</f>
        <v>5.64430849317489</v>
      </c>
      <c r="Y212" s="1">
        <f>'Part B'!$B$179+SUMPRODUCT('Part B'!$B$193:$N$193,C212:O212)</f>
        <v>2.72078152711581</v>
      </c>
      <c r="Z212" s="1">
        <f>P212-Y212</f>
        <v>0.05180719512397</v>
      </c>
      <c r="AB212" s="1">
        <f>C212</f>
        <v>0.625</v>
      </c>
      <c r="AC212" s="1">
        <f>D212</f>
        <v>86</v>
      </c>
      <c r="AD212" s="1">
        <f>E212</f>
        <v>2</v>
      </c>
      <c r="AE212" s="1">
        <f>F212</f>
        <v>0</v>
      </c>
      <c r="AF212" s="1">
        <f>G212</f>
        <v>0</v>
      </c>
      <c r="AG212" s="1">
        <f>I212</f>
        <v>0</v>
      </c>
      <c r="AH212" s="1">
        <f>J212</f>
        <v>0</v>
      </c>
      <c r="AI212" s="1">
        <f>Q212</f>
        <v>0</v>
      </c>
      <c r="AJ212" s="1">
        <f>K212</f>
        <v>0</v>
      </c>
      <c r="AK212" s="1">
        <f>L212</f>
        <v>0</v>
      </c>
      <c r="AL212" s="1">
        <f>M212</f>
        <v>0</v>
      </c>
      <c r="AM212" s="1">
        <f>N212</f>
        <v>0</v>
      </c>
      <c r="AN212" s="1">
        <f>O212</f>
        <v>0</v>
      </c>
    </row>
    <row r="213">
      <c r="A213" s="1">
        <v>281</v>
      </c>
      <c r="B213" s="1">
        <v>16</v>
      </c>
      <c r="C213" s="1">
        <v>16</v>
      </c>
      <c r="D213" s="1">
        <v>86</v>
      </c>
      <c r="E213" s="1">
        <v>2</v>
      </c>
      <c r="F213" s="1">
        <v>1</v>
      </c>
      <c r="G213" s="1">
        <v>0</v>
      </c>
      <c r="H213" s="1">
        <v>0</v>
      </c>
      <c r="I213" s="1">
        <v>0</v>
      </c>
      <c r="J213" s="1">
        <v>0</v>
      </c>
      <c r="K213" s="1">
        <v>0</v>
      </c>
      <c r="L213" s="1">
        <v>0</v>
      </c>
      <c r="M213" s="1">
        <v>1</v>
      </c>
      <c r="N213" s="1">
        <v>0</v>
      </c>
      <c r="O213" s="1">
        <v>0</v>
      </c>
      <c r="P213" s="1">
        <f>LN(B213)</f>
        <v>2.77258872223978</v>
      </c>
      <c r="Q213" s="1">
        <f>1-SUM(F213:J213)</f>
        <v>0</v>
      </c>
      <c r="R213" s="1" t="str">
        <f>IF(F213=1,"Napa valley",IF(G213=1,"Bay area",IF(H213=1,"Sonoma",IF(I213=1,"Sierra/foothills",IF(J213=1,"Mendocino/lake","Generic California")))))</f>
        <v>Napa valley</v>
      </c>
      <c r="S213" s="1" t="str">
        <f>IF(F213=1,"Napa valley",IF(H213=1,"Sonoma","Other"))</f>
        <v>Napa valley</v>
      </c>
      <c r="T213" s="1" t="str">
        <f>IF(M213=1,"Cabernet",IF(N213=1,"Merlot",IF(L213=1,"Pinot noir","Other")))</f>
        <v>Cabernet</v>
      </c>
      <c r="U213" s="1">
        <f>IF(F213=1,B213,"")</f>
        <v>16</v>
      </c>
      <c r="V213" s="1" t="str">
        <f>IF(F213=0,B213,"")</f>
        <v/>
      </c>
      <c r="W213" s="1">
        <f>'Part B'!$B$150+SUMPRODUCT('Part B'!$B$164:$N$164,C213:O213)</f>
        <v>29.4200937607505</v>
      </c>
      <c r="X213" s="1">
        <f>B213-W213</f>
        <v>-13.4200937607505</v>
      </c>
      <c r="Y213" s="1">
        <f>'Part B'!$B$179+SUMPRODUCT('Part B'!$B$193:$N$193,C213:O213)</f>
        <v>3.12377409504769</v>
      </c>
      <c r="Z213" s="1">
        <f>P213-Y213</f>
        <v>-0.351185372807913</v>
      </c>
      <c r="AB213" s="1">
        <f>C213</f>
        <v>16</v>
      </c>
      <c r="AC213" s="1">
        <f>D213</f>
        <v>86</v>
      </c>
      <c r="AD213" s="1">
        <f>E213</f>
        <v>2</v>
      </c>
      <c r="AE213" s="1">
        <f>F213</f>
        <v>1</v>
      </c>
      <c r="AF213" s="1">
        <f>G213</f>
        <v>0</v>
      </c>
      <c r="AG213" s="1">
        <f>I213</f>
        <v>0</v>
      </c>
      <c r="AH213" s="1">
        <f>J213</f>
        <v>0</v>
      </c>
      <c r="AI213" s="1">
        <f>Q213</f>
        <v>0</v>
      </c>
      <c r="AJ213" s="1">
        <f>K213</f>
        <v>0</v>
      </c>
      <c r="AK213" s="1">
        <f>L213</f>
        <v>0</v>
      </c>
      <c r="AL213" s="1">
        <f>M213</f>
        <v>1</v>
      </c>
      <c r="AM213" s="1">
        <f>N213</f>
        <v>0</v>
      </c>
      <c r="AN213" s="1">
        <f>O213</f>
        <v>0</v>
      </c>
    </row>
    <row r="214">
      <c r="A214" s="1">
        <v>283</v>
      </c>
      <c r="B214" s="1">
        <v>17</v>
      </c>
      <c r="C214" s="1">
        <v>4.9</v>
      </c>
      <c r="D214" s="1">
        <v>89</v>
      </c>
      <c r="E214" s="1">
        <v>4</v>
      </c>
      <c r="F214" s="1">
        <v>0</v>
      </c>
      <c r="G214" s="1">
        <v>0</v>
      </c>
      <c r="H214" s="1">
        <v>1</v>
      </c>
      <c r="I214" s="1">
        <v>0</v>
      </c>
      <c r="J214" s="1">
        <v>0</v>
      </c>
      <c r="K214" s="1">
        <v>0</v>
      </c>
      <c r="L214" s="1">
        <v>0</v>
      </c>
      <c r="M214" s="1">
        <v>1</v>
      </c>
      <c r="N214" s="1">
        <v>0</v>
      </c>
      <c r="O214" s="1">
        <v>0</v>
      </c>
      <c r="P214" s="1">
        <f>LN(B214)</f>
        <v>2.83321334405622</v>
      </c>
      <c r="Q214" s="1">
        <f>1-SUM(F214:J214)</f>
        <v>0</v>
      </c>
      <c r="R214" s="1" t="str">
        <f>IF(F214=1,"Napa valley",IF(G214=1,"Bay area",IF(H214=1,"Sonoma",IF(I214=1,"Sierra/foothills",IF(J214=1,"Mendocino/lake","Generic California")))))</f>
        <v>Sonoma</v>
      </c>
      <c r="S214" s="1" t="str">
        <f>IF(F214=1,"Napa valley",IF(H214=1,"Sonoma","Other"))</f>
        <v>Sonoma</v>
      </c>
      <c r="T214" s="1" t="str">
        <f>IF(M214=1,"Cabernet",IF(N214=1,"Merlot",IF(L214=1,"Pinot noir","Other")))</f>
        <v>Cabernet</v>
      </c>
      <c r="U214" s="1" t="str">
        <f>IF(F214=1,B214,"")</f>
        <v/>
      </c>
      <c r="V214" s="1">
        <f>IF(F214=0,B214,"")</f>
        <v>17</v>
      </c>
      <c r="W214" s="1">
        <f>'Part B'!$B$150+SUMPRODUCT('Part B'!$B$164:$N$164,C214:O214)</f>
        <v>45.2516895776849</v>
      </c>
      <c r="X214" s="1">
        <f>B214-W214</f>
        <v>-28.2516895776849</v>
      </c>
      <c r="Y214" s="1">
        <f>'Part B'!$B$179+SUMPRODUCT('Part B'!$B$193:$N$193,C214:O214)</f>
        <v>3.59953884673345</v>
      </c>
      <c r="Z214" s="1">
        <f>P214-Y214</f>
        <v>-0.766325502677233</v>
      </c>
      <c r="AB214" s="1">
        <f>C214</f>
        <v>4.9</v>
      </c>
      <c r="AC214" s="1">
        <f>D214</f>
        <v>89</v>
      </c>
      <c r="AD214" s="1">
        <f>E214</f>
        <v>4</v>
      </c>
      <c r="AE214" s="1">
        <f>F214</f>
        <v>0</v>
      </c>
      <c r="AF214" s="1">
        <f>G214</f>
        <v>0</v>
      </c>
      <c r="AG214" s="1">
        <f>I214</f>
        <v>0</v>
      </c>
      <c r="AH214" s="1">
        <f>J214</f>
        <v>0</v>
      </c>
      <c r="AI214" s="1">
        <f>Q214</f>
        <v>0</v>
      </c>
      <c r="AJ214" s="1">
        <f>K214</f>
        <v>0</v>
      </c>
      <c r="AK214" s="1">
        <f>L214</f>
        <v>0</v>
      </c>
      <c r="AL214" s="1">
        <f>M214</f>
        <v>1</v>
      </c>
      <c r="AM214" s="1">
        <f>N214</f>
        <v>0</v>
      </c>
      <c r="AN214" s="1">
        <f>O214</f>
        <v>0</v>
      </c>
    </row>
    <row r="215">
      <c r="A215" s="1">
        <v>284</v>
      </c>
      <c r="B215" s="1">
        <v>17</v>
      </c>
      <c r="C215" s="1">
        <v>0.211</v>
      </c>
      <c r="D215" s="1">
        <v>88</v>
      </c>
      <c r="E215" s="1">
        <v>4</v>
      </c>
      <c r="F215" s="1">
        <v>1</v>
      </c>
      <c r="G215" s="1">
        <v>0</v>
      </c>
      <c r="H215" s="1">
        <v>0</v>
      </c>
      <c r="I215" s="1">
        <v>0</v>
      </c>
      <c r="J215" s="1">
        <v>0</v>
      </c>
      <c r="K215" s="1">
        <v>0</v>
      </c>
      <c r="L215" s="1">
        <v>0</v>
      </c>
      <c r="M215" s="1">
        <v>1</v>
      </c>
      <c r="N215" s="1">
        <v>0</v>
      </c>
      <c r="O215" s="1">
        <v>0</v>
      </c>
      <c r="P215" s="1">
        <f>LN(B215)</f>
        <v>2.83321334405622</v>
      </c>
      <c r="Q215" s="1">
        <f>1-SUM(F215:J215)</f>
        <v>0</v>
      </c>
      <c r="R215" s="1" t="str">
        <f>IF(F215=1,"Napa valley",IF(G215=1,"Bay area",IF(H215=1,"Sonoma",IF(I215=1,"Sierra/foothills",IF(J215=1,"Mendocino/lake","Generic California")))))</f>
        <v>Napa valley</v>
      </c>
      <c r="S215" s="1" t="str">
        <f>IF(F215=1,"Napa valley",IF(H215=1,"Sonoma","Other"))</f>
        <v>Napa valley</v>
      </c>
      <c r="T215" s="1" t="str">
        <f>IF(M215=1,"Cabernet",IF(N215=1,"Merlot",IF(L215=1,"Pinot noir","Other")))</f>
        <v>Cabernet</v>
      </c>
      <c r="U215" s="1">
        <f>IF(F215=1,B215,"")</f>
        <v>17</v>
      </c>
      <c r="V215" s="1" t="str">
        <f>IF(F215=0,B215,"")</f>
        <v/>
      </c>
      <c r="W215" s="1">
        <f>'Part B'!$B$150+SUMPRODUCT('Part B'!$B$164:$N$164,C215:O215)</f>
        <v>50.4480909709168</v>
      </c>
      <c r="X215" s="1">
        <f>B215-W215</f>
        <v>-33.4480909709168</v>
      </c>
      <c r="Y215" s="1">
        <f>'Part B'!$B$179+SUMPRODUCT('Part B'!$B$193:$N$193,C215:O215)</f>
        <v>3.69742958867949</v>
      </c>
      <c r="Z215" s="1">
        <f>P215-Y215</f>
        <v>-0.864216244623274</v>
      </c>
      <c r="AB215" s="1">
        <f>C215</f>
        <v>0.211</v>
      </c>
      <c r="AC215" s="1">
        <f>D215</f>
        <v>88</v>
      </c>
      <c r="AD215" s="1">
        <f>E215</f>
        <v>4</v>
      </c>
      <c r="AE215" s="1">
        <f>F215</f>
        <v>1</v>
      </c>
      <c r="AF215" s="1">
        <f>G215</f>
        <v>0</v>
      </c>
      <c r="AG215" s="1">
        <f>I215</f>
        <v>0</v>
      </c>
      <c r="AH215" s="1">
        <f>J215</f>
        <v>0</v>
      </c>
      <c r="AI215" s="1">
        <f>Q215</f>
        <v>0</v>
      </c>
      <c r="AJ215" s="1">
        <f>K215</f>
        <v>0</v>
      </c>
      <c r="AK215" s="1">
        <f>L215</f>
        <v>0</v>
      </c>
      <c r="AL215" s="1">
        <f>M215</f>
        <v>1</v>
      </c>
      <c r="AM215" s="1">
        <f>N215</f>
        <v>0</v>
      </c>
      <c r="AN215" s="1">
        <f>O215</f>
        <v>0</v>
      </c>
    </row>
    <row r="216">
      <c r="A216" s="1">
        <v>285</v>
      </c>
      <c r="B216" s="1">
        <v>17</v>
      </c>
      <c r="C216" s="1">
        <v>39</v>
      </c>
      <c r="D216" s="1">
        <v>86</v>
      </c>
      <c r="E216" s="1">
        <v>4</v>
      </c>
      <c r="F216" s="1">
        <v>1</v>
      </c>
      <c r="G216" s="1">
        <v>0</v>
      </c>
      <c r="H216" s="1">
        <v>0</v>
      </c>
      <c r="I216" s="1">
        <v>0</v>
      </c>
      <c r="J216" s="1">
        <v>0</v>
      </c>
      <c r="K216" s="1">
        <v>0</v>
      </c>
      <c r="L216" s="1">
        <v>0</v>
      </c>
      <c r="M216" s="1">
        <v>1</v>
      </c>
      <c r="N216" s="1">
        <v>0</v>
      </c>
      <c r="O216" s="1">
        <v>0</v>
      </c>
      <c r="P216" s="1">
        <f>LN(B216)</f>
        <v>2.83321334405622</v>
      </c>
      <c r="Q216" s="1">
        <f>1-SUM(F216:J216)</f>
        <v>0</v>
      </c>
      <c r="R216" s="1" t="str">
        <f>IF(F216=1,"Napa valley",IF(G216=1,"Bay area",IF(H216=1,"Sonoma",IF(I216=1,"Sierra/foothills",IF(J216=1,"Mendocino/lake","Generic California")))))</f>
        <v>Napa valley</v>
      </c>
      <c r="S216" s="1" t="str">
        <f>IF(F216=1,"Napa valley",IF(H216=1,"Sonoma","Other"))</f>
        <v>Napa valley</v>
      </c>
      <c r="T216" s="1" t="str">
        <f>IF(M216=1,"Cabernet",IF(N216=1,"Merlot",IF(L216=1,"Pinot noir","Other")))</f>
        <v>Cabernet</v>
      </c>
      <c r="U216" s="1">
        <f>IF(F216=1,B216,"")</f>
        <v>17</v>
      </c>
      <c r="V216" s="1" t="str">
        <f>IF(F216=0,B216,"")</f>
        <v/>
      </c>
      <c r="W216" s="1">
        <f>'Part B'!$B$150+SUMPRODUCT('Part B'!$B$164:$N$164,C216:O216)</f>
        <v>40.4762865760155</v>
      </c>
      <c r="X216" s="1">
        <f>B216-W216</f>
        <v>-23.4762865760155</v>
      </c>
      <c r="Y216" s="1">
        <f>'Part B'!$B$179+SUMPRODUCT('Part B'!$B$193:$N$193,C216:O216)</f>
        <v>3.39152611559399</v>
      </c>
      <c r="Z216" s="1">
        <f>P216-Y216</f>
        <v>-0.558312771537776</v>
      </c>
      <c r="AB216" s="1">
        <f>C216</f>
        <v>39</v>
      </c>
      <c r="AC216" s="1">
        <f>D216</f>
        <v>86</v>
      </c>
      <c r="AD216" s="1">
        <f>E216</f>
        <v>4</v>
      </c>
      <c r="AE216" s="1">
        <f>F216</f>
        <v>1</v>
      </c>
      <c r="AF216" s="1">
        <f>G216</f>
        <v>0</v>
      </c>
      <c r="AG216" s="1">
        <f>I216</f>
        <v>0</v>
      </c>
      <c r="AH216" s="1">
        <f>J216</f>
        <v>0</v>
      </c>
      <c r="AI216" s="1">
        <f>Q216</f>
        <v>0</v>
      </c>
      <c r="AJ216" s="1">
        <f>K216</f>
        <v>0</v>
      </c>
      <c r="AK216" s="1">
        <f>L216</f>
        <v>0</v>
      </c>
      <c r="AL216" s="1">
        <f>M216</f>
        <v>1</v>
      </c>
      <c r="AM216" s="1">
        <f>N216</f>
        <v>0</v>
      </c>
      <c r="AN216" s="1">
        <f>O216</f>
        <v>0</v>
      </c>
    </row>
    <row r="217">
      <c r="A217" s="1">
        <v>286</v>
      </c>
      <c r="B217" s="1">
        <v>16</v>
      </c>
      <c r="C217" s="1">
        <v>0.3</v>
      </c>
      <c r="D217" s="1">
        <v>82</v>
      </c>
      <c r="E217" s="1">
        <v>1</v>
      </c>
      <c r="F217" s="1">
        <v>1</v>
      </c>
      <c r="G217" s="1">
        <v>0</v>
      </c>
      <c r="H217" s="1">
        <v>0</v>
      </c>
      <c r="I217" s="1">
        <v>0</v>
      </c>
      <c r="J217" s="1">
        <v>0</v>
      </c>
      <c r="K217" s="1">
        <v>1</v>
      </c>
      <c r="L217" s="1">
        <v>0</v>
      </c>
      <c r="M217" s="1">
        <v>0</v>
      </c>
      <c r="N217" s="1">
        <v>0</v>
      </c>
      <c r="O217" s="1">
        <v>0</v>
      </c>
      <c r="P217" s="1">
        <f>LN(B217)</f>
        <v>2.77258872223978</v>
      </c>
      <c r="Q217" s="1">
        <f>1-SUM(F217:J217)</f>
        <v>0</v>
      </c>
      <c r="R217" s="1" t="str">
        <f>IF(F217=1,"Napa valley",IF(G217=1,"Bay area",IF(H217=1,"Sonoma",IF(I217=1,"Sierra/foothills",IF(J217=1,"Mendocino/lake","Generic California")))))</f>
        <v>Napa valley</v>
      </c>
      <c r="S217" s="1" t="str">
        <f>IF(F217=1,"Napa valley",IF(H217=1,"Sonoma","Other"))</f>
        <v>Napa valley</v>
      </c>
      <c r="T217" s="1" t="str">
        <f>IF(M217=1,"Cabernet",IF(N217=1,"Merlot",IF(L217=1,"Pinot noir","Other")))</f>
        <v>Other</v>
      </c>
      <c r="U217" s="1">
        <f>IF(F217=1,B217,"")</f>
        <v>16</v>
      </c>
      <c r="V217" s="1" t="str">
        <f>IF(F217=0,B217,"")</f>
        <v/>
      </c>
      <c r="W217" s="1">
        <f>'Part B'!$B$150+SUMPRODUCT('Part B'!$B$164:$N$164,C217:O217)</f>
        <v>19.3707865812717</v>
      </c>
      <c r="X217" s="1">
        <f>B217-W217</f>
        <v>-3.37078658127166</v>
      </c>
      <c r="Y217" s="1">
        <f>'Part B'!$B$179+SUMPRODUCT('Part B'!$B$193:$N$193,C217:O217)</f>
        <v>2.885616495228</v>
      </c>
      <c r="Z217" s="1">
        <f>P217-Y217</f>
        <v>-0.113027772988214</v>
      </c>
      <c r="AB217" s="1">
        <f>C217</f>
        <v>0.3</v>
      </c>
      <c r="AC217" s="1">
        <f>D217</f>
        <v>82</v>
      </c>
      <c r="AD217" s="1">
        <f>E217</f>
        <v>1</v>
      </c>
      <c r="AE217" s="1">
        <f>F217</f>
        <v>1</v>
      </c>
      <c r="AF217" s="1">
        <f>G217</f>
        <v>0</v>
      </c>
      <c r="AG217" s="1">
        <f>I217</f>
        <v>0</v>
      </c>
      <c r="AH217" s="1">
        <f>J217</f>
        <v>0</v>
      </c>
      <c r="AI217" s="1">
        <f>Q217</f>
        <v>0</v>
      </c>
      <c r="AJ217" s="1">
        <f>K217</f>
        <v>1</v>
      </c>
      <c r="AK217" s="1">
        <f>L217</f>
        <v>0</v>
      </c>
      <c r="AL217" s="1">
        <f>M217</f>
        <v>0</v>
      </c>
      <c r="AM217" s="1">
        <f>N217</f>
        <v>0</v>
      </c>
      <c r="AN217" s="1">
        <f>O217</f>
        <v>0</v>
      </c>
    </row>
    <row r="218">
      <c r="A218" s="1">
        <v>287</v>
      </c>
      <c r="B218" s="1">
        <v>17</v>
      </c>
      <c r="C218" s="1">
        <v>0.37</v>
      </c>
      <c r="D218" s="1">
        <v>85</v>
      </c>
      <c r="E218" s="1">
        <v>3</v>
      </c>
      <c r="F218" s="1">
        <v>0</v>
      </c>
      <c r="G218" s="1">
        <v>0</v>
      </c>
      <c r="H218" s="1">
        <v>1</v>
      </c>
      <c r="I218" s="1">
        <v>0</v>
      </c>
      <c r="J218" s="1">
        <v>0</v>
      </c>
      <c r="K218" s="1">
        <v>0</v>
      </c>
      <c r="L218" s="1">
        <v>0</v>
      </c>
      <c r="M218" s="1">
        <v>0</v>
      </c>
      <c r="N218" s="1">
        <v>0</v>
      </c>
      <c r="O218" s="1">
        <v>0</v>
      </c>
      <c r="P218" s="1">
        <f>LN(B218)</f>
        <v>2.83321334405622</v>
      </c>
      <c r="Q218" s="1">
        <f>1-SUM(F218:J218)</f>
        <v>0</v>
      </c>
      <c r="R218" s="1" t="str">
        <f>IF(F218=1,"Napa valley",IF(G218=1,"Bay area",IF(H218=1,"Sonoma",IF(I218=1,"Sierra/foothills",IF(J218=1,"Mendocino/lake","Generic California")))))</f>
        <v>Sonoma</v>
      </c>
      <c r="S218" s="1" t="str">
        <f>IF(F218=1,"Napa valley",IF(H218=1,"Sonoma","Other"))</f>
        <v>Sonoma</v>
      </c>
      <c r="T218" s="1" t="str">
        <f>IF(M218=1,"Cabernet",IF(N218=1,"Merlot",IF(L218=1,"Pinot noir","Other")))</f>
        <v>Other</v>
      </c>
      <c r="U218" s="1" t="str">
        <f>IF(F218=1,B218,"")</f>
        <v/>
      </c>
      <c r="V218" s="1">
        <f>IF(F218=0,B218,"")</f>
        <v>17</v>
      </c>
      <c r="W218" s="1">
        <f>'Part B'!$B$150+SUMPRODUCT('Part B'!$B$164:$N$164,C218:O218)</f>
        <v>13.8544021840982</v>
      </c>
      <c r="X218" s="1">
        <f>B218-W218</f>
        <v>3.14559781590185</v>
      </c>
      <c r="Y218" s="1">
        <f>'Part B'!$B$179+SUMPRODUCT('Part B'!$B$193:$N$193,C218:O218)</f>
        <v>2.83499660288199</v>
      </c>
      <c r="Z218" s="1">
        <f>P218-Y218</f>
        <v>-0.00178325882577379</v>
      </c>
      <c r="AB218" s="1">
        <f>C218</f>
        <v>0.37</v>
      </c>
      <c r="AC218" s="1">
        <f>D218</f>
        <v>85</v>
      </c>
      <c r="AD218" s="1">
        <f>E218</f>
        <v>3</v>
      </c>
      <c r="AE218" s="1">
        <f>F218</f>
        <v>0</v>
      </c>
      <c r="AF218" s="1">
        <f>G218</f>
        <v>0</v>
      </c>
      <c r="AG218" s="1">
        <f>I218</f>
        <v>0</v>
      </c>
      <c r="AH218" s="1">
        <f>J218</f>
        <v>0</v>
      </c>
      <c r="AI218" s="1">
        <f>Q218</f>
        <v>0</v>
      </c>
      <c r="AJ218" s="1">
        <f>K218</f>
        <v>0</v>
      </c>
      <c r="AK218" s="1">
        <f>L218</f>
        <v>0</v>
      </c>
      <c r="AL218" s="1">
        <f>M218</f>
        <v>0</v>
      </c>
      <c r="AM218" s="1">
        <f>N218</f>
        <v>0</v>
      </c>
      <c r="AN218" s="1">
        <f>O218</f>
        <v>0</v>
      </c>
    </row>
    <row r="219">
      <c r="A219" s="1">
        <v>289</v>
      </c>
      <c r="B219" s="1">
        <v>17</v>
      </c>
      <c r="C219" s="1">
        <v>40</v>
      </c>
      <c r="D219" s="1">
        <v>89</v>
      </c>
      <c r="E219" s="1">
        <v>3</v>
      </c>
      <c r="F219" s="1">
        <v>0</v>
      </c>
      <c r="G219" s="1">
        <v>0</v>
      </c>
      <c r="H219" s="1">
        <v>1</v>
      </c>
      <c r="I219" s="1">
        <v>0</v>
      </c>
      <c r="J219" s="1">
        <v>0</v>
      </c>
      <c r="K219" s="1">
        <v>0</v>
      </c>
      <c r="L219" s="1">
        <v>0</v>
      </c>
      <c r="M219" s="1">
        <v>1</v>
      </c>
      <c r="N219" s="1">
        <v>0</v>
      </c>
      <c r="O219" s="1">
        <v>0</v>
      </c>
      <c r="P219" s="1">
        <f>LN(B219)</f>
        <v>2.83321334405622</v>
      </c>
      <c r="Q219" s="1">
        <f>1-SUM(F219:J219)</f>
        <v>0</v>
      </c>
      <c r="R219" s="1" t="str">
        <f>IF(F219=1,"Napa valley",IF(G219=1,"Bay area",IF(H219=1,"Sonoma",IF(I219=1,"Sierra/foothills",IF(J219=1,"Mendocino/lake","Generic California")))))</f>
        <v>Sonoma</v>
      </c>
      <c r="S219" s="1" t="str">
        <f>IF(F219=1,"Napa valley",IF(H219=1,"Sonoma","Other"))</f>
        <v>Sonoma</v>
      </c>
      <c r="T219" s="1" t="str">
        <f>IF(M219=1,"Cabernet",IF(N219=1,"Merlot",IF(L219=1,"Pinot noir","Other")))</f>
        <v>Cabernet</v>
      </c>
      <c r="U219" s="1" t="str">
        <f>IF(F219=1,B219,"")</f>
        <v/>
      </c>
      <c r="V219" s="1">
        <f>IF(F219=0,B219,"")</f>
        <v>17</v>
      </c>
      <c r="W219" s="1">
        <f>'Part B'!$B$150+SUMPRODUCT('Part B'!$B$164:$N$164,C219:O219)</f>
        <v>35.3006115052921</v>
      </c>
      <c r="X219" s="1">
        <f>B219-W219</f>
        <v>-18.3006115052921</v>
      </c>
      <c r="Y219" s="1">
        <f>'Part B'!$B$179+SUMPRODUCT('Part B'!$B$193:$N$193,C219:O219)</f>
        <v>3.26625830749941</v>
      </c>
      <c r="Z219" s="1">
        <f>P219-Y219</f>
        <v>-0.433044963443193</v>
      </c>
      <c r="AB219" s="1">
        <f>C219</f>
        <v>40</v>
      </c>
      <c r="AC219" s="1">
        <f>D219</f>
        <v>89</v>
      </c>
      <c r="AD219" s="1">
        <f>E219</f>
        <v>3</v>
      </c>
      <c r="AE219" s="1">
        <f>F219</f>
        <v>0</v>
      </c>
      <c r="AF219" s="1">
        <f>G219</f>
        <v>0</v>
      </c>
      <c r="AG219" s="1">
        <f>I219</f>
        <v>0</v>
      </c>
      <c r="AH219" s="1">
        <f>J219</f>
        <v>0</v>
      </c>
      <c r="AI219" s="1">
        <f>Q219</f>
        <v>0</v>
      </c>
      <c r="AJ219" s="1">
        <f>K219</f>
        <v>0</v>
      </c>
      <c r="AK219" s="1">
        <f>L219</f>
        <v>0</v>
      </c>
      <c r="AL219" s="1">
        <f>M219</f>
        <v>1</v>
      </c>
      <c r="AM219" s="1">
        <f>N219</f>
        <v>0</v>
      </c>
      <c r="AN219" s="1">
        <f>O219</f>
        <v>0</v>
      </c>
    </row>
    <row r="220">
      <c r="A220" s="1">
        <v>290</v>
      </c>
      <c r="B220" s="1">
        <v>17</v>
      </c>
      <c r="C220" s="1">
        <v>0.186</v>
      </c>
      <c r="D220" s="1">
        <v>85</v>
      </c>
      <c r="E220" s="1">
        <v>3</v>
      </c>
      <c r="F220" s="1">
        <v>1</v>
      </c>
      <c r="G220" s="1">
        <v>0</v>
      </c>
      <c r="H220" s="1">
        <v>0</v>
      </c>
      <c r="I220" s="1">
        <v>0</v>
      </c>
      <c r="J220" s="1">
        <v>0</v>
      </c>
      <c r="K220" s="1">
        <v>0</v>
      </c>
      <c r="L220" s="1">
        <v>0</v>
      </c>
      <c r="M220" s="1">
        <v>0</v>
      </c>
      <c r="N220" s="1">
        <v>0</v>
      </c>
      <c r="O220" s="1">
        <v>0</v>
      </c>
      <c r="P220" s="1">
        <f>LN(B220)</f>
        <v>2.83321334405622</v>
      </c>
      <c r="Q220" s="1">
        <f>1-SUM(F220:J220)</f>
        <v>0</v>
      </c>
      <c r="R220" s="1" t="str">
        <f>IF(F220=1,"Napa valley",IF(G220=1,"Bay area",IF(H220=1,"Sonoma",IF(I220=1,"Sierra/foothills",IF(J220=1,"Mendocino/lake","Generic California")))))</f>
        <v>Napa valley</v>
      </c>
      <c r="S220" s="1" t="str">
        <f>IF(F220=1,"Napa valley",IF(H220=1,"Sonoma","Other"))</f>
        <v>Napa valley</v>
      </c>
      <c r="T220" s="1" t="str">
        <f>IF(M220=1,"Cabernet",IF(N220=1,"Merlot",IF(L220=1,"Pinot noir","Other")))</f>
        <v>Other</v>
      </c>
      <c r="U220" s="1">
        <f>IF(F220=1,B220,"")</f>
        <v>17</v>
      </c>
      <c r="V220" s="1" t="str">
        <f>IF(F220=0,B220,"")</f>
        <v/>
      </c>
      <c r="W220" s="1">
        <f>'Part B'!$B$150+SUMPRODUCT('Part B'!$B$164:$N$164,C220:O220)</f>
        <v>21.7683141375073</v>
      </c>
      <c r="X220" s="1">
        <f>B220-W220</f>
        <v>-4.76831413750733</v>
      </c>
      <c r="Y220" s="1">
        <f>'Part B'!$B$179+SUMPRODUCT('Part B'!$B$193:$N$193,C220:O220)</f>
        <v>2.98357151613686</v>
      </c>
      <c r="Z220" s="1">
        <f>P220-Y220</f>
        <v>-0.150358172080639</v>
      </c>
      <c r="AB220" s="1">
        <f>C220</f>
        <v>0.186</v>
      </c>
      <c r="AC220" s="1">
        <f>D220</f>
        <v>85</v>
      </c>
      <c r="AD220" s="1">
        <f>E220</f>
        <v>3</v>
      </c>
      <c r="AE220" s="1">
        <f>F220</f>
        <v>1</v>
      </c>
      <c r="AF220" s="1">
        <f>G220</f>
        <v>0</v>
      </c>
      <c r="AG220" s="1">
        <f>I220</f>
        <v>0</v>
      </c>
      <c r="AH220" s="1">
        <f>J220</f>
        <v>0</v>
      </c>
      <c r="AI220" s="1">
        <f>Q220</f>
        <v>0</v>
      </c>
      <c r="AJ220" s="1">
        <f>K220</f>
        <v>0</v>
      </c>
      <c r="AK220" s="1">
        <f>L220</f>
        <v>0</v>
      </c>
      <c r="AL220" s="1">
        <f>M220</f>
        <v>0</v>
      </c>
      <c r="AM220" s="1">
        <f>N220</f>
        <v>0</v>
      </c>
      <c r="AN220" s="1">
        <f>O220</f>
        <v>0</v>
      </c>
    </row>
    <row r="221">
      <c r="A221" s="1">
        <v>292</v>
      </c>
      <c r="B221" s="1">
        <v>17</v>
      </c>
      <c r="C221" s="1">
        <v>0.87</v>
      </c>
      <c r="D221" s="1">
        <v>85</v>
      </c>
      <c r="E221" s="1">
        <v>3</v>
      </c>
      <c r="F221" s="1">
        <v>0</v>
      </c>
      <c r="G221" s="1">
        <v>0</v>
      </c>
      <c r="H221" s="1">
        <v>1</v>
      </c>
      <c r="I221" s="1">
        <v>0</v>
      </c>
      <c r="J221" s="1">
        <v>0</v>
      </c>
      <c r="K221" s="1">
        <v>0</v>
      </c>
      <c r="L221" s="1">
        <v>0</v>
      </c>
      <c r="M221" s="1">
        <v>0</v>
      </c>
      <c r="N221" s="1">
        <v>0</v>
      </c>
      <c r="O221" s="1">
        <v>0</v>
      </c>
      <c r="P221" s="1">
        <f>LN(B221)</f>
        <v>2.83321334405622</v>
      </c>
      <c r="Q221" s="1">
        <f>1-SUM(F221:J221)</f>
        <v>0</v>
      </c>
      <c r="R221" s="1" t="str">
        <f>IF(F221=1,"Napa valley",IF(G221=1,"Bay area",IF(H221=1,"Sonoma",IF(I221=1,"Sierra/foothills",IF(J221=1,"Mendocino/lake","Generic California")))))</f>
        <v>Sonoma</v>
      </c>
      <c r="S221" s="1" t="str">
        <f>IF(F221=1,"Napa valley",IF(H221=1,"Sonoma","Other"))</f>
        <v>Sonoma</v>
      </c>
      <c r="T221" s="1" t="str">
        <f>IF(M221=1,"Cabernet",IF(N221=1,"Merlot",IF(L221=1,"Pinot noir","Other")))</f>
        <v>Other</v>
      </c>
      <c r="U221" s="1" t="str">
        <f>IF(F221=1,B221,"")</f>
        <v/>
      </c>
      <c r="V221" s="1">
        <f>IF(F221=0,B221,"")</f>
        <v>17</v>
      </c>
      <c r="W221" s="1">
        <f>'Part B'!$B$150+SUMPRODUCT('Part B'!$B$164:$N$164,C221:O221)</f>
        <v>13.8069452992831</v>
      </c>
      <c r="X221" s="1">
        <f>B221-W221</f>
        <v>3.19305470071691</v>
      </c>
      <c r="Y221" s="1">
        <f>'Part B'!$B$179+SUMPRODUCT('Part B'!$B$193:$N$193,C221:O221)</f>
        <v>2.83285706930945</v>
      </c>
      <c r="Z221" s="1">
        <f>P221-Y221</f>
        <v>0.00035627474676847</v>
      </c>
      <c r="AB221" s="1">
        <f>C221</f>
        <v>0.87</v>
      </c>
      <c r="AC221" s="1">
        <f>D221</f>
        <v>85</v>
      </c>
      <c r="AD221" s="1">
        <f>E221</f>
        <v>3</v>
      </c>
      <c r="AE221" s="1">
        <f>F221</f>
        <v>0</v>
      </c>
      <c r="AF221" s="1">
        <f>G221</f>
        <v>0</v>
      </c>
      <c r="AG221" s="1">
        <f>I221</f>
        <v>0</v>
      </c>
      <c r="AH221" s="1">
        <f>J221</f>
        <v>0</v>
      </c>
      <c r="AI221" s="1">
        <f>Q221</f>
        <v>0</v>
      </c>
      <c r="AJ221" s="1">
        <f>K221</f>
        <v>0</v>
      </c>
      <c r="AK221" s="1">
        <f>L221</f>
        <v>0</v>
      </c>
      <c r="AL221" s="1">
        <f>M221</f>
        <v>0</v>
      </c>
      <c r="AM221" s="1">
        <f>N221</f>
        <v>0</v>
      </c>
      <c r="AN221" s="1">
        <f>O221</f>
        <v>0</v>
      </c>
    </row>
    <row r="222">
      <c r="A222" s="1">
        <v>293</v>
      </c>
      <c r="B222" s="1">
        <v>17</v>
      </c>
      <c r="C222" s="1">
        <v>0.978</v>
      </c>
      <c r="D222" s="1">
        <v>83</v>
      </c>
      <c r="E222" s="1">
        <v>3</v>
      </c>
      <c r="F222" s="1">
        <v>0</v>
      </c>
      <c r="G222" s="1">
        <v>0</v>
      </c>
      <c r="H222" s="1">
        <v>1</v>
      </c>
      <c r="I222" s="1">
        <v>0</v>
      </c>
      <c r="J222" s="1">
        <v>0</v>
      </c>
      <c r="K222" s="1">
        <v>0</v>
      </c>
      <c r="L222" s="1">
        <v>0</v>
      </c>
      <c r="M222" s="1">
        <v>1</v>
      </c>
      <c r="N222" s="1">
        <v>0</v>
      </c>
      <c r="O222" s="1">
        <v>0</v>
      </c>
      <c r="P222" s="1">
        <f>LN(B222)</f>
        <v>2.83321334405622</v>
      </c>
      <c r="Q222" s="1">
        <f>1-SUM(F222:J222)</f>
        <v>0</v>
      </c>
      <c r="R222" s="1" t="str">
        <f>IF(F222=1,"Napa valley",IF(G222=1,"Bay area",IF(H222=1,"Sonoma",IF(I222=1,"Sierra/foothills",IF(J222=1,"Mendocino/lake","Generic California")))))</f>
        <v>Sonoma</v>
      </c>
      <c r="S222" s="1" t="str">
        <f>IF(F222=1,"Napa valley",IF(H222=1,"Sonoma","Other"))</f>
        <v>Sonoma</v>
      </c>
      <c r="T222" s="1" t="str">
        <f>IF(M222=1,"Cabernet",IF(N222=1,"Merlot",IF(L222=1,"Pinot noir","Other")))</f>
        <v>Cabernet</v>
      </c>
      <c r="U222" s="1" t="str">
        <f>IF(F222=1,B222,"")</f>
        <v/>
      </c>
      <c r="V222" s="1">
        <f>IF(F222=0,B222,"")</f>
        <v>17</v>
      </c>
      <c r="W222" s="1">
        <f>'Part B'!$B$150+SUMPRODUCT('Part B'!$B$164:$N$164,C222:O222)</f>
        <v>20.1337540696319</v>
      </c>
      <c r="X222" s="1">
        <f>B222-W222</f>
        <v>-3.13375406963195</v>
      </c>
      <c r="Y222" s="1">
        <f>'Part B'!$B$179+SUMPRODUCT('Part B'!$B$193:$N$193,C222:O222)</f>
        <v>3.0134678528503</v>
      </c>
      <c r="Z222" s="1">
        <f>P222-Y222</f>
        <v>-0.180254508794082</v>
      </c>
      <c r="AB222" s="1">
        <f>C222</f>
        <v>0.978</v>
      </c>
      <c r="AC222" s="1">
        <f>D222</f>
        <v>83</v>
      </c>
      <c r="AD222" s="1">
        <f>E222</f>
        <v>3</v>
      </c>
      <c r="AE222" s="1">
        <f>F222</f>
        <v>0</v>
      </c>
      <c r="AF222" s="1">
        <f>G222</f>
        <v>0</v>
      </c>
      <c r="AG222" s="1">
        <f>I222</f>
        <v>0</v>
      </c>
      <c r="AH222" s="1">
        <f>J222</f>
        <v>0</v>
      </c>
      <c r="AI222" s="1">
        <f>Q222</f>
        <v>0</v>
      </c>
      <c r="AJ222" s="1">
        <f>K222</f>
        <v>0</v>
      </c>
      <c r="AK222" s="1">
        <f>L222</f>
        <v>0</v>
      </c>
      <c r="AL222" s="1">
        <f>M222</f>
        <v>1</v>
      </c>
      <c r="AM222" s="1">
        <f>N222</f>
        <v>0</v>
      </c>
      <c r="AN222" s="1">
        <f>O222</f>
        <v>0</v>
      </c>
    </row>
    <row r="223">
      <c r="A223" s="1">
        <v>294</v>
      </c>
      <c r="B223" s="1">
        <v>17</v>
      </c>
      <c r="C223" s="1">
        <v>1.2</v>
      </c>
      <c r="D223" s="1">
        <v>81</v>
      </c>
      <c r="E223" s="1">
        <v>3</v>
      </c>
      <c r="F223" s="1">
        <v>1</v>
      </c>
      <c r="G223" s="1">
        <v>0</v>
      </c>
      <c r="H223" s="1">
        <v>0</v>
      </c>
      <c r="I223" s="1">
        <v>0</v>
      </c>
      <c r="J223" s="1">
        <v>0</v>
      </c>
      <c r="K223" s="1">
        <v>0</v>
      </c>
      <c r="L223" s="1">
        <v>1</v>
      </c>
      <c r="M223" s="1">
        <v>0</v>
      </c>
      <c r="N223" s="1">
        <v>0</v>
      </c>
      <c r="O223" s="1">
        <v>0</v>
      </c>
      <c r="P223" s="1">
        <f>LN(B223)</f>
        <v>2.83321334405622</v>
      </c>
      <c r="Q223" s="1">
        <f>1-SUM(F223:J223)</f>
        <v>0</v>
      </c>
      <c r="R223" s="1" t="str">
        <f>IF(F223=1,"Napa valley",IF(G223=1,"Bay area",IF(H223=1,"Sonoma",IF(I223=1,"Sierra/foothills",IF(J223=1,"Mendocino/lake","Generic California")))))</f>
        <v>Napa valley</v>
      </c>
      <c r="S223" s="1" t="str">
        <f>IF(F223=1,"Napa valley",IF(H223=1,"Sonoma","Other"))</f>
        <v>Napa valley</v>
      </c>
      <c r="T223" s="1" t="str">
        <f>IF(M223=1,"Cabernet",IF(N223=1,"Merlot",IF(L223=1,"Pinot noir","Other")))</f>
        <v>Pinot noir</v>
      </c>
      <c r="U223" s="1">
        <f>IF(F223=1,B223,"")</f>
        <v>17</v>
      </c>
      <c r="V223" s="1" t="str">
        <f>IF(F223=0,B223,"")</f>
        <v/>
      </c>
      <c r="W223" s="1">
        <f>'Part B'!$B$150+SUMPRODUCT('Part B'!$B$164:$N$164,C223:O223)</f>
        <v>18.5459427323377</v>
      </c>
      <c r="X223" s="1">
        <f>B223-W223</f>
        <v>-1.54594273233766</v>
      </c>
      <c r="Y223" s="1">
        <f>'Part B'!$B$179+SUMPRODUCT('Part B'!$B$193:$N$193,C223:O223)</f>
        <v>3.04590934492635</v>
      </c>
      <c r="Z223" s="1">
        <f>P223-Y223</f>
        <v>-0.212696000870133</v>
      </c>
      <c r="AB223" s="1">
        <f>C223</f>
        <v>1.2</v>
      </c>
      <c r="AC223" s="1">
        <f>D223</f>
        <v>81</v>
      </c>
      <c r="AD223" s="1">
        <f>E223</f>
        <v>3</v>
      </c>
      <c r="AE223" s="1">
        <f>F223</f>
        <v>1</v>
      </c>
      <c r="AF223" s="1">
        <f>G223</f>
        <v>0</v>
      </c>
      <c r="AG223" s="1">
        <f>I223</f>
        <v>0</v>
      </c>
      <c r="AH223" s="1">
        <f>J223</f>
        <v>0</v>
      </c>
      <c r="AI223" s="1">
        <f>Q223</f>
        <v>0</v>
      </c>
      <c r="AJ223" s="1">
        <f>K223</f>
        <v>0</v>
      </c>
      <c r="AK223" s="1">
        <f>L223</f>
        <v>1</v>
      </c>
      <c r="AL223" s="1">
        <f>M223</f>
        <v>0</v>
      </c>
      <c r="AM223" s="1">
        <f>N223</f>
        <v>0</v>
      </c>
      <c r="AN223" s="1">
        <f>O223</f>
        <v>0</v>
      </c>
    </row>
    <row r="224">
      <c r="A224" s="1">
        <v>295</v>
      </c>
      <c r="B224" s="1">
        <v>17</v>
      </c>
      <c r="C224" s="1">
        <v>1</v>
      </c>
      <c r="D224" s="1">
        <v>87</v>
      </c>
      <c r="E224" s="1">
        <v>3</v>
      </c>
      <c r="F224" s="1">
        <v>0</v>
      </c>
      <c r="G224" s="1">
        <v>0</v>
      </c>
      <c r="H224" s="1">
        <v>1</v>
      </c>
      <c r="I224" s="1">
        <v>0</v>
      </c>
      <c r="J224" s="1">
        <v>0</v>
      </c>
      <c r="K224" s="1">
        <v>0</v>
      </c>
      <c r="L224" s="1">
        <v>0</v>
      </c>
      <c r="M224" s="1">
        <v>0</v>
      </c>
      <c r="N224" s="1">
        <v>0</v>
      </c>
      <c r="O224" s="1">
        <v>0</v>
      </c>
      <c r="P224" s="1">
        <f>LN(B224)</f>
        <v>2.83321334405622</v>
      </c>
      <c r="Q224" s="1">
        <f>1-SUM(F224:J224)</f>
        <v>0</v>
      </c>
      <c r="R224" s="1" t="str">
        <f>IF(F224=1,"Napa valley",IF(G224=1,"Bay area",IF(H224=1,"Sonoma",IF(I224=1,"Sierra/foothills",IF(J224=1,"Mendocino/lake","Generic California")))))</f>
        <v>Sonoma</v>
      </c>
      <c r="S224" s="1" t="str">
        <f>IF(F224=1,"Napa valley",IF(H224=1,"Sonoma","Other"))</f>
        <v>Sonoma</v>
      </c>
      <c r="T224" s="1" t="str">
        <f>IF(M224=1,"Cabernet",IF(N224=1,"Merlot",IF(L224=1,"Pinot noir","Other")))</f>
        <v>Other</v>
      </c>
      <c r="U224" s="1" t="str">
        <f>IF(F224=1,B224,"")</f>
        <v/>
      </c>
      <c r="V224" s="1">
        <f>IF(F224=0,B224,"")</f>
        <v>17</v>
      </c>
      <c r="W224" s="1">
        <f>'Part B'!$B$150+SUMPRODUCT('Part B'!$B$164:$N$164,C224:O224)</f>
        <v>20.0848006939525</v>
      </c>
      <c r="X224" s="1">
        <f>B224-W224</f>
        <v>-3.0848006939525</v>
      </c>
      <c r="Y224" s="1">
        <f>'Part B'!$B$179+SUMPRODUCT('Part B'!$B$193:$N$193,C224:O224)</f>
        <v>2.97222352817544</v>
      </c>
      <c r="Z224" s="1">
        <f>P224-Y224</f>
        <v>-0.139010184119224</v>
      </c>
      <c r="AB224" s="1">
        <f>C224</f>
        <v>1</v>
      </c>
      <c r="AC224" s="1">
        <f>D224</f>
        <v>87</v>
      </c>
      <c r="AD224" s="1">
        <f>E224</f>
        <v>3</v>
      </c>
      <c r="AE224" s="1">
        <f>F224</f>
        <v>0</v>
      </c>
      <c r="AF224" s="1">
        <f>G224</f>
        <v>0</v>
      </c>
      <c r="AG224" s="1">
        <f>I224</f>
        <v>0</v>
      </c>
      <c r="AH224" s="1">
        <f>J224</f>
        <v>0</v>
      </c>
      <c r="AI224" s="1">
        <f>Q224</f>
        <v>0</v>
      </c>
      <c r="AJ224" s="1">
        <f>K224</f>
        <v>0</v>
      </c>
      <c r="AK224" s="1">
        <f>L224</f>
        <v>0</v>
      </c>
      <c r="AL224" s="1">
        <f>M224</f>
        <v>0</v>
      </c>
      <c r="AM224" s="1">
        <f>N224</f>
        <v>0</v>
      </c>
      <c r="AN224" s="1">
        <f>O224</f>
        <v>0</v>
      </c>
    </row>
    <row r="225">
      <c r="A225" s="1">
        <v>296</v>
      </c>
      <c r="B225" s="1">
        <v>17</v>
      </c>
      <c r="C225" s="1">
        <v>22.32</v>
      </c>
      <c r="D225" s="1">
        <v>81</v>
      </c>
      <c r="E225" s="1">
        <v>3</v>
      </c>
      <c r="F225" s="1">
        <v>1</v>
      </c>
      <c r="G225" s="1">
        <v>0</v>
      </c>
      <c r="H225" s="1">
        <v>0</v>
      </c>
      <c r="I225" s="1">
        <v>0</v>
      </c>
      <c r="J225" s="1">
        <v>0</v>
      </c>
      <c r="K225" s="1">
        <v>0</v>
      </c>
      <c r="L225" s="1">
        <v>0</v>
      </c>
      <c r="M225" s="1">
        <v>0</v>
      </c>
      <c r="N225" s="1">
        <v>1</v>
      </c>
      <c r="O225" s="1">
        <v>0</v>
      </c>
      <c r="P225" s="1">
        <f>LN(B225)</f>
        <v>2.83321334405622</v>
      </c>
      <c r="Q225" s="1">
        <f>1-SUM(F225:J225)</f>
        <v>0</v>
      </c>
      <c r="R225" s="1" t="str">
        <f>IF(F225=1,"Napa valley",IF(G225=1,"Bay area",IF(H225=1,"Sonoma",IF(I225=1,"Sierra/foothills",IF(J225=1,"Mendocino/lake","Generic California")))))</f>
        <v>Napa valley</v>
      </c>
      <c r="S225" s="1" t="str">
        <f>IF(F225=1,"Napa valley",IF(H225=1,"Sonoma","Other"))</f>
        <v>Napa valley</v>
      </c>
      <c r="T225" s="1" t="str">
        <f>IF(M225=1,"Cabernet",IF(N225=1,"Merlot",IF(L225=1,"Pinot noir","Other")))</f>
        <v>Merlot</v>
      </c>
      <c r="U225" s="1">
        <f>IF(F225=1,B225,"")</f>
        <v>17</v>
      </c>
      <c r="V225" s="1" t="str">
        <f>IF(F225=0,B225,"")</f>
        <v/>
      </c>
      <c r="W225" s="1">
        <f>'Part B'!$B$150+SUMPRODUCT('Part B'!$B$164:$N$164,C225:O225)</f>
        <v>14.7473139454368</v>
      </c>
      <c r="X225" s="1">
        <f>B225-W225</f>
        <v>2.25268605456324</v>
      </c>
      <c r="Y225" s="1">
        <f>'Part B'!$B$179+SUMPRODUCT('Part B'!$B$193:$N$193,C225:O225)</f>
        <v>2.8935278986262</v>
      </c>
      <c r="Z225" s="1">
        <f>P225-Y225</f>
        <v>-0.0603145545699837</v>
      </c>
      <c r="AB225" s="1">
        <f>C225</f>
        <v>22.32</v>
      </c>
      <c r="AC225" s="1">
        <f>D225</f>
        <v>81</v>
      </c>
      <c r="AD225" s="1">
        <f>E225</f>
        <v>3</v>
      </c>
      <c r="AE225" s="1">
        <f>F225</f>
        <v>1</v>
      </c>
      <c r="AF225" s="1">
        <f>G225</f>
        <v>0</v>
      </c>
      <c r="AG225" s="1">
        <f>I225</f>
        <v>0</v>
      </c>
      <c r="AH225" s="1">
        <f>J225</f>
        <v>0</v>
      </c>
      <c r="AI225" s="1">
        <f>Q225</f>
        <v>0</v>
      </c>
      <c r="AJ225" s="1">
        <f>K225</f>
        <v>0</v>
      </c>
      <c r="AK225" s="1">
        <f>L225</f>
        <v>0</v>
      </c>
      <c r="AL225" s="1">
        <f>M225</f>
        <v>0</v>
      </c>
      <c r="AM225" s="1">
        <f>N225</f>
        <v>1</v>
      </c>
      <c r="AN225" s="1">
        <f>O225</f>
        <v>0</v>
      </c>
    </row>
    <row r="226">
      <c r="A226" s="1">
        <v>297</v>
      </c>
      <c r="B226" s="1">
        <v>17</v>
      </c>
      <c r="C226" s="1">
        <v>2.954</v>
      </c>
      <c r="D226" s="1">
        <v>83</v>
      </c>
      <c r="E226" s="1">
        <v>3</v>
      </c>
      <c r="F226" s="1">
        <v>0</v>
      </c>
      <c r="G226" s="1">
        <v>0</v>
      </c>
      <c r="H226" s="1">
        <v>1</v>
      </c>
      <c r="I226" s="1">
        <v>0</v>
      </c>
      <c r="J226" s="1">
        <v>0</v>
      </c>
      <c r="K226" s="1">
        <v>0</v>
      </c>
      <c r="L226" s="1">
        <v>0</v>
      </c>
      <c r="M226" s="1">
        <v>0</v>
      </c>
      <c r="N226" s="1">
        <v>0</v>
      </c>
      <c r="O226" s="1">
        <v>0</v>
      </c>
      <c r="P226" s="1">
        <f>LN(B226)</f>
        <v>2.83321334405622</v>
      </c>
      <c r="Q226" s="1">
        <f>1-SUM(F226:J226)</f>
        <v>0</v>
      </c>
      <c r="R226" s="1" t="str">
        <f>IF(F226=1,"Napa valley",IF(G226=1,"Bay area",IF(H226=1,"Sonoma",IF(I226=1,"Sierra/foothills",IF(J226=1,"Mendocino/lake","Generic California")))))</f>
        <v>Sonoma</v>
      </c>
      <c r="S226" s="1" t="str">
        <f>IF(F226=1,"Napa valley",IF(H226=1,"Sonoma","Other"))</f>
        <v>Sonoma</v>
      </c>
      <c r="T226" s="1" t="str">
        <f>IF(M226=1,"Cabernet",IF(N226=1,"Merlot",IF(L226=1,"Pinot noir","Other")))</f>
        <v>Other</v>
      </c>
      <c r="U226" s="1" t="str">
        <f>IF(F226=1,B226,"")</f>
        <v/>
      </c>
      <c r="V226" s="1">
        <f>IF(F226=0,B226,"")</f>
        <v>17</v>
      </c>
      <c r="W226" s="1">
        <f>'Part B'!$B$150+SUMPRODUCT('Part B'!$B$164:$N$164,C226:O226)</f>
        <v>7.31895081865275</v>
      </c>
      <c r="X226" s="1">
        <f>B226-W226</f>
        <v>9.68104918134725</v>
      </c>
      <c r="Y226" s="1">
        <f>'Part B'!$B$179+SUMPRODUCT('Part B'!$B$193:$N$193,C226:O226)</f>
        <v>2.68401675578424</v>
      </c>
      <c r="Z226" s="1">
        <f>P226-Y226</f>
        <v>0.149196588271975</v>
      </c>
      <c r="AB226" s="1">
        <f>C226</f>
        <v>2.954</v>
      </c>
      <c r="AC226" s="1">
        <f>D226</f>
        <v>83</v>
      </c>
      <c r="AD226" s="1">
        <f>E226</f>
        <v>3</v>
      </c>
      <c r="AE226" s="1">
        <f>F226</f>
        <v>0</v>
      </c>
      <c r="AF226" s="1">
        <f>G226</f>
        <v>0</v>
      </c>
      <c r="AG226" s="1">
        <f>I226</f>
        <v>0</v>
      </c>
      <c r="AH226" s="1">
        <f>J226</f>
        <v>0</v>
      </c>
      <c r="AI226" s="1">
        <f>Q226</f>
        <v>0</v>
      </c>
      <c r="AJ226" s="1">
        <f>K226</f>
        <v>0</v>
      </c>
      <c r="AK226" s="1">
        <f>L226</f>
        <v>0</v>
      </c>
      <c r="AL226" s="1">
        <f>M226</f>
        <v>0</v>
      </c>
      <c r="AM226" s="1">
        <f>N226</f>
        <v>0</v>
      </c>
      <c r="AN226" s="1">
        <f>O226</f>
        <v>0</v>
      </c>
    </row>
    <row r="227">
      <c r="A227" s="1">
        <v>298</v>
      </c>
      <c r="B227" s="1">
        <v>17</v>
      </c>
      <c r="C227" s="1">
        <v>12</v>
      </c>
      <c r="D227" s="1">
        <v>86</v>
      </c>
      <c r="E227" s="1">
        <v>2</v>
      </c>
      <c r="F227" s="1">
        <v>0</v>
      </c>
      <c r="G227" s="1">
        <v>0</v>
      </c>
      <c r="H227" s="1">
        <v>1</v>
      </c>
      <c r="I227" s="1">
        <v>0</v>
      </c>
      <c r="J227" s="1">
        <v>0</v>
      </c>
      <c r="K227" s="1">
        <v>0</v>
      </c>
      <c r="L227" s="1">
        <v>0</v>
      </c>
      <c r="M227" s="1">
        <v>0</v>
      </c>
      <c r="N227" s="1">
        <v>1</v>
      </c>
      <c r="O227" s="1">
        <v>0</v>
      </c>
      <c r="P227" s="1">
        <f>LN(B227)</f>
        <v>2.83321334405622</v>
      </c>
      <c r="Q227" s="1">
        <f>1-SUM(F227:J227)</f>
        <v>0</v>
      </c>
      <c r="R227" s="1" t="str">
        <f>IF(F227=1,"Napa valley",IF(G227=1,"Bay area",IF(H227=1,"Sonoma",IF(I227=1,"Sierra/foothills",IF(J227=1,"Mendocino/lake","Generic California")))))</f>
        <v>Sonoma</v>
      </c>
      <c r="S227" s="1" t="str">
        <f>IF(F227=1,"Napa valley",IF(H227=1,"Sonoma","Other"))</f>
        <v>Sonoma</v>
      </c>
      <c r="T227" s="1" t="str">
        <f>IF(M227=1,"Cabernet",IF(N227=1,"Merlot",IF(L227=1,"Pinot noir","Other")))</f>
        <v>Merlot</v>
      </c>
      <c r="U227" s="1" t="str">
        <f>IF(F227=1,B227,"")</f>
        <v/>
      </c>
      <c r="V227" s="1">
        <f>IF(F227=0,B227,"")</f>
        <v>17</v>
      </c>
      <c r="W227" s="1">
        <f>'Part B'!$B$150+SUMPRODUCT('Part B'!$B$164:$N$164,C227:O227)</f>
        <v>16.9362569316469</v>
      </c>
      <c r="X227" s="1">
        <f>B227-W227</f>
        <v>0.0637430683531193</v>
      </c>
      <c r="Y227" s="1">
        <f>'Part B'!$B$179+SUMPRODUCT('Part B'!$B$193:$N$193,C227:O227)</f>
        <v>2.95662186820882</v>
      </c>
      <c r="Z227" s="1">
        <f>P227-Y227</f>
        <v>-0.123408524152599</v>
      </c>
      <c r="AB227" s="1">
        <f>C227</f>
        <v>12</v>
      </c>
      <c r="AC227" s="1">
        <f>D227</f>
        <v>86</v>
      </c>
      <c r="AD227" s="1">
        <f>E227</f>
        <v>2</v>
      </c>
      <c r="AE227" s="1">
        <f>F227</f>
        <v>0</v>
      </c>
      <c r="AF227" s="1">
        <f>G227</f>
        <v>0</v>
      </c>
      <c r="AG227" s="1">
        <f>I227</f>
        <v>0</v>
      </c>
      <c r="AH227" s="1">
        <f>J227</f>
        <v>0</v>
      </c>
      <c r="AI227" s="1">
        <f>Q227</f>
        <v>0</v>
      </c>
      <c r="AJ227" s="1">
        <f>K227</f>
        <v>0</v>
      </c>
      <c r="AK227" s="1">
        <f>L227</f>
        <v>0</v>
      </c>
      <c r="AL227" s="1">
        <f>M227</f>
        <v>0</v>
      </c>
      <c r="AM227" s="1">
        <f>N227</f>
        <v>1</v>
      </c>
      <c r="AN227" s="1">
        <f>O227</f>
        <v>0</v>
      </c>
    </row>
    <row r="228">
      <c r="A228" s="1">
        <v>300</v>
      </c>
      <c r="B228" s="1">
        <v>17</v>
      </c>
      <c r="C228" s="1">
        <v>25</v>
      </c>
      <c r="D228" s="1">
        <v>87</v>
      </c>
      <c r="E228" s="1">
        <v>2</v>
      </c>
      <c r="F228" s="1">
        <v>0</v>
      </c>
      <c r="G228" s="1">
        <v>0</v>
      </c>
      <c r="H228" s="1">
        <v>1</v>
      </c>
      <c r="I228" s="1">
        <v>0</v>
      </c>
      <c r="J228" s="1">
        <v>0</v>
      </c>
      <c r="K228" s="1">
        <v>0</v>
      </c>
      <c r="L228" s="1">
        <v>0</v>
      </c>
      <c r="M228" s="1">
        <v>0</v>
      </c>
      <c r="N228" s="1">
        <v>1</v>
      </c>
      <c r="O228" s="1">
        <v>0</v>
      </c>
      <c r="P228" s="1">
        <f>LN(B228)</f>
        <v>2.83321334405622</v>
      </c>
      <c r="Q228" s="1">
        <f>1-SUM(F228:J228)</f>
        <v>0</v>
      </c>
      <c r="R228" s="1" t="str">
        <f>IF(F228=1,"Napa valley",IF(G228=1,"Bay area",IF(H228=1,"Sonoma",IF(I228=1,"Sierra/foothills",IF(J228=1,"Mendocino/lake","Generic California")))))</f>
        <v>Sonoma</v>
      </c>
      <c r="S228" s="1" t="str">
        <f>IF(F228=1,"Napa valley",IF(H228=1,"Sonoma","Other"))</f>
        <v>Sonoma</v>
      </c>
      <c r="T228" s="1" t="str">
        <f>IF(M228=1,"Cabernet",IF(N228=1,"Merlot",IF(L228=1,"Pinot noir","Other")))</f>
        <v>Merlot</v>
      </c>
      <c r="U228" s="1" t="str">
        <f>IF(F228=1,B228,"")</f>
        <v/>
      </c>
      <c r="V228" s="1">
        <f>IF(F228=0,B228,"")</f>
        <v>17</v>
      </c>
      <c r="W228" s="1">
        <f>'Part B'!$B$150+SUMPRODUCT('Part B'!$B$164:$N$164,C228:O228)</f>
        <v>18.8474750188169</v>
      </c>
      <c r="X228" s="1">
        <f>B228-W228</f>
        <v>-1.84747501881685</v>
      </c>
      <c r="Y228" s="1">
        <f>'Part B'!$B$179+SUMPRODUCT('Part B'!$B$193:$N$193,C228:O228)</f>
        <v>2.97095536412016</v>
      </c>
      <c r="Z228" s="1">
        <f>P228-Y228</f>
        <v>-0.13774202006394</v>
      </c>
      <c r="AB228" s="1">
        <f>C228</f>
        <v>25</v>
      </c>
      <c r="AC228" s="1">
        <f>D228</f>
        <v>87</v>
      </c>
      <c r="AD228" s="1">
        <f>E228</f>
        <v>2</v>
      </c>
      <c r="AE228" s="1">
        <f>F228</f>
        <v>0</v>
      </c>
      <c r="AF228" s="1">
        <f>G228</f>
        <v>0</v>
      </c>
      <c r="AG228" s="1">
        <f>I228</f>
        <v>0</v>
      </c>
      <c r="AH228" s="1">
        <f>J228</f>
        <v>0</v>
      </c>
      <c r="AI228" s="1">
        <f>Q228</f>
        <v>0</v>
      </c>
      <c r="AJ228" s="1">
        <f>K228</f>
        <v>0</v>
      </c>
      <c r="AK228" s="1">
        <f>L228</f>
        <v>0</v>
      </c>
      <c r="AL228" s="1">
        <f>M228</f>
        <v>0</v>
      </c>
      <c r="AM228" s="1">
        <f>N228</f>
        <v>1</v>
      </c>
      <c r="AN228" s="1">
        <f>O228</f>
        <v>0</v>
      </c>
    </row>
    <row r="229">
      <c r="A229" s="1">
        <v>301</v>
      </c>
      <c r="B229" s="1">
        <v>17</v>
      </c>
      <c r="C229" s="1">
        <v>0.3</v>
      </c>
      <c r="D229" s="1">
        <v>90</v>
      </c>
      <c r="E229" s="1">
        <v>2</v>
      </c>
      <c r="F229" s="1">
        <v>0</v>
      </c>
      <c r="G229" s="1">
        <v>0</v>
      </c>
      <c r="H229" s="1">
        <v>1</v>
      </c>
      <c r="I229" s="1">
        <v>0</v>
      </c>
      <c r="J229" s="1">
        <v>0</v>
      </c>
      <c r="K229" s="1">
        <v>0</v>
      </c>
      <c r="L229" s="1">
        <v>0</v>
      </c>
      <c r="M229" s="1">
        <v>0</v>
      </c>
      <c r="N229" s="1">
        <v>0</v>
      </c>
      <c r="O229" s="1">
        <v>0</v>
      </c>
      <c r="P229" s="1">
        <f>LN(B229)</f>
        <v>2.83321334405622</v>
      </c>
      <c r="Q229" s="1">
        <f>1-SUM(F229:J229)</f>
        <v>0</v>
      </c>
      <c r="R229" s="1" t="str">
        <f>IF(F229=1,"Napa valley",IF(G229=1,"Bay area",IF(H229=1,"Sonoma",IF(I229=1,"Sierra/foothills",IF(J229=1,"Mendocino/lake","Generic California")))))</f>
        <v>Sonoma</v>
      </c>
      <c r="S229" s="1" t="str">
        <f>IF(F229=1,"Napa valley",IF(H229=1,"Sonoma","Other"))</f>
        <v>Sonoma</v>
      </c>
      <c r="T229" s="1" t="str">
        <f>IF(M229=1,"Cabernet",IF(N229=1,"Merlot",IF(L229=1,"Pinot noir","Other")))</f>
        <v>Other</v>
      </c>
      <c r="U229" s="1" t="str">
        <f>IF(F229=1,B229,"")</f>
        <v/>
      </c>
      <c r="V229" s="1">
        <f>IF(F229=0,B229,"")</f>
        <v>17</v>
      </c>
      <c r="W229" s="1">
        <f>'Part B'!$B$150+SUMPRODUCT('Part B'!$B$164:$N$164,C229:O229)</f>
        <v>22.9669268513974</v>
      </c>
      <c r="X229" s="1">
        <f>B229-W229</f>
        <v>-5.96692685139743</v>
      </c>
      <c r="Y229" s="1">
        <f>'Part B'!$B$179+SUMPRODUCT('Part B'!$B$193:$N$193,C229:O229)</f>
        <v>3.00201769912767</v>
      </c>
      <c r="Z229" s="1">
        <f>P229-Y229</f>
        <v>-0.168804355071454</v>
      </c>
      <c r="AB229" s="1">
        <f>C229</f>
        <v>0.3</v>
      </c>
      <c r="AC229" s="1">
        <f>D229</f>
        <v>90</v>
      </c>
      <c r="AD229" s="1">
        <f>E229</f>
        <v>2</v>
      </c>
      <c r="AE229" s="1">
        <f>F229</f>
        <v>0</v>
      </c>
      <c r="AF229" s="1">
        <f>G229</f>
        <v>0</v>
      </c>
      <c r="AG229" s="1">
        <f>I229</f>
        <v>0</v>
      </c>
      <c r="AH229" s="1">
        <f>J229</f>
        <v>0</v>
      </c>
      <c r="AI229" s="1">
        <f>Q229</f>
        <v>0</v>
      </c>
      <c r="AJ229" s="1">
        <f>K229</f>
        <v>0</v>
      </c>
      <c r="AK229" s="1">
        <f>L229</f>
        <v>0</v>
      </c>
      <c r="AL229" s="1">
        <f>M229</f>
        <v>0</v>
      </c>
      <c r="AM229" s="1">
        <f>N229</f>
        <v>0</v>
      </c>
      <c r="AN229" s="1">
        <f>O229</f>
        <v>0</v>
      </c>
    </row>
    <row r="230">
      <c r="A230" s="1">
        <v>302</v>
      </c>
      <c r="B230" s="1">
        <v>17</v>
      </c>
      <c r="C230" s="1">
        <v>0.52</v>
      </c>
      <c r="D230" s="1">
        <v>89</v>
      </c>
      <c r="E230" s="1">
        <v>2</v>
      </c>
      <c r="F230" s="1">
        <v>1</v>
      </c>
      <c r="G230" s="1">
        <v>0</v>
      </c>
      <c r="H230" s="1">
        <v>0</v>
      </c>
      <c r="I230" s="1">
        <v>0</v>
      </c>
      <c r="J230" s="1">
        <v>0</v>
      </c>
      <c r="K230" s="1">
        <v>0</v>
      </c>
      <c r="L230" s="1">
        <v>0</v>
      </c>
      <c r="M230" s="1">
        <v>0</v>
      </c>
      <c r="N230" s="1">
        <v>0</v>
      </c>
      <c r="O230" s="1">
        <v>0</v>
      </c>
      <c r="P230" s="1">
        <f>LN(B230)</f>
        <v>2.83321334405622</v>
      </c>
      <c r="Q230" s="1">
        <f>1-SUM(F230:J230)</f>
        <v>0</v>
      </c>
      <c r="R230" s="1" t="str">
        <f>IF(F230=1,"Napa valley",IF(G230=1,"Bay area",IF(H230=1,"Sonoma",IF(I230=1,"Sierra/foothills",IF(J230=1,"Mendocino/lake","Generic California")))))</f>
        <v>Napa valley</v>
      </c>
      <c r="S230" s="1" t="str">
        <f>IF(F230=1,"Napa valley",IF(H230=1,"Sonoma","Other"))</f>
        <v>Napa valley</v>
      </c>
      <c r="T230" s="1" t="str">
        <f>IF(M230=1,"Cabernet",IF(N230=1,"Merlot",IF(L230=1,"Pinot noir","Other")))</f>
        <v>Other</v>
      </c>
      <c r="U230" s="1">
        <f>IF(F230=1,B230,"")</f>
        <v>17</v>
      </c>
      <c r="V230" s="1" t="str">
        <f>IF(F230=0,B230,"")</f>
        <v/>
      </c>
      <c r="W230" s="1">
        <f>'Part B'!$B$150+SUMPRODUCT('Part B'!$B$164:$N$164,C230:O230)</f>
        <v>27.6973965495154</v>
      </c>
      <c r="X230" s="1">
        <f>B230-W230</f>
        <v>-10.6973965495154</v>
      </c>
      <c r="Y230" s="1">
        <f>'Part B'!$B$179+SUMPRODUCT('Part B'!$B$193:$N$193,C230:O230)</f>
        <v>3.0789025004585</v>
      </c>
      <c r="Z230" s="1">
        <f>P230-Y230</f>
        <v>-0.24568915640228</v>
      </c>
      <c r="AB230" s="1">
        <f>C230</f>
        <v>0.52</v>
      </c>
      <c r="AC230" s="1">
        <f>D230</f>
        <v>89</v>
      </c>
      <c r="AD230" s="1">
        <f>E230</f>
        <v>2</v>
      </c>
      <c r="AE230" s="1">
        <f>F230</f>
        <v>1</v>
      </c>
      <c r="AF230" s="1">
        <f>G230</f>
        <v>0</v>
      </c>
      <c r="AG230" s="1">
        <f>I230</f>
        <v>0</v>
      </c>
      <c r="AH230" s="1">
        <f>J230</f>
        <v>0</v>
      </c>
      <c r="AI230" s="1">
        <f>Q230</f>
        <v>0</v>
      </c>
      <c r="AJ230" s="1">
        <f>K230</f>
        <v>0</v>
      </c>
      <c r="AK230" s="1">
        <f>L230</f>
        <v>0</v>
      </c>
      <c r="AL230" s="1">
        <f>M230</f>
        <v>0</v>
      </c>
      <c r="AM230" s="1">
        <f>N230</f>
        <v>0</v>
      </c>
      <c r="AN230" s="1">
        <f>O230</f>
        <v>0</v>
      </c>
    </row>
    <row r="231">
      <c r="A231" s="1">
        <v>304</v>
      </c>
      <c r="B231" s="1">
        <v>17</v>
      </c>
      <c r="C231" s="1">
        <v>0.11</v>
      </c>
      <c r="D231" s="1">
        <v>84</v>
      </c>
      <c r="E231" s="1">
        <v>2</v>
      </c>
      <c r="F231" s="1">
        <v>1</v>
      </c>
      <c r="G231" s="1">
        <v>0</v>
      </c>
      <c r="H231" s="1">
        <v>0</v>
      </c>
      <c r="I231" s="1">
        <v>0</v>
      </c>
      <c r="J231" s="1">
        <v>0</v>
      </c>
      <c r="K231" s="1">
        <v>0</v>
      </c>
      <c r="L231" s="1">
        <v>0</v>
      </c>
      <c r="M231" s="1">
        <v>1</v>
      </c>
      <c r="N231" s="1">
        <v>0</v>
      </c>
      <c r="O231" s="1">
        <v>0</v>
      </c>
      <c r="P231" s="1">
        <f>LN(B231)</f>
        <v>2.83321334405622</v>
      </c>
      <c r="Q231" s="1">
        <f>1-SUM(F231:J231)</f>
        <v>0</v>
      </c>
      <c r="R231" s="1" t="str">
        <f>IF(F231=1,"Napa valley",IF(G231=1,"Bay area",IF(H231=1,"Sonoma",IF(I231=1,"Sierra/foothills",IF(J231=1,"Mendocino/lake","Generic California")))))</f>
        <v>Napa valley</v>
      </c>
      <c r="S231" s="1" t="str">
        <f>IF(F231=1,"Napa valley",IF(H231=1,"Sonoma","Other"))</f>
        <v>Napa valley</v>
      </c>
      <c r="T231" s="1" t="str">
        <f>IF(M231=1,"Cabernet",IF(N231=1,"Merlot",IF(L231=1,"Pinot noir","Other")))</f>
        <v>Cabernet</v>
      </c>
      <c r="U231" s="1">
        <f>IF(F231=1,B231,"")</f>
        <v>17</v>
      </c>
      <c r="V231" s="1" t="str">
        <f>IF(F231=0,B231,"")</f>
        <v/>
      </c>
      <c r="W231" s="1">
        <f>'Part B'!$B$150+SUMPRODUCT('Part B'!$B$164:$N$164,C231:O231)</f>
        <v>24.6380793754507</v>
      </c>
      <c r="X231" s="1">
        <f>B231-W231</f>
        <v>-7.63807937545073</v>
      </c>
      <c r="Y231" s="1">
        <f>'Part B'!$B$179+SUMPRODUCT('Part B'!$B$193:$N$193,C231:O231)</f>
        <v>3.05184573438822</v>
      </c>
      <c r="Z231" s="1">
        <f>P231-Y231</f>
        <v>-0.218632390332003</v>
      </c>
      <c r="AB231" s="1">
        <f>C231</f>
        <v>0.11</v>
      </c>
      <c r="AC231" s="1">
        <f>D231</f>
        <v>84</v>
      </c>
      <c r="AD231" s="1">
        <f>E231</f>
        <v>2</v>
      </c>
      <c r="AE231" s="1">
        <f>F231</f>
        <v>1</v>
      </c>
      <c r="AF231" s="1">
        <f>G231</f>
        <v>0</v>
      </c>
      <c r="AG231" s="1">
        <f>I231</f>
        <v>0</v>
      </c>
      <c r="AH231" s="1">
        <f>J231</f>
        <v>0</v>
      </c>
      <c r="AI231" s="1">
        <f>Q231</f>
        <v>0</v>
      </c>
      <c r="AJ231" s="1">
        <f>K231</f>
        <v>0</v>
      </c>
      <c r="AK231" s="1">
        <f>L231</f>
        <v>0</v>
      </c>
      <c r="AL231" s="1">
        <f>M231</f>
        <v>1</v>
      </c>
      <c r="AM231" s="1">
        <f>N231</f>
        <v>0</v>
      </c>
      <c r="AN231" s="1">
        <f>O231</f>
        <v>0</v>
      </c>
    </row>
    <row r="232">
      <c r="A232" s="1">
        <v>305</v>
      </c>
      <c r="B232" s="1">
        <v>17</v>
      </c>
      <c r="C232" s="1">
        <v>14.2</v>
      </c>
      <c r="D232" s="1">
        <v>82</v>
      </c>
      <c r="E232" s="1">
        <v>2</v>
      </c>
      <c r="F232" s="1">
        <v>0</v>
      </c>
      <c r="G232" s="1">
        <v>0</v>
      </c>
      <c r="H232" s="1">
        <v>1</v>
      </c>
      <c r="I232" s="1">
        <v>0</v>
      </c>
      <c r="J232" s="1">
        <v>0</v>
      </c>
      <c r="K232" s="1">
        <v>0</v>
      </c>
      <c r="L232" s="1">
        <v>0</v>
      </c>
      <c r="M232" s="1">
        <v>0</v>
      </c>
      <c r="N232" s="1">
        <v>1</v>
      </c>
      <c r="O232" s="1">
        <v>0</v>
      </c>
      <c r="P232" s="1">
        <f>LN(B232)</f>
        <v>2.83321334405622</v>
      </c>
      <c r="Q232" s="1">
        <f>1-SUM(F232:J232)</f>
        <v>0</v>
      </c>
      <c r="R232" s="1" t="str">
        <f>IF(F232=1,"Napa valley",IF(G232=1,"Bay area",IF(H232=1,"Sonoma",IF(I232=1,"Sierra/foothills",IF(J232=1,"Mendocino/lake","Generic California")))))</f>
        <v>Sonoma</v>
      </c>
      <c r="S232" s="1" t="str">
        <f>IF(F232=1,"Napa valley",IF(H232=1,"Sonoma","Other"))</f>
        <v>Sonoma</v>
      </c>
      <c r="T232" s="1" t="str">
        <f>IF(M232=1,"Cabernet",IF(N232=1,"Merlot",IF(L232=1,"Pinot noir","Other")))</f>
        <v>Merlot</v>
      </c>
      <c r="U232" s="1" t="str">
        <f>IF(F232=1,B232,"")</f>
        <v/>
      </c>
      <c r="V232" s="1">
        <f>IF(F232=0,B232,"")</f>
        <v>17</v>
      </c>
      <c r="W232" s="1">
        <f>'Part B'!$B$150+SUMPRODUCT('Part B'!$B$164:$N$164,C232:O232)</f>
        <v>4.14705826901815</v>
      </c>
      <c r="X232" s="1">
        <f>B232-W232</f>
        <v>12.8529417309819</v>
      </c>
      <c r="Y232" s="1">
        <f>'Part B'!$B$179+SUMPRODUCT('Part B'!$B$193:$N$193,C232:O232)</f>
        <v>2.66736244529993</v>
      </c>
      <c r="Z232" s="1">
        <f>P232-Y232</f>
        <v>0.165850898756291</v>
      </c>
      <c r="AB232" s="1">
        <f>C232</f>
        <v>14.2</v>
      </c>
      <c r="AC232" s="1">
        <f>D232</f>
        <v>82</v>
      </c>
      <c r="AD232" s="1">
        <f>E232</f>
        <v>2</v>
      </c>
      <c r="AE232" s="1">
        <f>F232</f>
        <v>0</v>
      </c>
      <c r="AF232" s="1">
        <f>G232</f>
        <v>0</v>
      </c>
      <c r="AG232" s="1">
        <f>I232</f>
        <v>0</v>
      </c>
      <c r="AH232" s="1">
        <f>J232</f>
        <v>0</v>
      </c>
      <c r="AI232" s="1">
        <f>Q232</f>
        <v>0</v>
      </c>
      <c r="AJ232" s="1">
        <f>K232</f>
        <v>0</v>
      </c>
      <c r="AK232" s="1">
        <f>L232</f>
        <v>0</v>
      </c>
      <c r="AL232" s="1">
        <f>M232</f>
        <v>0</v>
      </c>
      <c r="AM232" s="1">
        <f>N232</f>
        <v>1</v>
      </c>
      <c r="AN232" s="1">
        <f>O232</f>
        <v>0</v>
      </c>
    </row>
    <row r="233">
      <c r="A233" s="1">
        <v>306</v>
      </c>
      <c r="B233" s="1">
        <v>17</v>
      </c>
      <c r="C233" s="1">
        <v>15</v>
      </c>
      <c r="D233" s="1">
        <v>88</v>
      </c>
      <c r="E233" s="1">
        <v>2</v>
      </c>
      <c r="F233" s="1">
        <v>0</v>
      </c>
      <c r="G233" s="1">
        <v>1</v>
      </c>
      <c r="H233" s="1">
        <v>0</v>
      </c>
      <c r="I233" s="1">
        <v>0</v>
      </c>
      <c r="J233" s="1">
        <v>0</v>
      </c>
      <c r="K233" s="1">
        <v>0</v>
      </c>
      <c r="L233" s="1">
        <v>0</v>
      </c>
      <c r="M233" s="1">
        <v>0</v>
      </c>
      <c r="N233" s="1">
        <v>1</v>
      </c>
      <c r="O233" s="1">
        <v>0</v>
      </c>
      <c r="P233" s="1">
        <f>LN(B233)</f>
        <v>2.83321334405622</v>
      </c>
      <c r="Q233" s="1">
        <f>1-SUM(F233:J233)</f>
        <v>0</v>
      </c>
      <c r="R233" s="1" t="str">
        <f>IF(F233=1,"Napa valley",IF(G233=1,"Bay area",IF(H233=1,"Sonoma",IF(I233=1,"Sierra/foothills",IF(J233=1,"Mendocino/lake","Generic California")))))</f>
        <v>Bay area</v>
      </c>
      <c r="S233" s="1" t="str">
        <f>IF(F233=1,"Napa valley",IF(H233=1,"Sonoma","Other"))</f>
        <v>Other</v>
      </c>
      <c r="T233" s="1" t="str">
        <f>IF(M233=1,"Cabernet",IF(N233=1,"Merlot",IF(L233=1,"Pinot noir","Other")))</f>
        <v>Merlot</v>
      </c>
      <c r="U233" s="1" t="str">
        <f>IF(F233=1,B233,"")</f>
        <v/>
      </c>
      <c r="V233" s="1">
        <f>IF(F233=0,B233,"")</f>
        <v>17</v>
      </c>
      <c r="W233" s="1">
        <f>'Part B'!$B$150+SUMPRODUCT('Part B'!$B$164:$N$164,C233:O233)</f>
        <v>26.056030920873</v>
      </c>
      <c r="X233" s="1">
        <f>B233-W233</f>
        <v>-9.05603092087296</v>
      </c>
      <c r="Y233" s="1">
        <f>'Part B'!$B$179+SUMPRODUCT('Part B'!$B$193:$N$193,C233:O233)</f>
        <v>3.05676252918296</v>
      </c>
      <c r="Z233" s="1">
        <f>P233-Y233</f>
        <v>-0.223549185126743</v>
      </c>
      <c r="AB233" s="1">
        <f>C233</f>
        <v>15</v>
      </c>
      <c r="AC233" s="1">
        <f>D233</f>
        <v>88</v>
      </c>
      <c r="AD233" s="1">
        <f>E233</f>
        <v>2</v>
      </c>
      <c r="AE233" s="1">
        <f>F233</f>
        <v>0</v>
      </c>
      <c r="AF233" s="1">
        <f>G233</f>
        <v>1</v>
      </c>
      <c r="AG233" s="1">
        <f>I233</f>
        <v>0</v>
      </c>
      <c r="AH233" s="1">
        <f>J233</f>
        <v>0</v>
      </c>
      <c r="AI233" s="1">
        <f>Q233</f>
        <v>0</v>
      </c>
      <c r="AJ233" s="1">
        <f>K233</f>
        <v>0</v>
      </c>
      <c r="AK233" s="1">
        <f>L233</f>
        <v>0</v>
      </c>
      <c r="AL233" s="1">
        <f>M233</f>
        <v>0</v>
      </c>
      <c r="AM233" s="1">
        <f>N233</f>
        <v>1</v>
      </c>
      <c r="AN233" s="1">
        <f>O233</f>
        <v>0</v>
      </c>
    </row>
    <row r="234">
      <c r="A234" s="1">
        <v>307</v>
      </c>
      <c r="B234" s="1">
        <v>17</v>
      </c>
      <c r="C234" s="1">
        <v>0.9</v>
      </c>
      <c r="D234" s="1">
        <v>86</v>
      </c>
      <c r="E234" s="1">
        <v>2</v>
      </c>
      <c r="F234" s="1">
        <v>0</v>
      </c>
      <c r="G234" s="1">
        <v>1</v>
      </c>
      <c r="H234" s="1">
        <v>0</v>
      </c>
      <c r="I234" s="1">
        <v>0</v>
      </c>
      <c r="J234" s="1">
        <v>0</v>
      </c>
      <c r="K234" s="1">
        <v>0</v>
      </c>
      <c r="L234" s="1">
        <v>1</v>
      </c>
      <c r="M234" s="1">
        <v>0</v>
      </c>
      <c r="N234" s="1">
        <v>0</v>
      </c>
      <c r="O234" s="1">
        <v>0</v>
      </c>
      <c r="P234" s="1">
        <f>LN(B234)</f>
        <v>2.83321334405622</v>
      </c>
      <c r="Q234" s="1">
        <f>1-SUM(F234:J234)</f>
        <v>0</v>
      </c>
      <c r="R234" s="1" t="str">
        <f>IF(F234=1,"Napa valley",IF(G234=1,"Bay area",IF(H234=1,"Sonoma",IF(I234=1,"Sierra/foothills",IF(J234=1,"Mendocino/lake","Generic California")))))</f>
        <v>Bay area</v>
      </c>
      <c r="S234" s="1" t="str">
        <f>IF(F234=1,"Napa valley",IF(H234=1,"Sonoma","Other"))</f>
        <v>Other</v>
      </c>
      <c r="T234" s="1" t="str">
        <f>IF(M234=1,"Cabernet",IF(N234=1,"Merlot",IF(L234=1,"Pinot noir","Other")))</f>
        <v>Pinot noir</v>
      </c>
      <c r="U234" s="1" t="str">
        <f>IF(F234=1,B234,"")</f>
        <v/>
      </c>
      <c r="V234" s="1">
        <f>IF(F234=0,B234,"")</f>
        <v>17</v>
      </c>
      <c r="W234" s="1">
        <f>'Part B'!$B$150+SUMPRODUCT('Part B'!$B$164:$N$164,C234:O234)</f>
        <v>22.8981708602497</v>
      </c>
      <c r="X234" s="1">
        <f>B234-W234</f>
        <v>-5.89817086024965</v>
      </c>
      <c r="Y234" s="1">
        <f>'Part B'!$B$179+SUMPRODUCT('Part B'!$B$193:$N$193,C234:O234)</f>
        <v>3.03918218652977</v>
      </c>
      <c r="Z234" s="1">
        <f>P234-Y234</f>
        <v>-0.205968842473553</v>
      </c>
      <c r="AB234" s="1">
        <f>C234</f>
        <v>0.9</v>
      </c>
      <c r="AC234" s="1">
        <f>D234</f>
        <v>86</v>
      </c>
      <c r="AD234" s="1">
        <f>E234</f>
        <v>2</v>
      </c>
      <c r="AE234" s="1">
        <f>F234</f>
        <v>0</v>
      </c>
      <c r="AF234" s="1">
        <f>G234</f>
        <v>1</v>
      </c>
      <c r="AG234" s="1">
        <f>I234</f>
        <v>0</v>
      </c>
      <c r="AH234" s="1">
        <f>J234</f>
        <v>0</v>
      </c>
      <c r="AI234" s="1">
        <f>Q234</f>
        <v>0</v>
      </c>
      <c r="AJ234" s="1">
        <f>K234</f>
        <v>0</v>
      </c>
      <c r="AK234" s="1">
        <f>L234</f>
        <v>1</v>
      </c>
      <c r="AL234" s="1">
        <f>M234</f>
        <v>0</v>
      </c>
      <c r="AM234" s="1">
        <f>N234</f>
        <v>0</v>
      </c>
      <c r="AN234" s="1">
        <f>O234</f>
        <v>0</v>
      </c>
    </row>
    <row r="235">
      <c r="A235" s="1">
        <v>308</v>
      </c>
      <c r="B235" s="1">
        <v>17</v>
      </c>
      <c r="C235" s="1">
        <v>0.44</v>
      </c>
      <c r="D235" s="1">
        <v>72</v>
      </c>
      <c r="E235" s="1">
        <v>2</v>
      </c>
      <c r="F235" s="1">
        <v>0</v>
      </c>
      <c r="G235" s="1">
        <v>0</v>
      </c>
      <c r="H235" s="1">
        <v>0</v>
      </c>
      <c r="I235" s="1">
        <v>0</v>
      </c>
      <c r="J235" s="1">
        <v>1</v>
      </c>
      <c r="K235" s="1">
        <v>0</v>
      </c>
      <c r="L235" s="1">
        <v>1</v>
      </c>
      <c r="M235" s="1">
        <v>0</v>
      </c>
      <c r="N235" s="1">
        <v>0</v>
      </c>
      <c r="O235" s="1">
        <v>0</v>
      </c>
      <c r="P235" s="1">
        <f>LN(B235)</f>
        <v>2.83321334405622</v>
      </c>
      <c r="Q235" s="1">
        <f>1-SUM(F235:J235)</f>
        <v>0</v>
      </c>
      <c r="R235" s="1" t="str">
        <f>IF(F235=1,"Napa valley",IF(G235=1,"Bay area",IF(H235=1,"Sonoma",IF(I235=1,"Sierra/foothills",IF(J235=1,"Mendocino/lake","Generic California")))))</f>
        <v>Mendocino/lake</v>
      </c>
      <c r="S235" s="1" t="str">
        <f>IF(F235=1,"Napa valley",IF(H235=1,"Sonoma","Other"))</f>
        <v>Other</v>
      </c>
      <c r="T235" s="1" t="str">
        <f>IF(M235=1,"Cabernet",IF(N235=1,"Merlot",IF(L235=1,"Pinot noir","Other")))</f>
        <v>Pinot noir</v>
      </c>
      <c r="U235" s="1" t="str">
        <f>IF(F235=1,B235,"")</f>
        <v/>
      </c>
      <c r="V235" s="1">
        <f>IF(F235=0,B235,"")</f>
        <v>17</v>
      </c>
      <c r="W235" s="1">
        <f>'Part B'!$B$150+SUMPRODUCT('Part B'!$B$164:$N$164,C235:O235)</f>
        <v>-22.4868662666944</v>
      </c>
      <c r="X235" s="1">
        <f>B235-W235</f>
        <v>39.4868662666944</v>
      </c>
      <c r="Y235" s="1">
        <f>'Part B'!$B$179+SUMPRODUCT('Part B'!$B$193:$N$193,C235:O235)</f>
        <v>2.04393133038962</v>
      </c>
      <c r="Z235" s="1">
        <f>P235-Y235</f>
        <v>0.789282013666596</v>
      </c>
      <c r="AB235" s="1">
        <f>C235</f>
        <v>0.44</v>
      </c>
      <c r="AC235" s="1">
        <f>D235</f>
        <v>72</v>
      </c>
      <c r="AD235" s="1">
        <f>E235</f>
        <v>2</v>
      </c>
      <c r="AE235" s="1">
        <f>F235</f>
        <v>0</v>
      </c>
      <c r="AF235" s="1">
        <f>G235</f>
        <v>0</v>
      </c>
      <c r="AG235" s="1">
        <f>I235</f>
        <v>0</v>
      </c>
      <c r="AH235" s="1">
        <f>J235</f>
        <v>1</v>
      </c>
      <c r="AI235" s="1">
        <f>Q235</f>
        <v>0</v>
      </c>
      <c r="AJ235" s="1">
        <f>K235</f>
        <v>0</v>
      </c>
      <c r="AK235" s="1">
        <f>L235</f>
        <v>1</v>
      </c>
      <c r="AL235" s="1">
        <f>M235</f>
        <v>0</v>
      </c>
      <c r="AM235" s="1">
        <f>N235</f>
        <v>0</v>
      </c>
      <c r="AN235" s="1">
        <f>O235</f>
        <v>0</v>
      </c>
    </row>
    <row r="236">
      <c r="A236" s="1">
        <v>310</v>
      </c>
      <c r="B236" s="1">
        <v>17</v>
      </c>
      <c r="C236" s="1">
        <v>0.3</v>
      </c>
      <c r="D236" s="1">
        <v>87</v>
      </c>
      <c r="E236" s="1">
        <v>2</v>
      </c>
      <c r="F236" s="1">
        <v>0</v>
      </c>
      <c r="G236" s="1">
        <v>0</v>
      </c>
      <c r="H236" s="1">
        <v>1</v>
      </c>
      <c r="I236" s="1">
        <v>0</v>
      </c>
      <c r="J236" s="1">
        <v>0</v>
      </c>
      <c r="K236" s="1">
        <v>0</v>
      </c>
      <c r="L236" s="1">
        <v>0</v>
      </c>
      <c r="M236" s="1">
        <v>0</v>
      </c>
      <c r="N236" s="1">
        <v>0</v>
      </c>
      <c r="O236" s="1">
        <v>1</v>
      </c>
      <c r="P236" s="1">
        <f>LN(B236)</f>
        <v>2.83321334405622</v>
      </c>
      <c r="Q236" s="1">
        <f>1-SUM(F236:J236)</f>
        <v>0</v>
      </c>
      <c r="R236" s="1" t="str">
        <f>IF(F236=1,"Napa valley",IF(G236=1,"Bay area",IF(H236=1,"Sonoma",IF(I236=1,"Sierra/foothills",IF(J236=1,"Mendocino/lake","Generic California")))))</f>
        <v>Sonoma</v>
      </c>
      <c r="S236" s="1" t="str">
        <f>IF(F236=1,"Napa valley",IF(H236=1,"Sonoma","Other"))</f>
        <v>Sonoma</v>
      </c>
      <c r="T236" s="1" t="str">
        <f>IF(M236=1,"Cabernet",IF(N236=1,"Merlot",IF(L236=1,"Pinot noir","Other")))</f>
        <v>Other</v>
      </c>
      <c r="U236" s="1" t="str">
        <f>IF(F236=1,B236,"")</f>
        <v/>
      </c>
      <c r="V236" s="1">
        <f>IF(F236=0,B236,"")</f>
        <v>17</v>
      </c>
      <c r="W236" s="1">
        <f>'Part B'!$B$150+SUMPRODUCT('Part B'!$B$164:$N$164,C236:O236)</f>
        <v>13.1253483737495</v>
      </c>
      <c r="X236" s="1">
        <f>B236-W236</f>
        <v>3.87465162625051</v>
      </c>
      <c r="Y236" s="1">
        <f>'Part B'!$B$179+SUMPRODUCT('Part B'!$B$193:$N$193,C236:O236)</f>
        <v>2.83536754397555</v>
      </c>
      <c r="Z236" s="1">
        <f>P236-Y236</f>
        <v>-0.00215419991933707</v>
      </c>
      <c r="AB236" s="1">
        <f>C236</f>
        <v>0.3</v>
      </c>
      <c r="AC236" s="1">
        <f>D236</f>
        <v>87</v>
      </c>
      <c r="AD236" s="1">
        <f>E236</f>
        <v>2</v>
      </c>
      <c r="AE236" s="1">
        <f>F236</f>
        <v>0</v>
      </c>
      <c r="AF236" s="1">
        <f>G236</f>
        <v>0</v>
      </c>
      <c r="AG236" s="1">
        <f>I236</f>
        <v>0</v>
      </c>
      <c r="AH236" s="1">
        <f>J236</f>
        <v>0</v>
      </c>
      <c r="AI236" s="1">
        <f>Q236</f>
        <v>0</v>
      </c>
      <c r="AJ236" s="1">
        <f>K236</f>
        <v>0</v>
      </c>
      <c r="AK236" s="1">
        <f>L236</f>
        <v>0</v>
      </c>
      <c r="AL236" s="1">
        <f>M236</f>
        <v>0</v>
      </c>
      <c r="AM236" s="1">
        <f>N236</f>
        <v>0</v>
      </c>
      <c r="AN236" s="1">
        <f>O236</f>
        <v>1</v>
      </c>
    </row>
    <row r="237">
      <c r="A237" s="1">
        <v>311</v>
      </c>
      <c r="B237" s="1">
        <v>18</v>
      </c>
      <c r="C237" s="1">
        <v>4.4</v>
      </c>
      <c r="D237" s="1">
        <v>83</v>
      </c>
      <c r="E237" s="1">
        <v>4</v>
      </c>
      <c r="F237" s="1">
        <v>0</v>
      </c>
      <c r="G237" s="1">
        <v>0</v>
      </c>
      <c r="H237" s="1">
        <v>1</v>
      </c>
      <c r="I237" s="1">
        <v>0</v>
      </c>
      <c r="J237" s="1">
        <v>0</v>
      </c>
      <c r="K237" s="1">
        <v>0</v>
      </c>
      <c r="L237" s="1">
        <v>0</v>
      </c>
      <c r="M237" s="1">
        <v>1</v>
      </c>
      <c r="N237" s="1">
        <v>0</v>
      </c>
      <c r="O237" s="1">
        <v>0</v>
      </c>
      <c r="P237" s="1">
        <f>LN(B237)</f>
        <v>2.89037175789616</v>
      </c>
      <c r="Q237" s="1">
        <f>1-SUM(F237:J237)</f>
        <v>0</v>
      </c>
      <c r="R237" s="1" t="str">
        <f>IF(F237=1,"Napa valley",IF(G237=1,"Bay area",IF(H237=1,"Sonoma",IF(I237=1,"Sierra/foothills",IF(J237=1,"Mendocino/lake","Generic California")))))</f>
        <v>Sonoma</v>
      </c>
      <c r="S237" s="1" t="str">
        <f>IF(F237=1,"Napa valley",IF(H237=1,"Sonoma","Other"))</f>
        <v>Sonoma</v>
      </c>
      <c r="T237" s="1" t="str">
        <f>IF(M237=1,"Cabernet",IF(N237=1,"Merlot",IF(L237=1,"Pinot noir","Other")))</f>
        <v>Cabernet</v>
      </c>
      <c r="U237" s="1" t="str">
        <f>IF(F237=1,B237,"")</f>
        <v/>
      </c>
      <c r="V237" s="1">
        <f>IF(F237=0,B237,"")</f>
        <v>18</v>
      </c>
      <c r="W237" s="1">
        <f>'Part B'!$B$150+SUMPRODUCT('Part B'!$B$164:$N$164,C237:O237)</f>
        <v>26.428563908336</v>
      </c>
      <c r="X237" s="1">
        <f>B237-W237</f>
        <v>-8.428563908336</v>
      </c>
      <c r="Y237" s="1">
        <f>'Part B'!$B$179+SUMPRODUCT('Part B'!$B$193:$N$193,C237:O237)</f>
        <v>3.18191016752143</v>
      </c>
      <c r="Z237" s="1">
        <f>P237-Y237</f>
        <v>-0.291538409625267</v>
      </c>
      <c r="AB237" s="1">
        <f>C237</f>
        <v>4.4</v>
      </c>
      <c r="AC237" s="1">
        <f>D237</f>
        <v>83</v>
      </c>
      <c r="AD237" s="1">
        <f>E237</f>
        <v>4</v>
      </c>
      <c r="AE237" s="1">
        <f>F237</f>
        <v>0</v>
      </c>
      <c r="AF237" s="1">
        <f>G237</f>
        <v>0</v>
      </c>
      <c r="AG237" s="1">
        <f>I237</f>
        <v>0</v>
      </c>
      <c r="AH237" s="1">
        <f>J237</f>
        <v>0</v>
      </c>
      <c r="AI237" s="1">
        <f>Q237</f>
        <v>0</v>
      </c>
      <c r="AJ237" s="1">
        <f>K237</f>
        <v>0</v>
      </c>
      <c r="AK237" s="1">
        <f>L237</f>
        <v>0</v>
      </c>
      <c r="AL237" s="1">
        <f>M237</f>
        <v>1</v>
      </c>
      <c r="AM237" s="1">
        <f>N237</f>
        <v>0</v>
      </c>
      <c r="AN237" s="1">
        <f>O237</f>
        <v>0</v>
      </c>
    </row>
    <row r="238">
      <c r="A238" s="1">
        <v>312</v>
      </c>
      <c r="B238" s="1">
        <v>18</v>
      </c>
      <c r="C238" s="1">
        <v>0.653</v>
      </c>
      <c r="D238" s="1">
        <v>84</v>
      </c>
      <c r="E238" s="1">
        <v>4</v>
      </c>
      <c r="F238" s="1">
        <v>0</v>
      </c>
      <c r="G238" s="1">
        <v>0</v>
      </c>
      <c r="H238" s="1">
        <v>1</v>
      </c>
      <c r="I238" s="1">
        <v>0</v>
      </c>
      <c r="J238" s="1">
        <v>0</v>
      </c>
      <c r="K238" s="1">
        <v>0</v>
      </c>
      <c r="L238" s="1">
        <v>0</v>
      </c>
      <c r="M238" s="1">
        <v>0</v>
      </c>
      <c r="N238" s="1">
        <v>0</v>
      </c>
      <c r="O238" s="1">
        <v>0</v>
      </c>
      <c r="P238" s="1">
        <f>LN(B238)</f>
        <v>2.89037175789616</v>
      </c>
      <c r="Q238" s="1">
        <f>1-SUM(F238:J238)</f>
        <v>0</v>
      </c>
      <c r="R238" s="1" t="str">
        <f>IF(F238=1,"Napa valley",IF(G238=1,"Bay area",IF(H238=1,"Sonoma",IF(I238=1,"Sierra/foothills",IF(J238=1,"Mendocino/lake","Generic California")))))</f>
        <v>Sonoma</v>
      </c>
      <c r="S238" s="1" t="str">
        <f>IF(F238=1,"Napa valley",IF(H238=1,"Sonoma","Other"))</f>
        <v>Sonoma</v>
      </c>
      <c r="T238" s="1" t="str">
        <f>IF(M238=1,"Cabernet",IF(N238=1,"Merlot",IF(L238=1,"Pinot noir","Other")))</f>
        <v>Other</v>
      </c>
      <c r="U238" s="1" t="str">
        <f>IF(F238=1,B238,"")</f>
        <v/>
      </c>
      <c r="V238" s="1">
        <f>IF(F238=0,B238,"")</f>
        <v>18</v>
      </c>
      <c r="W238" s="1">
        <f>'Part B'!$B$150+SUMPRODUCT('Part B'!$B$164:$N$164,C238:O238)</f>
        <v>17.3020492533103</v>
      </c>
      <c r="X238" s="1">
        <f>B238-W238</f>
        <v>0.697950746689742</v>
      </c>
      <c r="Y238" s="1">
        <f>'Part B'!$B$179+SUMPRODUCT('Part B'!$B$193:$N$193,C238:O238)</f>
        <v>2.94690954052411</v>
      </c>
      <c r="Z238" s="1">
        <f>P238-Y238</f>
        <v>-0.0565377826279487</v>
      </c>
      <c r="AB238" s="1">
        <f>C238</f>
        <v>0.653</v>
      </c>
      <c r="AC238" s="1">
        <f>D238</f>
        <v>84</v>
      </c>
      <c r="AD238" s="1">
        <f>E238</f>
        <v>4</v>
      </c>
      <c r="AE238" s="1">
        <f>F238</f>
        <v>0</v>
      </c>
      <c r="AF238" s="1">
        <f>G238</f>
        <v>0</v>
      </c>
      <c r="AG238" s="1">
        <f>I238</f>
        <v>0</v>
      </c>
      <c r="AH238" s="1">
        <f>J238</f>
        <v>0</v>
      </c>
      <c r="AI238" s="1">
        <f>Q238</f>
        <v>0</v>
      </c>
      <c r="AJ238" s="1">
        <f>K238</f>
        <v>0</v>
      </c>
      <c r="AK238" s="1">
        <f>L238</f>
        <v>0</v>
      </c>
      <c r="AL238" s="1">
        <f>M238</f>
        <v>0</v>
      </c>
      <c r="AM238" s="1">
        <f>N238</f>
        <v>0</v>
      </c>
      <c r="AN238" s="1">
        <f>O238</f>
        <v>0</v>
      </c>
    </row>
    <row r="239">
      <c r="A239" s="1">
        <v>313</v>
      </c>
      <c r="B239" s="1">
        <v>18</v>
      </c>
      <c r="C239" s="1">
        <v>6.176</v>
      </c>
      <c r="D239" s="1">
        <v>86</v>
      </c>
      <c r="E239" s="1">
        <v>4</v>
      </c>
      <c r="F239" s="1">
        <v>1</v>
      </c>
      <c r="G239" s="1">
        <v>0</v>
      </c>
      <c r="H239" s="1">
        <v>0</v>
      </c>
      <c r="I239" s="1">
        <v>0</v>
      </c>
      <c r="J239" s="1">
        <v>0</v>
      </c>
      <c r="K239" s="1">
        <v>0</v>
      </c>
      <c r="L239" s="1">
        <v>0</v>
      </c>
      <c r="M239" s="1">
        <v>1</v>
      </c>
      <c r="N239" s="1">
        <v>0</v>
      </c>
      <c r="O239" s="1">
        <v>0</v>
      </c>
      <c r="P239" s="1">
        <f>LN(B239)</f>
        <v>2.89037175789616</v>
      </c>
      <c r="Q239" s="1">
        <f>1-SUM(F239:J239)</f>
        <v>0</v>
      </c>
      <c r="R239" s="1" t="str">
        <f>IF(F239=1,"Napa valley",IF(G239=1,"Bay area",IF(H239=1,"Sonoma",IF(I239=1,"Sierra/foothills",IF(J239=1,"Mendocino/lake","Generic California")))))</f>
        <v>Napa valley</v>
      </c>
      <c r="S239" s="1" t="str">
        <f>IF(F239=1,"Napa valley",IF(H239=1,"Sonoma","Other"))</f>
        <v>Napa valley</v>
      </c>
      <c r="T239" s="1" t="str">
        <f>IF(M239=1,"Cabernet",IF(N239=1,"Merlot",IF(L239=1,"Pinot noir","Other")))</f>
        <v>Cabernet</v>
      </c>
      <c r="U239" s="1">
        <f>IF(F239=1,B239,"")</f>
        <v>18</v>
      </c>
      <c r="V239" s="1" t="str">
        <f>IF(F239=0,B239,"")</f>
        <v/>
      </c>
      <c r="W239" s="1">
        <f>'Part B'!$B$150+SUMPRODUCT('Part B'!$B$164:$N$164,C239:O239)</f>
        <v>43.5917361503522</v>
      </c>
      <c r="X239" s="1">
        <f>B239-W239</f>
        <v>-25.5917361503522</v>
      </c>
      <c r="Y239" s="1">
        <f>'Part B'!$B$179+SUMPRODUCT('Part B'!$B$193:$N$193,C239:O239)</f>
        <v>3.53198221556421</v>
      </c>
      <c r="Z239" s="1">
        <f>P239-Y239</f>
        <v>-0.641610457668049</v>
      </c>
      <c r="AB239" s="1">
        <f>C239</f>
        <v>6.176</v>
      </c>
      <c r="AC239" s="1">
        <f>D239</f>
        <v>86</v>
      </c>
      <c r="AD239" s="1">
        <f>E239</f>
        <v>4</v>
      </c>
      <c r="AE239" s="1">
        <f>F239</f>
        <v>1</v>
      </c>
      <c r="AF239" s="1">
        <f>G239</f>
        <v>0</v>
      </c>
      <c r="AG239" s="1">
        <f>I239</f>
        <v>0</v>
      </c>
      <c r="AH239" s="1">
        <f>J239</f>
        <v>0</v>
      </c>
      <c r="AI239" s="1">
        <f>Q239</f>
        <v>0</v>
      </c>
      <c r="AJ239" s="1">
        <f>K239</f>
        <v>0</v>
      </c>
      <c r="AK239" s="1">
        <f>L239</f>
        <v>0</v>
      </c>
      <c r="AL239" s="1">
        <f>M239</f>
        <v>1</v>
      </c>
      <c r="AM239" s="1">
        <f>N239</f>
        <v>0</v>
      </c>
      <c r="AN239" s="1">
        <f>O239</f>
        <v>0</v>
      </c>
    </row>
    <row r="240">
      <c r="A240" s="1">
        <v>314</v>
      </c>
      <c r="B240" s="1">
        <v>18</v>
      </c>
      <c r="C240" s="1">
        <v>1.6</v>
      </c>
      <c r="D240" s="1">
        <v>84</v>
      </c>
      <c r="E240" s="1">
        <v>3</v>
      </c>
      <c r="F240" s="1">
        <v>1</v>
      </c>
      <c r="G240" s="1">
        <v>0</v>
      </c>
      <c r="H240" s="1">
        <v>0</v>
      </c>
      <c r="I240" s="1">
        <v>0</v>
      </c>
      <c r="J240" s="1">
        <v>0</v>
      </c>
      <c r="K240" s="1">
        <v>0</v>
      </c>
      <c r="L240" s="1">
        <v>0</v>
      </c>
      <c r="M240" s="1">
        <v>1</v>
      </c>
      <c r="N240" s="1">
        <v>0</v>
      </c>
      <c r="O240" s="1">
        <v>0</v>
      </c>
      <c r="P240" s="1">
        <f>LN(B240)</f>
        <v>2.89037175789616</v>
      </c>
      <c r="Q240" s="1">
        <f>1-SUM(F240:J240)</f>
        <v>0</v>
      </c>
      <c r="R240" s="1" t="str">
        <f>IF(F240=1,"Napa valley",IF(G240=1,"Bay area",IF(H240=1,"Sonoma",IF(I240=1,"Sierra/foothills",IF(J240=1,"Mendocino/lake","Generic California")))))</f>
        <v>Napa valley</v>
      </c>
      <c r="S240" s="1" t="str">
        <f>IF(F240=1,"Napa valley",IF(H240=1,"Sonoma","Other"))</f>
        <v>Napa valley</v>
      </c>
      <c r="T240" s="1" t="str">
        <f>IF(M240=1,"Cabernet",IF(N240=1,"Merlot",IF(L240=1,"Pinot noir","Other")))</f>
        <v>Cabernet</v>
      </c>
      <c r="U240" s="1">
        <f>IF(F240=1,B240,"")</f>
        <v>18</v>
      </c>
      <c r="V240" s="1" t="str">
        <f>IF(F240=0,B240,"")</f>
        <v/>
      </c>
      <c r="W240" s="1">
        <f>'Part B'!$B$150+SUMPRODUCT('Part B'!$B$164:$N$164,C240:O240)</f>
        <v>31.11626261708</v>
      </c>
      <c r="X240" s="1">
        <f>B240-W240</f>
        <v>-13.11626261708</v>
      </c>
      <c r="Y240" s="1">
        <f>'Part B'!$B$179+SUMPRODUCT('Part B'!$B$193:$N$193,C240:O240)</f>
        <v>3.22855520678365</v>
      </c>
      <c r="Z240" s="1">
        <f>P240-Y240</f>
        <v>-0.338183448887489</v>
      </c>
      <c r="AB240" s="1">
        <f>C240</f>
        <v>1.6</v>
      </c>
      <c r="AC240" s="1">
        <f>D240</f>
        <v>84</v>
      </c>
      <c r="AD240" s="1">
        <f>E240</f>
        <v>3</v>
      </c>
      <c r="AE240" s="1">
        <f>F240</f>
        <v>1</v>
      </c>
      <c r="AF240" s="1">
        <f>G240</f>
        <v>0</v>
      </c>
      <c r="AG240" s="1">
        <f>I240</f>
        <v>0</v>
      </c>
      <c r="AH240" s="1">
        <f>J240</f>
        <v>0</v>
      </c>
      <c r="AI240" s="1">
        <f>Q240</f>
        <v>0</v>
      </c>
      <c r="AJ240" s="1">
        <f>K240</f>
        <v>0</v>
      </c>
      <c r="AK240" s="1">
        <f>L240</f>
        <v>0</v>
      </c>
      <c r="AL240" s="1">
        <f>M240</f>
        <v>1</v>
      </c>
      <c r="AM240" s="1">
        <f>N240</f>
        <v>0</v>
      </c>
      <c r="AN240" s="1">
        <f>O240</f>
        <v>0</v>
      </c>
    </row>
    <row r="241">
      <c r="A241" s="1">
        <v>315</v>
      </c>
      <c r="B241" s="1">
        <v>18</v>
      </c>
      <c r="C241" s="1">
        <v>2.8</v>
      </c>
      <c r="D241" s="1">
        <v>86</v>
      </c>
      <c r="E241" s="1">
        <v>3</v>
      </c>
      <c r="F241" s="1">
        <v>1</v>
      </c>
      <c r="G241" s="1">
        <v>0</v>
      </c>
      <c r="H241" s="1">
        <v>0</v>
      </c>
      <c r="I241" s="1">
        <v>0</v>
      </c>
      <c r="J241" s="1">
        <v>0</v>
      </c>
      <c r="K241" s="1">
        <v>0</v>
      </c>
      <c r="L241" s="1">
        <v>0</v>
      </c>
      <c r="M241" s="1">
        <v>0</v>
      </c>
      <c r="N241" s="1">
        <v>1</v>
      </c>
      <c r="O241" s="1">
        <v>0</v>
      </c>
      <c r="P241" s="1">
        <f>LN(B241)</f>
        <v>2.89037175789616</v>
      </c>
      <c r="Q241" s="1">
        <f>1-SUM(F241:J241)</f>
        <v>0</v>
      </c>
      <c r="R241" s="1" t="str">
        <f>IF(F241=1,"Napa valley",IF(G241=1,"Bay area",IF(H241=1,"Sonoma",IF(I241=1,"Sierra/foothills",IF(J241=1,"Mendocino/lake","Generic California")))))</f>
        <v>Napa valley</v>
      </c>
      <c r="S241" s="1" t="str">
        <f>IF(F241=1,"Napa valley",IF(H241=1,"Sonoma","Other"))</f>
        <v>Napa valley</v>
      </c>
      <c r="T241" s="1" t="str">
        <f>IF(M241=1,"Cabernet",IF(N241=1,"Merlot",IF(L241=1,"Pinot noir","Other")))</f>
        <v>Merlot</v>
      </c>
      <c r="U241" s="1">
        <f>IF(F241=1,B241,"")</f>
        <v>18</v>
      </c>
      <c r="V241" s="1" t="str">
        <f>IF(F241=0,B241,"")</f>
        <v/>
      </c>
      <c r="W241" s="1">
        <f>'Part B'!$B$150+SUMPRODUCT('Part B'!$B$164:$N$164,C241:O241)</f>
        <v>32.3255161904186</v>
      </c>
      <c r="X241" s="1">
        <f>B241-W241</f>
        <v>-14.3255161904186</v>
      </c>
      <c r="Y241" s="1">
        <f>'Part B'!$B$179+SUMPRODUCT('Part B'!$B$193:$N$193,C241:O241)</f>
        <v>3.32686213328536</v>
      </c>
      <c r="Z241" s="1">
        <f>P241-Y241</f>
        <v>-0.4364903753892</v>
      </c>
      <c r="AB241" s="1">
        <f>C241</f>
        <v>2.8</v>
      </c>
      <c r="AC241" s="1">
        <f>D241</f>
        <v>86</v>
      </c>
      <c r="AD241" s="1">
        <f>E241</f>
        <v>3</v>
      </c>
      <c r="AE241" s="1">
        <f>F241</f>
        <v>1</v>
      </c>
      <c r="AF241" s="1">
        <f>G241</f>
        <v>0</v>
      </c>
      <c r="AG241" s="1">
        <f>I241</f>
        <v>0</v>
      </c>
      <c r="AH241" s="1">
        <f>J241</f>
        <v>0</v>
      </c>
      <c r="AI241" s="1">
        <f>Q241</f>
        <v>0</v>
      </c>
      <c r="AJ241" s="1">
        <f>K241</f>
        <v>0</v>
      </c>
      <c r="AK241" s="1">
        <f>L241</f>
        <v>0</v>
      </c>
      <c r="AL241" s="1">
        <f>M241</f>
        <v>0</v>
      </c>
      <c r="AM241" s="1">
        <f>N241</f>
        <v>1</v>
      </c>
      <c r="AN241" s="1">
        <f>O241</f>
        <v>0</v>
      </c>
    </row>
    <row r="242">
      <c r="A242" s="1">
        <v>316</v>
      </c>
      <c r="B242" s="1">
        <v>18</v>
      </c>
      <c r="C242" s="1">
        <v>0.225</v>
      </c>
      <c r="D242" s="1">
        <v>84</v>
      </c>
      <c r="E242" s="1">
        <v>3</v>
      </c>
      <c r="F242" s="1">
        <v>0</v>
      </c>
      <c r="G242" s="1">
        <v>0</v>
      </c>
      <c r="H242" s="1">
        <v>1</v>
      </c>
      <c r="I242" s="1">
        <v>0</v>
      </c>
      <c r="J242" s="1">
        <v>0</v>
      </c>
      <c r="K242" s="1">
        <v>0</v>
      </c>
      <c r="L242" s="1">
        <v>0</v>
      </c>
      <c r="M242" s="1">
        <v>0</v>
      </c>
      <c r="N242" s="1">
        <v>1</v>
      </c>
      <c r="O242" s="1">
        <v>0</v>
      </c>
      <c r="P242" s="1">
        <f>LN(B242)</f>
        <v>2.89037175789616</v>
      </c>
      <c r="Q242" s="1">
        <f>1-SUM(F242:J242)</f>
        <v>0</v>
      </c>
      <c r="R242" s="1" t="str">
        <f>IF(F242=1,"Napa valley",IF(G242=1,"Bay area",IF(H242=1,"Sonoma",IF(I242=1,"Sierra/foothills",IF(J242=1,"Mendocino/lake","Generic California")))))</f>
        <v>Sonoma</v>
      </c>
      <c r="S242" s="1" t="str">
        <f>IF(F242=1,"Napa valley",IF(H242=1,"Sonoma","Other"))</f>
        <v>Sonoma</v>
      </c>
      <c r="T242" s="1" t="str">
        <f>IF(M242=1,"Cabernet",IF(N242=1,"Merlot",IF(L242=1,"Pinot noir","Other")))</f>
        <v>Merlot</v>
      </c>
      <c r="U242" s="1" t="str">
        <f>IF(F242=1,B242,"")</f>
        <v/>
      </c>
      <c r="V242" s="1">
        <f>IF(F242=0,B242,"")</f>
        <v>18</v>
      </c>
      <c r="W242" s="1">
        <f>'Part B'!$B$150+SUMPRODUCT('Part B'!$B$164:$N$164,C242:O242)</f>
        <v>18.3832771426975</v>
      </c>
      <c r="X242" s="1">
        <f>B242-W242</f>
        <v>-0.383277142697466</v>
      </c>
      <c r="Y242" s="1">
        <f>'Part B'!$B$179+SUMPRODUCT('Part B'!$B$193:$N$193,C242:O242)</f>
        <v>3.05017042868893</v>
      </c>
      <c r="Z242" s="1">
        <f>P242-Y242</f>
        <v>-0.159798670792766</v>
      </c>
      <c r="AB242" s="1">
        <f>C242</f>
        <v>0.225</v>
      </c>
      <c r="AC242" s="1">
        <f>D242</f>
        <v>84</v>
      </c>
      <c r="AD242" s="1">
        <f>E242</f>
        <v>3</v>
      </c>
      <c r="AE242" s="1">
        <f>F242</f>
        <v>0</v>
      </c>
      <c r="AF242" s="1">
        <f>G242</f>
        <v>0</v>
      </c>
      <c r="AG242" s="1">
        <f>I242</f>
        <v>0</v>
      </c>
      <c r="AH242" s="1">
        <f>J242</f>
        <v>0</v>
      </c>
      <c r="AI242" s="1">
        <f>Q242</f>
        <v>0</v>
      </c>
      <c r="AJ242" s="1">
        <f>K242</f>
        <v>0</v>
      </c>
      <c r="AK242" s="1">
        <f>L242</f>
        <v>0</v>
      </c>
      <c r="AL242" s="1">
        <f>M242</f>
        <v>0</v>
      </c>
      <c r="AM242" s="1">
        <f>N242</f>
        <v>1</v>
      </c>
      <c r="AN242" s="1">
        <f>O242</f>
        <v>0</v>
      </c>
    </row>
    <row r="243">
      <c r="A243" s="1">
        <v>319</v>
      </c>
      <c r="B243" s="1">
        <v>18</v>
      </c>
      <c r="C243" s="1">
        <v>0.8</v>
      </c>
      <c r="D243" s="1">
        <v>84</v>
      </c>
      <c r="E243" s="1">
        <v>3</v>
      </c>
      <c r="F243" s="1">
        <v>0</v>
      </c>
      <c r="G243" s="1">
        <v>0</v>
      </c>
      <c r="H243" s="1">
        <v>0</v>
      </c>
      <c r="I243" s="1">
        <v>0</v>
      </c>
      <c r="J243" s="1">
        <v>0</v>
      </c>
      <c r="K243" s="1">
        <v>0</v>
      </c>
      <c r="L243" s="1">
        <v>1</v>
      </c>
      <c r="M243" s="1">
        <v>0</v>
      </c>
      <c r="N243" s="1">
        <v>0</v>
      </c>
      <c r="O243" s="1">
        <v>0</v>
      </c>
      <c r="P243" s="1">
        <f>LN(B243)</f>
        <v>2.89037175789616</v>
      </c>
      <c r="Q243" s="1">
        <f>1-SUM(F243:J243)</f>
        <v>1</v>
      </c>
      <c r="R243" s="1" t="str">
        <f>IF(F243=1,"Napa valley",IF(G243=1,"Bay area",IF(H243=1,"Sonoma",IF(I243=1,"Sierra/foothills",IF(J243=1,"Mendocino/lake","Generic California")))))</f>
        <v>Generic California</v>
      </c>
      <c r="S243" s="1" t="str">
        <f>IF(F243=1,"Napa valley",IF(H243=1,"Sonoma","Other"))</f>
        <v>Other</v>
      </c>
      <c r="T243" s="1" t="str">
        <f>IF(M243=1,"Cabernet",IF(N243=1,"Merlot",IF(L243=1,"Pinot noir","Other")))</f>
        <v>Pinot noir</v>
      </c>
      <c r="U243" s="1" t="str">
        <f>IF(F243=1,B243,"")</f>
        <v/>
      </c>
      <c r="V243" s="1">
        <f>IF(F243=0,B243,"")</f>
        <v>18</v>
      </c>
      <c r="W243" s="1">
        <f>'Part B'!$B$150+SUMPRODUCT('Part B'!$B$164:$N$164,C243:O243)</f>
        <v>20.9581950839421</v>
      </c>
      <c r="X243" s="1">
        <f>B243-W243</f>
        <v>-2.95819508394209</v>
      </c>
      <c r="Y243" s="1">
        <f>'Part B'!$B$179+SUMPRODUCT('Part B'!$B$193:$N$193,C243:O243)</f>
        <v>2.82778566530306</v>
      </c>
      <c r="Z243" s="1">
        <f>P243-Y243</f>
        <v>0.0625860925931034</v>
      </c>
      <c r="AB243" s="1">
        <f>C243</f>
        <v>0.8</v>
      </c>
      <c r="AC243" s="1">
        <f>D243</f>
        <v>84</v>
      </c>
      <c r="AD243" s="1">
        <f>E243</f>
        <v>3</v>
      </c>
      <c r="AE243" s="1">
        <f>F243</f>
        <v>0</v>
      </c>
      <c r="AF243" s="1">
        <f>G243</f>
        <v>0</v>
      </c>
      <c r="AG243" s="1">
        <f>I243</f>
        <v>0</v>
      </c>
      <c r="AH243" s="1">
        <f>J243</f>
        <v>0</v>
      </c>
      <c r="AI243" s="1">
        <f>Q243</f>
        <v>1</v>
      </c>
      <c r="AJ243" s="1">
        <f>K243</f>
        <v>0</v>
      </c>
      <c r="AK243" s="1">
        <f>L243</f>
        <v>1</v>
      </c>
      <c r="AL243" s="1">
        <f>M243</f>
        <v>0</v>
      </c>
      <c r="AM243" s="1">
        <f>N243</f>
        <v>0</v>
      </c>
      <c r="AN243" s="1">
        <f>O243</f>
        <v>0</v>
      </c>
    </row>
    <row r="244">
      <c r="A244" s="1">
        <v>320</v>
      </c>
      <c r="B244" s="1">
        <v>18</v>
      </c>
      <c r="C244" s="1">
        <v>0.55</v>
      </c>
      <c r="D244" s="1">
        <v>82</v>
      </c>
      <c r="E244" s="1">
        <v>3</v>
      </c>
      <c r="F244" s="1">
        <v>0</v>
      </c>
      <c r="G244" s="1">
        <v>0</v>
      </c>
      <c r="H244" s="1">
        <v>1</v>
      </c>
      <c r="I244" s="1">
        <v>0</v>
      </c>
      <c r="J244" s="1">
        <v>0</v>
      </c>
      <c r="K244" s="1">
        <v>0</v>
      </c>
      <c r="L244" s="1">
        <v>0</v>
      </c>
      <c r="M244" s="1">
        <v>0</v>
      </c>
      <c r="N244" s="1">
        <v>1</v>
      </c>
      <c r="O244" s="1">
        <v>0</v>
      </c>
      <c r="P244" s="1">
        <f>LN(B244)</f>
        <v>2.89037175789616</v>
      </c>
      <c r="Q244" s="1">
        <f>1-SUM(F244:J244)</f>
        <v>0</v>
      </c>
      <c r="R244" s="1" t="str">
        <f>IF(F244=1,"Napa valley",IF(G244=1,"Bay area",IF(H244=1,"Sonoma",IF(I244=1,"Sierra/foothills",IF(J244=1,"Mendocino/lake","Generic California")))))</f>
        <v>Sonoma</v>
      </c>
      <c r="S244" s="1" t="str">
        <f>IF(F244=1,"Napa valley",IF(H244=1,"Sonoma","Other"))</f>
        <v>Sonoma</v>
      </c>
      <c r="T244" s="1" t="str">
        <f>IF(M244=1,"Cabernet",IF(N244=1,"Merlot",IF(L244=1,"Pinot noir","Other")))</f>
        <v>Merlot</v>
      </c>
      <c r="U244" s="1" t="str">
        <f>IF(F244=1,B244,"")</f>
        <v/>
      </c>
      <c r="V244" s="1">
        <f>IF(F244=0,B244,"")</f>
        <v>18</v>
      </c>
      <c r="W244" s="1">
        <f>'Part B'!$B$150+SUMPRODUCT('Part B'!$B$164:$N$164,C244:O244)</f>
        <v>12.0622359828464</v>
      </c>
      <c r="X244" s="1">
        <f>B244-W244</f>
        <v>5.9377640171536</v>
      </c>
      <c r="Y244" s="1">
        <f>'Part B'!$B$179+SUMPRODUCT('Part B'!$B$193:$N$193,C244:O244)</f>
        <v>2.90885699427193</v>
      </c>
      <c r="Z244" s="1">
        <f>P244-Y244</f>
        <v>-0.0184852363757608</v>
      </c>
      <c r="AB244" s="1">
        <f>C244</f>
        <v>0.55</v>
      </c>
      <c r="AC244" s="1">
        <f>D244</f>
        <v>82</v>
      </c>
      <c r="AD244" s="1">
        <f>E244</f>
        <v>3</v>
      </c>
      <c r="AE244" s="1">
        <f>F244</f>
        <v>0</v>
      </c>
      <c r="AF244" s="1">
        <f>G244</f>
        <v>0</v>
      </c>
      <c r="AG244" s="1">
        <f>I244</f>
        <v>0</v>
      </c>
      <c r="AH244" s="1">
        <f>J244</f>
        <v>0</v>
      </c>
      <c r="AI244" s="1">
        <f>Q244</f>
        <v>0</v>
      </c>
      <c r="AJ244" s="1">
        <f>K244</f>
        <v>0</v>
      </c>
      <c r="AK244" s="1">
        <f>L244</f>
        <v>0</v>
      </c>
      <c r="AL244" s="1">
        <f>M244</f>
        <v>0</v>
      </c>
      <c r="AM244" s="1">
        <f>N244</f>
        <v>1</v>
      </c>
      <c r="AN244" s="1">
        <f>O244</f>
        <v>0</v>
      </c>
    </row>
    <row r="245">
      <c r="A245" s="1">
        <v>322</v>
      </c>
      <c r="B245" s="1">
        <v>18</v>
      </c>
      <c r="C245" s="1">
        <v>6.692</v>
      </c>
      <c r="D245" s="1">
        <v>87</v>
      </c>
      <c r="E245" s="1">
        <v>3</v>
      </c>
      <c r="F245" s="1">
        <v>0</v>
      </c>
      <c r="G245" s="1">
        <v>1</v>
      </c>
      <c r="H245" s="1">
        <v>0</v>
      </c>
      <c r="I245" s="1">
        <v>0</v>
      </c>
      <c r="J245" s="1">
        <v>0</v>
      </c>
      <c r="K245" s="1">
        <v>0</v>
      </c>
      <c r="L245" s="1">
        <v>0</v>
      </c>
      <c r="M245" s="1">
        <v>0</v>
      </c>
      <c r="N245" s="1">
        <v>0</v>
      </c>
      <c r="O245" s="1">
        <v>0</v>
      </c>
      <c r="P245" s="1">
        <f>LN(B245)</f>
        <v>2.89037175789616</v>
      </c>
      <c r="Q245" s="1">
        <f>1-SUM(F245:J245)</f>
        <v>0</v>
      </c>
      <c r="R245" s="1" t="str">
        <f>IF(F245=1,"Napa valley",IF(G245=1,"Bay area",IF(H245=1,"Sonoma",IF(I245=1,"Sierra/foothills",IF(J245=1,"Mendocino/lake","Generic California")))))</f>
        <v>Bay area</v>
      </c>
      <c r="S245" s="1" t="str">
        <f>IF(F245=1,"Napa valley",IF(H245=1,"Sonoma","Other"))</f>
        <v>Other</v>
      </c>
      <c r="T245" s="1" t="str">
        <f>IF(M245=1,"Cabernet",IF(N245=1,"Merlot",IF(L245=1,"Pinot noir","Other")))</f>
        <v>Other</v>
      </c>
      <c r="U245" s="1" t="str">
        <f>IF(F245=1,B245,"")</f>
        <v/>
      </c>
      <c r="V245" s="1">
        <f>IF(F245=0,B245,"")</f>
        <v>18</v>
      </c>
      <c r="W245" s="1">
        <f>'Part B'!$B$150+SUMPRODUCT('Part B'!$B$164:$N$164,C245:O245)</f>
        <v>22.6588726306132</v>
      </c>
      <c r="X245" s="1">
        <f>B245-W245</f>
        <v>-4.65887263061325</v>
      </c>
      <c r="Y245" s="1">
        <f>'Part B'!$B$179+SUMPRODUCT('Part B'!$B$193:$N$193,C245:O245)</f>
        <v>2.92092220280017</v>
      </c>
      <c r="Z245" s="1">
        <f>P245-Y245</f>
        <v>-0.0305504449040024</v>
      </c>
      <c r="AB245" s="1">
        <f>C245</f>
        <v>6.692</v>
      </c>
      <c r="AC245" s="1">
        <f>D245</f>
        <v>87</v>
      </c>
      <c r="AD245" s="1">
        <f>E245</f>
        <v>3</v>
      </c>
      <c r="AE245" s="1">
        <f>F245</f>
        <v>0</v>
      </c>
      <c r="AF245" s="1">
        <f>G245</f>
        <v>1</v>
      </c>
      <c r="AG245" s="1">
        <f>I245</f>
        <v>0</v>
      </c>
      <c r="AH245" s="1">
        <f>J245</f>
        <v>0</v>
      </c>
      <c r="AI245" s="1">
        <f>Q245</f>
        <v>0</v>
      </c>
      <c r="AJ245" s="1">
        <f>K245</f>
        <v>0</v>
      </c>
      <c r="AK245" s="1">
        <f>L245</f>
        <v>0</v>
      </c>
      <c r="AL245" s="1">
        <f>M245</f>
        <v>0</v>
      </c>
      <c r="AM245" s="1">
        <f>N245</f>
        <v>0</v>
      </c>
      <c r="AN245" s="1">
        <f>O245</f>
        <v>0</v>
      </c>
    </row>
    <row r="246">
      <c r="A246" s="1">
        <v>324</v>
      </c>
      <c r="B246" s="1">
        <v>18</v>
      </c>
      <c r="C246" s="1">
        <v>7.215</v>
      </c>
      <c r="D246" s="1">
        <v>88</v>
      </c>
      <c r="E246" s="1">
        <v>3</v>
      </c>
      <c r="F246" s="1">
        <v>0</v>
      </c>
      <c r="G246" s="1">
        <v>0</v>
      </c>
      <c r="H246" s="1">
        <v>1</v>
      </c>
      <c r="I246" s="1">
        <v>0</v>
      </c>
      <c r="J246" s="1">
        <v>0</v>
      </c>
      <c r="K246" s="1">
        <v>0</v>
      </c>
      <c r="L246" s="1">
        <v>1</v>
      </c>
      <c r="M246" s="1">
        <v>0</v>
      </c>
      <c r="N246" s="1">
        <v>0</v>
      </c>
      <c r="O246" s="1">
        <v>0</v>
      </c>
      <c r="P246" s="1">
        <f>LN(B246)</f>
        <v>2.89037175789616</v>
      </c>
      <c r="Q246" s="1">
        <f>1-SUM(F246:J246)</f>
        <v>0</v>
      </c>
      <c r="R246" s="1" t="str">
        <f>IF(F246=1,"Napa valley",IF(G246=1,"Bay area",IF(H246=1,"Sonoma",IF(I246=1,"Sierra/foothills",IF(J246=1,"Mendocino/lake","Generic California")))))</f>
        <v>Sonoma</v>
      </c>
      <c r="S246" s="1" t="str">
        <f>IF(F246=1,"Napa valley",IF(H246=1,"Sonoma","Other"))</f>
        <v>Sonoma</v>
      </c>
      <c r="T246" s="1" t="str">
        <f>IF(M246=1,"Cabernet",IF(N246=1,"Merlot",IF(L246=1,"Pinot noir","Other")))</f>
        <v>Pinot noir</v>
      </c>
      <c r="U246" s="1" t="str">
        <f>IF(F246=1,B246,"")</f>
        <v/>
      </c>
      <c r="V246" s="1">
        <f>IF(F246=0,B246,"")</f>
        <v>18</v>
      </c>
      <c r="W246" s="1">
        <f>'Part B'!$B$150+SUMPRODUCT('Part B'!$B$164:$N$164,C246:O246)</f>
        <v>32.0942682347402</v>
      </c>
      <c r="X246" s="1">
        <f>B246-W246</f>
        <v>-14.0942682347402</v>
      </c>
      <c r="Y246" s="1">
        <f>'Part B'!$B$179+SUMPRODUCT('Part B'!$B$193:$N$193,C246:O246)</f>
        <v>3.36211277273049</v>
      </c>
      <c r="Z246" s="1">
        <f>P246-Y246</f>
        <v>-0.471741014834322</v>
      </c>
      <c r="AB246" s="1">
        <f>C246</f>
        <v>7.215</v>
      </c>
      <c r="AC246" s="1">
        <f>D246</f>
        <v>88</v>
      </c>
      <c r="AD246" s="1">
        <f>E246</f>
        <v>3</v>
      </c>
      <c r="AE246" s="1">
        <f>F246</f>
        <v>0</v>
      </c>
      <c r="AF246" s="1">
        <f>G246</f>
        <v>0</v>
      </c>
      <c r="AG246" s="1">
        <f>I246</f>
        <v>0</v>
      </c>
      <c r="AH246" s="1">
        <f>J246</f>
        <v>0</v>
      </c>
      <c r="AI246" s="1">
        <f>Q246</f>
        <v>0</v>
      </c>
      <c r="AJ246" s="1">
        <f>K246</f>
        <v>0</v>
      </c>
      <c r="AK246" s="1">
        <f>L246</f>
        <v>1</v>
      </c>
      <c r="AL246" s="1">
        <f>M246</f>
        <v>0</v>
      </c>
      <c r="AM246" s="1">
        <f>N246</f>
        <v>0</v>
      </c>
      <c r="AN246" s="1">
        <f>O246</f>
        <v>0</v>
      </c>
    </row>
    <row r="247">
      <c r="A247" s="1">
        <v>327</v>
      </c>
      <c r="B247" s="1">
        <v>18</v>
      </c>
      <c r="C247" s="1">
        <v>6.8</v>
      </c>
      <c r="D247" s="1">
        <v>84</v>
      </c>
      <c r="E247" s="1">
        <v>3</v>
      </c>
      <c r="F247" s="1">
        <v>0</v>
      </c>
      <c r="G247" s="1">
        <v>0</v>
      </c>
      <c r="H247" s="1">
        <v>1</v>
      </c>
      <c r="I247" s="1">
        <v>0</v>
      </c>
      <c r="J247" s="1">
        <v>0</v>
      </c>
      <c r="K247" s="1">
        <v>0</v>
      </c>
      <c r="L247" s="1">
        <v>0</v>
      </c>
      <c r="M247" s="1">
        <v>0</v>
      </c>
      <c r="N247" s="1">
        <v>0</v>
      </c>
      <c r="O247" s="1">
        <v>0</v>
      </c>
      <c r="P247" s="1">
        <f>LN(B247)</f>
        <v>2.89037175789616</v>
      </c>
      <c r="Q247" s="1">
        <f>1-SUM(F247:J247)</f>
        <v>0</v>
      </c>
      <c r="R247" s="1" t="str">
        <f>IF(F247=1,"Napa valley",IF(G247=1,"Bay area",IF(H247=1,"Sonoma",IF(I247=1,"Sierra/foothills",IF(J247=1,"Mendocino/lake","Generic California")))))</f>
        <v>Sonoma</v>
      </c>
      <c r="S247" s="1" t="str">
        <f>IF(F247=1,"Napa valley",IF(H247=1,"Sonoma","Other"))</f>
        <v>Sonoma</v>
      </c>
      <c r="T247" s="1" t="str">
        <f>IF(M247=1,"Cabernet",IF(N247=1,"Merlot",IF(L247=1,"Pinot noir","Other")))</f>
        <v>Other</v>
      </c>
      <c r="U247" s="1" t="str">
        <f>IF(F247=1,B247,"")</f>
        <v/>
      </c>
      <c r="V247" s="1">
        <f>IF(F247=0,B247,"")</f>
        <v>18</v>
      </c>
      <c r="W247" s="1">
        <f>'Part B'!$B$150+SUMPRODUCT('Part B'!$B$164:$N$164,C247:O247)</f>
        <v>10.0990095530163</v>
      </c>
      <c r="X247" s="1">
        <f>B247-W247</f>
        <v>7.90099044698371</v>
      </c>
      <c r="Y247" s="1">
        <f>'Part B'!$B$179+SUMPRODUCT('Part B'!$B$193:$N$193,C247:O247)</f>
        <v>2.73752083234168</v>
      </c>
      <c r="Z247" s="1">
        <f>P247-Y247</f>
        <v>0.152850925554488</v>
      </c>
      <c r="AB247" s="1">
        <f>C247</f>
        <v>6.8</v>
      </c>
      <c r="AC247" s="1">
        <f>D247</f>
        <v>84</v>
      </c>
      <c r="AD247" s="1">
        <f>E247</f>
        <v>3</v>
      </c>
      <c r="AE247" s="1">
        <f>F247</f>
        <v>0</v>
      </c>
      <c r="AF247" s="1">
        <f>G247</f>
        <v>0</v>
      </c>
      <c r="AG247" s="1">
        <f>I247</f>
        <v>0</v>
      </c>
      <c r="AH247" s="1">
        <f>J247</f>
        <v>0</v>
      </c>
      <c r="AI247" s="1">
        <f>Q247</f>
        <v>0</v>
      </c>
      <c r="AJ247" s="1">
        <f>K247</f>
        <v>0</v>
      </c>
      <c r="AK247" s="1">
        <f>L247</f>
        <v>0</v>
      </c>
      <c r="AL247" s="1">
        <f>M247</f>
        <v>0</v>
      </c>
      <c r="AM247" s="1">
        <f>N247</f>
        <v>0</v>
      </c>
      <c r="AN247" s="1">
        <f>O247</f>
        <v>0</v>
      </c>
    </row>
    <row r="248">
      <c r="A248" s="1">
        <v>328</v>
      </c>
      <c r="B248" s="1">
        <v>18</v>
      </c>
      <c r="C248" s="1">
        <v>1.007</v>
      </c>
      <c r="D248" s="1">
        <v>86</v>
      </c>
      <c r="E248" s="1">
        <v>3</v>
      </c>
      <c r="F248" s="1">
        <v>0</v>
      </c>
      <c r="G248" s="1">
        <v>0</v>
      </c>
      <c r="H248" s="1">
        <v>0</v>
      </c>
      <c r="I248" s="1">
        <v>0</v>
      </c>
      <c r="J248" s="1">
        <v>1</v>
      </c>
      <c r="K248" s="1">
        <v>0</v>
      </c>
      <c r="L248" s="1">
        <v>0</v>
      </c>
      <c r="M248" s="1">
        <v>0</v>
      </c>
      <c r="N248" s="1">
        <v>0</v>
      </c>
      <c r="O248" s="1">
        <v>1</v>
      </c>
      <c r="P248" s="1">
        <f>LN(B248)</f>
        <v>2.89037175789616</v>
      </c>
      <c r="Q248" s="1">
        <f>1-SUM(F248:J248)</f>
        <v>0</v>
      </c>
      <c r="R248" s="1" t="str">
        <f>IF(F248=1,"Napa valley",IF(G248=1,"Bay area",IF(H248=1,"Sonoma",IF(I248=1,"Sierra/foothills",IF(J248=1,"Mendocino/lake","Generic California")))))</f>
        <v>Mendocino/lake</v>
      </c>
      <c r="S248" s="1" t="str">
        <f>IF(F248=1,"Napa valley",IF(H248=1,"Sonoma","Other"))</f>
        <v>Other</v>
      </c>
      <c r="T248" s="1" t="str">
        <f>IF(M248=1,"Cabernet",IF(N248=1,"Merlot",IF(L248=1,"Pinot noir","Other")))</f>
        <v>Other</v>
      </c>
      <c r="U248" s="1" t="str">
        <f>IF(F248=1,B248,"")</f>
        <v/>
      </c>
      <c r="V248" s="1">
        <f>IF(F248=0,B248,"")</f>
        <v>18</v>
      </c>
      <c r="W248" s="1">
        <f>'Part B'!$B$150+SUMPRODUCT('Part B'!$B$164:$N$164,C248:O248)</f>
        <v>18.2497349501086</v>
      </c>
      <c r="X248" s="1">
        <f>B248-W248</f>
        <v>-0.249734950108632</v>
      </c>
      <c r="Y248" s="1">
        <f>'Part B'!$B$179+SUMPRODUCT('Part B'!$B$193:$N$193,C248:O248)</f>
        <v>2.90076121809979</v>
      </c>
      <c r="Z248" s="1">
        <f>P248-Y248</f>
        <v>-0.0103894602036254</v>
      </c>
      <c r="AB248" s="1">
        <f>C248</f>
        <v>1.007</v>
      </c>
      <c r="AC248" s="1">
        <f>D248</f>
        <v>86</v>
      </c>
      <c r="AD248" s="1">
        <f>E248</f>
        <v>3</v>
      </c>
      <c r="AE248" s="1">
        <f>F248</f>
        <v>0</v>
      </c>
      <c r="AF248" s="1">
        <f>G248</f>
        <v>0</v>
      </c>
      <c r="AG248" s="1">
        <f>I248</f>
        <v>0</v>
      </c>
      <c r="AH248" s="1">
        <f>J248</f>
        <v>1</v>
      </c>
      <c r="AI248" s="1">
        <f>Q248</f>
        <v>0</v>
      </c>
      <c r="AJ248" s="1">
        <f>K248</f>
        <v>0</v>
      </c>
      <c r="AK248" s="1">
        <f>L248</f>
        <v>0</v>
      </c>
      <c r="AL248" s="1">
        <f>M248</f>
        <v>0</v>
      </c>
      <c r="AM248" s="1">
        <f>N248</f>
        <v>0</v>
      </c>
      <c r="AN248" s="1">
        <f>O248</f>
        <v>1</v>
      </c>
    </row>
    <row r="249">
      <c r="A249" s="1">
        <v>329</v>
      </c>
      <c r="B249" s="1">
        <v>18</v>
      </c>
      <c r="C249" s="1">
        <v>15</v>
      </c>
      <c r="D249" s="1">
        <v>88</v>
      </c>
      <c r="E249" s="1">
        <v>3</v>
      </c>
      <c r="F249" s="1">
        <v>0</v>
      </c>
      <c r="G249" s="1">
        <v>0</v>
      </c>
      <c r="H249" s="1">
        <v>1</v>
      </c>
      <c r="I249" s="1">
        <v>0</v>
      </c>
      <c r="J249" s="1">
        <v>0</v>
      </c>
      <c r="K249" s="1">
        <v>0</v>
      </c>
      <c r="L249" s="1">
        <v>0</v>
      </c>
      <c r="M249" s="1">
        <v>0</v>
      </c>
      <c r="N249" s="1">
        <v>0</v>
      </c>
      <c r="O249" s="1">
        <v>0</v>
      </c>
      <c r="P249" s="1">
        <f>LN(B249)</f>
        <v>2.89037175789616</v>
      </c>
      <c r="Q249" s="1">
        <f>1-SUM(F249:J249)</f>
        <v>0</v>
      </c>
      <c r="R249" s="1" t="str">
        <f>IF(F249=1,"Napa valley",IF(G249=1,"Bay area",IF(H249=1,"Sonoma",IF(I249=1,"Sierra/foothills",IF(J249=1,"Mendocino/lake","Generic California")))))</f>
        <v>Sonoma</v>
      </c>
      <c r="S249" s="1" t="str">
        <f>IF(F249=1,"Napa valley",IF(H249=1,"Sonoma","Other"))</f>
        <v>Sonoma</v>
      </c>
      <c r="T249" s="1" t="str">
        <f>IF(M249=1,"Cabernet",IF(N249=1,"Merlot",IF(L249=1,"Pinot noir","Other")))</f>
        <v>Other</v>
      </c>
      <c r="U249" s="1" t="str">
        <f>IF(F249=1,B249,"")</f>
        <v/>
      </c>
      <c r="V249" s="1">
        <f>IF(F249=0,B249,"")</f>
        <v>18</v>
      </c>
      <c r="W249" s="1">
        <f>'Part B'!$B$150+SUMPRODUCT('Part B'!$B$164:$N$164,C249:O249)</f>
        <v>21.9011050114925</v>
      </c>
      <c r="X249" s="1">
        <f>B249-W249</f>
        <v>-3.90110501149246</v>
      </c>
      <c r="Y249" s="1">
        <f>'Part B'!$B$179+SUMPRODUCT('Part B'!$B$193:$N$193,C249:O249)</f>
        <v>2.9822779569417</v>
      </c>
      <c r="Z249" s="1">
        <f>P249-Y249</f>
        <v>-0.0919061990455328</v>
      </c>
      <c r="AB249" s="1">
        <f>C249</f>
        <v>15</v>
      </c>
      <c r="AC249" s="1">
        <f>D249</f>
        <v>88</v>
      </c>
      <c r="AD249" s="1">
        <f>E249</f>
        <v>3</v>
      </c>
      <c r="AE249" s="1">
        <f>F249</f>
        <v>0</v>
      </c>
      <c r="AF249" s="1">
        <f>G249</f>
        <v>0</v>
      </c>
      <c r="AG249" s="1">
        <f>I249</f>
        <v>0</v>
      </c>
      <c r="AH249" s="1">
        <f>J249</f>
        <v>0</v>
      </c>
      <c r="AI249" s="1">
        <f>Q249</f>
        <v>0</v>
      </c>
      <c r="AJ249" s="1">
        <f>K249</f>
        <v>0</v>
      </c>
      <c r="AK249" s="1">
        <f>L249</f>
        <v>0</v>
      </c>
      <c r="AL249" s="1">
        <f>M249</f>
        <v>0</v>
      </c>
      <c r="AM249" s="1">
        <f>N249</f>
        <v>0</v>
      </c>
      <c r="AN249" s="1">
        <f>O249</f>
        <v>0</v>
      </c>
    </row>
    <row r="250">
      <c r="A250" s="1">
        <v>330</v>
      </c>
      <c r="B250" s="1">
        <v>18</v>
      </c>
      <c r="C250" s="1">
        <v>0.13</v>
      </c>
      <c r="D250" s="1">
        <v>87</v>
      </c>
      <c r="E250" s="1">
        <v>3</v>
      </c>
      <c r="F250" s="1">
        <v>0</v>
      </c>
      <c r="G250" s="1">
        <v>0</v>
      </c>
      <c r="H250" s="1">
        <v>1</v>
      </c>
      <c r="I250" s="1">
        <v>0</v>
      </c>
      <c r="J250" s="1">
        <v>0</v>
      </c>
      <c r="K250" s="1">
        <v>0</v>
      </c>
      <c r="L250" s="1">
        <v>0</v>
      </c>
      <c r="M250" s="1">
        <v>0</v>
      </c>
      <c r="N250" s="1">
        <v>0</v>
      </c>
      <c r="O250" s="1">
        <v>0</v>
      </c>
      <c r="P250" s="1">
        <f>LN(B250)</f>
        <v>2.89037175789616</v>
      </c>
      <c r="Q250" s="1">
        <f>1-SUM(F250:J250)</f>
        <v>0</v>
      </c>
      <c r="R250" s="1" t="str">
        <f>IF(F250=1,"Napa valley",IF(G250=1,"Bay area",IF(H250=1,"Sonoma",IF(I250=1,"Sierra/foothills",IF(J250=1,"Mendocino/lake","Generic California")))))</f>
        <v>Sonoma</v>
      </c>
      <c r="S250" s="1" t="str">
        <f>IF(F250=1,"Napa valley",IF(H250=1,"Sonoma","Other"))</f>
        <v>Sonoma</v>
      </c>
      <c r="T250" s="1" t="str">
        <f>IF(M250=1,"Cabernet",IF(N250=1,"Merlot",IF(L250=1,"Pinot noir","Other")))</f>
        <v>Other</v>
      </c>
      <c r="U250" s="1" t="str">
        <f>IF(F250=1,B250,"")</f>
        <v/>
      </c>
      <c r="V250" s="1">
        <f>IF(F250=0,B250,"")</f>
        <v>18</v>
      </c>
      <c r="W250" s="1">
        <f>'Part B'!$B$150+SUMPRODUCT('Part B'!$B$164:$N$164,C250:O250)</f>
        <v>20.1673756735307</v>
      </c>
      <c r="X250" s="1">
        <f>B250-W250</f>
        <v>-2.16737567353067</v>
      </c>
      <c r="Y250" s="1">
        <f>'Part B'!$B$179+SUMPRODUCT('Part B'!$B$193:$N$193,C250:O250)</f>
        <v>2.97594631659166</v>
      </c>
      <c r="Z250" s="1">
        <f>P250-Y250</f>
        <v>-0.0855745586954981</v>
      </c>
      <c r="AB250" s="1">
        <f>C250</f>
        <v>0.13</v>
      </c>
      <c r="AC250" s="1">
        <f>D250</f>
        <v>87</v>
      </c>
      <c r="AD250" s="1">
        <f>E250</f>
        <v>3</v>
      </c>
      <c r="AE250" s="1">
        <f>F250</f>
        <v>0</v>
      </c>
      <c r="AF250" s="1">
        <f>G250</f>
        <v>0</v>
      </c>
      <c r="AG250" s="1">
        <f>I250</f>
        <v>0</v>
      </c>
      <c r="AH250" s="1">
        <f>J250</f>
        <v>0</v>
      </c>
      <c r="AI250" s="1">
        <f>Q250</f>
        <v>0</v>
      </c>
      <c r="AJ250" s="1">
        <f>K250</f>
        <v>0</v>
      </c>
      <c r="AK250" s="1">
        <f>L250</f>
        <v>0</v>
      </c>
      <c r="AL250" s="1">
        <f>M250</f>
        <v>0</v>
      </c>
      <c r="AM250" s="1">
        <f>N250</f>
        <v>0</v>
      </c>
      <c r="AN250" s="1">
        <f>O250</f>
        <v>0</v>
      </c>
    </row>
    <row r="251">
      <c r="A251" s="1">
        <v>331</v>
      </c>
      <c r="B251" s="1">
        <v>18</v>
      </c>
      <c r="C251" s="1">
        <v>3.35</v>
      </c>
      <c r="D251" s="1">
        <v>87</v>
      </c>
      <c r="E251" s="1">
        <v>3</v>
      </c>
      <c r="F251" s="1">
        <v>0</v>
      </c>
      <c r="G251" s="1">
        <v>0</v>
      </c>
      <c r="H251" s="1">
        <v>1</v>
      </c>
      <c r="I251" s="1">
        <v>0</v>
      </c>
      <c r="J251" s="1">
        <v>0</v>
      </c>
      <c r="K251" s="1">
        <v>0</v>
      </c>
      <c r="L251" s="1">
        <v>0</v>
      </c>
      <c r="M251" s="1">
        <v>0</v>
      </c>
      <c r="N251" s="1">
        <v>0</v>
      </c>
      <c r="O251" s="1">
        <v>0</v>
      </c>
      <c r="P251" s="1">
        <f>LN(B251)</f>
        <v>2.89037175789616</v>
      </c>
      <c r="Q251" s="1">
        <f>1-SUM(F251:J251)</f>
        <v>0</v>
      </c>
      <c r="R251" s="1" t="str">
        <f>IF(F251=1,"Napa valley",IF(G251=1,"Bay area",IF(H251=1,"Sonoma",IF(I251=1,"Sierra/foothills",IF(J251=1,"Mendocino/lake","Generic California")))))</f>
        <v>Sonoma</v>
      </c>
      <c r="S251" s="1" t="str">
        <f>IF(F251=1,"Napa valley",IF(H251=1,"Sonoma","Other"))</f>
        <v>Sonoma</v>
      </c>
      <c r="T251" s="1" t="str">
        <f>IF(M251=1,"Cabernet",IF(N251=1,"Merlot",IF(L251=1,"Pinot noir","Other")))</f>
        <v>Other</v>
      </c>
      <c r="U251" s="1" t="str">
        <f>IF(F251=1,B251,"")</f>
        <v/>
      </c>
      <c r="V251" s="1">
        <f>IF(F251=0,B251,"")</f>
        <v>18</v>
      </c>
      <c r="W251" s="1">
        <f>'Part B'!$B$150+SUMPRODUCT('Part B'!$B$164:$N$164,C251:O251)</f>
        <v>19.8617533353219</v>
      </c>
      <c r="X251" s="1">
        <f>B251-W251</f>
        <v>-1.86175333532191</v>
      </c>
      <c r="Y251" s="1">
        <f>'Part B'!$B$179+SUMPRODUCT('Part B'!$B$193:$N$193,C251:O251)</f>
        <v>2.96216772038449</v>
      </c>
      <c r="Z251" s="1">
        <f>P251-Y251</f>
        <v>-0.0717959624883298</v>
      </c>
      <c r="AB251" s="1">
        <f>C251</f>
        <v>3.35</v>
      </c>
      <c r="AC251" s="1">
        <f>D251</f>
        <v>87</v>
      </c>
      <c r="AD251" s="1">
        <f>E251</f>
        <v>3</v>
      </c>
      <c r="AE251" s="1">
        <f>F251</f>
        <v>0</v>
      </c>
      <c r="AF251" s="1">
        <f>G251</f>
        <v>0</v>
      </c>
      <c r="AG251" s="1">
        <f>I251</f>
        <v>0</v>
      </c>
      <c r="AH251" s="1">
        <f>J251</f>
        <v>0</v>
      </c>
      <c r="AI251" s="1">
        <f>Q251</f>
        <v>0</v>
      </c>
      <c r="AJ251" s="1">
        <f>K251</f>
        <v>0</v>
      </c>
      <c r="AK251" s="1">
        <f>L251</f>
        <v>0</v>
      </c>
      <c r="AL251" s="1">
        <f>M251</f>
        <v>0</v>
      </c>
      <c r="AM251" s="1">
        <f>N251</f>
        <v>0</v>
      </c>
      <c r="AN251" s="1">
        <f>O251</f>
        <v>0</v>
      </c>
    </row>
    <row r="252">
      <c r="A252" s="1">
        <v>332</v>
      </c>
      <c r="B252" s="1">
        <v>18</v>
      </c>
      <c r="C252" s="1">
        <v>0.775</v>
      </c>
      <c r="D252" s="1">
        <v>87</v>
      </c>
      <c r="E252" s="1">
        <v>3</v>
      </c>
      <c r="F252" s="1">
        <v>0</v>
      </c>
      <c r="G252" s="1">
        <v>0</v>
      </c>
      <c r="H252" s="1">
        <v>0</v>
      </c>
      <c r="I252" s="1">
        <v>1</v>
      </c>
      <c r="J252" s="1">
        <v>0</v>
      </c>
      <c r="K252" s="1">
        <v>0</v>
      </c>
      <c r="L252" s="1">
        <v>0</v>
      </c>
      <c r="M252" s="1">
        <v>0</v>
      </c>
      <c r="N252" s="1">
        <v>0</v>
      </c>
      <c r="O252" s="1">
        <v>1</v>
      </c>
      <c r="P252" s="1">
        <f>LN(B252)</f>
        <v>2.89037175789616</v>
      </c>
      <c r="Q252" s="1">
        <f>1-SUM(F252:J252)</f>
        <v>0</v>
      </c>
      <c r="R252" s="1" t="str">
        <f>IF(F252=1,"Napa valley",IF(G252=1,"Bay area",IF(H252=1,"Sonoma",IF(I252=1,"Sierra/foothills",IF(J252=1,"Mendocino/lake","Generic California")))))</f>
        <v>Sierra/foothills</v>
      </c>
      <c r="S252" s="1" t="str">
        <f>IF(F252=1,"Napa valley",IF(H252=1,"Sonoma","Other"))</f>
        <v>Other</v>
      </c>
      <c r="T252" s="1" t="str">
        <f>IF(M252=1,"Cabernet",IF(N252=1,"Merlot",IF(L252=1,"Pinot noir","Other")))</f>
        <v>Other</v>
      </c>
      <c r="U252" s="1" t="str">
        <f>IF(F252=1,B252,"")</f>
        <v/>
      </c>
      <c r="V252" s="1">
        <f>IF(F252=0,B252,"")</f>
        <v>18</v>
      </c>
      <c r="W252" s="1">
        <f>'Part B'!$B$150+SUMPRODUCT('Part B'!$B$164:$N$164,C252:O252)</f>
        <v>25.5592852539025</v>
      </c>
      <c r="X252" s="1">
        <f>B252-W252</f>
        <v>-7.55928525390249</v>
      </c>
      <c r="Y252" s="1">
        <f>'Part B'!$B$179+SUMPRODUCT('Part B'!$B$193:$N$193,C252:O252)</f>
        <v>2.9857229385356</v>
      </c>
      <c r="Z252" s="1">
        <f>P252-Y252</f>
        <v>-0.0953511806394403</v>
      </c>
      <c r="AB252" s="1">
        <f>C252</f>
        <v>0.775</v>
      </c>
      <c r="AC252" s="1">
        <f>D252</f>
        <v>87</v>
      </c>
      <c r="AD252" s="1">
        <f>E252</f>
        <v>3</v>
      </c>
      <c r="AE252" s="1">
        <f>F252</f>
        <v>0</v>
      </c>
      <c r="AF252" s="1">
        <f>G252</f>
        <v>0</v>
      </c>
      <c r="AG252" s="1">
        <f>I252</f>
        <v>1</v>
      </c>
      <c r="AH252" s="1">
        <f>J252</f>
        <v>0</v>
      </c>
      <c r="AI252" s="1">
        <f>Q252</f>
        <v>0</v>
      </c>
      <c r="AJ252" s="1">
        <f>K252</f>
        <v>0</v>
      </c>
      <c r="AK252" s="1">
        <f>L252</f>
        <v>0</v>
      </c>
      <c r="AL252" s="1">
        <f>M252</f>
        <v>0</v>
      </c>
      <c r="AM252" s="1">
        <f>N252</f>
        <v>0</v>
      </c>
      <c r="AN252" s="1">
        <f>O252</f>
        <v>1</v>
      </c>
    </row>
    <row r="253">
      <c r="A253" s="1">
        <v>333</v>
      </c>
      <c r="B253" s="1">
        <v>18</v>
      </c>
      <c r="C253" s="1">
        <v>1.6</v>
      </c>
      <c r="D253" s="1">
        <v>83</v>
      </c>
      <c r="E253" s="1">
        <v>3</v>
      </c>
      <c r="F253" s="1">
        <v>0</v>
      </c>
      <c r="G253" s="1">
        <v>0</v>
      </c>
      <c r="H253" s="1">
        <v>0</v>
      </c>
      <c r="I253" s="1">
        <v>0</v>
      </c>
      <c r="J253" s="1">
        <v>0</v>
      </c>
      <c r="K253" s="1">
        <v>0</v>
      </c>
      <c r="L253" s="1">
        <v>0</v>
      </c>
      <c r="M253" s="1">
        <v>1</v>
      </c>
      <c r="N253" s="1">
        <v>0</v>
      </c>
      <c r="O253" s="1">
        <v>0</v>
      </c>
      <c r="P253" s="1">
        <f>LN(B253)</f>
        <v>2.89037175789616</v>
      </c>
      <c r="Q253" s="1">
        <f>1-SUM(F253:J253)</f>
        <v>1</v>
      </c>
      <c r="R253" s="1" t="str">
        <f>IF(F253=1,"Napa valley",IF(G253=1,"Bay area",IF(H253=1,"Sonoma",IF(I253=1,"Sierra/foothills",IF(J253=1,"Mendocino/lake","Generic California")))))</f>
        <v>Generic California</v>
      </c>
      <c r="S253" s="1" t="str">
        <f>IF(F253=1,"Napa valley",IF(H253=1,"Sonoma","Other"))</f>
        <v>Other</v>
      </c>
      <c r="T253" s="1" t="str">
        <f>IF(M253=1,"Cabernet",IF(N253=1,"Merlot",IF(L253=1,"Pinot noir","Other")))</f>
        <v>Cabernet</v>
      </c>
      <c r="U253" s="1" t="str">
        <f>IF(F253=1,B253,"")</f>
        <v/>
      </c>
      <c r="V253" s="1">
        <f>IF(F253=0,B253,"")</f>
        <v>18</v>
      </c>
      <c r="W253" s="1">
        <f>'Part B'!$B$150+SUMPRODUCT('Part B'!$B$164:$N$164,C253:O253)</f>
        <v>20.9101610913897</v>
      </c>
      <c r="X253" s="1">
        <f>B253-W253</f>
        <v>-2.91016109138968</v>
      </c>
      <c r="Y253" s="1">
        <f>'Part B'!$B$179+SUMPRODUCT('Part B'!$B$193:$N$193,C253:O253)</f>
        <v>2.72887442511263</v>
      </c>
      <c r="Z253" s="1">
        <f>P253-Y253</f>
        <v>0.161497332783539</v>
      </c>
      <c r="AB253" s="1">
        <f>C253</f>
        <v>1.6</v>
      </c>
      <c r="AC253" s="1">
        <f>D253</f>
        <v>83</v>
      </c>
      <c r="AD253" s="1">
        <f>E253</f>
        <v>3</v>
      </c>
      <c r="AE253" s="1">
        <f>F253</f>
        <v>0</v>
      </c>
      <c r="AF253" s="1">
        <f>G253</f>
        <v>0</v>
      </c>
      <c r="AG253" s="1">
        <f>I253</f>
        <v>0</v>
      </c>
      <c r="AH253" s="1">
        <f>J253</f>
        <v>0</v>
      </c>
      <c r="AI253" s="1">
        <f>Q253</f>
        <v>1</v>
      </c>
      <c r="AJ253" s="1">
        <f>K253</f>
        <v>0</v>
      </c>
      <c r="AK253" s="1">
        <f>L253</f>
        <v>0</v>
      </c>
      <c r="AL253" s="1">
        <f>M253</f>
        <v>1</v>
      </c>
      <c r="AM253" s="1">
        <f>N253</f>
        <v>0</v>
      </c>
      <c r="AN253" s="1">
        <f>O253</f>
        <v>0</v>
      </c>
    </row>
    <row r="254">
      <c r="A254" s="1">
        <v>334</v>
      </c>
      <c r="B254" s="1">
        <v>18</v>
      </c>
      <c r="C254" s="1">
        <v>26</v>
      </c>
      <c r="D254" s="1">
        <v>85</v>
      </c>
      <c r="E254" s="1">
        <v>3</v>
      </c>
      <c r="F254" s="1">
        <v>0</v>
      </c>
      <c r="G254" s="1">
        <v>0</v>
      </c>
      <c r="H254" s="1">
        <v>1</v>
      </c>
      <c r="I254" s="1">
        <v>0</v>
      </c>
      <c r="J254" s="1">
        <v>0</v>
      </c>
      <c r="K254" s="1">
        <v>0</v>
      </c>
      <c r="L254" s="1">
        <v>0</v>
      </c>
      <c r="M254" s="1">
        <v>1</v>
      </c>
      <c r="N254" s="1">
        <v>0</v>
      </c>
      <c r="O254" s="1">
        <v>0</v>
      </c>
      <c r="P254" s="1">
        <f>LN(B254)</f>
        <v>2.89037175789616</v>
      </c>
      <c r="Q254" s="1">
        <f>1-SUM(F254:J254)</f>
        <v>0</v>
      </c>
      <c r="R254" s="1" t="str">
        <f>IF(F254=1,"Napa valley",IF(G254=1,"Bay area",IF(H254=1,"Sonoma",IF(I254=1,"Sierra/foothills",IF(J254=1,"Mendocino/lake","Generic California")))))</f>
        <v>Sonoma</v>
      </c>
      <c r="S254" s="1" t="str">
        <f>IF(F254=1,"Napa valley",IF(H254=1,"Sonoma","Other"))</f>
        <v>Sonoma</v>
      </c>
      <c r="T254" s="1" t="str">
        <f>IF(M254=1,"Cabernet",IF(N254=1,"Merlot",IF(L254=1,"Pinot noir","Other")))</f>
        <v>Cabernet</v>
      </c>
      <c r="U254" s="1" t="str">
        <f>IF(F254=1,B254,"")</f>
        <v/>
      </c>
      <c r="V254" s="1">
        <f>IF(F254=0,B254,"")</f>
        <v>18</v>
      </c>
      <c r="W254" s="1">
        <f>'Part B'!$B$150+SUMPRODUCT('Part B'!$B$164:$N$164,C254:O254)</f>
        <v>24.0490159106702</v>
      </c>
      <c r="X254" s="1">
        <f>B254-W254</f>
        <v>-6.04901591067016</v>
      </c>
      <c r="Y254" s="1">
        <f>'Part B'!$B$179+SUMPRODUCT('Part B'!$B$193:$N$193,C254:O254)</f>
        <v>3.04631977234087</v>
      </c>
      <c r="Z254" s="1">
        <f>P254-Y254</f>
        <v>-0.155948014444706</v>
      </c>
      <c r="AB254" s="1">
        <f>C254</f>
        <v>26</v>
      </c>
      <c r="AC254" s="1">
        <f>D254</f>
        <v>85</v>
      </c>
      <c r="AD254" s="1">
        <f>E254</f>
        <v>3</v>
      </c>
      <c r="AE254" s="1">
        <f>F254</f>
        <v>0</v>
      </c>
      <c r="AF254" s="1">
        <f>G254</f>
        <v>0</v>
      </c>
      <c r="AG254" s="1">
        <f>I254</f>
        <v>0</v>
      </c>
      <c r="AH254" s="1">
        <f>J254</f>
        <v>0</v>
      </c>
      <c r="AI254" s="1">
        <f>Q254</f>
        <v>0</v>
      </c>
      <c r="AJ254" s="1">
        <f>K254</f>
        <v>0</v>
      </c>
      <c r="AK254" s="1">
        <f>L254</f>
        <v>0</v>
      </c>
      <c r="AL254" s="1">
        <f>M254</f>
        <v>1</v>
      </c>
      <c r="AM254" s="1">
        <f>N254</f>
        <v>0</v>
      </c>
      <c r="AN254" s="1">
        <f>O254</f>
        <v>0</v>
      </c>
    </row>
    <row r="255">
      <c r="A255" s="1">
        <v>335</v>
      </c>
      <c r="B255" s="1">
        <v>18</v>
      </c>
      <c r="C255" s="1">
        <v>0.77</v>
      </c>
      <c r="D255" s="1">
        <v>87</v>
      </c>
      <c r="E255" s="1">
        <v>3</v>
      </c>
      <c r="F255" s="1">
        <v>0</v>
      </c>
      <c r="G255" s="1">
        <v>0</v>
      </c>
      <c r="H255" s="1">
        <v>1</v>
      </c>
      <c r="I255" s="1">
        <v>0</v>
      </c>
      <c r="J255" s="1">
        <v>0</v>
      </c>
      <c r="K255" s="1">
        <v>0</v>
      </c>
      <c r="L255" s="1">
        <v>0</v>
      </c>
      <c r="M255" s="1">
        <v>1</v>
      </c>
      <c r="N255" s="1">
        <v>0</v>
      </c>
      <c r="O255" s="1">
        <v>0</v>
      </c>
      <c r="P255" s="1">
        <f>LN(B255)</f>
        <v>2.89037175789616</v>
      </c>
      <c r="Q255" s="1">
        <f>1-SUM(F255:J255)</f>
        <v>0</v>
      </c>
      <c r="R255" s="1" t="str">
        <f>IF(F255=1,"Napa valley",IF(G255=1,"Bay area",IF(H255=1,"Sonoma",IF(I255=1,"Sierra/foothills",IF(J255=1,"Mendocino/lake","Generic California")))))</f>
        <v>Sonoma</v>
      </c>
      <c r="S255" s="1" t="str">
        <f>IF(F255=1,"Napa valley",IF(H255=1,"Sonoma","Other"))</f>
        <v>Sonoma</v>
      </c>
      <c r="T255" s="1" t="str">
        <f>IF(M255=1,"Cabernet",IF(N255=1,"Merlot",IF(L255=1,"Pinot noir","Other")))</f>
        <v>Cabernet</v>
      </c>
      <c r="U255" s="1" t="str">
        <f>IF(F255=1,B255,"")</f>
        <v/>
      </c>
      <c r="V255" s="1">
        <f>IF(F255=0,B255,"")</f>
        <v>18</v>
      </c>
      <c r="W255" s="1">
        <f>'Part B'!$B$150+SUMPRODUCT('Part B'!$B$164:$N$164,C255:O255)</f>
        <v>32.7338845031576</v>
      </c>
      <c r="X255" s="1">
        <f>B255-W255</f>
        <v>-14.7338845031576</v>
      </c>
      <c r="Y255" s="1">
        <f>'Part B'!$B$179+SUMPRODUCT('Part B'!$B$193:$N$193,C255:O255)</f>
        <v>3.29420337400618</v>
      </c>
      <c r="Z255" s="1">
        <f>P255-Y255</f>
        <v>-0.403831616110018</v>
      </c>
      <c r="AB255" s="1">
        <f>C255</f>
        <v>0.77</v>
      </c>
      <c r="AC255" s="1">
        <f>D255</f>
        <v>87</v>
      </c>
      <c r="AD255" s="1">
        <f>E255</f>
        <v>3</v>
      </c>
      <c r="AE255" s="1">
        <f>F255</f>
        <v>0</v>
      </c>
      <c r="AF255" s="1">
        <f>G255</f>
        <v>0</v>
      </c>
      <c r="AG255" s="1">
        <f>I255</f>
        <v>0</v>
      </c>
      <c r="AH255" s="1">
        <f>J255</f>
        <v>0</v>
      </c>
      <c r="AI255" s="1">
        <f>Q255</f>
        <v>0</v>
      </c>
      <c r="AJ255" s="1">
        <f>K255</f>
        <v>0</v>
      </c>
      <c r="AK255" s="1">
        <f>L255</f>
        <v>0</v>
      </c>
      <c r="AL255" s="1">
        <f>M255</f>
        <v>1</v>
      </c>
      <c r="AM255" s="1">
        <f>N255</f>
        <v>0</v>
      </c>
      <c r="AN255" s="1">
        <f>O255</f>
        <v>0</v>
      </c>
    </row>
    <row r="256">
      <c r="A256" s="1">
        <v>337</v>
      </c>
      <c r="B256" s="1">
        <v>18</v>
      </c>
      <c r="C256" s="1">
        <v>1.6</v>
      </c>
      <c r="D256" s="1">
        <v>84</v>
      </c>
      <c r="E256" s="1">
        <v>3</v>
      </c>
      <c r="F256" s="1">
        <v>0</v>
      </c>
      <c r="G256" s="1">
        <v>1</v>
      </c>
      <c r="H256" s="1">
        <v>0</v>
      </c>
      <c r="I256" s="1">
        <v>0</v>
      </c>
      <c r="J256" s="1">
        <v>0</v>
      </c>
      <c r="K256" s="1">
        <v>0</v>
      </c>
      <c r="L256" s="1">
        <v>1</v>
      </c>
      <c r="M256" s="1">
        <v>0</v>
      </c>
      <c r="N256" s="1">
        <v>0</v>
      </c>
      <c r="O256" s="1">
        <v>0</v>
      </c>
      <c r="P256" s="1">
        <f>LN(B256)</f>
        <v>2.89037175789616</v>
      </c>
      <c r="Q256" s="1">
        <f>1-SUM(F256:J256)</f>
        <v>0</v>
      </c>
      <c r="R256" s="1" t="str">
        <f>IF(F256=1,"Napa valley",IF(G256=1,"Bay area",IF(H256=1,"Sonoma",IF(I256=1,"Sierra/foothills",IF(J256=1,"Mendocino/lake","Generic California")))))</f>
        <v>Bay area</v>
      </c>
      <c r="S256" s="1" t="str">
        <f>IF(F256=1,"Napa valley",IF(H256=1,"Sonoma","Other"))</f>
        <v>Other</v>
      </c>
      <c r="T256" s="1" t="str">
        <f>IF(M256=1,"Cabernet",IF(N256=1,"Merlot",IF(L256=1,"Pinot noir","Other")))</f>
        <v>Pinot noir</v>
      </c>
      <c r="U256" s="1" t="str">
        <f>IF(F256=1,B256,"")</f>
        <v/>
      </c>
      <c r="V256" s="1">
        <f>IF(F256=0,B256,"")</f>
        <v>18</v>
      </c>
      <c r="W256" s="1">
        <f>'Part B'!$B$150+SUMPRODUCT('Part B'!$B$164:$N$164,C256:O256)</f>
        <v>23.1611417951654</v>
      </c>
      <c r="X256" s="1">
        <f>B256-W256</f>
        <v>-5.16114179516541</v>
      </c>
      <c r="Y256" s="1">
        <f>'Part B'!$B$179+SUMPRODUCT('Part B'!$B$193:$N$193,C256:O256)</f>
        <v>3.07934938437497</v>
      </c>
      <c r="Z256" s="1">
        <f>P256-Y256</f>
        <v>-0.188977626478802</v>
      </c>
      <c r="AB256" s="1">
        <f>C256</f>
        <v>1.6</v>
      </c>
      <c r="AC256" s="1">
        <f>D256</f>
        <v>84</v>
      </c>
      <c r="AD256" s="1">
        <f>E256</f>
        <v>3</v>
      </c>
      <c r="AE256" s="1">
        <f>F256</f>
        <v>0</v>
      </c>
      <c r="AF256" s="1">
        <f>G256</f>
        <v>1</v>
      </c>
      <c r="AG256" s="1">
        <f>I256</f>
        <v>0</v>
      </c>
      <c r="AH256" s="1">
        <f>J256</f>
        <v>0</v>
      </c>
      <c r="AI256" s="1">
        <f>Q256</f>
        <v>0</v>
      </c>
      <c r="AJ256" s="1">
        <f>K256</f>
        <v>0</v>
      </c>
      <c r="AK256" s="1">
        <f>L256</f>
        <v>1</v>
      </c>
      <c r="AL256" s="1">
        <f>M256</f>
        <v>0</v>
      </c>
      <c r="AM256" s="1">
        <f>N256</f>
        <v>0</v>
      </c>
      <c r="AN256" s="1">
        <f>O256</f>
        <v>0</v>
      </c>
    </row>
    <row r="257">
      <c r="A257" s="1">
        <v>338</v>
      </c>
      <c r="B257" s="1">
        <v>18</v>
      </c>
      <c r="C257" s="1">
        <v>3.4</v>
      </c>
      <c r="D257" s="1">
        <v>81</v>
      </c>
      <c r="E257" s="1">
        <v>3</v>
      </c>
      <c r="F257" s="1">
        <v>0</v>
      </c>
      <c r="G257" s="1">
        <v>0</v>
      </c>
      <c r="H257" s="1">
        <v>1</v>
      </c>
      <c r="I257" s="1">
        <v>0</v>
      </c>
      <c r="J257" s="1">
        <v>0</v>
      </c>
      <c r="K257" s="1">
        <v>0</v>
      </c>
      <c r="L257" s="1">
        <v>0</v>
      </c>
      <c r="M257" s="1">
        <v>0</v>
      </c>
      <c r="N257" s="1">
        <v>1</v>
      </c>
      <c r="O257" s="1">
        <v>0</v>
      </c>
      <c r="P257" s="1">
        <f>LN(B257)</f>
        <v>2.89037175789616</v>
      </c>
      <c r="Q257" s="1">
        <f>1-SUM(F257:J257)</f>
        <v>0</v>
      </c>
      <c r="R257" s="1" t="str">
        <f>IF(F257=1,"Napa valley",IF(G257=1,"Bay area",IF(H257=1,"Sonoma",IF(I257=1,"Sierra/foothills",IF(J257=1,"Mendocino/lake","Generic California")))))</f>
        <v>Sonoma</v>
      </c>
      <c r="S257" s="1" t="str">
        <f>IF(F257=1,"Napa valley",IF(H257=1,"Sonoma","Other"))</f>
        <v>Sonoma</v>
      </c>
      <c r="T257" s="1" t="str">
        <f>IF(M257=1,"Cabernet",IF(N257=1,"Merlot",IF(L257=1,"Pinot noir","Other")))</f>
        <v>Merlot</v>
      </c>
      <c r="U257" s="1" t="str">
        <f>IF(F257=1,B257,"")</f>
        <v/>
      </c>
      <c r="V257" s="1">
        <f>IF(F257=0,B257,"")</f>
        <v>18</v>
      </c>
      <c r="W257" s="1">
        <f>'Part B'!$B$150+SUMPRODUCT('Part B'!$B$164:$N$164,C257:O257)</f>
        <v>8.64663464704006</v>
      </c>
      <c r="X257" s="1">
        <f>B257-W257</f>
        <v>9.35336535295994</v>
      </c>
      <c r="Y257" s="1">
        <f>'Part B'!$B$179+SUMPRODUCT('Part B'!$B$193:$N$193,C257:O257)</f>
        <v>2.82670028411101</v>
      </c>
      <c r="Z257" s="1">
        <f>P257-Y257</f>
        <v>0.0636714737851554</v>
      </c>
      <c r="AB257" s="1">
        <f>C257</f>
        <v>3.4</v>
      </c>
      <c r="AC257" s="1">
        <f>D257</f>
        <v>81</v>
      </c>
      <c r="AD257" s="1">
        <f>E257</f>
        <v>3</v>
      </c>
      <c r="AE257" s="1">
        <f>F257</f>
        <v>0</v>
      </c>
      <c r="AF257" s="1">
        <f>G257</f>
        <v>0</v>
      </c>
      <c r="AG257" s="1">
        <f>I257</f>
        <v>0</v>
      </c>
      <c r="AH257" s="1">
        <f>J257</f>
        <v>0</v>
      </c>
      <c r="AI257" s="1">
        <f>Q257</f>
        <v>0</v>
      </c>
      <c r="AJ257" s="1">
        <f>K257</f>
        <v>0</v>
      </c>
      <c r="AK257" s="1">
        <f>L257</f>
        <v>0</v>
      </c>
      <c r="AL257" s="1">
        <f>M257</f>
        <v>0</v>
      </c>
      <c r="AM257" s="1">
        <f>N257</f>
        <v>1</v>
      </c>
      <c r="AN257" s="1">
        <f>O257</f>
        <v>0</v>
      </c>
    </row>
    <row r="258">
      <c r="A258" s="1">
        <v>339</v>
      </c>
      <c r="B258" s="1">
        <v>18</v>
      </c>
      <c r="C258" s="1">
        <v>49</v>
      </c>
      <c r="D258" s="1">
        <v>87</v>
      </c>
      <c r="E258" s="1">
        <v>3</v>
      </c>
      <c r="F258" s="1">
        <v>1</v>
      </c>
      <c r="G258" s="1">
        <v>0</v>
      </c>
      <c r="H258" s="1">
        <v>0</v>
      </c>
      <c r="I258" s="1">
        <v>0</v>
      </c>
      <c r="J258" s="1">
        <v>0</v>
      </c>
      <c r="K258" s="1">
        <v>0</v>
      </c>
      <c r="L258" s="1">
        <v>0</v>
      </c>
      <c r="M258" s="1">
        <v>0</v>
      </c>
      <c r="N258" s="1">
        <v>1</v>
      </c>
      <c r="O258" s="1">
        <v>0</v>
      </c>
      <c r="P258" s="1">
        <f>LN(B258)</f>
        <v>2.89037175789616</v>
      </c>
      <c r="Q258" s="1">
        <f>1-SUM(F258:J258)</f>
        <v>0</v>
      </c>
      <c r="R258" s="1" t="str">
        <f>IF(F258=1,"Napa valley",IF(G258=1,"Bay area",IF(H258=1,"Sonoma",IF(I258=1,"Sierra/foothills",IF(J258=1,"Mendocino/lake","Generic California")))))</f>
        <v>Napa valley</v>
      </c>
      <c r="S258" s="1" t="str">
        <f>IF(F258=1,"Napa valley",IF(H258=1,"Sonoma","Other"))</f>
        <v>Napa valley</v>
      </c>
      <c r="T258" s="1" t="str">
        <f>IF(M258=1,"Cabernet",IF(N258=1,"Merlot",IF(L258=1,"Pinot noir","Other")))</f>
        <v>Merlot</v>
      </c>
      <c r="U258" s="1">
        <f>IF(F258=1,B258,"")</f>
        <v>18</v>
      </c>
      <c r="V258" s="1" t="str">
        <f>IF(F258=0,B258,"")</f>
        <v/>
      </c>
      <c r="W258" s="1">
        <f>'Part B'!$B$150+SUMPRODUCT('Part B'!$B$164:$N$164,C258:O258)</f>
        <v>31.0855971258709</v>
      </c>
      <c r="X258" s="1">
        <f>B258-W258</f>
        <v>-13.0855971258709</v>
      </c>
      <c r="Y258" s="1">
        <f>'Part B'!$B$179+SUMPRODUCT('Part B'!$B$193:$N$193,C258:O258)</f>
        <v>3.19913059997993</v>
      </c>
      <c r="Z258" s="1">
        <f>P258-Y258</f>
        <v>-0.308758842083767</v>
      </c>
      <c r="AB258" s="1">
        <f>C258</f>
        <v>49</v>
      </c>
      <c r="AC258" s="1">
        <f>D258</f>
        <v>87</v>
      </c>
      <c r="AD258" s="1">
        <f>E258</f>
        <v>3</v>
      </c>
      <c r="AE258" s="1">
        <f>F258</f>
        <v>1</v>
      </c>
      <c r="AF258" s="1">
        <f>G258</f>
        <v>0</v>
      </c>
      <c r="AG258" s="1">
        <f>I258</f>
        <v>0</v>
      </c>
      <c r="AH258" s="1">
        <f>J258</f>
        <v>0</v>
      </c>
      <c r="AI258" s="1">
        <f>Q258</f>
        <v>0</v>
      </c>
      <c r="AJ258" s="1">
        <f>K258</f>
        <v>0</v>
      </c>
      <c r="AK258" s="1">
        <f>L258</f>
        <v>0</v>
      </c>
      <c r="AL258" s="1">
        <f>M258</f>
        <v>0</v>
      </c>
      <c r="AM258" s="1">
        <f>N258</f>
        <v>1</v>
      </c>
      <c r="AN258" s="1">
        <f>O258</f>
        <v>0</v>
      </c>
    </row>
    <row r="259">
      <c r="A259" s="1">
        <v>340</v>
      </c>
      <c r="B259" s="1">
        <v>18</v>
      </c>
      <c r="C259" s="1">
        <v>0.322</v>
      </c>
      <c r="D259" s="1">
        <v>88</v>
      </c>
      <c r="E259" s="1">
        <v>3</v>
      </c>
      <c r="F259" s="1">
        <v>0</v>
      </c>
      <c r="G259" s="1">
        <v>0</v>
      </c>
      <c r="H259" s="1">
        <v>1</v>
      </c>
      <c r="I259" s="1">
        <v>0</v>
      </c>
      <c r="J259" s="1">
        <v>0</v>
      </c>
      <c r="K259" s="1">
        <v>0</v>
      </c>
      <c r="L259" s="1">
        <v>0</v>
      </c>
      <c r="M259" s="1">
        <v>0</v>
      </c>
      <c r="N259" s="1">
        <v>0</v>
      </c>
      <c r="O259" s="1">
        <v>0</v>
      </c>
      <c r="P259" s="1">
        <f>LN(B259)</f>
        <v>2.89037175789616</v>
      </c>
      <c r="Q259" s="1">
        <f>1-SUM(F259:J259)</f>
        <v>0</v>
      </c>
      <c r="R259" s="1" t="str">
        <f>IF(F259=1,"Napa valley",IF(G259=1,"Bay area",IF(H259=1,"Sonoma",IF(I259=1,"Sierra/foothills",IF(J259=1,"Mendocino/lake","Generic California")))))</f>
        <v>Sonoma</v>
      </c>
      <c r="S259" s="1" t="str">
        <f>IF(F259=1,"Napa valley",IF(H259=1,"Sonoma","Other"))</f>
        <v>Sonoma</v>
      </c>
      <c r="T259" s="1" t="str">
        <f>IF(M259=1,"Cabernet",IF(N259=1,"Merlot",IF(L259=1,"Pinot noir","Other")))</f>
        <v>Other</v>
      </c>
      <c r="U259" s="1" t="str">
        <f>IF(F259=1,B259,"")</f>
        <v/>
      </c>
      <c r="V259" s="1">
        <f>IF(F259=0,B259,"")</f>
        <v>18</v>
      </c>
      <c r="W259" s="1">
        <f>'Part B'!$B$150+SUMPRODUCT('Part B'!$B$164:$N$164,C259:O259)</f>
        <v>23.2942493221223</v>
      </c>
      <c r="X259" s="1">
        <f>B259-W259</f>
        <v>-5.29424932212231</v>
      </c>
      <c r="Y259" s="1">
        <f>'Part B'!$B$179+SUMPRODUCT('Part B'!$B$193:$N$193,C259:O259)</f>
        <v>3.04508610449723</v>
      </c>
      <c r="Z259" s="1">
        <f>P259-Y259</f>
        <v>-0.154714346601069</v>
      </c>
      <c r="AB259" s="1">
        <f>C259</f>
        <v>0.322</v>
      </c>
      <c r="AC259" s="1">
        <f>D259</f>
        <v>88</v>
      </c>
      <c r="AD259" s="1">
        <f>E259</f>
        <v>3</v>
      </c>
      <c r="AE259" s="1">
        <f>F259</f>
        <v>0</v>
      </c>
      <c r="AF259" s="1">
        <f>G259</f>
        <v>0</v>
      </c>
      <c r="AG259" s="1">
        <f>I259</f>
        <v>0</v>
      </c>
      <c r="AH259" s="1">
        <f>J259</f>
        <v>0</v>
      </c>
      <c r="AI259" s="1">
        <f>Q259</f>
        <v>0</v>
      </c>
      <c r="AJ259" s="1">
        <f>K259</f>
        <v>0</v>
      </c>
      <c r="AK259" s="1">
        <f>L259</f>
        <v>0</v>
      </c>
      <c r="AL259" s="1">
        <f>M259</f>
        <v>0</v>
      </c>
      <c r="AM259" s="1">
        <f>N259</f>
        <v>0</v>
      </c>
      <c r="AN259" s="1">
        <f>O259</f>
        <v>0</v>
      </c>
    </row>
    <row r="260">
      <c r="A260" s="1">
        <v>341</v>
      </c>
      <c r="B260" s="1">
        <v>18</v>
      </c>
      <c r="C260" s="1">
        <v>2.473</v>
      </c>
      <c r="D260" s="1">
        <v>86</v>
      </c>
      <c r="E260" s="1">
        <v>3</v>
      </c>
      <c r="F260" s="1">
        <v>1</v>
      </c>
      <c r="G260" s="1">
        <v>0</v>
      </c>
      <c r="H260" s="1">
        <v>0</v>
      </c>
      <c r="I260" s="1">
        <v>0</v>
      </c>
      <c r="J260" s="1">
        <v>0</v>
      </c>
      <c r="K260" s="1">
        <v>0</v>
      </c>
      <c r="L260" s="1">
        <v>0</v>
      </c>
      <c r="M260" s="1">
        <v>1</v>
      </c>
      <c r="N260" s="1">
        <v>0</v>
      </c>
      <c r="O260" s="1">
        <v>0</v>
      </c>
      <c r="P260" s="1">
        <f>LN(B260)</f>
        <v>2.89037175789616</v>
      </c>
      <c r="Q260" s="1">
        <f>1-SUM(F260:J260)</f>
        <v>0</v>
      </c>
      <c r="R260" s="1" t="str">
        <f>IF(F260=1,"Napa valley",IF(G260=1,"Bay area",IF(H260=1,"Sonoma",IF(I260=1,"Sierra/foothills",IF(J260=1,"Mendocino/lake","Generic California")))))</f>
        <v>Napa valley</v>
      </c>
      <c r="S260" s="1" t="str">
        <f>IF(F260=1,"Napa valley",IF(H260=1,"Sonoma","Other"))</f>
        <v>Napa valley</v>
      </c>
      <c r="T260" s="1" t="str">
        <f>IF(M260=1,"Cabernet",IF(N260=1,"Merlot",IF(L260=1,"Pinot noir","Other")))</f>
        <v>Cabernet</v>
      </c>
      <c r="U260" s="1">
        <f>IF(F260=1,B260,"")</f>
        <v>18</v>
      </c>
      <c r="V260" s="1" t="str">
        <f>IF(F260=0,B260,"")</f>
        <v/>
      </c>
      <c r="W260" s="1">
        <f>'Part B'!$B$150+SUMPRODUCT('Part B'!$B$164:$N$164,C260:O260)</f>
        <v>37.3235970809143</v>
      </c>
      <c r="X260" s="1">
        <f>B260-W260</f>
        <v>-19.3235970809143</v>
      </c>
      <c r="Y260" s="1">
        <f>'Part B'!$B$179+SUMPRODUCT('Part B'!$B$193:$N$193,C260:O260)</f>
        <v>3.36474231876085</v>
      </c>
      <c r="Z260" s="1">
        <f>P260-Y260</f>
        <v>-0.474370560864684</v>
      </c>
      <c r="AB260" s="1">
        <f>C260</f>
        <v>2.473</v>
      </c>
      <c r="AC260" s="1">
        <f>D260</f>
        <v>86</v>
      </c>
      <c r="AD260" s="1">
        <f>E260</f>
        <v>3</v>
      </c>
      <c r="AE260" s="1">
        <f>F260</f>
        <v>1</v>
      </c>
      <c r="AF260" s="1">
        <f>G260</f>
        <v>0</v>
      </c>
      <c r="AG260" s="1">
        <f>I260</f>
        <v>0</v>
      </c>
      <c r="AH260" s="1">
        <f>J260</f>
        <v>0</v>
      </c>
      <c r="AI260" s="1">
        <f>Q260</f>
        <v>0</v>
      </c>
      <c r="AJ260" s="1">
        <f>K260</f>
        <v>0</v>
      </c>
      <c r="AK260" s="1">
        <f>L260</f>
        <v>0</v>
      </c>
      <c r="AL260" s="1">
        <f>M260</f>
        <v>1</v>
      </c>
      <c r="AM260" s="1">
        <f>N260</f>
        <v>0</v>
      </c>
      <c r="AN260" s="1">
        <f>O260</f>
        <v>0</v>
      </c>
    </row>
    <row r="261">
      <c r="A261" s="1">
        <v>342</v>
      </c>
      <c r="B261" s="1">
        <v>18</v>
      </c>
      <c r="C261" s="1">
        <v>6</v>
      </c>
      <c r="D261" s="1">
        <v>83</v>
      </c>
      <c r="E261" s="1">
        <v>3</v>
      </c>
      <c r="F261" s="1">
        <v>0</v>
      </c>
      <c r="G261" s="1">
        <v>1</v>
      </c>
      <c r="H261" s="1">
        <v>0</v>
      </c>
      <c r="I261" s="1">
        <v>0</v>
      </c>
      <c r="J261" s="1">
        <v>0</v>
      </c>
      <c r="K261" s="1">
        <v>0</v>
      </c>
      <c r="L261" s="1">
        <v>0</v>
      </c>
      <c r="M261" s="1">
        <v>0</v>
      </c>
      <c r="N261" s="1">
        <v>1</v>
      </c>
      <c r="O261" s="1">
        <v>0</v>
      </c>
      <c r="P261" s="1">
        <f>LN(B261)</f>
        <v>2.89037175789616</v>
      </c>
      <c r="Q261" s="1">
        <f>1-SUM(F261:J261)</f>
        <v>0</v>
      </c>
      <c r="R261" s="1" t="str">
        <f>IF(F261=1,"Napa valley",IF(G261=1,"Bay area",IF(H261=1,"Sonoma",IF(I261=1,"Sierra/foothills",IF(J261=1,"Mendocino/lake","Generic California")))))</f>
        <v>Bay area</v>
      </c>
      <c r="S261" s="1" t="str">
        <f>IF(F261=1,"Napa valley",IF(H261=1,"Sonoma","Other"))</f>
        <v>Other</v>
      </c>
      <c r="T261" s="1" t="str">
        <f>IF(M261=1,"Cabernet",IF(N261=1,"Merlot",IF(L261=1,"Pinot noir","Other")))</f>
        <v>Merlot</v>
      </c>
      <c r="U261" s="1" t="str">
        <f>IF(F261=1,B261,"")</f>
        <v/>
      </c>
      <c r="V261" s="1">
        <f>IF(F261=0,B261,"")</f>
        <v>18</v>
      </c>
      <c r="W261" s="1">
        <f>'Part B'!$B$150+SUMPRODUCT('Part B'!$B$164:$N$164,C261:O261)</f>
        <v>17.8043741441182</v>
      </c>
      <c r="X261" s="1">
        <f>B261-W261</f>
        <v>0.195625855881758</v>
      </c>
      <c r="Y261" s="1">
        <f>'Part B'!$B$179+SUMPRODUCT('Part B'!$B$193:$N$193,C261:O261)</f>
        <v>2.92855257194319</v>
      </c>
      <c r="Z261" s="1">
        <f>P261-Y261</f>
        <v>-0.0381808140470241</v>
      </c>
      <c r="AB261" s="1">
        <f>C261</f>
        <v>6</v>
      </c>
      <c r="AC261" s="1">
        <f>D261</f>
        <v>83</v>
      </c>
      <c r="AD261" s="1">
        <f>E261</f>
        <v>3</v>
      </c>
      <c r="AE261" s="1">
        <f>F261</f>
        <v>0</v>
      </c>
      <c r="AF261" s="1">
        <f>G261</f>
        <v>1</v>
      </c>
      <c r="AG261" s="1">
        <f>I261</f>
        <v>0</v>
      </c>
      <c r="AH261" s="1">
        <f>J261</f>
        <v>0</v>
      </c>
      <c r="AI261" s="1">
        <f>Q261</f>
        <v>0</v>
      </c>
      <c r="AJ261" s="1">
        <f>K261</f>
        <v>0</v>
      </c>
      <c r="AK261" s="1">
        <f>L261</f>
        <v>0</v>
      </c>
      <c r="AL261" s="1">
        <f>M261</f>
        <v>0</v>
      </c>
      <c r="AM261" s="1">
        <f>N261</f>
        <v>1</v>
      </c>
      <c r="AN261" s="1">
        <f>O261</f>
        <v>0</v>
      </c>
    </row>
    <row r="262">
      <c r="A262" s="1">
        <v>343</v>
      </c>
      <c r="B262" s="1">
        <v>18</v>
      </c>
      <c r="C262" s="1">
        <v>3.399</v>
      </c>
      <c r="D262" s="1">
        <v>87</v>
      </c>
      <c r="E262" s="1">
        <v>3</v>
      </c>
      <c r="F262" s="1">
        <v>0</v>
      </c>
      <c r="G262" s="1">
        <v>0</v>
      </c>
      <c r="H262" s="1">
        <v>0</v>
      </c>
      <c r="I262" s="1">
        <v>0</v>
      </c>
      <c r="J262" s="1">
        <v>1</v>
      </c>
      <c r="K262" s="1">
        <v>0</v>
      </c>
      <c r="L262" s="1">
        <v>1</v>
      </c>
      <c r="M262" s="1">
        <v>0</v>
      </c>
      <c r="N262" s="1">
        <v>0</v>
      </c>
      <c r="O262" s="1">
        <v>0</v>
      </c>
      <c r="P262" s="1">
        <f>LN(B262)</f>
        <v>2.89037175789616</v>
      </c>
      <c r="Q262" s="1">
        <f>1-SUM(F262:J262)</f>
        <v>0</v>
      </c>
      <c r="R262" s="1" t="str">
        <f>IF(F262=1,"Napa valley",IF(G262=1,"Bay area",IF(H262=1,"Sonoma",IF(I262=1,"Sierra/foothills",IF(J262=1,"Mendocino/lake","Generic California")))))</f>
        <v>Mendocino/lake</v>
      </c>
      <c r="S262" s="1" t="str">
        <f>IF(F262=1,"Napa valley",IF(H262=1,"Sonoma","Other"))</f>
        <v>Other</v>
      </c>
      <c r="T262" s="1" t="str">
        <f>IF(M262=1,"Cabernet",IF(N262=1,"Merlot",IF(L262=1,"Pinot noir","Other")))</f>
        <v>Pinot noir</v>
      </c>
      <c r="U262" s="1" t="str">
        <f>IF(F262=1,B262,"")</f>
        <v/>
      </c>
      <c r="V262" s="1">
        <f>IF(F262=0,B262,"")</f>
        <v>18</v>
      </c>
      <c r="W262" s="1">
        <f>'Part B'!$B$150+SUMPRODUCT('Part B'!$B$164:$N$164,C262:O262)</f>
        <v>31.0283450327581</v>
      </c>
      <c r="X262" s="1">
        <f>B262-W262</f>
        <v>-13.0283450327581</v>
      </c>
      <c r="Y262" s="1">
        <f>'Part B'!$B$179+SUMPRODUCT('Part B'!$B$193:$N$193,C262:O262)</f>
        <v>3.26377538511033</v>
      </c>
      <c r="Z262" s="1">
        <f>P262-Y262</f>
        <v>-0.373403627214162</v>
      </c>
      <c r="AB262" s="1">
        <f>C262</f>
        <v>3.399</v>
      </c>
      <c r="AC262" s="1">
        <f>D262</f>
        <v>87</v>
      </c>
      <c r="AD262" s="1">
        <f>E262</f>
        <v>3</v>
      </c>
      <c r="AE262" s="1">
        <f>F262</f>
        <v>0</v>
      </c>
      <c r="AF262" s="1">
        <f>G262</f>
        <v>0</v>
      </c>
      <c r="AG262" s="1">
        <f>I262</f>
        <v>0</v>
      </c>
      <c r="AH262" s="1">
        <f>J262</f>
        <v>1</v>
      </c>
      <c r="AI262" s="1">
        <f>Q262</f>
        <v>0</v>
      </c>
      <c r="AJ262" s="1">
        <f>K262</f>
        <v>0</v>
      </c>
      <c r="AK262" s="1">
        <f>L262</f>
        <v>1</v>
      </c>
      <c r="AL262" s="1">
        <f>M262</f>
        <v>0</v>
      </c>
      <c r="AM262" s="1">
        <f>N262</f>
        <v>0</v>
      </c>
      <c r="AN262" s="1">
        <f>O262</f>
        <v>0</v>
      </c>
    </row>
    <row r="263">
      <c r="A263" s="1">
        <v>345</v>
      </c>
      <c r="B263" s="1">
        <v>18</v>
      </c>
      <c r="C263" s="1">
        <v>0.45</v>
      </c>
      <c r="D263" s="1">
        <v>79</v>
      </c>
      <c r="E263" s="1">
        <v>3</v>
      </c>
      <c r="F263" s="1">
        <v>0</v>
      </c>
      <c r="G263" s="1">
        <v>0</v>
      </c>
      <c r="H263" s="1">
        <v>1</v>
      </c>
      <c r="I263" s="1">
        <v>0</v>
      </c>
      <c r="J263" s="1">
        <v>0</v>
      </c>
      <c r="K263" s="1">
        <v>0</v>
      </c>
      <c r="L263" s="1">
        <v>0</v>
      </c>
      <c r="M263" s="1">
        <v>0</v>
      </c>
      <c r="N263" s="1">
        <v>0</v>
      </c>
      <c r="O263" s="1">
        <v>0</v>
      </c>
      <c r="P263" s="1">
        <f>LN(B263)</f>
        <v>2.89037175789616</v>
      </c>
      <c r="Q263" s="1">
        <f>1-SUM(F263:J263)</f>
        <v>0</v>
      </c>
      <c r="R263" s="1" t="str">
        <f>IF(F263=1,"Napa valley",IF(G263=1,"Bay area",IF(H263=1,"Sonoma",IF(I263=1,"Sierra/foothills",IF(J263=1,"Mendocino/lake","Generic California")))))</f>
        <v>Sonoma</v>
      </c>
      <c r="S263" s="1" t="str">
        <f>IF(F263=1,"Napa valley",IF(H263=1,"Sonoma","Other"))</f>
        <v>Sonoma</v>
      </c>
      <c r="T263" s="1" t="str">
        <f>IF(M263=1,"Cabernet",IF(N263=1,"Merlot",IF(L263=1,"Pinot noir","Other")))</f>
        <v>Other</v>
      </c>
      <c r="U263" s="1" t="str">
        <f>IF(F263=1,B263,"")</f>
        <v/>
      </c>
      <c r="V263" s="1">
        <f>IF(F263=0,B263,"")</f>
        <v>18</v>
      </c>
      <c r="W263" s="1">
        <f>'Part B'!$B$150+SUMPRODUCT('Part B'!$B$164:$N$164,C263:O263)</f>
        <v>-5.02377347163616</v>
      </c>
      <c r="X263" s="1">
        <f>B263-W263</f>
        <v>23.0237734716362</v>
      </c>
      <c r="Y263" s="1">
        <f>'Part B'!$B$179+SUMPRODUCT('Part B'!$B$193:$N$193,C263:O263)</f>
        <v>2.41488606472582</v>
      </c>
      <c r="Z263" s="1">
        <f>P263-Y263</f>
        <v>0.475485693170342</v>
      </c>
      <c r="AB263" s="1">
        <f>C263</f>
        <v>0.45</v>
      </c>
      <c r="AC263" s="1">
        <f>D263</f>
        <v>79</v>
      </c>
      <c r="AD263" s="1">
        <f>E263</f>
        <v>3</v>
      </c>
      <c r="AE263" s="1">
        <f>F263</f>
        <v>0</v>
      </c>
      <c r="AF263" s="1">
        <f>G263</f>
        <v>0</v>
      </c>
      <c r="AG263" s="1">
        <f>I263</f>
        <v>0</v>
      </c>
      <c r="AH263" s="1">
        <f>J263</f>
        <v>0</v>
      </c>
      <c r="AI263" s="1">
        <f>Q263</f>
        <v>0</v>
      </c>
      <c r="AJ263" s="1">
        <f>K263</f>
        <v>0</v>
      </c>
      <c r="AK263" s="1">
        <f>L263</f>
        <v>0</v>
      </c>
      <c r="AL263" s="1">
        <f>M263</f>
        <v>0</v>
      </c>
      <c r="AM263" s="1">
        <f>N263</f>
        <v>0</v>
      </c>
      <c r="AN263" s="1">
        <f>O263</f>
        <v>0</v>
      </c>
    </row>
    <row r="264">
      <c r="A264" s="1">
        <v>346</v>
      </c>
      <c r="B264" s="1">
        <v>18</v>
      </c>
      <c r="C264" s="1">
        <v>0.375</v>
      </c>
      <c r="D264" s="1">
        <v>85</v>
      </c>
      <c r="E264" s="1">
        <v>3</v>
      </c>
      <c r="F264" s="1">
        <v>0</v>
      </c>
      <c r="G264" s="1">
        <v>0</v>
      </c>
      <c r="H264" s="1">
        <v>1</v>
      </c>
      <c r="I264" s="1">
        <v>0</v>
      </c>
      <c r="J264" s="1">
        <v>0</v>
      </c>
      <c r="K264" s="1">
        <v>0</v>
      </c>
      <c r="L264" s="1">
        <v>0</v>
      </c>
      <c r="M264" s="1">
        <v>0</v>
      </c>
      <c r="N264" s="1">
        <v>0</v>
      </c>
      <c r="O264" s="1">
        <v>1</v>
      </c>
      <c r="P264" s="1">
        <f>LN(B264)</f>
        <v>2.89037175789616</v>
      </c>
      <c r="Q264" s="1">
        <f>1-SUM(F264:J264)</f>
        <v>0</v>
      </c>
      <c r="R264" s="1" t="str">
        <f>IF(F264=1,"Napa valley",IF(G264=1,"Bay area",IF(H264=1,"Sonoma",IF(I264=1,"Sierra/foothills",IF(J264=1,"Mendocino/lake","Generic California")))))</f>
        <v>Sonoma</v>
      </c>
      <c r="S264" s="1" t="str">
        <f>IF(F264=1,"Napa valley",IF(H264=1,"Sonoma","Other"))</f>
        <v>Sonoma</v>
      </c>
      <c r="T264" s="1" t="str">
        <f>IF(M264=1,"Cabernet",IF(N264=1,"Merlot",IF(L264=1,"Pinot noir","Other")))</f>
        <v>Other</v>
      </c>
      <c r="U264" s="1" t="str">
        <f>IF(F264=1,B264,"")</f>
        <v/>
      </c>
      <c r="V264" s="1">
        <f>IF(F264=0,B264,"")</f>
        <v>18</v>
      </c>
      <c r="W264" s="1">
        <f>'Part B'!$B$150+SUMPRODUCT('Part B'!$B$164:$N$164,C264:O264)</f>
        <v>13.447640414684</v>
      </c>
      <c r="X264" s="1">
        <f>B264-W264</f>
        <v>4.55235958531603</v>
      </c>
      <c r="Y264" s="1">
        <f>'Part B'!$B$179+SUMPRODUCT('Part B'!$B$193:$N$193,C264:O264)</f>
        <v>2.87820915878643</v>
      </c>
      <c r="Z264" s="1">
        <f>P264-Y264</f>
        <v>0.0121625991097369</v>
      </c>
      <c r="AB264" s="1">
        <f>C264</f>
        <v>0.375</v>
      </c>
      <c r="AC264" s="1">
        <f>D264</f>
        <v>85</v>
      </c>
      <c r="AD264" s="1">
        <f>E264</f>
        <v>3</v>
      </c>
      <c r="AE264" s="1">
        <f>F264</f>
        <v>0</v>
      </c>
      <c r="AF264" s="1">
        <f>G264</f>
        <v>0</v>
      </c>
      <c r="AG264" s="1">
        <f>I264</f>
        <v>0</v>
      </c>
      <c r="AH264" s="1">
        <f>J264</f>
        <v>0</v>
      </c>
      <c r="AI264" s="1">
        <f>Q264</f>
        <v>0</v>
      </c>
      <c r="AJ264" s="1">
        <f>K264</f>
        <v>0</v>
      </c>
      <c r="AK264" s="1">
        <f>L264</f>
        <v>0</v>
      </c>
      <c r="AL264" s="1">
        <f>M264</f>
        <v>0</v>
      </c>
      <c r="AM264" s="1">
        <f>N264</f>
        <v>0</v>
      </c>
      <c r="AN264" s="1">
        <f>O264</f>
        <v>1</v>
      </c>
    </row>
    <row r="265">
      <c r="A265" s="1">
        <v>348</v>
      </c>
      <c r="B265" s="1">
        <v>18</v>
      </c>
      <c r="C265" s="1">
        <v>0.145</v>
      </c>
      <c r="D265" s="1">
        <v>89</v>
      </c>
      <c r="E265" s="1">
        <v>3</v>
      </c>
      <c r="F265" s="1">
        <v>0</v>
      </c>
      <c r="G265" s="1">
        <v>1</v>
      </c>
      <c r="H265" s="1">
        <v>0</v>
      </c>
      <c r="I265" s="1">
        <v>0</v>
      </c>
      <c r="J265" s="1">
        <v>0</v>
      </c>
      <c r="K265" s="1">
        <v>0</v>
      </c>
      <c r="L265" s="1">
        <v>1</v>
      </c>
      <c r="M265" s="1">
        <v>0</v>
      </c>
      <c r="N265" s="1">
        <v>0</v>
      </c>
      <c r="O265" s="1">
        <v>0</v>
      </c>
      <c r="P265" s="1">
        <f>LN(B265)</f>
        <v>2.89037175789616</v>
      </c>
      <c r="Q265" s="1">
        <f>1-SUM(F265:J265)</f>
        <v>0</v>
      </c>
      <c r="R265" s="1" t="str">
        <f>IF(F265=1,"Napa valley",IF(G265=1,"Bay area",IF(H265=1,"Sonoma",IF(I265=1,"Sierra/foothills",IF(J265=1,"Mendocino/lake","Generic California")))))</f>
        <v>Bay area</v>
      </c>
      <c r="S265" s="1" t="str">
        <f>IF(F265=1,"Napa valley",IF(H265=1,"Sonoma","Other"))</f>
        <v>Other</v>
      </c>
      <c r="T265" s="1" t="str">
        <f>IF(M265=1,"Cabernet",IF(N265=1,"Merlot",IF(L265=1,"Pinot noir","Other")))</f>
        <v>Pinot noir</v>
      </c>
      <c r="U265" s="1" t="str">
        <f>IF(F265=1,B265,"")</f>
        <v/>
      </c>
      <c r="V265" s="1">
        <f>IF(F265=0,B265,"")</f>
        <v>18</v>
      </c>
      <c r="W265" s="1">
        <f>'Part B'!$B$150+SUMPRODUCT('Part B'!$B$164:$N$164,C265:O265)</f>
        <v>39.0247267917804</v>
      </c>
      <c r="X265" s="1">
        <f>B265-W265</f>
        <v>-21.0247267917804</v>
      </c>
      <c r="Y265" s="1">
        <f>'Part B'!$B$179+SUMPRODUCT('Part B'!$B$193:$N$193,C265:O265)</f>
        <v>3.4353822710582</v>
      </c>
      <c r="Z265" s="1">
        <f>P265-Y265</f>
        <v>-0.545010513162032</v>
      </c>
      <c r="AB265" s="1">
        <f>C265</f>
        <v>0.145</v>
      </c>
      <c r="AC265" s="1">
        <f>D265</f>
        <v>89</v>
      </c>
      <c r="AD265" s="1">
        <f>E265</f>
        <v>3</v>
      </c>
      <c r="AE265" s="1">
        <f>F265</f>
        <v>0</v>
      </c>
      <c r="AF265" s="1">
        <f>G265</f>
        <v>1</v>
      </c>
      <c r="AG265" s="1">
        <f>I265</f>
        <v>0</v>
      </c>
      <c r="AH265" s="1">
        <f>J265</f>
        <v>0</v>
      </c>
      <c r="AI265" s="1">
        <f>Q265</f>
        <v>0</v>
      </c>
      <c r="AJ265" s="1">
        <f>K265</f>
        <v>0</v>
      </c>
      <c r="AK265" s="1">
        <f>L265</f>
        <v>1</v>
      </c>
      <c r="AL265" s="1">
        <f>M265</f>
        <v>0</v>
      </c>
      <c r="AM265" s="1">
        <f>N265</f>
        <v>0</v>
      </c>
      <c r="AN265" s="1">
        <f>O265</f>
        <v>0</v>
      </c>
    </row>
    <row r="266">
      <c r="A266" s="1">
        <v>349</v>
      </c>
      <c r="B266" s="1">
        <v>18</v>
      </c>
      <c r="C266" s="1">
        <v>0.715</v>
      </c>
      <c r="D266" s="1">
        <v>80</v>
      </c>
      <c r="E266" s="1">
        <v>3</v>
      </c>
      <c r="F266" s="1">
        <v>0</v>
      </c>
      <c r="G266" s="1">
        <v>0</v>
      </c>
      <c r="H266" s="1">
        <v>1</v>
      </c>
      <c r="I266" s="1">
        <v>0</v>
      </c>
      <c r="J266" s="1">
        <v>0</v>
      </c>
      <c r="K266" s="1">
        <v>0</v>
      </c>
      <c r="L266" s="1">
        <v>0</v>
      </c>
      <c r="M266" s="1">
        <v>0</v>
      </c>
      <c r="N266" s="1">
        <v>1</v>
      </c>
      <c r="O266" s="1">
        <v>0</v>
      </c>
      <c r="P266" s="1">
        <f>LN(B266)</f>
        <v>2.89037175789616</v>
      </c>
      <c r="Q266" s="1">
        <f>1-SUM(F266:J266)</f>
        <v>0</v>
      </c>
      <c r="R266" s="1" t="str">
        <f>IF(F266=1,"Napa valley",IF(G266=1,"Bay area",IF(H266=1,"Sonoma",IF(I266=1,"Sierra/foothills",IF(J266=1,"Mendocino/lake","Generic California")))))</f>
        <v>Sonoma</v>
      </c>
      <c r="S266" s="1" t="str">
        <f>IF(F266=1,"Napa valley",IF(H266=1,"Sonoma","Other"))</f>
        <v>Sonoma</v>
      </c>
      <c r="T266" s="1" t="str">
        <f>IF(M266=1,"Cabernet",IF(N266=1,"Merlot",IF(L266=1,"Pinot noir","Other")))</f>
        <v>Merlot</v>
      </c>
      <c r="U266" s="1" t="str">
        <f>IF(F266=1,B266,"")</f>
        <v/>
      </c>
      <c r="V266" s="1">
        <f>IF(F266=0,B266,"")</f>
        <v>18</v>
      </c>
      <c r="W266" s="1">
        <f>'Part B'!$B$150+SUMPRODUCT('Part B'!$B$164:$N$164,C266:O266)</f>
        <v>5.75638102613613</v>
      </c>
      <c r="X266" s="1">
        <f>B266-W266</f>
        <v>12.2436189738639</v>
      </c>
      <c r="Y266" s="1">
        <f>'Part B'!$B$179+SUMPRODUCT('Part B'!$B$193:$N$193,C266:O266)</f>
        <v>2.76822821059813</v>
      </c>
      <c r="Z266" s="1">
        <f>P266-Y266</f>
        <v>0.122143547298032</v>
      </c>
      <c r="AB266" s="1">
        <f>C266</f>
        <v>0.715</v>
      </c>
      <c r="AC266" s="1">
        <f>D266</f>
        <v>80</v>
      </c>
      <c r="AD266" s="1">
        <f>E266</f>
        <v>3</v>
      </c>
      <c r="AE266" s="1">
        <f>F266</f>
        <v>0</v>
      </c>
      <c r="AF266" s="1">
        <f>G266</f>
        <v>0</v>
      </c>
      <c r="AG266" s="1">
        <f>I266</f>
        <v>0</v>
      </c>
      <c r="AH266" s="1">
        <f>J266</f>
        <v>0</v>
      </c>
      <c r="AI266" s="1">
        <f>Q266</f>
        <v>0</v>
      </c>
      <c r="AJ266" s="1">
        <f>K266</f>
        <v>0</v>
      </c>
      <c r="AK266" s="1">
        <f>L266</f>
        <v>0</v>
      </c>
      <c r="AL266" s="1">
        <f>M266</f>
        <v>0</v>
      </c>
      <c r="AM266" s="1">
        <f>N266</f>
        <v>1</v>
      </c>
      <c r="AN266" s="1">
        <f>O266</f>
        <v>0</v>
      </c>
    </row>
    <row r="267">
      <c r="A267" s="1">
        <v>350</v>
      </c>
      <c r="B267" s="1">
        <v>18</v>
      </c>
      <c r="C267" s="1">
        <v>0.6</v>
      </c>
      <c r="D267" s="1">
        <v>86</v>
      </c>
      <c r="E267" s="1">
        <v>3</v>
      </c>
      <c r="F267" s="1">
        <v>0</v>
      </c>
      <c r="G267" s="1">
        <v>0</v>
      </c>
      <c r="H267" s="1">
        <v>0</v>
      </c>
      <c r="I267" s="1">
        <v>0</v>
      </c>
      <c r="J267" s="1">
        <v>0</v>
      </c>
      <c r="K267" s="1">
        <v>1</v>
      </c>
      <c r="L267" s="1">
        <v>0</v>
      </c>
      <c r="M267" s="1">
        <v>0</v>
      </c>
      <c r="N267" s="1">
        <v>0</v>
      </c>
      <c r="O267" s="1">
        <v>0</v>
      </c>
      <c r="P267" s="1">
        <f>LN(B267)</f>
        <v>2.89037175789616</v>
      </c>
      <c r="Q267" s="1">
        <f>1-SUM(F267:J267)</f>
        <v>1</v>
      </c>
      <c r="R267" s="1" t="str">
        <f>IF(F267=1,"Napa valley",IF(G267=1,"Bay area",IF(H267=1,"Sonoma",IF(I267=1,"Sierra/foothills",IF(J267=1,"Mendocino/lake","Generic California")))))</f>
        <v>Generic California</v>
      </c>
      <c r="S267" s="1" t="str">
        <f>IF(F267=1,"Napa valley",IF(H267=1,"Sonoma","Other"))</f>
        <v>Other</v>
      </c>
      <c r="T267" s="1" t="str">
        <f>IF(M267=1,"Cabernet",IF(N267=1,"Merlot",IF(L267=1,"Pinot noir","Other")))</f>
        <v>Other</v>
      </c>
      <c r="U267" s="1" t="str">
        <f>IF(F267=1,B267,"")</f>
        <v/>
      </c>
      <c r="V267" s="1">
        <f>IF(F267=0,B267,"")</f>
        <v>18</v>
      </c>
      <c r="W267" s="1">
        <f>'Part B'!$B$150+SUMPRODUCT('Part B'!$B$164:$N$164,C267:O267)</f>
        <v>38.1009059032518</v>
      </c>
      <c r="X267" s="1">
        <f>B267-W267</f>
        <v>-20.1009059032518</v>
      </c>
      <c r="Y267" s="1">
        <f>'Part B'!$B$179+SUMPRODUCT('Part B'!$B$193:$N$193,C267:O267)</f>
        <v>3.10062940228379</v>
      </c>
      <c r="Z267" s="1">
        <f>P267-Y267</f>
        <v>-0.210257644387629</v>
      </c>
      <c r="AB267" s="1">
        <f>C267</f>
        <v>0.6</v>
      </c>
      <c r="AC267" s="1">
        <f>D267</f>
        <v>86</v>
      </c>
      <c r="AD267" s="1">
        <f>E267</f>
        <v>3</v>
      </c>
      <c r="AE267" s="1">
        <f>F267</f>
        <v>0</v>
      </c>
      <c r="AF267" s="1">
        <f>G267</f>
        <v>0</v>
      </c>
      <c r="AG267" s="1">
        <f>I267</f>
        <v>0</v>
      </c>
      <c r="AH267" s="1">
        <f>J267</f>
        <v>0</v>
      </c>
      <c r="AI267" s="1">
        <f>Q267</f>
        <v>1</v>
      </c>
      <c r="AJ267" s="1">
        <f>K267</f>
        <v>1</v>
      </c>
      <c r="AK267" s="1">
        <f>L267</f>
        <v>0</v>
      </c>
      <c r="AL267" s="1">
        <f>M267</f>
        <v>0</v>
      </c>
      <c r="AM267" s="1">
        <f>N267</f>
        <v>0</v>
      </c>
      <c r="AN267" s="1">
        <f>O267</f>
        <v>0</v>
      </c>
    </row>
    <row r="268">
      <c r="A268" s="1">
        <v>352</v>
      </c>
      <c r="B268" s="1">
        <v>18</v>
      </c>
      <c r="C268" s="1">
        <v>1.124</v>
      </c>
      <c r="D268" s="1">
        <v>88</v>
      </c>
      <c r="E268" s="1">
        <v>3</v>
      </c>
      <c r="F268" s="1">
        <v>1</v>
      </c>
      <c r="G268" s="1">
        <v>0</v>
      </c>
      <c r="H268" s="1">
        <v>0</v>
      </c>
      <c r="I268" s="1">
        <v>0</v>
      </c>
      <c r="J268" s="1">
        <v>0</v>
      </c>
      <c r="K268" s="1">
        <v>0</v>
      </c>
      <c r="L268" s="1">
        <v>0</v>
      </c>
      <c r="M268" s="1">
        <v>0</v>
      </c>
      <c r="N268" s="1">
        <v>1</v>
      </c>
      <c r="O268" s="1">
        <v>0</v>
      </c>
      <c r="P268" s="1">
        <f>LN(B268)</f>
        <v>2.89037175789616</v>
      </c>
      <c r="Q268" s="1">
        <f>1-SUM(F268:J268)</f>
        <v>0</v>
      </c>
      <c r="R268" s="1" t="str">
        <f>IF(F268=1,"Napa valley",IF(G268=1,"Bay area",IF(H268=1,"Sonoma",IF(I268=1,"Sierra/foothills",IF(J268=1,"Mendocino/lake","Generic California")))))</f>
        <v>Napa valley</v>
      </c>
      <c r="S268" s="1" t="str">
        <f>IF(F268=1,"Napa valley",IF(H268=1,"Sonoma","Other"))</f>
        <v>Napa valley</v>
      </c>
      <c r="T268" s="1" t="str">
        <f>IF(M268=1,"Cabernet",IF(N268=1,"Merlot",IF(L268=1,"Pinot noir","Other")))</f>
        <v>Merlot</v>
      </c>
      <c r="U268" s="1">
        <f>IF(F268=1,B268,"")</f>
        <v>18</v>
      </c>
      <c r="V268" s="1" t="str">
        <f>IF(F268=0,B268,"")</f>
        <v/>
      </c>
      <c r="W268" s="1">
        <f>'Part B'!$B$150+SUMPRODUCT('Part B'!$B$164:$N$164,C268:O268)</f>
        <v>38.7747858530399</v>
      </c>
      <c r="X268" s="1">
        <f>B268-W268</f>
        <v>-20.7747858530399</v>
      </c>
      <c r="Y268" s="1">
        <f>'Part B'!$B$179+SUMPRODUCT('Part B'!$B$193:$N$193,C268:O268)</f>
        <v>3.47395658741538</v>
      </c>
      <c r="Z268" s="1">
        <f>P268-Y268</f>
        <v>-0.583584829519213</v>
      </c>
      <c r="AB268" s="1">
        <f>C268</f>
        <v>1.124</v>
      </c>
      <c r="AC268" s="1">
        <f>D268</f>
        <v>88</v>
      </c>
      <c r="AD268" s="1">
        <f>E268</f>
        <v>3</v>
      </c>
      <c r="AE268" s="1">
        <f>F268</f>
        <v>1</v>
      </c>
      <c r="AF268" s="1">
        <f>G268</f>
        <v>0</v>
      </c>
      <c r="AG268" s="1">
        <f>I268</f>
        <v>0</v>
      </c>
      <c r="AH268" s="1">
        <f>J268</f>
        <v>0</v>
      </c>
      <c r="AI268" s="1">
        <f>Q268</f>
        <v>0</v>
      </c>
      <c r="AJ268" s="1">
        <f>K268</f>
        <v>0</v>
      </c>
      <c r="AK268" s="1">
        <f>L268</f>
        <v>0</v>
      </c>
      <c r="AL268" s="1">
        <f>M268</f>
        <v>0</v>
      </c>
      <c r="AM268" s="1">
        <f>N268</f>
        <v>1</v>
      </c>
      <c r="AN268" s="1">
        <f>O268</f>
        <v>0</v>
      </c>
    </row>
    <row r="269">
      <c r="A269" s="1">
        <v>355</v>
      </c>
      <c r="B269" s="1">
        <v>18</v>
      </c>
      <c r="C269" s="1">
        <v>6.15</v>
      </c>
      <c r="D269" s="1">
        <v>90</v>
      </c>
      <c r="E269" s="1">
        <v>2</v>
      </c>
      <c r="F269" s="1">
        <v>0</v>
      </c>
      <c r="G269" s="1">
        <v>0</v>
      </c>
      <c r="H269" s="1">
        <v>1</v>
      </c>
      <c r="I269" s="1">
        <v>0</v>
      </c>
      <c r="J269" s="1">
        <v>0</v>
      </c>
      <c r="K269" s="1">
        <v>0</v>
      </c>
      <c r="L269" s="1">
        <v>0</v>
      </c>
      <c r="M269" s="1">
        <v>0</v>
      </c>
      <c r="N269" s="1">
        <v>0</v>
      </c>
      <c r="O269" s="1">
        <v>0</v>
      </c>
      <c r="P269" s="1">
        <f>LN(B269)</f>
        <v>2.89037175789616</v>
      </c>
      <c r="Q269" s="1">
        <f>1-SUM(F269:J269)</f>
        <v>0</v>
      </c>
      <c r="R269" s="1" t="str">
        <f>IF(F269=1,"Napa valley",IF(G269=1,"Bay area",IF(H269=1,"Sonoma",IF(I269=1,"Sierra/foothills",IF(J269=1,"Mendocino/lake","Generic California")))))</f>
        <v>Sonoma</v>
      </c>
      <c r="S269" s="1" t="str">
        <f>IF(F269=1,"Napa valley",IF(H269=1,"Sonoma","Other"))</f>
        <v>Sonoma</v>
      </c>
      <c r="T269" s="1" t="str">
        <f>IF(M269=1,"Cabernet",IF(N269=1,"Merlot",IF(L269=1,"Pinot noir","Other")))</f>
        <v>Other</v>
      </c>
      <c r="U269" s="1" t="str">
        <f>IF(F269=1,B269,"")</f>
        <v/>
      </c>
      <c r="V269" s="1">
        <f>IF(F269=0,B269,"")</f>
        <v>18</v>
      </c>
      <c r="W269" s="1">
        <f>'Part B'!$B$150+SUMPRODUCT('Part B'!$B$164:$N$164,C269:O269)</f>
        <v>22.4116812990616</v>
      </c>
      <c r="X269" s="1">
        <f>B269-W269</f>
        <v>-4.41168129906163</v>
      </c>
      <c r="Y269" s="1">
        <f>'Part B'!$B$179+SUMPRODUCT('Part B'!$B$193:$N$193,C269:O269)</f>
        <v>2.97698515632893</v>
      </c>
      <c r="Z269" s="1">
        <f>P269-Y269</f>
        <v>-0.0866133984327666</v>
      </c>
      <c r="AB269" s="1">
        <f>C269</f>
        <v>6.15</v>
      </c>
      <c r="AC269" s="1">
        <f>D269</f>
        <v>90</v>
      </c>
      <c r="AD269" s="1">
        <f>E269</f>
        <v>2</v>
      </c>
      <c r="AE269" s="1">
        <f>F269</f>
        <v>0</v>
      </c>
      <c r="AF269" s="1">
        <f>G269</f>
        <v>0</v>
      </c>
      <c r="AG269" s="1">
        <f>I269</f>
        <v>0</v>
      </c>
      <c r="AH269" s="1">
        <f>J269</f>
        <v>0</v>
      </c>
      <c r="AI269" s="1">
        <f>Q269</f>
        <v>0</v>
      </c>
      <c r="AJ269" s="1">
        <f>K269</f>
        <v>0</v>
      </c>
      <c r="AK269" s="1">
        <f>L269</f>
        <v>0</v>
      </c>
      <c r="AL269" s="1">
        <f>M269</f>
        <v>0</v>
      </c>
      <c r="AM269" s="1">
        <f>N269</f>
        <v>0</v>
      </c>
      <c r="AN269" s="1">
        <f>O269</f>
        <v>0</v>
      </c>
    </row>
    <row r="270">
      <c r="A270" s="1">
        <v>356</v>
      </c>
      <c r="B270" s="1">
        <v>18</v>
      </c>
      <c r="C270" s="1">
        <v>0.397</v>
      </c>
      <c r="D270" s="1">
        <v>91</v>
      </c>
      <c r="E270" s="1">
        <v>2</v>
      </c>
      <c r="F270" s="1">
        <v>1</v>
      </c>
      <c r="G270" s="1">
        <v>0</v>
      </c>
      <c r="H270" s="1">
        <v>0</v>
      </c>
      <c r="I270" s="1">
        <v>0</v>
      </c>
      <c r="J270" s="1">
        <v>0</v>
      </c>
      <c r="K270" s="1">
        <v>0</v>
      </c>
      <c r="L270" s="1">
        <v>0</v>
      </c>
      <c r="M270" s="1">
        <v>0</v>
      </c>
      <c r="N270" s="1">
        <v>0</v>
      </c>
      <c r="O270" s="1">
        <v>0</v>
      </c>
      <c r="P270" s="1">
        <f>LN(B270)</f>
        <v>2.89037175789616</v>
      </c>
      <c r="Q270" s="1">
        <f>1-SUM(F270:J270)</f>
        <v>0</v>
      </c>
      <c r="R270" s="1" t="str">
        <f>IF(F270=1,"Napa valley",IF(G270=1,"Bay area",IF(H270=1,"Sonoma",IF(I270=1,"Sierra/foothills",IF(J270=1,"Mendocino/lake","Generic California")))))</f>
        <v>Napa valley</v>
      </c>
      <c r="S270" s="1" t="str">
        <f>IF(F270=1,"Napa valley",IF(H270=1,"Sonoma","Other"))</f>
        <v>Napa valley</v>
      </c>
      <c r="T270" s="1" t="str">
        <f>IF(M270=1,"Cabernet",IF(N270=1,"Merlot",IF(L270=1,"Pinot noir","Other")))</f>
        <v>Other</v>
      </c>
      <c r="U270" s="1">
        <f>IF(F270=1,B270,"")</f>
        <v>18</v>
      </c>
      <c r="V270" s="1" t="str">
        <f>IF(F270=0,B270,"")</f>
        <v/>
      </c>
      <c r="W270" s="1">
        <f>'Part B'!$B$150+SUMPRODUCT('Part B'!$B$164:$N$164,C270:O270)</f>
        <v>33.9992651279013</v>
      </c>
      <c r="X270" s="1">
        <f>B270-W270</f>
        <v>-15.9992651279013</v>
      </c>
      <c r="Y270" s="1">
        <f>'Part B'!$B$179+SUMPRODUCT('Part B'!$B$193:$N$193,C270:O270)</f>
        <v>3.21935156331219</v>
      </c>
      <c r="Z270" s="1">
        <f>P270-Y270</f>
        <v>-0.328979805416029</v>
      </c>
      <c r="AB270" s="1">
        <f>C270</f>
        <v>0.397</v>
      </c>
      <c r="AC270" s="1">
        <f>D270</f>
        <v>91</v>
      </c>
      <c r="AD270" s="1">
        <f>E270</f>
        <v>2</v>
      </c>
      <c r="AE270" s="1">
        <f>F270</f>
        <v>1</v>
      </c>
      <c r="AF270" s="1">
        <f>G270</f>
        <v>0</v>
      </c>
      <c r="AG270" s="1">
        <f>I270</f>
        <v>0</v>
      </c>
      <c r="AH270" s="1">
        <f>J270</f>
        <v>0</v>
      </c>
      <c r="AI270" s="1">
        <f>Q270</f>
        <v>0</v>
      </c>
      <c r="AJ270" s="1">
        <f>K270</f>
        <v>0</v>
      </c>
      <c r="AK270" s="1">
        <f>L270</f>
        <v>0</v>
      </c>
      <c r="AL270" s="1">
        <f>M270</f>
        <v>0</v>
      </c>
      <c r="AM270" s="1">
        <f>N270</f>
        <v>0</v>
      </c>
      <c r="AN270" s="1">
        <f>O270</f>
        <v>0</v>
      </c>
    </row>
    <row r="271">
      <c r="A271" s="1">
        <v>358</v>
      </c>
      <c r="B271" s="1">
        <v>18</v>
      </c>
      <c r="C271" s="1">
        <v>1.8</v>
      </c>
      <c r="D271" s="1">
        <v>87</v>
      </c>
      <c r="E271" s="1">
        <v>2</v>
      </c>
      <c r="F271" s="1">
        <v>0</v>
      </c>
      <c r="G271" s="1">
        <v>0</v>
      </c>
      <c r="H271" s="1">
        <v>1</v>
      </c>
      <c r="I271" s="1">
        <v>0</v>
      </c>
      <c r="J271" s="1">
        <v>0</v>
      </c>
      <c r="K271" s="1">
        <v>0</v>
      </c>
      <c r="L271" s="1">
        <v>0</v>
      </c>
      <c r="M271" s="1">
        <v>0</v>
      </c>
      <c r="N271" s="1">
        <v>0</v>
      </c>
      <c r="O271" s="1">
        <v>0</v>
      </c>
      <c r="P271" s="1">
        <f>LN(B271)</f>
        <v>2.89037175789616</v>
      </c>
      <c r="Q271" s="1">
        <f>1-SUM(F271:J271)</f>
        <v>0</v>
      </c>
      <c r="R271" s="1" t="str">
        <f>IF(F271=1,"Napa valley",IF(G271=1,"Bay area",IF(H271=1,"Sonoma",IF(I271=1,"Sierra/foothills",IF(J271=1,"Mendocino/lake","Generic California")))))</f>
        <v>Sonoma</v>
      </c>
      <c r="S271" s="1" t="str">
        <f>IF(F271=1,"Napa valley",IF(H271=1,"Sonoma","Other"))</f>
        <v>Sonoma</v>
      </c>
      <c r="T271" s="1" t="str">
        <f>IF(M271=1,"Cabernet",IF(N271=1,"Merlot",IF(L271=1,"Pinot noir","Other")))</f>
        <v>Other</v>
      </c>
      <c r="U271" s="1" t="str">
        <f>IF(F271=1,B271,"")</f>
        <v/>
      </c>
      <c r="V271" s="1">
        <f>IF(F271=0,B271,"")</f>
        <v>18</v>
      </c>
      <c r="W271" s="1">
        <f>'Part B'!$B$150+SUMPRODUCT('Part B'!$B$164:$N$164,C271:O271)</f>
        <v>13.3892649198704</v>
      </c>
      <c r="X271" s="1">
        <f>B271-W271</f>
        <v>4.61073508012959</v>
      </c>
      <c r="Y271" s="1">
        <f>'Part B'!$B$179+SUMPRODUCT('Part B'!$B$193:$N$193,C271:O271)</f>
        <v>2.78571499201776</v>
      </c>
      <c r="Z271" s="1">
        <f>P271-Y271</f>
        <v>0.1046567658784</v>
      </c>
      <c r="AB271" s="1">
        <f>C271</f>
        <v>1.8</v>
      </c>
      <c r="AC271" s="1">
        <f>D271</f>
        <v>87</v>
      </c>
      <c r="AD271" s="1">
        <f>E271</f>
        <v>2</v>
      </c>
      <c r="AE271" s="1">
        <f>F271</f>
        <v>0</v>
      </c>
      <c r="AF271" s="1">
        <f>G271</f>
        <v>0</v>
      </c>
      <c r="AG271" s="1">
        <f>I271</f>
        <v>0</v>
      </c>
      <c r="AH271" s="1">
        <f>J271</f>
        <v>0</v>
      </c>
      <c r="AI271" s="1">
        <f>Q271</f>
        <v>0</v>
      </c>
      <c r="AJ271" s="1">
        <f>K271</f>
        <v>0</v>
      </c>
      <c r="AK271" s="1">
        <f>L271</f>
        <v>0</v>
      </c>
      <c r="AL271" s="1">
        <f>M271</f>
        <v>0</v>
      </c>
      <c r="AM271" s="1">
        <f>N271</f>
        <v>0</v>
      </c>
      <c r="AN271" s="1">
        <f>O271</f>
        <v>0</v>
      </c>
    </row>
    <row r="272">
      <c r="A272" s="1">
        <v>360</v>
      </c>
      <c r="B272" s="1">
        <v>18</v>
      </c>
      <c r="C272" s="1">
        <v>0.407</v>
      </c>
      <c r="D272" s="1">
        <v>87</v>
      </c>
      <c r="E272" s="1">
        <v>2</v>
      </c>
      <c r="F272" s="1">
        <v>0</v>
      </c>
      <c r="G272" s="1">
        <v>0</v>
      </c>
      <c r="H272" s="1">
        <v>1</v>
      </c>
      <c r="I272" s="1">
        <v>0</v>
      </c>
      <c r="J272" s="1">
        <v>0</v>
      </c>
      <c r="K272" s="1">
        <v>0</v>
      </c>
      <c r="L272" s="1">
        <v>0</v>
      </c>
      <c r="M272" s="1">
        <v>1</v>
      </c>
      <c r="N272" s="1">
        <v>0</v>
      </c>
      <c r="O272" s="1">
        <v>0</v>
      </c>
      <c r="P272" s="1">
        <f>LN(B272)</f>
        <v>2.89037175789616</v>
      </c>
      <c r="Q272" s="1">
        <f>1-SUM(F272:J272)</f>
        <v>0</v>
      </c>
      <c r="R272" s="1" t="str">
        <f>IF(F272=1,"Napa valley",IF(G272=1,"Bay area",IF(H272=1,"Sonoma",IF(I272=1,"Sierra/foothills",IF(J272=1,"Mendocino/lake","Generic California")))))</f>
        <v>Sonoma</v>
      </c>
      <c r="S272" s="1" t="str">
        <f>IF(F272=1,"Napa valley",IF(H272=1,"Sonoma","Other"))</f>
        <v>Sonoma</v>
      </c>
      <c r="T272" s="1" t="str">
        <f>IF(M272=1,"Cabernet",IF(N272=1,"Merlot",IF(L272=1,"Pinot noir","Other")))</f>
        <v>Cabernet</v>
      </c>
      <c r="U272" s="1" t="str">
        <f>IF(F272=1,B272,"")</f>
        <v/>
      </c>
      <c r="V272" s="1">
        <f>IF(F272=0,B272,"")</f>
        <v>18</v>
      </c>
      <c r="W272" s="1">
        <f>'Part B'!$B$150+SUMPRODUCT('Part B'!$B$164:$N$164,C272:O272)</f>
        <v>26.1487334431553</v>
      </c>
      <c r="X272" s="1">
        <f>B272-W272</f>
        <v>-8.14873344315527</v>
      </c>
      <c r="Y272" s="1">
        <f>'Part B'!$B$179+SUMPRODUCT('Part B'!$B$193:$N$193,C272:O272)</f>
        <v>3.11267139293824</v>
      </c>
      <c r="Z272" s="1">
        <f>P272-Y272</f>
        <v>-0.222299635042074</v>
      </c>
      <c r="AB272" s="1">
        <f>C272</f>
        <v>0.407</v>
      </c>
      <c r="AC272" s="1">
        <f>D272</f>
        <v>87</v>
      </c>
      <c r="AD272" s="1">
        <f>E272</f>
        <v>2</v>
      </c>
      <c r="AE272" s="1">
        <f>F272</f>
        <v>0</v>
      </c>
      <c r="AF272" s="1">
        <f>G272</f>
        <v>0</v>
      </c>
      <c r="AG272" s="1">
        <f>I272</f>
        <v>0</v>
      </c>
      <c r="AH272" s="1">
        <f>J272</f>
        <v>0</v>
      </c>
      <c r="AI272" s="1">
        <f>Q272</f>
        <v>0</v>
      </c>
      <c r="AJ272" s="1">
        <f>K272</f>
        <v>0</v>
      </c>
      <c r="AK272" s="1">
        <f>L272</f>
        <v>0</v>
      </c>
      <c r="AL272" s="1">
        <f>M272</f>
        <v>1</v>
      </c>
      <c r="AM272" s="1">
        <f>N272</f>
        <v>0</v>
      </c>
      <c r="AN272" s="1">
        <f>O272</f>
        <v>0</v>
      </c>
    </row>
    <row r="273">
      <c r="A273" s="1">
        <v>363</v>
      </c>
      <c r="B273" s="1">
        <v>18</v>
      </c>
      <c r="C273" s="1">
        <v>12</v>
      </c>
      <c r="D273" s="1">
        <v>82</v>
      </c>
      <c r="E273" s="1">
        <v>2</v>
      </c>
      <c r="F273" s="1">
        <v>1</v>
      </c>
      <c r="G273" s="1">
        <v>0</v>
      </c>
      <c r="H273" s="1">
        <v>0</v>
      </c>
      <c r="I273" s="1">
        <v>0</v>
      </c>
      <c r="J273" s="1">
        <v>0</v>
      </c>
      <c r="K273" s="1">
        <v>0</v>
      </c>
      <c r="L273" s="1">
        <v>0</v>
      </c>
      <c r="M273" s="1">
        <v>1</v>
      </c>
      <c r="N273" s="1">
        <v>0</v>
      </c>
      <c r="O273" s="1">
        <v>0</v>
      </c>
      <c r="P273" s="1">
        <f>LN(B273)</f>
        <v>2.89037175789616</v>
      </c>
      <c r="Q273" s="1">
        <f>1-SUM(F273:J273)</f>
        <v>0</v>
      </c>
      <c r="R273" s="1" t="str">
        <f>IF(F273=1,"Napa valley",IF(G273=1,"Bay area",IF(H273=1,"Sonoma",IF(I273=1,"Sierra/foothills",IF(J273=1,"Mendocino/lake","Generic California")))))</f>
        <v>Napa valley</v>
      </c>
      <c r="S273" s="1" t="str">
        <f>IF(F273=1,"Napa valley",IF(H273=1,"Sonoma","Other"))</f>
        <v>Napa valley</v>
      </c>
      <c r="T273" s="1" t="str">
        <f>IF(M273=1,"Cabernet",IF(N273=1,"Merlot",IF(L273=1,"Pinot noir","Other")))</f>
        <v>Cabernet</v>
      </c>
      <c r="U273" s="1">
        <f>IF(F273=1,B273,"")</f>
        <v>18</v>
      </c>
      <c r="V273" s="1" t="str">
        <f>IF(F273=0,B273,"")</f>
        <v/>
      </c>
      <c r="W273" s="1">
        <f>'Part B'!$B$150+SUMPRODUCT('Part B'!$B$164:$N$164,C273:O273)</f>
        <v>17.2193604698281</v>
      </c>
      <c r="X273" s="1">
        <f>B273-W273</f>
        <v>0.780639530171925</v>
      </c>
      <c r="Y273" s="1">
        <f>'Part B'!$B$179+SUMPRODUCT('Part B'!$B$193:$N$193,C273:O273)</f>
        <v>2.86104488843832</v>
      </c>
      <c r="Z273" s="1">
        <f>P273-Y273</f>
        <v>0.0293268694578419</v>
      </c>
      <c r="AB273" s="1">
        <f>C273</f>
        <v>12</v>
      </c>
      <c r="AC273" s="1">
        <f>D273</f>
        <v>82</v>
      </c>
      <c r="AD273" s="1">
        <f>E273</f>
        <v>2</v>
      </c>
      <c r="AE273" s="1">
        <f>F273</f>
        <v>1</v>
      </c>
      <c r="AF273" s="1">
        <f>G273</f>
        <v>0</v>
      </c>
      <c r="AG273" s="1">
        <f>I273</f>
        <v>0</v>
      </c>
      <c r="AH273" s="1">
        <f>J273</f>
        <v>0</v>
      </c>
      <c r="AI273" s="1">
        <f>Q273</f>
        <v>0</v>
      </c>
      <c r="AJ273" s="1">
        <f>K273</f>
        <v>0</v>
      </c>
      <c r="AK273" s="1">
        <f>L273</f>
        <v>0</v>
      </c>
      <c r="AL273" s="1">
        <f>M273</f>
        <v>1</v>
      </c>
      <c r="AM273" s="1">
        <f>N273</f>
        <v>0</v>
      </c>
      <c r="AN273" s="1">
        <f>O273</f>
        <v>0</v>
      </c>
    </row>
    <row r="274">
      <c r="A274" s="1">
        <v>364</v>
      </c>
      <c r="B274" s="1">
        <v>18</v>
      </c>
      <c r="C274" s="1">
        <v>1.375</v>
      </c>
      <c r="D274" s="1">
        <v>85</v>
      </c>
      <c r="E274" s="1">
        <v>2</v>
      </c>
      <c r="F274" s="1">
        <v>0</v>
      </c>
      <c r="G274" s="1">
        <v>0</v>
      </c>
      <c r="H274" s="1">
        <v>0</v>
      </c>
      <c r="I274" s="1">
        <v>0</v>
      </c>
      <c r="J274" s="1">
        <v>0</v>
      </c>
      <c r="K274" s="1">
        <v>0</v>
      </c>
      <c r="L274" s="1">
        <v>0</v>
      </c>
      <c r="M274" s="1">
        <v>0</v>
      </c>
      <c r="N274" s="1">
        <v>1</v>
      </c>
      <c r="O274" s="1">
        <v>0</v>
      </c>
      <c r="P274" s="1">
        <f>LN(B274)</f>
        <v>2.89037175789616</v>
      </c>
      <c r="Q274" s="1">
        <f>1-SUM(F274:J274)</f>
        <v>1</v>
      </c>
      <c r="R274" s="1" t="str">
        <f>IF(F274=1,"Napa valley",IF(G274=1,"Bay area",IF(H274=1,"Sonoma",IF(I274=1,"Sierra/foothills",IF(J274=1,"Mendocino/lake","Generic California")))))</f>
        <v>Generic California</v>
      </c>
      <c r="S274" s="1" t="str">
        <f>IF(F274=1,"Napa valley",IF(H274=1,"Sonoma","Other"))</f>
        <v>Other</v>
      </c>
      <c r="T274" s="1" t="str">
        <f>IF(M274=1,"Cabernet",IF(N274=1,"Merlot",IF(L274=1,"Pinot noir","Other")))</f>
        <v>Merlot</v>
      </c>
      <c r="U274" s="1" t="str">
        <f>IF(F274=1,B274,"")</f>
        <v/>
      </c>
      <c r="V274" s="1">
        <f>IF(F274=0,B274,"")</f>
        <v>18</v>
      </c>
      <c r="W274" s="1">
        <f>'Part B'!$B$150+SUMPRODUCT('Part B'!$B$164:$N$164,C274:O274)</f>
        <v>15.6350620280731</v>
      </c>
      <c r="X274" s="1">
        <f>B274-W274</f>
        <v>2.36493797192691</v>
      </c>
      <c r="Y274" s="1">
        <f>'Part B'!$B$179+SUMPRODUCT('Part B'!$B$193:$N$193,C274:O274)</f>
        <v>2.65019373985447</v>
      </c>
      <c r="Z274" s="1">
        <f>P274-Y274</f>
        <v>0.240178018041694</v>
      </c>
      <c r="AB274" s="1">
        <f>C274</f>
        <v>1.375</v>
      </c>
      <c r="AC274" s="1">
        <f>D274</f>
        <v>85</v>
      </c>
      <c r="AD274" s="1">
        <f>E274</f>
        <v>2</v>
      </c>
      <c r="AE274" s="1">
        <f>F274</f>
        <v>0</v>
      </c>
      <c r="AF274" s="1">
        <f>G274</f>
        <v>0</v>
      </c>
      <c r="AG274" s="1">
        <f>I274</f>
        <v>0</v>
      </c>
      <c r="AH274" s="1">
        <f>J274</f>
        <v>0</v>
      </c>
      <c r="AI274" s="1">
        <f>Q274</f>
        <v>1</v>
      </c>
      <c r="AJ274" s="1">
        <f>K274</f>
        <v>0</v>
      </c>
      <c r="AK274" s="1">
        <f>L274</f>
        <v>0</v>
      </c>
      <c r="AL274" s="1">
        <f>M274</f>
        <v>0</v>
      </c>
      <c r="AM274" s="1">
        <f>N274</f>
        <v>1</v>
      </c>
      <c r="AN274" s="1">
        <f>O274</f>
        <v>0</v>
      </c>
    </row>
    <row r="275">
      <c r="A275" s="1">
        <v>366</v>
      </c>
      <c r="B275" s="1">
        <v>18</v>
      </c>
      <c r="C275" s="1">
        <v>1.6</v>
      </c>
      <c r="D275" s="1">
        <v>88</v>
      </c>
      <c r="E275" s="1">
        <v>2</v>
      </c>
      <c r="F275" s="1">
        <v>0</v>
      </c>
      <c r="G275" s="1">
        <v>0</v>
      </c>
      <c r="H275" s="1">
        <v>1</v>
      </c>
      <c r="I275" s="1">
        <v>0</v>
      </c>
      <c r="J275" s="1">
        <v>0</v>
      </c>
      <c r="K275" s="1">
        <v>0</v>
      </c>
      <c r="L275" s="1">
        <v>0</v>
      </c>
      <c r="M275" s="1">
        <v>0</v>
      </c>
      <c r="N275" s="1">
        <v>0</v>
      </c>
      <c r="O275" s="1">
        <v>0</v>
      </c>
      <c r="P275" s="1">
        <f>LN(B275)</f>
        <v>2.89037175789616</v>
      </c>
      <c r="Q275" s="1">
        <f>1-SUM(F275:J275)</f>
        <v>0</v>
      </c>
      <c r="R275" s="1" t="str">
        <f>IF(F275=1,"Napa valley",IF(G275=1,"Bay area",IF(H275=1,"Sonoma",IF(I275=1,"Sierra/foothills",IF(J275=1,"Mendocino/lake","Generic California")))))</f>
        <v>Sonoma</v>
      </c>
      <c r="S275" s="1" t="str">
        <f>IF(F275=1,"Napa valley",IF(H275=1,"Sonoma","Other"))</f>
        <v>Sonoma</v>
      </c>
      <c r="T275" s="1" t="str">
        <f>IF(M275=1,"Cabernet",IF(N275=1,"Merlot",IF(L275=1,"Pinot noir","Other")))</f>
        <v>Other</v>
      </c>
      <c r="U275" s="1" t="str">
        <f>IF(F275=1,B275,"")</f>
        <v/>
      </c>
      <c r="V275" s="1">
        <f>IF(F275=0,B275,"")</f>
        <v>18</v>
      </c>
      <c r="W275" s="1">
        <f>'Part B'!$B$150+SUMPRODUCT('Part B'!$B$164:$N$164,C275:O275)</f>
        <v>16.5533447661571</v>
      </c>
      <c r="X275" s="1">
        <f>B275-W275</f>
        <v>1.44665523384293</v>
      </c>
      <c r="Y275" s="1">
        <f>'Part B'!$B$179+SUMPRODUCT('Part B'!$B$193:$N$193,C275:O275)</f>
        <v>2.85653217424421</v>
      </c>
      <c r="Z275" s="1">
        <f>P275-Y275</f>
        <v>0.0338395836519574</v>
      </c>
      <c r="AB275" s="1">
        <f>C275</f>
        <v>1.6</v>
      </c>
      <c r="AC275" s="1">
        <f>D275</f>
        <v>88</v>
      </c>
      <c r="AD275" s="1">
        <f>E275</f>
        <v>2</v>
      </c>
      <c r="AE275" s="1">
        <f>F275</f>
        <v>0</v>
      </c>
      <c r="AF275" s="1">
        <f>G275</f>
        <v>0</v>
      </c>
      <c r="AG275" s="1">
        <f>I275</f>
        <v>0</v>
      </c>
      <c r="AH275" s="1">
        <f>J275</f>
        <v>0</v>
      </c>
      <c r="AI275" s="1">
        <f>Q275</f>
        <v>0</v>
      </c>
      <c r="AJ275" s="1">
        <f>K275</f>
        <v>0</v>
      </c>
      <c r="AK275" s="1">
        <f>L275</f>
        <v>0</v>
      </c>
      <c r="AL275" s="1">
        <f>M275</f>
        <v>0</v>
      </c>
      <c r="AM275" s="1">
        <f>N275</f>
        <v>0</v>
      </c>
      <c r="AN275" s="1">
        <f>O275</f>
        <v>0</v>
      </c>
    </row>
    <row r="276">
      <c r="A276" s="1">
        <v>367</v>
      </c>
      <c r="B276" s="1">
        <v>18</v>
      </c>
      <c r="C276" s="1">
        <v>1.6</v>
      </c>
      <c r="D276" s="1">
        <v>88</v>
      </c>
      <c r="E276" s="1">
        <v>2</v>
      </c>
      <c r="F276" s="1">
        <v>0</v>
      </c>
      <c r="G276" s="1">
        <v>0</v>
      </c>
      <c r="H276" s="1">
        <v>1</v>
      </c>
      <c r="I276" s="1">
        <v>0</v>
      </c>
      <c r="J276" s="1">
        <v>0</v>
      </c>
      <c r="K276" s="1">
        <v>0</v>
      </c>
      <c r="L276" s="1">
        <v>0</v>
      </c>
      <c r="M276" s="1">
        <v>0</v>
      </c>
      <c r="N276" s="1">
        <v>0</v>
      </c>
      <c r="O276" s="1">
        <v>0</v>
      </c>
      <c r="P276" s="1">
        <f>LN(B276)</f>
        <v>2.89037175789616</v>
      </c>
      <c r="Q276" s="1">
        <f>1-SUM(F276:J276)</f>
        <v>0</v>
      </c>
      <c r="R276" s="1" t="str">
        <f>IF(F276=1,"Napa valley",IF(G276=1,"Bay area",IF(H276=1,"Sonoma",IF(I276=1,"Sierra/foothills",IF(J276=1,"Mendocino/lake","Generic California")))))</f>
        <v>Sonoma</v>
      </c>
      <c r="S276" s="1" t="str">
        <f>IF(F276=1,"Napa valley",IF(H276=1,"Sonoma","Other"))</f>
        <v>Sonoma</v>
      </c>
      <c r="T276" s="1" t="str">
        <f>IF(M276=1,"Cabernet",IF(N276=1,"Merlot",IF(L276=1,"Pinot noir","Other")))</f>
        <v>Other</v>
      </c>
      <c r="U276" s="1" t="str">
        <f>IF(F276=1,B276,"")</f>
        <v/>
      </c>
      <c r="V276" s="1">
        <f>IF(F276=0,B276,"")</f>
        <v>18</v>
      </c>
      <c r="W276" s="1">
        <f>'Part B'!$B$150+SUMPRODUCT('Part B'!$B$164:$N$164,C276:O276)</f>
        <v>16.5533447661571</v>
      </c>
      <c r="X276" s="1">
        <f>B276-W276</f>
        <v>1.44665523384293</v>
      </c>
      <c r="Y276" s="1">
        <f>'Part B'!$B$179+SUMPRODUCT('Part B'!$B$193:$N$193,C276:O276)</f>
        <v>2.85653217424421</v>
      </c>
      <c r="Z276" s="1">
        <f>P276-Y276</f>
        <v>0.0338395836519574</v>
      </c>
      <c r="AB276" s="1">
        <f>C276</f>
        <v>1.6</v>
      </c>
      <c r="AC276" s="1">
        <f>D276</f>
        <v>88</v>
      </c>
      <c r="AD276" s="1">
        <f>E276</f>
        <v>2</v>
      </c>
      <c r="AE276" s="1">
        <f>F276</f>
        <v>0</v>
      </c>
      <c r="AF276" s="1">
        <f>G276</f>
        <v>0</v>
      </c>
      <c r="AG276" s="1">
        <f>I276</f>
        <v>0</v>
      </c>
      <c r="AH276" s="1">
        <f>J276</f>
        <v>0</v>
      </c>
      <c r="AI276" s="1">
        <f>Q276</f>
        <v>0</v>
      </c>
      <c r="AJ276" s="1">
        <f>K276</f>
        <v>0</v>
      </c>
      <c r="AK276" s="1">
        <f>L276</f>
        <v>0</v>
      </c>
      <c r="AL276" s="1">
        <f>M276</f>
        <v>0</v>
      </c>
      <c r="AM276" s="1">
        <f>N276</f>
        <v>0</v>
      </c>
      <c r="AN276" s="1">
        <f>O276</f>
        <v>0</v>
      </c>
    </row>
    <row r="277">
      <c r="A277" s="1">
        <v>368</v>
      </c>
      <c r="B277" s="1">
        <v>18</v>
      </c>
      <c r="C277" s="1">
        <v>0.3</v>
      </c>
      <c r="D277" s="1">
        <v>90</v>
      </c>
      <c r="E277" s="1">
        <v>2</v>
      </c>
      <c r="F277" s="1">
        <v>0</v>
      </c>
      <c r="G277" s="1">
        <v>0</v>
      </c>
      <c r="H277" s="1">
        <v>1</v>
      </c>
      <c r="I277" s="1">
        <v>0</v>
      </c>
      <c r="J277" s="1">
        <v>0</v>
      </c>
      <c r="K277" s="1">
        <v>0</v>
      </c>
      <c r="L277" s="1">
        <v>0</v>
      </c>
      <c r="M277" s="1">
        <v>0</v>
      </c>
      <c r="N277" s="1">
        <v>0</v>
      </c>
      <c r="O277" s="1">
        <v>0</v>
      </c>
      <c r="P277" s="1">
        <f>LN(B277)</f>
        <v>2.89037175789616</v>
      </c>
      <c r="Q277" s="1">
        <f>1-SUM(F277:J277)</f>
        <v>0</v>
      </c>
      <c r="R277" s="1" t="str">
        <f>IF(F277=1,"Napa valley",IF(G277=1,"Bay area",IF(H277=1,"Sonoma",IF(I277=1,"Sierra/foothills",IF(J277=1,"Mendocino/lake","Generic California")))))</f>
        <v>Sonoma</v>
      </c>
      <c r="S277" s="1" t="str">
        <f>IF(F277=1,"Napa valley",IF(H277=1,"Sonoma","Other"))</f>
        <v>Sonoma</v>
      </c>
      <c r="T277" s="1" t="str">
        <f>IF(M277=1,"Cabernet",IF(N277=1,"Merlot",IF(L277=1,"Pinot noir","Other")))</f>
        <v>Other</v>
      </c>
      <c r="U277" s="1" t="str">
        <f>IF(F277=1,B277,"")</f>
        <v/>
      </c>
      <c r="V277" s="1">
        <f>IF(F277=0,B277,"")</f>
        <v>18</v>
      </c>
      <c r="W277" s="1">
        <f>'Part B'!$B$150+SUMPRODUCT('Part B'!$B$164:$N$164,C277:O277)</f>
        <v>22.9669268513974</v>
      </c>
      <c r="X277" s="1">
        <f>B277-W277</f>
        <v>-4.96692685139743</v>
      </c>
      <c r="Y277" s="1">
        <f>'Part B'!$B$179+SUMPRODUCT('Part B'!$B$193:$N$193,C277:O277)</f>
        <v>3.00201769912767</v>
      </c>
      <c r="Z277" s="1">
        <f>P277-Y277</f>
        <v>-0.111645941231505</v>
      </c>
      <c r="AB277" s="1">
        <f>C277</f>
        <v>0.3</v>
      </c>
      <c r="AC277" s="1">
        <f>D277</f>
        <v>90</v>
      </c>
      <c r="AD277" s="1">
        <f>E277</f>
        <v>2</v>
      </c>
      <c r="AE277" s="1">
        <f>F277</f>
        <v>0</v>
      </c>
      <c r="AF277" s="1">
        <f>G277</f>
        <v>0</v>
      </c>
      <c r="AG277" s="1">
        <f>I277</f>
        <v>0</v>
      </c>
      <c r="AH277" s="1">
        <f>J277</f>
        <v>0</v>
      </c>
      <c r="AI277" s="1">
        <f>Q277</f>
        <v>0</v>
      </c>
      <c r="AJ277" s="1">
        <f>K277</f>
        <v>0</v>
      </c>
      <c r="AK277" s="1">
        <f>L277</f>
        <v>0</v>
      </c>
      <c r="AL277" s="1">
        <f>M277</f>
        <v>0</v>
      </c>
      <c r="AM277" s="1">
        <f>N277</f>
        <v>0</v>
      </c>
      <c r="AN277" s="1">
        <f>O277</f>
        <v>0</v>
      </c>
    </row>
    <row r="278">
      <c r="A278" s="1">
        <v>369</v>
      </c>
      <c r="B278" s="1">
        <v>18</v>
      </c>
      <c r="C278" s="1">
        <v>0.2</v>
      </c>
      <c r="D278" s="1">
        <v>89</v>
      </c>
      <c r="E278" s="1">
        <v>2</v>
      </c>
      <c r="F278" s="1">
        <v>0</v>
      </c>
      <c r="G278" s="1">
        <v>0</v>
      </c>
      <c r="H278" s="1">
        <v>1</v>
      </c>
      <c r="I278" s="1">
        <v>0</v>
      </c>
      <c r="J278" s="1">
        <v>0</v>
      </c>
      <c r="K278" s="1">
        <v>0</v>
      </c>
      <c r="L278" s="1">
        <v>0</v>
      </c>
      <c r="M278" s="1">
        <v>0</v>
      </c>
      <c r="N278" s="1">
        <v>0</v>
      </c>
      <c r="O278" s="1">
        <v>0</v>
      </c>
      <c r="P278" s="1">
        <f>LN(B278)</f>
        <v>2.89037175789616</v>
      </c>
      <c r="Q278" s="1">
        <f>1-SUM(F278:J278)</f>
        <v>0</v>
      </c>
      <c r="R278" s="1" t="str">
        <f>IF(F278=1,"Napa valley",IF(G278=1,"Bay area",IF(H278=1,"Sonoma",IF(I278=1,"Sierra/foothills",IF(J278=1,"Mendocino/lake","Generic California")))))</f>
        <v>Sonoma</v>
      </c>
      <c r="S278" s="1" t="str">
        <f>IF(F278=1,"Napa valley",IF(H278=1,"Sonoma","Other"))</f>
        <v>Sonoma</v>
      </c>
      <c r="T278" s="1" t="str">
        <f>IF(M278=1,"Cabernet",IF(N278=1,"Merlot",IF(L278=1,"Pinot noir","Other")))</f>
        <v>Other</v>
      </c>
      <c r="U278" s="1" t="str">
        <f>IF(F278=1,B278,"")</f>
        <v/>
      </c>
      <c r="V278" s="1">
        <f>IF(F278=0,B278,"")</f>
        <v>18</v>
      </c>
      <c r="W278" s="1">
        <f>'Part B'!$B$150+SUMPRODUCT('Part B'!$B$164:$N$164,C278:O278)</f>
        <v>19.8313211359998</v>
      </c>
      <c r="X278" s="1">
        <f>B278-W278</f>
        <v>-1.83132113599982</v>
      </c>
      <c r="Y278" s="1">
        <f>'Part B'!$B$179+SUMPRODUCT('Part B'!$B$193:$N$193,C278:O278)</f>
        <v>2.93248423704475</v>
      </c>
      <c r="Z278" s="1">
        <f>P278-Y278</f>
        <v>-0.042112479148587</v>
      </c>
      <c r="AB278" s="1">
        <f>C278</f>
        <v>0.2</v>
      </c>
      <c r="AC278" s="1">
        <f>D278</f>
        <v>89</v>
      </c>
      <c r="AD278" s="1">
        <f>E278</f>
        <v>2</v>
      </c>
      <c r="AE278" s="1">
        <f>F278</f>
        <v>0</v>
      </c>
      <c r="AF278" s="1">
        <f>G278</f>
        <v>0</v>
      </c>
      <c r="AG278" s="1">
        <f>I278</f>
        <v>0</v>
      </c>
      <c r="AH278" s="1">
        <f>J278</f>
        <v>0</v>
      </c>
      <c r="AI278" s="1">
        <f>Q278</f>
        <v>0</v>
      </c>
      <c r="AJ278" s="1">
        <f>K278</f>
        <v>0</v>
      </c>
      <c r="AK278" s="1">
        <f>L278</f>
        <v>0</v>
      </c>
      <c r="AL278" s="1">
        <f>M278</f>
        <v>0</v>
      </c>
      <c r="AM278" s="1">
        <f>N278</f>
        <v>0</v>
      </c>
      <c r="AN278" s="1">
        <f>O278</f>
        <v>0</v>
      </c>
    </row>
    <row r="279">
      <c r="A279" s="1">
        <v>370</v>
      </c>
      <c r="B279" s="1">
        <v>18</v>
      </c>
      <c r="C279" s="1">
        <v>1.6</v>
      </c>
      <c r="D279" s="1">
        <v>88</v>
      </c>
      <c r="E279" s="1">
        <v>2</v>
      </c>
      <c r="F279" s="1">
        <v>0</v>
      </c>
      <c r="G279" s="1">
        <v>0</v>
      </c>
      <c r="H279" s="1">
        <v>1</v>
      </c>
      <c r="I279" s="1">
        <v>0</v>
      </c>
      <c r="J279" s="1">
        <v>0</v>
      </c>
      <c r="K279" s="1">
        <v>1</v>
      </c>
      <c r="L279" s="1">
        <v>0</v>
      </c>
      <c r="M279" s="1">
        <v>0</v>
      </c>
      <c r="N279" s="1">
        <v>0</v>
      </c>
      <c r="O279" s="1">
        <v>0</v>
      </c>
      <c r="P279" s="1">
        <f>LN(B279)</f>
        <v>2.89037175789616</v>
      </c>
      <c r="Q279" s="1">
        <f>1-SUM(F279:J279)</f>
        <v>0</v>
      </c>
      <c r="R279" s="1" t="str">
        <f>IF(F279=1,"Napa valley",IF(G279=1,"Bay area",IF(H279=1,"Sonoma",IF(I279=1,"Sierra/foothills",IF(J279=1,"Mendocino/lake","Generic California")))))</f>
        <v>Sonoma</v>
      </c>
      <c r="S279" s="1" t="str">
        <f>IF(F279=1,"Napa valley",IF(H279=1,"Sonoma","Other"))</f>
        <v>Sonoma</v>
      </c>
      <c r="T279" s="1" t="str">
        <f>IF(M279=1,"Cabernet",IF(N279=1,"Merlot",IF(L279=1,"Pinot noir","Other")))</f>
        <v>Other</v>
      </c>
      <c r="U279" s="1" t="str">
        <f>IF(F279=1,B279,"")</f>
        <v/>
      </c>
      <c r="V279" s="1">
        <f>IF(F279=0,B279,"")</f>
        <v>18</v>
      </c>
      <c r="W279" s="1">
        <f>'Part B'!$B$150+SUMPRODUCT('Part B'!$B$164:$N$164,C279:O279)</f>
        <v>36.8411381734973</v>
      </c>
      <c r="X279" s="1">
        <f>B279-W279</f>
        <v>-18.8411381734973</v>
      </c>
      <c r="Y279" s="1">
        <f>'Part B'!$B$179+SUMPRODUCT('Part B'!$B$193:$N$193,C279:O279)</f>
        <v>3.33511963826538</v>
      </c>
      <c r="Z279" s="1">
        <f>P279-Y279</f>
        <v>-0.44474788036922</v>
      </c>
      <c r="AB279" s="1">
        <f>C279</f>
        <v>1.6</v>
      </c>
      <c r="AC279" s="1">
        <f>D279</f>
        <v>88</v>
      </c>
      <c r="AD279" s="1">
        <f>E279</f>
        <v>2</v>
      </c>
      <c r="AE279" s="1">
        <f>F279</f>
        <v>0</v>
      </c>
      <c r="AF279" s="1">
        <f>G279</f>
        <v>0</v>
      </c>
      <c r="AG279" s="1">
        <f>I279</f>
        <v>0</v>
      </c>
      <c r="AH279" s="1">
        <f>J279</f>
        <v>0</v>
      </c>
      <c r="AI279" s="1">
        <f>Q279</f>
        <v>0</v>
      </c>
      <c r="AJ279" s="1">
        <f>K279</f>
        <v>1</v>
      </c>
      <c r="AK279" s="1">
        <f>L279</f>
        <v>0</v>
      </c>
      <c r="AL279" s="1">
        <f>M279</f>
        <v>0</v>
      </c>
      <c r="AM279" s="1">
        <f>N279</f>
        <v>0</v>
      </c>
      <c r="AN279" s="1">
        <f>O279</f>
        <v>0</v>
      </c>
    </row>
    <row r="280">
      <c r="A280" s="1">
        <v>371</v>
      </c>
      <c r="B280" s="1">
        <v>18</v>
      </c>
      <c r="C280" s="1">
        <v>0.5</v>
      </c>
      <c r="D280" s="1">
        <v>88</v>
      </c>
      <c r="E280" s="1">
        <v>2</v>
      </c>
      <c r="F280" s="1">
        <v>0</v>
      </c>
      <c r="G280" s="1">
        <v>1</v>
      </c>
      <c r="H280" s="1">
        <v>0</v>
      </c>
      <c r="I280" s="1">
        <v>0</v>
      </c>
      <c r="J280" s="1">
        <v>0</v>
      </c>
      <c r="K280" s="1">
        <v>0</v>
      </c>
      <c r="L280" s="1">
        <v>1</v>
      </c>
      <c r="M280" s="1">
        <v>0</v>
      </c>
      <c r="N280" s="1">
        <v>0</v>
      </c>
      <c r="O280" s="1">
        <v>0</v>
      </c>
      <c r="P280" s="1">
        <f>LN(B280)</f>
        <v>2.89037175789616</v>
      </c>
      <c r="Q280" s="1">
        <f>1-SUM(F280:J280)</f>
        <v>0</v>
      </c>
      <c r="R280" s="1" t="str">
        <f>IF(F280=1,"Napa valley",IF(G280=1,"Bay area",IF(H280=1,"Sonoma",IF(I280=1,"Sierra/foothills",IF(J280=1,"Mendocino/lake","Generic California")))))</f>
        <v>Bay area</v>
      </c>
      <c r="S280" s="1" t="str">
        <f>IF(F280=1,"Napa valley",IF(H280=1,"Sonoma","Other"))</f>
        <v>Other</v>
      </c>
      <c r="T280" s="1" t="str">
        <f>IF(M280=1,"Cabernet",IF(N280=1,"Merlot",IF(L280=1,"Pinot noir","Other")))</f>
        <v>Pinot noir</v>
      </c>
      <c r="U280" s="1" t="str">
        <f>IF(F280=1,B280,"")</f>
        <v/>
      </c>
      <c r="V280" s="1">
        <f>IF(F280=0,B280,"")</f>
        <v>18</v>
      </c>
      <c r="W280" s="1">
        <f>'Part B'!$B$150+SUMPRODUCT('Part B'!$B$164:$N$164,C280:O280)</f>
        <v>29.226330552823</v>
      </c>
      <c r="X280" s="1">
        <f>B280-W280</f>
        <v>-11.226330552823</v>
      </c>
      <c r="Y280" s="1">
        <f>'Part B'!$B$179+SUMPRODUCT('Part B'!$B$193:$N$193,C280:O280)</f>
        <v>3.18081655098266</v>
      </c>
      <c r="Z280" s="1">
        <f>P280-Y280</f>
        <v>-0.290444793086491</v>
      </c>
      <c r="AB280" s="1">
        <f>C280</f>
        <v>0.5</v>
      </c>
      <c r="AC280" s="1">
        <f>D280</f>
        <v>88</v>
      </c>
      <c r="AD280" s="1">
        <f>E280</f>
        <v>2</v>
      </c>
      <c r="AE280" s="1">
        <f>F280</f>
        <v>0</v>
      </c>
      <c r="AF280" s="1">
        <f>G280</f>
        <v>1</v>
      </c>
      <c r="AG280" s="1">
        <f>I280</f>
        <v>0</v>
      </c>
      <c r="AH280" s="1">
        <f>J280</f>
        <v>0</v>
      </c>
      <c r="AI280" s="1">
        <f>Q280</f>
        <v>0</v>
      </c>
      <c r="AJ280" s="1">
        <f>K280</f>
        <v>0</v>
      </c>
      <c r="AK280" s="1">
        <f>L280</f>
        <v>1</v>
      </c>
      <c r="AL280" s="1">
        <f>M280</f>
        <v>0</v>
      </c>
      <c r="AM280" s="1">
        <f>N280</f>
        <v>0</v>
      </c>
      <c r="AN280" s="1">
        <f>O280</f>
        <v>0</v>
      </c>
    </row>
    <row r="281">
      <c r="A281" s="1">
        <v>373</v>
      </c>
      <c r="B281" s="1">
        <v>18</v>
      </c>
      <c r="C281" s="1">
        <v>0.5</v>
      </c>
      <c r="D281" s="1">
        <v>87</v>
      </c>
      <c r="E281" s="1">
        <v>2</v>
      </c>
      <c r="F281" s="1">
        <v>0</v>
      </c>
      <c r="G281" s="1">
        <v>0</v>
      </c>
      <c r="H281" s="1">
        <v>0</v>
      </c>
      <c r="I281" s="1">
        <v>0</v>
      </c>
      <c r="J281" s="1">
        <v>1</v>
      </c>
      <c r="K281" s="1">
        <v>0</v>
      </c>
      <c r="L281" s="1">
        <v>1</v>
      </c>
      <c r="M281" s="1">
        <v>0</v>
      </c>
      <c r="N281" s="1">
        <v>0</v>
      </c>
      <c r="O281" s="1">
        <v>0</v>
      </c>
      <c r="P281" s="1">
        <f>LN(B281)</f>
        <v>2.89037175789616</v>
      </c>
      <c r="Q281" s="1">
        <f>1-SUM(F281:J281)</f>
        <v>0</v>
      </c>
      <c r="R281" s="1" t="str">
        <f>IF(F281=1,"Napa valley",IF(G281=1,"Bay area",IF(H281=1,"Sonoma",IF(I281=1,"Sierra/foothills",IF(J281=1,"Mendocino/lake","Generic California")))))</f>
        <v>Mendocino/lake</v>
      </c>
      <c r="S281" s="1" t="str">
        <f>IF(F281=1,"Napa valley",IF(H281=1,"Sonoma","Other"))</f>
        <v>Other</v>
      </c>
      <c r="T281" s="1" t="str">
        <f>IF(M281=1,"Cabernet",IF(N281=1,"Merlot",IF(L281=1,"Pinot noir","Other")))</f>
        <v>Pinot noir</v>
      </c>
      <c r="U281" s="1" t="str">
        <f>IF(F281=1,B281,"")</f>
        <v/>
      </c>
      <c r="V281" s="1">
        <f>IF(F281=0,B281,"")</f>
        <v>18</v>
      </c>
      <c r="W281" s="1">
        <f>'Part B'!$B$150+SUMPRODUCT('Part B'!$B$164:$N$164,C281:O281)</f>
        <v>24.6838952925375</v>
      </c>
      <c r="X281" s="1">
        <f>B281-W281</f>
        <v>-6.6838952925375</v>
      </c>
      <c r="Y281" s="1">
        <f>'Part B'!$B$179+SUMPRODUCT('Part B'!$B$193:$N$193,C281:O281)</f>
        <v>3.09309511832231</v>
      </c>
      <c r="Z281" s="1">
        <f>P281-Y281</f>
        <v>-0.20272336042615</v>
      </c>
      <c r="AB281" s="1">
        <f>C281</f>
        <v>0.5</v>
      </c>
      <c r="AC281" s="1">
        <f>D281</f>
        <v>87</v>
      </c>
      <c r="AD281" s="1">
        <f>E281</f>
        <v>2</v>
      </c>
      <c r="AE281" s="1">
        <f>F281</f>
        <v>0</v>
      </c>
      <c r="AF281" s="1">
        <f>G281</f>
        <v>0</v>
      </c>
      <c r="AG281" s="1">
        <f>I281</f>
        <v>0</v>
      </c>
      <c r="AH281" s="1">
        <f>J281</f>
        <v>1</v>
      </c>
      <c r="AI281" s="1">
        <f>Q281</f>
        <v>0</v>
      </c>
      <c r="AJ281" s="1">
        <f>K281</f>
        <v>0</v>
      </c>
      <c r="AK281" s="1">
        <f>L281</f>
        <v>1</v>
      </c>
      <c r="AL281" s="1">
        <f>M281</f>
        <v>0</v>
      </c>
      <c r="AM281" s="1">
        <f>N281</f>
        <v>0</v>
      </c>
      <c r="AN281" s="1">
        <f>O281</f>
        <v>0</v>
      </c>
    </row>
    <row r="282">
      <c r="A282" s="1">
        <v>374</v>
      </c>
      <c r="B282" s="1">
        <v>18</v>
      </c>
      <c r="C282" s="1">
        <v>1.6</v>
      </c>
      <c r="D282" s="1">
        <v>82</v>
      </c>
      <c r="E282" s="1">
        <v>2</v>
      </c>
      <c r="F282" s="1">
        <v>0</v>
      </c>
      <c r="G282" s="1">
        <v>0</v>
      </c>
      <c r="H282" s="1">
        <v>0</v>
      </c>
      <c r="I282" s="1">
        <v>0</v>
      </c>
      <c r="J282" s="1">
        <v>0</v>
      </c>
      <c r="K282" s="1">
        <v>0</v>
      </c>
      <c r="L282" s="1">
        <v>0</v>
      </c>
      <c r="M282" s="1">
        <v>0</v>
      </c>
      <c r="N282" s="1">
        <v>0</v>
      </c>
      <c r="O282" s="1">
        <v>0</v>
      </c>
      <c r="P282" s="1">
        <f>LN(B282)</f>
        <v>2.89037175789616</v>
      </c>
      <c r="Q282" s="1">
        <f>1-SUM(F282:J282)</f>
        <v>1</v>
      </c>
      <c r="R282" s="1" t="str">
        <f>IF(F282=1,"Napa valley",IF(G282=1,"Bay area",IF(H282=1,"Sonoma",IF(I282=1,"Sierra/foothills",IF(J282=1,"Mendocino/lake","Generic California")))))</f>
        <v>Generic California</v>
      </c>
      <c r="S282" s="1" t="str">
        <f>IF(F282=1,"Napa valley",IF(H282=1,"Sonoma","Other"))</f>
        <v>Other</v>
      </c>
      <c r="T282" s="1" t="str">
        <f>IF(M282=1,"Cabernet",IF(N282=1,"Merlot",IF(L282=1,"Pinot noir","Other")))</f>
        <v>Other</v>
      </c>
      <c r="U282" s="1" t="str">
        <f>IF(F282=1,B282,"")</f>
        <v/>
      </c>
      <c r="V282" s="1">
        <f>IF(F282=0,B282,"")</f>
        <v>18</v>
      </c>
      <c r="W282" s="1">
        <f>'Part B'!$B$150+SUMPRODUCT('Part B'!$B$164:$N$164,C282:O282)</f>
        <v>-1.48179440153922</v>
      </c>
      <c r="X282" s="1">
        <f>B282-W282</f>
        <v>19.4817944015392</v>
      </c>
      <c r="Y282" s="1">
        <f>'Part B'!$B$179+SUMPRODUCT('Part B'!$B$193:$N$193,C282:O282)</f>
        <v>2.15483211348622</v>
      </c>
      <c r="Z282" s="1">
        <f>P282-Y282</f>
        <v>0.735539644409947</v>
      </c>
      <c r="AB282" s="1">
        <f>C282</f>
        <v>1.6</v>
      </c>
      <c r="AC282" s="1">
        <f>D282</f>
        <v>82</v>
      </c>
      <c r="AD282" s="1">
        <f>E282</f>
        <v>2</v>
      </c>
      <c r="AE282" s="1">
        <f>F282</f>
        <v>0</v>
      </c>
      <c r="AF282" s="1">
        <f>G282</f>
        <v>0</v>
      </c>
      <c r="AG282" s="1">
        <f>I282</f>
        <v>0</v>
      </c>
      <c r="AH282" s="1">
        <f>J282</f>
        <v>0</v>
      </c>
      <c r="AI282" s="1">
        <f>Q282</f>
        <v>1</v>
      </c>
      <c r="AJ282" s="1">
        <f>K282</f>
        <v>0</v>
      </c>
      <c r="AK282" s="1">
        <f>L282</f>
        <v>0</v>
      </c>
      <c r="AL282" s="1">
        <f>M282</f>
        <v>0</v>
      </c>
      <c r="AM282" s="1">
        <f>N282</f>
        <v>0</v>
      </c>
      <c r="AN282" s="1">
        <f>O282</f>
        <v>0</v>
      </c>
    </row>
    <row r="283">
      <c r="A283" s="1">
        <v>375</v>
      </c>
      <c r="B283" s="1">
        <v>18</v>
      </c>
      <c r="C283" s="1">
        <v>1.2</v>
      </c>
      <c r="D283" s="1">
        <v>88</v>
      </c>
      <c r="E283" s="1">
        <v>2</v>
      </c>
      <c r="F283" s="1">
        <v>0</v>
      </c>
      <c r="G283" s="1">
        <v>0</v>
      </c>
      <c r="H283" s="1">
        <v>1</v>
      </c>
      <c r="I283" s="1">
        <v>0</v>
      </c>
      <c r="J283" s="1">
        <v>0</v>
      </c>
      <c r="K283" s="1">
        <v>0</v>
      </c>
      <c r="L283" s="1">
        <v>0</v>
      </c>
      <c r="M283" s="1">
        <v>0</v>
      </c>
      <c r="N283" s="1">
        <v>0</v>
      </c>
      <c r="O283" s="1">
        <v>1</v>
      </c>
      <c r="P283" s="1">
        <f>LN(B283)</f>
        <v>2.89037175789616</v>
      </c>
      <c r="Q283" s="1">
        <f>1-SUM(F283:J283)</f>
        <v>0</v>
      </c>
      <c r="R283" s="1" t="str">
        <f>IF(F283=1,"Napa valley",IF(G283=1,"Bay area",IF(H283=1,"Sonoma",IF(I283=1,"Sierra/foothills",IF(J283=1,"Mendocino/lake","Generic California")))))</f>
        <v>Sonoma</v>
      </c>
      <c r="S283" s="1" t="str">
        <f>IF(F283=1,"Napa valley",IF(H283=1,"Sonoma","Other"))</f>
        <v>Sonoma</v>
      </c>
      <c r="T283" s="1" t="str">
        <f>IF(M283=1,"Cabernet",IF(N283=1,"Merlot",IF(L283=1,"Pinot noir","Other")))</f>
        <v>Other</v>
      </c>
      <c r="U283" s="1" t="str">
        <f>IF(F283=1,B283,"")</f>
        <v/>
      </c>
      <c r="V283" s="1">
        <f>IF(F283=0,B283,"")</f>
        <v>18</v>
      </c>
      <c r="W283" s="1">
        <f>'Part B'!$B$150+SUMPRODUCT('Part B'!$B$164:$N$164,C283:O283)</f>
        <v>16.1850230734431</v>
      </c>
      <c r="X283" s="1">
        <f>B283-W283</f>
        <v>1.81497692655694</v>
      </c>
      <c r="Y283" s="1">
        <f>'Part B'!$B$179+SUMPRODUCT('Part B'!$B$193:$N$193,C283:O283)</f>
        <v>2.9014777523424</v>
      </c>
      <c r="Z283" s="1">
        <f>P283-Y283</f>
        <v>-0.0111059944462397</v>
      </c>
      <c r="AB283" s="1">
        <f>C283</f>
        <v>1.2</v>
      </c>
      <c r="AC283" s="1">
        <f>D283</f>
        <v>88</v>
      </c>
      <c r="AD283" s="1">
        <f>E283</f>
        <v>2</v>
      </c>
      <c r="AE283" s="1">
        <f>F283</f>
        <v>0</v>
      </c>
      <c r="AF283" s="1">
        <f>G283</f>
        <v>0</v>
      </c>
      <c r="AG283" s="1">
        <f>I283</f>
        <v>0</v>
      </c>
      <c r="AH283" s="1">
        <f>J283</f>
        <v>0</v>
      </c>
      <c r="AI283" s="1">
        <f>Q283</f>
        <v>0</v>
      </c>
      <c r="AJ283" s="1">
        <f>K283</f>
        <v>0</v>
      </c>
      <c r="AK283" s="1">
        <f>L283</f>
        <v>0</v>
      </c>
      <c r="AL283" s="1">
        <f>M283</f>
        <v>0</v>
      </c>
      <c r="AM283" s="1">
        <f>N283</f>
        <v>0</v>
      </c>
      <c r="AN283" s="1">
        <f>O283</f>
        <v>1</v>
      </c>
    </row>
    <row r="284">
      <c r="A284" s="1">
        <v>376</v>
      </c>
      <c r="B284" s="1">
        <v>18</v>
      </c>
      <c r="C284" s="1">
        <v>1.3</v>
      </c>
      <c r="D284" s="1">
        <v>79</v>
      </c>
      <c r="E284" s="1">
        <v>2</v>
      </c>
      <c r="F284" s="1">
        <v>0</v>
      </c>
      <c r="G284" s="1">
        <v>0</v>
      </c>
      <c r="H284" s="1">
        <v>0</v>
      </c>
      <c r="I284" s="1">
        <v>0</v>
      </c>
      <c r="J284" s="1">
        <v>0</v>
      </c>
      <c r="K284" s="1">
        <v>0</v>
      </c>
      <c r="L284" s="1">
        <v>0</v>
      </c>
      <c r="M284" s="1">
        <v>0</v>
      </c>
      <c r="N284" s="1">
        <v>1</v>
      </c>
      <c r="O284" s="1">
        <v>0</v>
      </c>
      <c r="P284" s="1">
        <f>LN(B284)</f>
        <v>2.89037175789616</v>
      </c>
      <c r="Q284" s="1">
        <f>1-SUM(F284:J284)</f>
        <v>1</v>
      </c>
      <c r="R284" s="1" t="str">
        <f>IF(F284=1,"Napa valley",IF(G284=1,"Bay area",IF(H284=1,"Sonoma",IF(I284=1,"Sierra/foothills",IF(J284=1,"Mendocino/lake","Generic California")))))</f>
        <v>Generic California</v>
      </c>
      <c r="S284" s="1" t="str">
        <f>IF(F284=1,"Napa valley",IF(H284=1,"Sonoma","Other"))</f>
        <v>Other</v>
      </c>
      <c r="T284" s="1" t="str">
        <f>IF(M284=1,"Cabernet",IF(N284=1,"Merlot",IF(L284=1,"Pinot noir","Other")))</f>
        <v>Merlot</v>
      </c>
      <c r="U284" s="1" t="str">
        <f>IF(F284=1,B284,"")</f>
        <v/>
      </c>
      <c r="V284" s="1">
        <f>IF(F284=0,B284,"")</f>
        <v>18</v>
      </c>
      <c r="W284" s="1">
        <f>'Part B'!$B$150+SUMPRODUCT('Part B'!$B$164:$N$164,C284:O284)</f>
        <v>-3.22840199336855</v>
      </c>
      <c r="X284" s="1">
        <f>B284-W284</f>
        <v>21.2284019933685</v>
      </c>
      <c r="Y284" s="1">
        <f>'Part B'!$B$179+SUMPRODUCT('Part B'!$B$193:$N$193,C284:O284)</f>
        <v>2.23074645710579</v>
      </c>
      <c r="Z284" s="1">
        <f>P284-Y284</f>
        <v>0.659625300790372</v>
      </c>
      <c r="AB284" s="1">
        <f>C284</f>
        <v>1.3</v>
      </c>
      <c r="AC284" s="1">
        <f>D284</f>
        <v>79</v>
      </c>
      <c r="AD284" s="1">
        <f>E284</f>
        <v>2</v>
      </c>
      <c r="AE284" s="1">
        <f>F284</f>
        <v>0</v>
      </c>
      <c r="AF284" s="1">
        <f>G284</f>
        <v>0</v>
      </c>
      <c r="AG284" s="1">
        <f>I284</f>
        <v>0</v>
      </c>
      <c r="AH284" s="1">
        <f>J284</f>
        <v>0</v>
      </c>
      <c r="AI284" s="1">
        <f>Q284</f>
        <v>1</v>
      </c>
      <c r="AJ284" s="1">
        <f>K284</f>
        <v>0</v>
      </c>
      <c r="AK284" s="1">
        <f>L284</f>
        <v>0</v>
      </c>
      <c r="AL284" s="1">
        <f>M284</f>
        <v>0</v>
      </c>
      <c r="AM284" s="1">
        <f>N284</f>
        <v>1</v>
      </c>
      <c r="AN284" s="1">
        <f>O284</f>
        <v>0</v>
      </c>
    </row>
    <row r="285">
      <c r="A285" s="1">
        <v>377</v>
      </c>
      <c r="B285" s="1">
        <v>18</v>
      </c>
      <c r="C285" s="1">
        <v>0.933</v>
      </c>
      <c r="D285" s="1">
        <v>78</v>
      </c>
      <c r="E285" s="1">
        <v>2</v>
      </c>
      <c r="F285" s="1">
        <v>1</v>
      </c>
      <c r="G285" s="1">
        <v>0</v>
      </c>
      <c r="H285" s="1">
        <v>0</v>
      </c>
      <c r="I285" s="1">
        <v>0</v>
      </c>
      <c r="J285" s="1">
        <v>0</v>
      </c>
      <c r="K285" s="1">
        <v>0</v>
      </c>
      <c r="L285" s="1">
        <v>0</v>
      </c>
      <c r="M285" s="1">
        <v>0</v>
      </c>
      <c r="N285" s="1">
        <v>1</v>
      </c>
      <c r="O285" s="1">
        <v>0</v>
      </c>
      <c r="P285" s="1">
        <f>LN(B285)</f>
        <v>2.89037175789616</v>
      </c>
      <c r="Q285" s="1">
        <f>1-SUM(F285:J285)</f>
        <v>0</v>
      </c>
      <c r="R285" s="1" t="str">
        <f>IF(F285=1,"Napa valley",IF(G285=1,"Bay area",IF(H285=1,"Sonoma",IF(I285=1,"Sierra/foothills",IF(J285=1,"Mendocino/lake","Generic California")))))</f>
        <v>Napa valley</v>
      </c>
      <c r="S285" s="1" t="str">
        <f>IF(F285=1,"Napa valley",IF(H285=1,"Sonoma","Other"))</f>
        <v>Napa valley</v>
      </c>
      <c r="T285" s="1" t="str">
        <f>IF(M285=1,"Cabernet",IF(N285=1,"Merlot",IF(L285=1,"Pinot noir","Other")))</f>
        <v>Merlot</v>
      </c>
      <c r="U285" s="1">
        <f>IF(F285=1,B285,"")</f>
        <v>18</v>
      </c>
      <c r="V285" s="1" t="str">
        <f>IF(F285=0,B285,"")</f>
        <v/>
      </c>
      <c r="W285" s="1">
        <f>'Part B'!$B$150+SUMPRODUCT('Part B'!$B$164:$N$164,C285:O285)</f>
        <v>0.722338701054639</v>
      </c>
      <c r="X285" s="1">
        <f>B285-W285</f>
        <v>17.2776612989454</v>
      </c>
      <c r="Y285" s="1">
        <f>'Part B'!$B$179+SUMPRODUCT('Part B'!$B$193:$N$193,C285:O285)</f>
        <v>2.59207491882421</v>
      </c>
      <c r="Z285" s="1">
        <f>P285-Y285</f>
        <v>0.298296839071952</v>
      </c>
      <c r="AB285" s="1">
        <f>C285</f>
        <v>0.933</v>
      </c>
      <c r="AC285" s="1">
        <f>D285</f>
        <v>78</v>
      </c>
      <c r="AD285" s="1">
        <f>E285</f>
        <v>2</v>
      </c>
      <c r="AE285" s="1">
        <f>F285</f>
        <v>1</v>
      </c>
      <c r="AF285" s="1">
        <f>G285</f>
        <v>0</v>
      </c>
      <c r="AG285" s="1">
        <f>I285</f>
        <v>0</v>
      </c>
      <c r="AH285" s="1">
        <f>J285</f>
        <v>0</v>
      </c>
      <c r="AI285" s="1">
        <f>Q285</f>
        <v>0</v>
      </c>
      <c r="AJ285" s="1">
        <f>K285</f>
        <v>0</v>
      </c>
      <c r="AK285" s="1">
        <f>L285</f>
        <v>0</v>
      </c>
      <c r="AL285" s="1">
        <f>M285</f>
        <v>0</v>
      </c>
      <c r="AM285" s="1">
        <f>N285</f>
        <v>1</v>
      </c>
      <c r="AN285" s="1">
        <f>O285</f>
        <v>0</v>
      </c>
    </row>
    <row r="286">
      <c r="A286" s="1">
        <v>378</v>
      </c>
      <c r="B286" s="1">
        <v>18</v>
      </c>
      <c r="C286" s="1">
        <v>2.87</v>
      </c>
      <c r="D286" s="1">
        <v>91</v>
      </c>
      <c r="E286" s="1">
        <v>2</v>
      </c>
      <c r="F286" s="1">
        <v>0</v>
      </c>
      <c r="G286" s="1">
        <v>0</v>
      </c>
      <c r="H286" s="1">
        <v>1</v>
      </c>
      <c r="I286" s="1">
        <v>0</v>
      </c>
      <c r="J286" s="1">
        <v>0</v>
      </c>
      <c r="K286" s="1">
        <v>0</v>
      </c>
      <c r="L286" s="1">
        <v>0</v>
      </c>
      <c r="M286" s="1">
        <v>0</v>
      </c>
      <c r="N286" s="1">
        <v>0</v>
      </c>
      <c r="O286" s="1">
        <v>0</v>
      </c>
      <c r="P286" s="1">
        <f>LN(B286)</f>
        <v>2.89037175789616</v>
      </c>
      <c r="Q286" s="1">
        <f>1-SUM(F286:J286)</f>
        <v>0</v>
      </c>
      <c r="R286" s="1" t="str">
        <f>IF(F286=1,"Napa valley",IF(G286=1,"Bay area",IF(H286=1,"Sonoma",IF(I286=1,"Sierra/foothills",IF(J286=1,"Mendocino/lake","Generic California")))))</f>
        <v>Sonoma</v>
      </c>
      <c r="S286" s="1" t="str">
        <f>IF(F286=1,"Napa valley",IF(H286=1,"Sonoma","Other"))</f>
        <v>Sonoma</v>
      </c>
      <c r="T286" s="1" t="str">
        <f>IF(M286=1,"Cabernet",IF(N286=1,"Merlot",IF(L286=1,"Pinot noir","Other")))</f>
        <v>Other</v>
      </c>
      <c r="U286" s="1" t="str">
        <f>IF(F286=1,B286,"")</f>
        <v/>
      </c>
      <c r="V286" s="1">
        <f>IF(F286=0,B286,"")</f>
        <v>18</v>
      </c>
      <c r="W286" s="1">
        <f>'Part B'!$B$150+SUMPRODUCT('Part B'!$B$164:$N$164,C286:O286)</f>
        <v>25.8680955558089</v>
      </c>
      <c r="X286" s="1">
        <f>B286-W286</f>
        <v>-7.86809555580891</v>
      </c>
      <c r="Y286" s="1">
        <f>'Part B'!$B$179+SUMPRODUCT('Part B'!$B$193:$N$193,C286:O286)</f>
        <v>3.06098186536223</v>
      </c>
      <c r="Z286" s="1">
        <f>P286-Y286</f>
        <v>-0.170610107466067</v>
      </c>
      <c r="AB286" s="1">
        <f>C286</f>
        <v>2.87</v>
      </c>
      <c r="AC286" s="1">
        <f>D286</f>
        <v>91</v>
      </c>
      <c r="AD286" s="1">
        <f>E286</f>
        <v>2</v>
      </c>
      <c r="AE286" s="1">
        <f>F286</f>
        <v>0</v>
      </c>
      <c r="AF286" s="1">
        <f>G286</f>
        <v>0</v>
      </c>
      <c r="AG286" s="1">
        <f>I286</f>
        <v>0</v>
      </c>
      <c r="AH286" s="1">
        <f>J286</f>
        <v>0</v>
      </c>
      <c r="AI286" s="1">
        <f>Q286</f>
        <v>0</v>
      </c>
      <c r="AJ286" s="1">
        <f>K286</f>
        <v>0</v>
      </c>
      <c r="AK286" s="1">
        <f>L286</f>
        <v>0</v>
      </c>
      <c r="AL286" s="1">
        <f>M286</f>
        <v>0</v>
      </c>
      <c r="AM286" s="1">
        <f>N286</f>
        <v>0</v>
      </c>
      <c r="AN286" s="1">
        <f>O286</f>
        <v>0</v>
      </c>
    </row>
    <row r="287">
      <c r="A287" s="1">
        <v>381</v>
      </c>
      <c r="B287" s="1">
        <v>18</v>
      </c>
      <c r="C287" s="1">
        <v>0.135</v>
      </c>
      <c r="D287" s="1">
        <v>84</v>
      </c>
      <c r="E287" s="1">
        <v>2</v>
      </c>
      <c r="F287" s="1">
        <v>0</v>
      </c>
      <c r="G287" s="1">
        <v>0</v>
      </c>
      <c r="H287" s="1">
        <v>1</v>
      </c>
      <c r="I287" s="1">
        <v>0</v>
      </c>
      <c r="J287" s="1">
        <v>0</v>
      </c>
      <c r="K287" s="1">
        <v>0</v>
      </c>
      <c r="L287" s="1">
        <v>0</v>
      </c>
      <c r="M287" s="1">
        <v>1</v>
      </c>
      <c r="N287" s="1">
        <v>0</v>
      </c>
      <c r="O287" s="1">
        <v>0</v>
      </c>
      <c r="P287" s="1">
        <f>LN(B287)</f>
        <v>2.89037175789616</v>
      </c>
      <c r="Q287" s="1">
        <f>1-SUM(F287:J287)</f>
        <v>0</v>
      </c>
      <c r="R287" s="1" t="str">
        <f>IF(F287=1,"Napa valley",IF(G287=1,"Bay area",IF(H287=1,"Sonoma",IF(I287=1,"Sierra/foothills",IF(J287=1,"Mendocino/lake","Generic California")))))</f>
        <v>Sonoma</v>
      </c>
      <c r="S287" s="1" t="str">
        <f>IF(F287=1,"Napa valley",IF(H287=1,"Sonoma","Other"))</f>
        <v>Sonoma</v>
      </c>
      <c r="T287" s="1" t="str">
        <f>IF(M287=1,"Cabernet",IF(N287=1,"Merlot",IF(L287=1,"Pinot noir","Other")))</f>
        <v>Cabernet</v>
      </c>
      <c r="U287" s="1" t="str">
        <f>IF(F287=1,B287,"")</f>
        <v/>
      </c>
      <c r="V287" s="1">
        <f>IF(F287=0,B287,"")</f>
        <v>18</v>
      </c>
      <c r="W287" s="1">
        <f>'Part B'!$B$150+SUMPRODUCT('Part B'!$B$164:$N$164,C287:O287)</f>
        <v>16.7392587114127</v>
      </c>
      <c r="X287" s="1">
        <f>B287-W287</f>
        <v>1.26074128858727</v>
      </c>
      <c r="Y287" s="1">
        <f>'Part B'!$B$179+SUMPRODUCT('Part B'!$B$193:$N$193,C287:O287)</f>
        <v>2.90395119280942</v>
      </c>
      <c r="Z287" s="1">
        <f>P287-Y287</f>
        <v>-0.0135794349132565</v>
      </c>
      <c r="AB287" s="1">
        <f>C287</f>
        <v>0.135</v>
      </c>
      <c r="AC287" s="1">
        <f>D287</f>
        <v>84</v>
      </c>
      <c r="AD287" s="1">
        <f>E287</f>
        <v>2</v>
      </c>
      <c r="AE287" s="1">
        <f>F287</f>
        <v>0</v>
      </c>
      <c r="AF287" s="1">
        <f>G287</f>
        <v>0</v>
      </c>
      <c r="AG287" s="1">
        <f>I287</f>
        <v>0</v>
      </c>
      <c r="AH287" s="1">
        <f>J287</f>
        <v>0</v>
      </c>
      <c r="AI287" s="1">
        <f>Q287</f>
        <v>0</v>
      </c>
      <c r="AJ287" s="1">
        <f>K287</f>
        <v>0</v>
      </c>
      <c r="AK287" s="1">
        <f>L287</f>
        <v>0</v>
      </c>
      <c r="AL287" s="1">
        <f>M287</f>
        <v>1</v>
      </c>
      <c r="AM287" s="1">
        <f>N287</f>
        <v>0</v>
      </c>
      <c r="AN287" s="1">
        <f>O287</f>
        <v>0</v>
      </c>
    </row>
    <row r="288">
      <c r="A288" s="1">
        <v>383</v>
      </c>
      <c r="B288" s="1">
        <v>18</v>
      </c>
      <c r="C288" s="1">
        <v>6.061</v>
      </c>
      <c r="D288" s="1">
        <v>85</v>
      </c>
      <c r="E288" s="1">
        <v>2</v>
      </c>
      <c r="F288" s="1">
        <v>0</v>
      </c>
      <c r="G288" s="1">
        <v>0</v>
      </c>
      <c r="H288" s="1">
        <v>1</v>
      </c>
      <c r="I288" s="1">
        <v>0</v>
      </c>
      <c r="J288" s="1">
        <v>0</v>
      </c>
      <c r="K288" s="1">
        <v>0</v>
      </c>
      <c r="L288" s="1">
        <v>0</v>
      </c>
      <c r="M288" s="1">
        <v>0</v>
      </c>
      <c r="N288" s="1">
        <v>1</v>
      </c>
      <c r="O288" s="1">
        <v>0</v>
      </c>
      <c r="P288" s="1">
        <f>LN(B288)</f>
        <v>2.89037175789616</v>
      </c>
      <c r="Q288" s="1">
        <f>1-SUM(F288:J288)</f>
        <v>0</v>
      </c>
      <c r="R288" s="1" t="str">
        <f>IF(F288=1,"Napa valley",IF(G288=1,"Bay area",IF(H288=1,"Sonoma",IF(I288=1,"Sierra/foothills",IF(J288=1,"Mendocino/lake","Generic California")))))</f>
        <v>Sonoma</v>
      </c>
      <c r="S288" s="1" t="str">
        <f>IF(F288=1,"Napa valley",IF(H288=1,"Sonoma","Other"))</f>
        <v>Sonoma</v>
      </c>
      <c r="T288" s="1" t="str">
        <f>IF(M288=1,"Cabernet",IF(N288=1,"Merlot",IF(L288=1,"Pinot noir","Other")))</f>
        <v>Merlot</v>
      </c>
      <c r="U288" s="1" t="str">
        <f>IF(F288=1,B288,"")</f>
        <v/>
      </c>
      <c r="V288" s="1">
        <f>IF(F288=0,B288,"")</f>
        <v>18</v>
      </c>
      <c r="W288" s="1">
        <f>'Part B'!$B$150+SUMPRODUCT('Part B'!$B$164:$N$164,C288:O288)</f>
        <v>14.3548527171191</v>
      </c>
      <c r="X288" s="1">
        <f>B288-W288</f>
        <v>3.64514728288094</v>
      </c>
      <c r="Y288" s="1">
        <f>'Part B'!$B$179+SUMPRODUCT('Part B'!$B$193:$N$193,C288:O288)</f>
        <v>2.91207387918604</v>
      </c>
      <c r="Z288" s="1">
        <f>P288-Y288</f>
        <v>-0.0217021212898754</v>
      </c>
      <c r="AB288" s="1">
        <f>C288</f>
        <v>6.061</v>
      </c>
      <c r="AC288" s="1">
        <f>D288</f>
        <v>85</v>
      </c>
      <c r="AD288" s="1">
        <f>E288</f>
        <v>2</v>
      </c>
      <c r="AE288" s="1">
        <f>F288</f>
        <v>0</v>
      </c>
      <c r="AF288" s="1">
        <f>G288</f>
        <v>0</v>
      </c>
      <c r="AG288" s="1">
        <f>I288</f>
        <v>0</v>
      </c>
      <c r="AH288" s="1">
        <f>J288</f>
        <v>0</v>
      </c>
      <c r="AI288" s="1">
        <f>Q288</f>
        <v>0</v>
      </c>
      <c r="AJ288" s="1">
        <f>K288</f>
        <v>0</v>
      </c>
      <c r="AK288" s="1">
        <f>L288</f>
        <v>0</v>
      </c>
      <c r="AL288" s="1">
        <f>M288</f>
        <v>0</v>
      </c>
      <c r="AM288" s="1">
        <f>N288</f>
        <v>1</v>
      </c>
      <c r="AN288" s="1">
        <f>O288</f>
        <v>0</v>
      </c>
    </row>
    <row r="289">
      <c r="A289" s="1">
        <v>384</v>
      </c>
      <c r="B289" s="1">
        <v>18</v>
      </c>
      <c r="C289" s="1">
        <v>6.285</v>
      </c>
      <c r="D289" s="1">
        <v>87</v>
      </c>
      <c r="E289" s="1">
        <v>2</v>
      </c>
      <c r="F289" s="1">
        <v>0</v>
      </c>
      <c r="G289" s="1">
        <v>0</v>
      </c>
      <c r="H289" s="1">
        <v>0</v>
      </c>
      <c r="I289" s="1">
        <v>0</v>
      </c>
      <c r="J289" s="1">
        <v>0</v>
      </c>
      <c r="K289" s="1">
        <v>0</v>
      </c>
      <c r="L289" s="1">
        <v>1</v>
      </c>
      <c r="M289" s="1">
        <v>0</v>
      </c>
      <c r="N289" s="1">
        <v>0</v>
      </c>
      <c r="O289" s="1">
        <v>0</v>
      </c>
      <c r="P289" s="1">
        <f>LN(B289)</f>
        <v>2.89037175789616</v>
      </c>
      <c r="Q289" s="1">
        <f>1-SUM(F289:J289)</f>
        <v>1</v>
      </c>
      <c r="R289" s="1" t="str">
        <f>IF(F289=1,"Napa valley",IF(G289=1,"Bay area",IF(H289=1,"Sonoma",IF(I289=1,"Sierra/foothills",IF(J289=1,"Mendocino/lake","Generic California")))))</f>
        <v>Generic California</v>
      </c>
      <c r="S289" s="1" t="str">
        <f>IF(F289=1,"Napa valley",IF(H289=1,"Sonoma","Other"))</f>
        <v>Other</v>
      </c>
      <c r="T289" s="1" t="str">
        <f>IF(M289=1,"Cabernet",IF(N289=1,"Merlot",IF(L289=1,"Pinot noir","Other")))</f>
        <v>Pinot noir</v>
      </c>
      <c r="U289" s="1" t="str">
        <f>IF(F289=1,B289,"")</f>
        <v/>
      </c>
      <c r="V289" s="1">
        <f>IF(F289=0,B289,"")</f>
        <v>18</v>
      </c>
      <c r="W289" s="1">
        <f>'Part B'!$B$150+SUMPRODUCT('Part B'!$B$164:$N$164,C289:O289)</f>
        <v>23.2532795762251</v>
      </c>
      <c r="X289" s="1">
        <f>B289-W289</f>
        <v>-5.25327957622511</v>
      </c>
      <c r="Y289" s="1">
        <f>'Part B'!$B$179+SUMPRODUCT('Part B'!$B$193:$N$193,C289:O289)</f>
        <v>2.83111380596295</v>
      </c>
      <c r="Z289" s="1">
        <f>P289-Y289</f>
        <v>0.0592579519332164</v>
      </c>
      <c r="AB289" s="1">
        <f>C289</f>
        <v>6.285</v>
      </c>
      <c r="AC289" s="1">
        <f>D289</f>
        <v>87</v>
      </c>
      <c r="AD289" s="1">
        <f>E289</f>
        <v>2</v>
      </c>
      <c r="AE289" s="1">
        <f>F289</f>
        <v>0</v>
      </c>
      <c r="AF289" s="1">
        <f>G289</f>
        <v>0</v>
      </c>
      <c r="AG289" s="1">
        <f>I289</f>
        <v>0</v>
      </c>
      <c r="AH289" s="1">
        <f>J289</f>
        <v>0</v>
      </c>
      <c r="AI289" s="1">
        <f>Q289</f>
        <v>1</v>
      </c>
      <c r="AJ289" s="1">
        <f>K289</f>
        <v>0</v>
      </c>
      <c r="AK289" s="1">
        <f>L289</f>
        <v>1</v>
      </c>
      <c r="AL289" s="1">
        <f>M289</f>
        <v>0</v>
      </c>
      <c r="AM289" s="1">
        <f>N289</f>
        <v>0</v>
      </c>
      <c r="AN289" s="1">
        <f>O289</f>
        <v>0</v>
      </c>
    </row>
    <row r="290">
      <c r="A290" s="1">
        <v>385</v>
      </c>
      <c r="B290" s="1">
        <v>18</v>
      </c>
      <c r="C290" s="1">
        <v>5.35</v>
      </c>
      <c r="D290" s="1">
        <v>89</v>
      </c>
      <c r="E290" s="1">
        <v>2</v>
      </c>
      <c r="F290" s="1">
        <v>0</v>
      </c>
      <c r="G290" s="1">
        <v>0</v>
      </c>
      <c r="H290" s="1">
        <v>1</v>
      </c>
      <c r="I290" s="1">
        <v>0</v>
      </c>
      <c r="J290" s="1">
        <v>0</v>
      </c>
      <c r="K290" s="1">
        <v>0</v>
      </c>
      <c r="L290" s="1">
        <v>0</v>
      </c>
      <c r="M290" s="1">
        <v>0</v>
      </c>
      <c r="N290" s="1">
        <v>1</v>
      </c>
      <c r="O290" s="1">
        <v>0</v>
      </c>
      <c r="P290" s="1">
        <f>LN(B290)</f>
        <v>2.89037175789616</v>
      </c>
      <c r="Q290" s="1">
        <f>1-SUM(F290:J290)</f>
        <v>0</v>
      </c>
      <c r="R290" s="1" t="str">
        <f>IF(F290=1,"Napa valley",IF(G290=1,"Bay area",IF(H290=1,"Sonoma",IF(I290=1,"Sierra/foothills",IF(J290=1,"Mendocino/lake","Generic California")))))</f>
        <v>Sonoma</v>
      </c>
      <c r="S290" s="1" t="str">
        <f>IF(F290=1,"Napa valley",IF(H290=1,"Sonoma","Other"))</f>
        <v>Sonoma</v>
      </c>
      <c r="T290" s="1" t="str">
        <f>IF(M290=1,"Cabernet",IF(N290=1,"Merlot",IF(L290=1,"Pinot noir","Other")))</f>
        <v>Merlot</v>
      </c>
      <c r="U290" s="1" t="str">
        <f>IF(F290=1,B290,"")</f>
        <v/>
      </c>
      <c r="V290" s="1">
        <f>IF(F290=0,B290,"")</f>
        <v>18</v>
      </c>
      <c r="W290" s="1">
        <f>'Part B'!$B$150+SUMPRODUCT('Part B'!$B$164:$N$164,C290:O290)</f>
        <v>27.0027247767687</v>
      </c>
      <c r="X290" s="1">
        <f>B290-W290</f>
        <v>-9.00272477676867</v>
      </c>
      <c r="Y290" s="1">
        <f>'Part B'!$B$179+SUMPRODUCT('Part B'!$B$193:$N$193,C290:O290)</f>
        <v>3.1949617711159</v>
      </c>
      <c r="Z290" s="1">
        <f>P290-Y290</f>
        <v>-0.304590013219737</v>
      </c>
      <c r="AB290" s="1">
        <f>C290</f>
        <v>5.35</v>
      </c>
      <c r="AC290" s="1">
        <f>D290</f>
        <v>89</v>
      </c>
      <c r="AD290" s="1">
        <f>E290</f>
        <v>2</v>
      </c>
      <c r="AE290" s="1">
        <f>F290</f>
        <v>0</v>
      </c>
      <c r="AF290" s="1">
        <f>G290</f>
        <v>0</v>
      </c>
      <c r="AG290" s="1">
        <f>I290</f>
        <v>0</v>
      </c>
      <c r="AH290" s="1">
        <f>J290</f>
        <v>0</v>
      </c>
      <c r="AI290" s="1">
        <f>Q290</f>
        <v>0</v>
      </c>
      <c r="AJ290" s="1">
        <f>K290</f>
        <v>0</v>
      </c>
      <c r="AK290" s="1">
        <f>L290</f>
        <v>0</v>
      </c>
      <c r="AL290" s="1">
        <f>M290</f>
        <v>0</v>
      </c>
      <c r="AM290" s="1">
        <f>N290</f>
        <v>1</v>
      </c>
      <c r="AN290" s="1">
        <f>O290</f>
        <v>0</v>
      </c>
    </row>
    <row r="291">
      <c r="A291" s="1">
        <v>386</v>
      </c>
      <c r="B291" s="1">
        <v>18</v>
      </c>
      <c r="C291" s="1">
        <v>0.4</v>
      </c>
      <c r="D291" s="1">
        <v>83</v>
      </c>
      <c r="E291" s="1">
        <v>2</v>
      </c>
      <c r="F291" s="1">
        <v>0</v>
      </c>
      <c r="G291" s="1">
        <v>0</v>
      </c>
      <c r="H291" s="1">
        <v>1</v>
      </c>
      <c r="I291" s="1">
        <v>0</v>
      </c>
      <c r="J291" s="1">
        <v>0</v>
      </c>
      <c r="K291" s="1">
        <v>0</v>
      </c>
      <c r="L291" s="1">
        <v>0</v>
      </c>
      <c r="M291" s="1">
        <v>1</v>
      </c>
      <c r="N291" s="1">
        <v>0</v>
      </c>
      <c r="O291" s="1">
        <v>0</v>
      </c>
      <c r="P291" s="1">
        <f>LN(B291)</f>
        <v>2.89037175789616</v>
      </c>
      <c r="Q291" s="1">
        <f>1-SUM(F291:J291)</f>
        <v>0</v>
      </c>
      <c r="R291" s="1" t="str">
        <f>IF(F291=1,"Napa valley",IF(G291=1,"Bay area",IF(H291=1,"Sonoma",IF(I291=1,"Sierra/foothills",IF(J291=1,"Mendocino/lake","Generic California")))))</f>
        <v>Sonoma</v>
      </c>
      <c r="S291" s="1" t="str">
        <f>IF(F291=1,"Napa valley",IF(H291=1,"Sonoma","Other"))</f>
        <v>Sonoma</v>
      </c>
      <c r="T291" s="1" t="str">
        <f>IF(M291=1,"Cabernet",IF(N291=1,"Merlot",IF(L291=1,"Pinot noir","Other")))</f>
        <v>Cabernet</v>
      </c>
      <c r="U291" s="1" t="str">
        <f>IF(F291=1,B291,"")</f>
        <v/>
      </c>
      <c r="V291" s="1">
        <f>IF(F291=0,B291,"")</f>
        <v>18</v>
      </c>
      <c r="W291" s="1">
        <f>'Part B'!$B$150+SUMPRODUCT('Part B'!$B$164:$N$164,C291:O291)</f>
        <v>13.5690094701001</v>
      </c>
      <c r="X291" s="1">
        <f>B291-W291</f>
        <v>4.43099052989993</v>
      </c>
      <c r="Y291" s="1">
        <f>'Part B'!$B$179+SUMPRODUCT('Part B'!$B$193:$N$193,C291:O291)</f>
        <v>2.83285587121855</v>
      </c>
      <c r="Z291" s="1">
        <f>P291-Y291</f>
        <v>0.0575158866776171</v>
      </c>
      <c r="AB291" s="1">
        <f>C291</f>
        <v>0.4</v>
      </c>
      <c r="AC291" s="1">
        <f>D291</f>
        <v>83</v>
      </c>
      <c r="AD291" s="1">
        <f>E291</f>
        <v>2</v>
      </c>
      <c r="AE291" s="1">
        <f>F291</f>
        <v>0</v>
      </c>
      <c r="AF291" s="1">
        <f>G291</f>
        <v>0</v>
      </c>
      <c r="AG291" s="1">
        <f>I291</f>
        <v>0</v>
      </c>
      <c r="AH291" s="1">
        <f>J291</f>
        <v>0</v>
      </c>
      <c r="AI291" s="1">
        <f>Q291</f>
        <v>0</v>
      </c>
      <c r="AJ291" s="1">
        <f>K291</f>
        <v>0</v>
      </c>
      <c r="AK291" s="1">
        <f>L291</f>
        <v>0</v>
      </c>
      <c r="AL291" s="1">
        <f>M291</f>
        <v>1</v>
      </c>
      <c r="AM291" s="1">
        <f>N291</f>
        <v>0</v>
      </c>
      <c r="AN291" s="1">
        <f>O291</f>
        <v>0</v>
      </c>
    </row>
    <row r="292">
      <c r="A292" s="1">
        <v>387</v>
      </c>
      <c r="B292" s="1">
        <v>18</v>
      </c>
      <c r="C292" s="1">
        <v>8.1</v>
      </c>
      <c r="D292" s="1">
        <v>92</v>
      </c>
      <c r="E292" s="1">
        <v>2</v>
      </c>
      <c r="F292" s="1">
        <v>1</v>
      </c>
      <c r="G292" s="1">
        <v>0</v>
      </c>
      <c r="H292" s="1">
        <v>0</v>
      </c>
      <c r="I292" s="1">
        <v>0</v>
      </c>
      <c r="J292" s="1">
        <v>0</v>
      </c>
      <c r="K292" s="1">
        <v>0</v>
      </c>
      <c r="L292" s="1">
        <v>0</v>
      </c>
      <c r="M292" s="1">
        <v>0</v>
      </c>
      <c r="N292" s="1">
        <v>0</v>
      </c>
      <c r="O292" s="1">
        <v>0</v>
      </c>
      <c r="P292" s="1">
        <f>LN(B292)</f>
        <v>2.89037175789616</v>
      </c>
      <c r="Q292" s="1">
        <f>1-SUM(F292:J292)</f>
        <v>0</v>
      </c>
      <c r="R292" s="1" t="str">
        <f>IF(F292=1,"Napa valley",IF(G292=1,"Bay area",IF(H292=1,"Sonoma",IF(I292=1,"Sierra/foothills",IF(J292=1,"Mendocino/lake","Generic California")))))</f>
        <v>Napa valley</v>
      </c>
      <c r="S292" s="1" t="str">
        <f>IF(F292=1,"Napa valley",IF(H292=1,"Sonoma","Other"))</f>
        <v>Napa valley</v>
      </c>
      <c r="T292" s="1" t="str">
        <f>IF(M292=1,"Cabernet",IF(N292=1,"Merlot",IF(L292=1,"Pinot noir","Other")))</f>
        <v>Other</v>
      </c>
      <c r="U292" s="1">
        <f>IF(F292=1,B292,"")</f>
        <v>18</v>
      </c>
      <c r="V292" s="1" t="str">
        <f>IF(F292=0,B292,"")</f>
        <v/>
      </c>
      <c r="W292" s="1">
        <f>'Part B'!$B$150+SUMPRODUCT('Part B'!$B$164:$N$164,C292:O292)</f>
        <v>36.4132414528016</v>
      </c>
      <c r="X292" s="1">
        <f>B292-W292</f>
        <v>-18.4132414528016</v>
      </c>
      <c r="Y292" s="1">
        <f>'Part B'!$B$179+SUMPRODUCT('Part B'!$B$193:$N$193,C292:O292)</f>
        <v>3.25635127789104</v>
      </c>
      <c r="Z292" s="1">
        <f>P292-Y292</f>
        <v>-0.365979519994878</v>
      </c>
      <c r="AB292" s="1">
        <f>C292</f>
        <v>8.1</v>
      </c>
      <c r="AC292" s="1">
        <f>D292</f>
        <v>92</v>
      </c>
      <c r="AD292" s="1">
        <f>E292</f>
        <v>2</v>
      </c>
      <c r="AE292" s="1">
        <f>F292</f>
        <v>1</v>
      </c>
      <c r="AF292" s="1">
        <f>G292</f>
        <v>0</v>
      </c>
      <c r="AG292" s="1">
        <f>I292</f>
        <v>0</v>
      </c>
      <c r="AH292" s="1">
        <f>J292</f>
        <v>0</v>
      </c>
      <c r="AI292" s="1">
        <f>Q292</f>
        <v>0</v>
      </c>
      <c r="AJ292" s="1">
        <f>K292</f>
        <v>0</v>
      </c>
      <c r="AK292" s="1">
        <f>L292</f>
        <v>0</v>
      </c>
      <c r="AL292" s="1">
        <f>M292</f>
        <v>0</v>
      </c>
      <c r="AM292" s="1">
        <f>N292</f>
        <v>0</v>
      </c>
      <c r="AN292" s="1">
        <f>O292</f>
        <v>0</v>
      </c>
    </row>
    <row r="293">
      <c r="A293" s="1">
        <v>388</v>
      </c>
      <c r="B293" s="1">
        <v>18</v>
      </c>
      <c r="C293" s="1">
        <v>0.15</v>
      </c>
      <c r="D293" s="1">
        <v>88</v>
      </c>
      <c r="E293" s="1">
        <v>2</v>
      </c>
      <c r="F293" s="1">
        <v>0</v>
      </c>
      <c r="G293" s="1">
        <v>1</v>
      </c>
      <c r="H293" s="1">
        <v>0</v>
      </c>
      <c r="I293" s="1">
        <v>0</v>
      </c>
      <c r="J293" s="1">
        <v>0</v>
      </c>
      <c r="K293" s="1">
        <v>0</v>
      </c>
      <c r="L293" s="1">
        <v>0</v>
      </c>
      <c r="M293" s="1">
        <v>0</v>
      </c>
      <c r="N293" s="1">
        <v>0</v>
      </c>
      <c r="O293" s="1">
        <v>0</v>
      </c>
      <c r="P293" s="1">
        <f>LN(B293)</f>
        <v>2.89037175789616</v>
      </c>
      <c r="Q293" s="1">
        <f>1-SUM(F293:J293)</f>
        <v>0</v>
      </c>
      <c r="R293" s="1" t="str">
        <f>IF(F293=1,"Napa valley",IF(G293=1,"Bay area",IF(H293=1,"Sonoma",IF(I293=1,"Sierra/foothills",IF(J293=1,"Mendocino/lake","Generic California")))))</f>
        <v>Bay area</v>
      </c>
      <c r="S293" s="1" t="str">
        <f>IF(F293=1,"Napa valley",IF(H293=1,"Sonoma","Other"))</f>
        <v>Other</v>
      </c>
      <c r="T293" s="1" t="str">
        <f>IF(M293=1,"Cabernet",IF(N293=1,"Merlot",IF(L293=1,"Pinot noir","Other")))</f>
        <v>Other</v>
      </c>
      <c r="U293" s="1" t="str">
        <f>IF(F293=1,B293,"")</f>
        <v/>
      </c>
      <c r="V293" s="1">
        <f>IF(F293=0,B293,"")</f>
        <v>18</v>
      </c>
      <c r="W293" s="1">
        <f>'Part B'!$B$150+SUMPRODUCT('Part B'!$B$164:$N$164,C293:O293)</f>
        <v>19.8052908455156</v>
      </c>
      <c r="X293" s="1">
        <f>B293-W293</f>
        <v>-1.80529084551563</v>
      </c>
      <c r="Y293" s="1">
        <f>'Part B'!$B$179+SUMPRODUCT('Part B'!$B$193:$N$193,C293:O293)</f>
        <v>2.83579194641912</v>
      </c>
      <c r="Z293" s="1">
        <f>P293-Y293</f>
        <v>0.0545798114770442</v>
      </c>
      <c r="AB293" s="1">
        <f>C293</f>
        <v>0.15</v>
      </c>
      <c r="AC293" s="1">
        <f>D293</f>
        <v>88</v>
      </c>
      <c r="AD293" s="1">
        <f>E293</f>
        <v>2</v>
      </c>
      <c r="AE293" s="1">
        <f>F293</f>
        <v>0</v>
      </c>
      <c r="AF293" s="1">
        <f>G293</f>
        <v>1</v>
      </c>
      <c r="AG293" s="1">
        <f>I293</f>
        <v>0</v>
      </c>
      <c r="AH293" s="1">
        <f>J293</f>
        <v>0</v>
      </c>
      <c r="AI293" s="1">
        <f>Q293</f>
        <v>0</v>
      </c>
      <c r="AJ293" s="1">
        <f>K293</f>
        <v>0</v>
      </c>
      <c r="AK293" s="1">
        <f>L293</f>
        <v>0</v>
      </c>
      <c r="AL293" s="1">
        <f>M293</f>
        <v>0</v>
      </c>
      <c r="AM293" s="1">
        <f>N293</f>
        <v>0</v>
      </c>
      <c r="AN293" s="1">
        <f>O293</f>
        <v>0</v>
      </c>
    </row>
    <row r="294">
      <c r="A294" s="1">
        <v>389</v>
      </c>
      <c r="B294" s="1">
        <v>18</v>
      </c>
      <c r="C294" s="1">
        <v>0.25</v>
      </c>
      <c r="D294" s="1">
        <v>88</v>
      </c>
      <c r="E294" s="1">
        <v>2</v>
      </c>
      <c r="F294" s="1">
        <v>0</v>
      </c>
      <c r="G294" s="1">
        <v>1</v>
      </c>
      <c r="H294" s="1">
        <v>0</v>
      </c>
      <c r="I294" s="1">
        <v>0</v>
      </c>
      <c r="J294" s="1">
        <v>0</v>
      </c>
      <c r="K294" s="1">
        <v>0</v>
      </c>
      <c r="L294" s="1">
        <v>0</v>
      </c>
      <c r="M294" s="1">
        <v>0</v>
      </c>
      <c r="N294" s="1">
        <v>0</v>
      </c>
      <c r="O294" s="1">
        <v>0</v>
      </c>
      <c r="P294" s="1">
        <f>LN(B294)</f>
        <v>2.89037175789616</v>
      </c>
      <c r="Q294" s="1">
        <f>1-SUM(F294:J294)</f>
        <v>0</v>
      </c>
      <c r="R294" s="1" t="str">
        <f>IF(F294=1,"Napa valley",IF(G294=1,"Bay area",IF(H294=1,"Sonoma",IF(I294=1,"Sierra/foothills",IF(J294=1,"Mendocino/lake","Generic California")))))</f>
        <v>Bay area</v>
      </c>
      <c r="S294" s="1" t="str">
        <f>IF(F294=1,"Napa valley",IF(H294=1,"Sonoma","Other"))</f>
        <v>Other</v>
      </c>
      <c r="T294" s="1" t="str">
        <f>IF(M294=1,"Cabernet",IF(N294=1,"Merlot",IF(L294=1,"Pinot noir","Other")))</f>
        <v>Other</v>
      </c>
      <c r="U294" s="1" t="str">
        <f>IF(F294=1,B294,"")</f>
        <v/>
      </c>
      <c r="V294" s="1">
        <f>IF(F294=0,B294,"")</f>
        <v>18</v>
      </c>
      <c r="W294" s="1">
        <f>'Part B'!$B$150+SUMPRODUCT('Part B'!$B$164:$N$164,C294:O294)</f>
        <v>19.7957994685526</v>
      </c>
      <c r="X294" s="1">
        <f>B294-W294</f>
        <v>-1.79579946855262</v>
      </c>
      <c r="Y294" s="1">
        <f>'Part B'!$B$179+SUMPRODUCT('Part B'!$B$193:$N$193,C294:O294)</f>
        <v>2.83536403970461</v>
      </c>
      <c r="Z294" s="1">
        <f>P294-Y294</f>
        <v>0.0550077181915523</v>
      </c>
      <c r="AB294" s="1">
        <f>C294</f>
        <v>0.25</v>
      </c>
      <c r="AC294" s="1">
        <f>D294</f>
        <v>88</v>
      </c>
      <c r="AD294" s="1">
        <f>E294</f>
        <v>2</v>
      </c>
      <c r="AE294" s="1">
        <f>F294</f>
        <v>0</v>
      </c>
      <c r="AF294" s="1">
        <f>G294</f>
        <v>1</v>
      </c>
      <c r="AG294" s="1">
        <f>I294</f>
        <v>0</v>
      </c>
      <c r="AH294" s="1">
        <f>J294</f>
        <v>0</v>
      </c>
      <c r="AI294" s="1">
        <f>Q294</f>
        <v>0</v>
      </c>
      <c r="AJ294" s="1">
        <f>K294</f>
        <v>0</v>
      </c>
      <c r="AK294" s="1">
        <f>L294</f>
        <v>0</v>
      </c>
      <c r="AL294" s="1">
        <f>M294</f>
        <v>0</v>
      </c>
      <c r="AM294" s="1">
        <f>N294</f>
        <v>0</v>
      </c>
      <c r="AN294" s="1">
        <f>O294</f>
        <v>0</v>
      </c>
    </row>
    <row r="295">
      <c r="A295" s="1">
        <v>393</v>
      </c>
      <c r="B295" s="1">
        <v>18</v>
      </c>
      <c r="C295" s="1">
        <v>9.053</v>
      </c>
      <c r="D295" s="1">
        <v>87</v>
      </c>
      <c r="E295" s="1">
        <v>2</v>
      </c>
      <c r="F295" s="1">
        <v>0</v>
      </c>
      <c r="G295" s="1">
        <v>0</v>
      </c>
      <c r="H295" s="1">
        <v>0</v>
      </c>
      <c r="I295" s="1">
        <v>0</v>
      </c>
      <c r="J295" s="1">
        <v>0</v>
      </c>
      <c r="K295" s="1">
        <v>0</v>
      </c>
      <c r="L295" s="1">
        <v>1</v>
      </c>
      <c r="M295" s="1">
        <v>0</v>
      </c>
      <c r="N295" s="1">
        <v>0</v>
      </c>
      <c r="O295" s="1">
        <v>0</v>
      </c>
      <c r="P295" s="1">
        <f>LN(B295)</f>
        <v>2.89037175789616</v>
      </c>
      <c r="Q295" s="1">
        <f>1-SUM(F295:J295)</f>
        <v>1</v>
      </c>
      <c r="R295" s="1" t="str">
        <f>IF(F295=1,"Napa valley",IF(G295=1,"Bay area",IF(H295=1,"Sonoma",IF(I295=1,"Sierra/foothills",IF(J295=1,"Mendocino/lake","Generic California")))))</f>
        <v>Generic California</v>
      </c>
      <c r="S295" s="1" t="str">
        <f>IF(F295=1,"Napa valley",IF(H295=1,"Sonoma","Other"))</f>
        <v>Other</v>
      </c>
      <c r="T295" s="1" t="str">
        <f>IF(M295=1,"Cabernet",IF(N295=1,"Merlot",IF(L295=1,"Pinot noir","Other")))</f>
        <v>Pinot noir</v>
      </c>
      <c r="U295" s="1" t="str">
        <f>IF(F295=1,B295,"")</f>
        <v/>
      </c>
      <c r="V295" s="1">
        <f>IF(F295=0,B295,"")</f>
        <v>18</v>
      </c>
      <c r="W295" s="1">
        <f>'Part B'!$B$150+SUMPRODUCT('Part B'!$B$164:$N$164,C295:O295)</f>
        <v>22.9905582618891</v>
      </c>
      <c r="X295" s="1">
        <f>B295-W295</f>
        <v>-4.99055826188913</v>
      </c>
      <c r="Y295" s="1">
        <f>'Part B'!$B$179+SUMPRODUCT('Part B'!$B$193:$N$193,C295:O295)</f>
        <v>2.81926934810536</v>
      </c>
      <c r="Z295" s="1">
        <f>P295-Y295</f>
        <v>0.0711024097908073</v>
      </c>
      <c r="AB295" s="1">
        <f>C295</f>
        <v>9.053</v>
      </c>
      <c r="AC295" s="1">
        <f>D295</f>
        <v>87</v>
      </c>
      <c r="AD295" s="1">
        <f>E295</f>
        <v>2</v>
      </c>
      <c r="AE295" s="1">
        <f>F295</f>
        <v>0</v>
      </c>
      <c r="AF295" s="1">
        <f>G295</f>
        <v>0</v>
      </c>
      <c r="AG295" s="1">
        <f>I295</f>
        <v>0</v>
      </c>
      <c r="AH295" s="1">
        <f>J295</f>
        <v>0</v>
      </c>
      <c r="AI295" s="1">
        <f>Q295</f>
        <v>1</v>
      </c>
      <c r="AJ295" s="1">
        <f>K295</f>
        <v>0</v>
      </c>
      <c r="AK295" s="1">
        <f>L295</f>
        <v>1</v>
      </c>
      <c r="AL295" s="1">
        <f>M295</f>
        <v>0</v>
      </c>
      <c r="AM295" s="1">
        <f>N295</f>
        <v>0</v>
      </c>
      <c r="AN295" s="1">
        <f>O295</f>
        <v>0</v>
      </c>
    </row>
    <row r="296">
      <c r="A296" s="1">
        <v>396</v>
      </c>
      <c r="B296" s="1">
        <v>19</v>
      </c>
      <c r="C296" s="1">
        <v>0.24</v>
      </c>
      <c r="D296" s="1">
        <v>88</v>
      </c>
      <c r="E296" s="1">
        <v>3</v>
      </c>
      <c r="F296" s="1">
        <v>0</v>
      </c>
      <c r="G296" s="1">
        <v>0</v>
      </c>
      <c r="H296" s="1">
        <v>1</v>
      </c>
      <c r="I296" s="1">
        <v>0</v>
      </c>
      <c r="J296" s="1">
        <v>0</v>
      </c>
      <c r="K296" s="1">
        <v>0</v>
      </c>
      <c r="L296" s="1">
        <v>0</v>
      </c>
      <c r="M296" s="1">
        <v>1</v>
      </c>
      <c r="N296" s="1">
        <v>0</v>
      </c>
      <c r="O296" s="1">
        <v>0</v>
      </c>
      <c r="P296" s="1">
        <f>LN(B296)</f>
        <v>2.94443897916644</v>
      </c>
      <c r="Q296" s="1">
        <f>1-SUM(F296:J296)</f>
        <v>0</v>
      </c>
      <c r="R296" s="1" t="str">
        <f>IF(F296=1,"Napa valley",IF(G296=1,"Bay area",IF(H296=1,"Sonoma",IF(I296=1,"Sierra/foothills",IF(J296=1,"Mendocino/lake","Generic California")))))</f>
        <v>Sonoma</v>
      </c>
      <c r="S296" s="1" t="str">
        <f>IF(F296=1,"Napa valley",IF(H296=1,"Sonoma","Other"))</f>
        <v>Sonoma</v>
      </c>
      <c r="T296" s="1" t="str">
        <f>IF(M296=1,"Cabernet",IF(N296=1,"Merlot",IF(L296=1,"Pinot noir","Other")))</f>
        <v>Cabernet</v>
      </c>
      <c r="U296" s="1" t="str">
        <f>IF(F296=1,B296,"")</f>
        <v/>
      </c>
      <c r="V296" s="1">
        <f>IF(F296=0,B296,"")</f>
        <v>19</v>
      </c>
      <c r="W296" s="1">
        <f>'Part B'!$B$150+SUMPRODUCT('Part B'!$B$164:$N$164,C296:O296)</f>
        <v>35.9292858934222</v>
      </c>
      <c r="X296" s="1">
        <f>B296-W296</f>
        <v>-16.9292858934222</v>
      </c>
      <c r="Y296" s="1">
        <f>'Part B'!$B$179+SUMPRODUCT('Part B'!$B$193:$N$193,C296:O296)</f>
        <v>3.3664326483905</v>
      </c>
      <c r="Z296" s="1">
        <f>P296-Y296</f>
        <v>-0.421993669224062</v>
      </c>
      <c r="AB296" s="1">
        <f>C296</f>
        <v>0.24</v>
      </c>
      <c r="AC296" s="1">
        <f>D296</f>
        <v>88</v>
      </c>
      <c r="AD296" s="1">
        <f>E296</f>
        <v>3</v>
      </c>
      <c r="AE296" s="1">
        <f>F296</f>
        <v>0</v>
      </c>
      <c r="AF296" s="1">
        <f>G296</f>
        <v>0</v>
      </c>
      <c r="AG296" s="1">
        <f>I296</f>
        <v>0</v>
      </c>
      <c r="AH296" s="1">
        <f>J296</f>
        <v>0</v>
      </c>
      <c r="AI296" s="1">
        <f>Q296</f>
        <v>0</v>
      </c>
      <c r="AJ296" s="1">
        <f>K296</f>
        <v>0</v>
      </c>
      <c r="AK296" s="1">
        <f>L296</f>
        <v>0</v>
      </c>
      <c r="AL296" s="1">
        <f>M296</f>
        <v>1</v>
      </c>
      <c r="AM296" s="1">
        <f>N296</f>
        <v>0</v>
      </c>
      <c r="AN296" s="1">
        <f>O296</f>
        <v>0</v>
      </c>
    </row>
    <row r="297">
      <c r="A297" s="1">
        <v>397</v>
      </c>
      <c r="B297" s="1">
        <v>19</v>
      </c>
      <c r="C297" s="1">
        <v>0.19</v>
      </c>
      <c r="D297" s="1">
        <v>86</v>
      </c>
      <c r="E297" s="1">
        <v>3</v>
      </c>
      <c r="F297" s="1">
        <v>0</v>
      </c>
      <c r="G297" s="1">
        <v>0</v>
      </c>
      <c r="H297" s="1">
        <v>1</v>
      </c>
      <c r="I297" s="1">
        <v>0</v>
      </c>
      <c r="J297" s="1">
        <v>0</v>
      </c>
      <c r="K297" s="1">
        <v>0</v>
      </c>
      <c r="L297" s="1">
        <v>0</v>
      </c>
      <c r="M297" s="1">
        <v>0</v>
      </c>
      <c r="N297" s="1">
        <v>1</v>
      </c>
      <c r="O297" s="1">
        <v>0</v>
      </c>
      <c r="P297" s="1">
        <f>LN(B297)</f>
        <v>2.94443897916644</v>
      </c>
      <c r="Q297" s="1">
        <f>1-SUM(F297:J297)</f>
        <v>0</v>
      </c>
      <c r="R297" s="1" t="str">
        <f>IF(F297=1,"Napa valley",IF(G297=1,"Bay area",IF(H297=1,"Sonoma",IF(I297=1,"Sierra/foothills",IF(J297=1,"Mendocino/lake","Generic California")))))</f>
        <v>Sonoma</v>
      </c>
      <c r="S297" s="1" t="str">
        <f>IF(F297=1,"Napa valley",IF(H297=1,"Sonoma","Other"))</f>
        <v>Sonoma</v>
      </c>
      <c r="T297" s="1" t="str">
        <f>IF(M297=1,"Cabernet",IF(N297=1,"Merlot",IF(L297=1,"Pinot noir","Other")))</f>
        <v>Merlot</v>
      </c>
      <c r="U297" s="1" t="str">
        <f>IF(F297=1,B297,"")</f>
        <v/>
      </c>
      <c r="V297" s="1">
        <f>IF(F297=0,B297,"")</f>
        <v>19</v>
      </c>
      <c r="W297" s="1">
        <f>'Part B'!$B$150+SUMPRODUCT('Part B'!$B$164:$N$164,C297:O297)</f>
        <v>24.6767933093558</v>
      </c>
      <c r="X297" s="1">
        <f>B297-W297</f>
        <v>-5.67679330935584</v>
      </c>
      <c r="Y297" s="1">
        <f>'Part B'!$B$179+SUMPRODUCT('Part B'!$B$193:$N$193,C297:O297)</f>
        <v>3.19024293363386</v>
      </c>
      <c r="Z297" s="1">
        <f>P297-Y297</f>
        <v>-0.245803954467421</v>
      </c>
      <c r="AB297" s="1">
        <f>C297</f>
        <v>0.19</v>
      </c>
      <c r="AC297" s="1">
        <f>D297</f>
        <v>86</v>
      </c>
      <c r="AD297" s="1">
        <f>E297</f>
        <v>3</v>
      </c>
      <c r="AE297" s="1">
        <f>F297</f>
        <v>0</v>
      </c>
      <c r="AF297" s="1">
        <f>G297</f>
        <v>0</v>
      </c>
      <c r="AG297" s="1">
        <f>I297</f>
        <v>0</v>
      </c>
      <c r="AH297" s="1">
        <f>J297</f>
        <v>0</v>
      </c>
      <c r="AI297" s="1">
        <f>Q297</f>
        <v>0</v>
      </c>
      <c r="AJ297" s="1">
        <f>K297</f>
        <v>0</v>
      </c>
      <c r="AK297" s="1">
        <f>L297</f>
        <v>0</v>
      </c>
      <c r="AL297" s="1">
        <f>M297</f>
        <v>0</v>
      </c>
      <c r="AM297" s="1">
        <f>N297</f>
        <v>1</v>
      </c>
      <c r="AN297" s="1">
        <f>O297</f>
        <v>0</v>
      </c>
    </row>
    <row r="298">
      <c r="A298" s="1">
        <v>398</v>
      </c>
      <c r="B298" s="1">
        <v>19</v>
      </c>
      <c r="C298" s="1">
        <v>0.5</v>
      </c>
      <c r="D298" s="1">
        <v>88</v>
      </c>
      <c r="E298" s="1">
        <v>3</v>
      </c>
      <c r="F298" s="1">
        <v>0</v>
      </c>
      <c r="G298" s="1">
        <v>0</v>
      </c>
      <c r="H298" s="1">
        <v>1</v>
      </c>
      <c r="I298" s="1">
        <v>0</v>
      </c>
      <c r="J298" s="1">
        <v>0</v>
      </c>
      <c r="K298" s="1">
        <v>0</v>
      </c>
      <c r="L298" s="1">
        <v>0</v>
      </c>
      <c r="M298" s="1">
        <v>0</v>
      </c>
      <c r="N298" s="1">
        <v>1</v>
      </c>
      <c r="O298" s="1">
        <v>0</v>
      </c>
      <c r="P298" s="1">
        <f>LN(B298)</f>
        <v>2.94443897916644</v>
      </c>
      <c r="Q298" s="1">
        <f>1-SUM(F298:J298)</f>
        <v>0</v>
      </c>
      <c r="R298" s="1" t="str">
        <f>IF(F298=1,"Napa valley",IF(G298=1,"Bay area",IF(H298=1,"Sonoma",IF(I298=1,"Sierra/foothills",IF(J298=1,"Mendocino/lake","Generic California")))))</f>
        <v>Sonoma</v>
      </c>
      <c r="S298" s="1" t="str">
        <f>IF(F298=1,"Napa valley",IF(H298=1,"Sonoma","Other"))</f>
        <v>Sonoma</v>
      </c>
      <c r="T298" s="1" t="str">
        <f>IF(M298=1,"Cabernet",IF(N298=1,"Merlot",IF(L298=1,"Pinot noir","Other")))</f>
        <v>Merlot</v>
      </c>
      <c r="U298" s="1" t="str">
        <f>IF(F298=1,B298,"")</f>
        <v/>
      </c>
      <c r="V298" s="1">
        <f>IF(F298=0,B298,"")</f>
        <v>19</v>
      </c>
      <c r="W298" s="1">
        <f>'Part B'!$B$150+SUMPRODUCT('Part B'!$B$164:$N$164,C298:O298)</f>
        <v>30.9375642254918</v>
      </c>
      <c r="X298" s="1">
        <f>B298-W298</f>
        <v>-11.9375642254918</v>
      </c>
      <c r="Y298" s="1">
        <f>'Part B'!$B$179+SUMPRODUCT('Part B'!$B$193:$N$193,C298:O298)</f>
        <v>3.32883916041374</v>
      </c>
      <c r="Z298" s="1">
        <f>P298-Y298</f>
        <v>-0.384400181247298</v>
      </c>
      <c r="AB298" s="1">
        <f>C298</f>
        <v>0.5</v>
      </c>
      <c r="AC298" s="1">
        <f>D298</f>
        <v>88</v>
      </c>
      <c r="AD298" s="1">
        <f>E298</f>
        <v>3</v>
      </c>
      <c r="AE298" s="1">
        <f>F298</f>
        <v>0</v>
      </c>
      <c r="AF298" s="1">
        <f>G298</f>
        <v>0</v>
      </c>
      <c r="AG298" s="1">
        <f>I298</f>
        <v>0</v>
      </c>
      <c r="AH298" s="1">
        <f>J298</f>
        <v>0</v>
      </c>
      <c r="AI298" s="1">
        <f>Q298</f>
        <v>0</v>
      </c>
      <c r="AJ298" s="1">
        <f>K298</f>
        <v>0</v>
      </c>
      <c r="AK298" s="1">
        <f>L298</f>
        <v>0</v>
      </c>
      <c r="AL298" s="1">
        <f>M298</f>
        <v>0</v>
      </c>
      <c r="AM298" s="1">
        <f>N298</f>
        <v>1</v>
      </c>
      <c r="AN298" s="1">
        <f>O298</f>
        <v>0</v>
      </c>
    </row>
    <row r="299">
      <c r="A299" s="1">
        <v>399</v>
      </c>
      <c r="B299" s="1">
        <v>19</v>
      </c>
      <c r="C299" s="1">
        <v>7.5</v>
      </c>
      <c r="D299" s="1">
        <v>85</v>
      </c>
      <c r="E299" s="1">
        <v>3</v>
      </c>
      <c r="F299" s="1">
        <v>0</v>
      </c>
      <c r="G299" s="1">
        <v>0</v>
      </c>
      <c r="H299" s="1">
        <v>1</v>
      </c>
      <c r="I299" s="1">
        <v>0</v>
      </c>
      <c r="J299" s="1">
        <v>0</v>
      </c>
      <c r="K299" s="1">
        <v>0</v>
      </c>
      <c r="L299" s="1">
        <v>0</v>
      </c>
      <c r="M299" s="1">
        <v>0</v>
      </c>
      <c r="N299" s="1">
        <v>1</v>
      </c>
      <c r="O299" s="1">
        <v>0</v>
      </c>
      <c r="P299" s="1">
        <f>LN(B299)</f>
        <v>2.94443897916644</v>
      </c>
      <c r="Q299" s="1">
        <f>1-SUM(F299:J299)</f>
        <v>0</v>
      </c>
      <c r="R299" s="1" t="str">
        <f>IF(F299=1,"Napa valley",IF(G299=1,"Bay area",IF(H299=1,"Sonoma",IF(I299=1,"Sierra/foothills",IF(J299=1,"Mendocino/lake","Generic California")))))</f>
        <v>Sonoma</v>
      </c>
      <c r="S299" s="1" t="str">
        <f>IF(F299=1,"Napa valley",IF(H299=1,"Sonoma","Other"))</f>
        <v>Sonoma</v>
      </c>
      <c r="T299" s="1" t="str">
        <f>IF(M299=1,"Cabernet",IF(N299=1,"Merlot",IF(L299=1,"Pinot noir","Other")))</f>
        <v>Merlot</v>
      </c>
      <c r="U299" s="1" t="str">
        <f>IF(F299=1,B299,"")</f>
        <v/>
      </c>
      <c r="V299" s="1">
        <f>IF(F299=0,B299,"")</f>
        <v>19</v>
      </c>
      <c r="W299" s="1">
        <f>'Part B'!$B$150+SUMPRODUCT('Part B'!$B$164:$N$164,C299:O299)</f>
        <v>20.8378765609995</v>
      </c>
      <c r="X299" s="1">
        <f>B299-W299</f>
        <v>-1.83787656099946</v>
      </c>
      <c r="Y299" s="1">
        <f>'Part B'!$B$179+SUMPRODUCT('Part B'!$B$193:$N$193,C299:O299)</f>
        <v>3.08900158400587</v>
      </c>
      <c r="Z299" s="1">
        <f>P299-Y299</f>
        <v>-0.144562604839434</v>
      </c>
      <c r="AB299" s="1">
        <f>C299</f>
        <v>7.5</v>
      </c>
      <c r="AC299" s="1">
        <f>D299</f>
        <v>85</v>
      </c>
      <c r="AD299" s="1">
        <f>E299</f>
        <v>3</v>
      </c>
      <c r="AE299" s="1">
        <f>F299</f>
        <v>0</v>
      </c>
      <c r="AF299" s="1">
        <f>G299</f>
        <v>0</v>
      </c>
      <c r="AG299" s="1">
        <f>I299</f>
        <v>0</v>
      </c>
      <c r="AH299" s="1">
        <f>J299</f>
        <v>0</v>
      </c>
      <c r="AI299" s="1">
        <f>Q299</f>
        <v>0</v>
      </c>
      <c r="AJ299" s="1">
        <f>K299</f>
        <v>0</v>
      </c>
      <c r="AK299" s="1">
        <f>L299</f>
        <v>0</v>
      </c>
      <c r="AL299" s="1">
        <f>M299</f>
        <v>0</v>
      </c>
      <c r="AM299" s="1">
        <f>N299</f>
        <v>1</v>
      </c>
      <c r="AN299" s="1">
        <f>O299</f>
        <v>0</v>
      </c>
    </row>
    <row r="300">
      <c r="A300" s="1">
        <v>402</v>
      </c>
      <c r="B300" s="1">
        <v>19</v>
      </c>
      <c r="C300" s="1">
        <v>3.7</v>
      </c>
      <c r="D300" s="1">
        <v>84</v>
      </c>
      <c r="E300" s="1">
        <v>3</v>
      </c>
      <c r="F300" s="1">
        <v>0</v>
      </c>
      <c r="G300" s="1">
        <v>0</v>
      </c>
      <c r="H300" s="1">
        <v>1</v>
      </c>
      <c r="I300" s="1">
        <v>0</v>
      </c>
      <c r="J300" s="1">
        <v>0</v>
      </c>
      <c r="K300" s="1">
        <v>0</v>
      </c>
      <c r="L300" s="1">
        <v>0</v>
      </c>
      <c r="M300" s="1">
        <v>1</v>
      </c>
      <c r="N300" s="1">
        <v>0</v>
      </c>
      <c r="O300" s="1">
        <v>0</v>
      </c>
      <c r="P300" s="1">
        <f>LN(B300)</f>
        <v>2.94443897916644</v>
      </c>
      <c r="Q300" s="1">
        <f>1-SUM(F300:J300)</f>
        <v>0</v>
      </c>
      <c r="R300" s="1" t="str">
        <f>IF(F300=1,"Napa valley",IF(G300=1,"Bay area",IF(H300=1,"Sonoma",IF(I300=1,"Sierra/foothills",IF(J300=1,"Mendocino/lake","Generic California")))))</f>
        <v>Sonoma</v>
      </c>
      <c r="S300" s="1" t="str">
        <f>IF(F300=1,"Napa valley",IF(H300=1,"Sonoma","Other"))</f>
        <v>Sonoma</v>
      </c>
      <c r="T300" s="1" t="str">
        <f>IF(M300=1,"Cabernet",IF(N300=1,"Merlot",IF(L300=1,"Pinot noir","Other")))</f>
        <v>Cabernet</v>
      </c>
      <c r="U300" s="1" t="str">
        <f>IF(F300=1,B300,"")</f>
        <v/>
      </c>
      <c r="V300" s="1">
        <f>IF(F300=0,B300,"")</f>
        <v>19</v>
      </c>
      <c r="W300" s="1">
        <f>'Part B'!$B$150+SUMPRODUCT('Part B'!$B$164:$N$164,C300:O300)</f>
        <v>23.0204958810597</v>
      </c>
      <c r="X300" s="1">
        <f>B300-W300</f>
        <v>-4.02049588105967</v>
      </c>
      <c r="Y300" s="1">
        <f>'Part B'!$B$179+SUMPRODUCT('Part B'!$B$193:$N$193,C300:O300)</f>
        <v>3.07178160087881</v>
      </c>
      <c r="Z300" s="1">
        <f>P300-Y300</f>
        <v>-0.127342621712367</v>
      </c>
      <c r="AB300" s="1">
        <f>C300</f>
        <v>3.7</v>
      </c>
      <c r="AC300" s="1">
        <f>D300</f>
        <v>84</v>
      </c>
      <c r="AD300" s="1">
        <f>E300</f>
        <v>3</v>
      </c>
      <c r="AE300" s="1">
        <f>F300</f>
        <v>0</v>
      </c>
      <c r="AF300" s="1">
        <f>G300</f>
        <v>0</v>
      </c>
      <c r="AG300" s="1">
        <f>I300</f>
        <v>0</v>
      </c>
      <c r="AH300" s="1">
        <f>J300</f>
        <v>0</v>
      </c>
      <c r="AI300" s="1">
        <f>Q300</f>
        <v>0</v>
      </c>
      <c r="AJ300" s="1">
        <f>K300</f>
        <v>0</v>
      </c>
      <c r="AK300" s="1">
        <f>L300</f>
        <v>0</v>
      </c>
      <c r="AL300" s="1">
        <f>M300</f>
        <v>1</v>
      </c>
      <c r="AM300" s="1">
        <f>N300</f>
        <v>0</v>
      </c>
      <c r="AN300" s="1">
        <f>O300</f>
        <v>0</v>
      </c>
    </row>
    <row r="301">
      <c r="A301" s="1">
        <v>403</v>
      </c>
      <c r="B301" s="1">
        <v>19</v>
      </c>
      <c r="C301" s="1">
        <v>1.6</v>
      </c>
      <c r="D301" s="1">
        <v>85</v>
      </c>
      <c r="E301" s="1">
        <v>3</v>
      </c>
      <c r="F301" s="1">
        <v>1</v>
      </c>
      <c r="G301" s="1">
        <v>0</v>
      </c>
      <c r="H301" s="1">
        <v>0</v>
      </c>
      <c r="I301" s="1">
        <v>0</v>
      </c>
      <c r="J301" s="1">
        <v>0</v>
      </c>
      <c r="K301" s="1">
        <v>0</v>
      </c>
      <c r="L301" s="1">
        <v>1</v>
      </c>
      <c r="M301" s="1">
        <v>0</v>
      </c>
      <c r="N301" s="1">
        <v>0</v>
      </c>
      <c r="O301" s="1">
        <v>0</v>
      </c>
      <c r="P301" s="1">
        <f>LN(B301)</f>
        <v>2.94443897916644</v>
      </c>
      <c r="Q301" s="1">
        <f>1-SUM(F301:J301)</f>
        <v>0</v>
      </c>
      <c r="R301" s="1" t="str">
        <f>IF(F301=1,"Napa valley",IF(G301=1,"Bay area",IF(H301=1,"Sonoma",IF(I301=1,"Sierra/foothills",IF(J301=1,"Mendocino/lake","Generic California")))))</f>
        <v>Napa valley</v>
      </c>
      <c r="S301" s="1" t="str">
        <f>IF(F301=1,"Napa valley",IF(H301=1,"Sonoma","Other"))</f>
        <v>Napa valley</v>
      </c>
      <c r="T301" s="1" t="str">
        <f>IF(M301=1,"Cabernet",IF(N301=1,"Merlot",IF(L301=1,"Pinot noir","Other")))</f>
        <v>Pinot noir</v>
      </c>
      <c r="U301" s="1">
        <f>IF(F301=1,B301,"")</f>
        <v>19</v>
      </c>
      <c r="V301" s="1" t="str">
        <f>IF(F301=0,B301,"")</f>
        <v/>
      </c>
      <c r="W301" s="1">
        <f>'Part B'!$B$150+SUMPRODUCT('Part B'!$B$164:$N$164,C301:O301)</f>
        <v>31.0883655939282</v>
      </c>
      <c r="X301" s="1">
        <f>B301-W301</f>
        <v>-12.0883655939282</v>
      </c>
      <c r="Y301" s="1">
        <f>'Part B'!$B$179+SUMPRODUCT('Part B'!$B$193:$N$193,C301:O301)</f>
        <v>3.32404319325802</v>
      </c>
      <c r="Z301" s="1">
        <f>P301-Y301</f>
        <v>-0.379604214091581</v>
      </c>
      <c r="AB301" s="1">
        <f>C301</f>
        <v>1.6</v>
      </c>
      <c r="AC301" s="1">
        <f>D301</f>
        <v>85</v>
      </c>
      <c r="AD301" s="1">
        <f>E301</f>
        <v>3</v>
      </c>
      <c r="AE301" s="1">
        <f>F301</f>
        <v>1</v>
      </c>
      <c r="AF301" s="1">
        <f>G301</f>
        <v>0</v>
      </c>
      <c r="AG301" s="1">
        <f>I301</f>
        <v>0</v>
      </c>
      <c r="AH301" s="1">
        <f>J301</f>
        <v>0</v>
      </c>
      <c r="AI301" s="1">
        <f>Q301</f>
        <v>0</v>
      </c>
      <c r="AJ301" s="1">
        <f>K301</f>
        <v>0</v>
      </c>
      <c r="AK301" s="1">
        <f>L301</f>
        <v>1</v>
      </c>
      <c r="AL301" s="1">
        <f>M301</f>
        <v>0</v>
      </c>
      <c r="AM301" s="1">
        <f>N301</f>
        <v>0</v>
      </c>
      <c r="AN301" s="1">
        <f>O301</f>
        <v>0</v>
      </c>
    </row>
    <row r="302">
      <c r="A302" s="1">
        <v>404</v>
      </c>
      <c r="B302" s="1">
        <v>19</v>
      </c>
      <c r="C302" s="1">
        <v>15</v>
      </c>
      <c r="D302" s="1">
        <v>86</v>
      </c>
      <c r="E302" s="1">
        <v>3</v>
      </c>
      <c r="F302" s="1">
        <v>1</v>
      </c>
      <c r="G302" s="1">
        <v>0</v>
      </c>
      <c r="H302" s="1">
        <v>0</v>
      </c>
      <c r="I302" s="1">
        <v>0</v>
      </c>
      <c r="J302" s="1">
        <v>0</v>
      </c>
      <c r="K302" s="1">
        <v>0</v>
      </c>
      <c r="L302" s="1">
        <v>0</v>
      </c>
      <c r="M302" s="1">
        <v>0</v>
      </c>
      <c r="N302" s="1">
        <v>1</v>
      </c>
      <c r="O302" s="1">
        <v>0</v>
      </c>
      <c r="P302" s="1">
        <f>LN(B302)</f>
        <v>2.94443897916644</v>
      </c>
      <c r="Q302" s="1">
        <f>1-SUM(F302:J302)</f>
        <v>0</v>
      </c>
      <c r="R302" s="1" t="str">
        <f>IF(F302=1,"Napa valley",IF(G302=1,"Bay area",IF(H302=1,"Sonoma",IF(I302=1,"Sierra/foothills",IF(J302=1,"Mendocino/lake","Generic California")))))</f>
        <v>Napa valley</v>
      </c>
      <c r="S302" s="1" t="str">
        <f>IF(F302=1,"Napa valley",IF(H302=1,"Sonoma","Other"))</f>
        <v>Napa valley</v>
      </c>
      <c r="T302" s="1" t="str">
        <f>IF(M302=1,"Cabernet",IF(N302=1,"Merlot",IF(L302=1,"Pinot noir","Other")))</f>
        <v>Merlot</v>
      </c>
      <c r="U302" s="1">
        <f>IF(F302=1,B302,"")</f>
        <v>19</v>
      </c>
      <c r="V302" s="1" t="str">
        <f>IF(F302=0,B302,"")</f>
        <v/>
      </c>
      <c r="W302" s="1">
        <f>'Part B'!$B$150+SUMPRODUCT('Part B'!$B$164:$N$164,C302:O302)</f>
        <v>31.167568200932</v>
      </c>
      <c r="X302" s="1">
        <f>B302-W302</f>
        <v>-12.167568200932</v>
      </c>
      <c r="Y302" s="1">
        <f>'Part B'!$B$179+SUMPRODUCT('Part B'!$B$193:$N$193,C302:O302)</f>
        <v>3.27465751411535</v>
      </c>
      <c r="Z302" s="1">
        <f>P302-Y302</f>
        <v>-0.330218534948905</v>
      </c>
      <c r="AB302" s="1">
        <f>C302</f>
        <v>15</v>
      </c>
      <c r="AC302" s="1">
        <f>D302</f>
        <v>86</v>
      </c>
      <c r="AD302" s="1">
        <f>E302</f>
        <v>3</v>
      </c>
      <c r="AE302" s="1">
        <f>F302</f>
        <v>1</v>
      </c>
      <c r="AF302" s="1">
        <f>G302</f>
        <v>0</v>
      </c>
      <c r="AG302" s="1">
        <f>I302</f>
        <v>0</v>
      </c>
      <c r="AH302" s="1">
        <f>J302</f>
        <v>0</v>
      </c>
      <c r="AI302" s="1">
        <f>Q302</f>
        <v>0</v>
      </c>
      <c r="AJ302" s="1">
        <f>K302</f>
        <v>0</v>
      </c>
      <c r="AK302" s="1">
        <f>L302</f>
        <v>0</v>
      </c>
      <c r="AL302" s="1">
        <f>M302</f>
        <v>0</v>
      </c>
      <c r="AM302" s="1">
        <f>N302</f>
        <v>1</v>
      </c>
      <c r="AN302" s="1">
        <f>O302</f>
        <v>0</v>
      </c>
    </row>
    <row r="303">
      <c r="A303" s="1">
        <v>406</v>
      </c>
      <c r="B303" s="1">
        <v>18</v>
      </c>
      <c r="C303" s="1">
        <v>0.924</v>
      </c>
      <c r="D303" s="1">
        <v>87</v>
      </c>
      <c r="E303" s="1">
        <v>1</v>
      </c>
      <c r="F303" s="1">
        <v>0</v>
      </c>
      <c r="G303" s="1">
        <v>0</v>
      </c>
      <c r="H303" s="1">
        <v>1</v>
      </c>
      <c r="I303" s="1">
        <v>0</v>
      </c>
      <c r="J303" s="1">
        <v>0</v>
      </c>
      <c r="K303" s="1">
        <v>0</v>
      </c>
      <c r="L303" s="1">
        <v>1</v>
      </c>
      <c r="M303" s="1">
        <v>0</v>
      </c>
      <c r="N303" s="1">
        <v>0</v>
      </c>
      <c r="O303" s="1">
        <v>0</v>
      </c>
      <c r="P303" s="1">
        <f>LN(B303)</f>
        <v>2.89037175789616</v>
      </c>
      <c r="Q303" s="1">
        <f>1-SUM(F303:J303)</f>
        <v>0</v>
      </c>
      <c r="R303" s="1" t="str">
        <f>IF(F303=1,"Napa valley",IF(G303=1,"Bay area",IF(H303=1,"Sonoma",IF(I303=1,"Sierra/foothills",IF(J303=1,"Mendocino/lake","Generic California")))))</f>
        <v>Sonoma</v>
      </c>
      <c r="S303" s="1" t="str">
        <f>IF(F303=1,"Napa valley",IF(H303=1,"Sonoma","Other"))</f>
        <v>Sonoma</v>
      </c>
      <c r="T303" s="1" t="str">
        <f>IF(M303=1,"Cabernet",IF(N303=1,"Merlot",IF(L303=1,"Pinot noir","Other")))</f>
        <v>Pinot noir</v>
      </c>
      <c r="U303" s="1" t="str">
        <f>IF(F303=1,B303,"")</f>
        <v/>
      </c>
      <c r="V303" s="1">
        <f>IF(F303=0,B303,"")</f>
        <v>18</v>
      </c>
      <c r="W303" s="1">
        <f>'Part B'!$B$150+SUMPRODUCT('Part B'!$B$164:$N$164,C303:O303)</f>
        <v>16.3070641503662</v>
      </c>
      <c r="X303" s="1">
        <f>B303-W303</f>
        <v>1.69293584963384</v>
      </c>
      <c r="Y303" s="1">
        <f>'Part B'!$B$179+SUMPRODUCT('Part B'!$B$193:$N$193,C303:O303)</f>
        <v>2.95290045045956</v>
      </c>
      <c r="Z303" s="1">
        <f>P303-Y303</f>
        <v>-0.0625286925633981</v>
      </c>
      <c r="AB303" s="1">
        <f>C303</f>
        <v>0.924</v>
      </c>
      <c r="AC303" s="1">
        <f>D303</f>
        <v>87</v>
      </c>
      <c r="AD303" s="1">
        <f>E303</f>
        <v>1</v>
      </c>
      <c r="AE303" s="1">
        <f>F303</f>
        <v>0</v>
      </c>
      <c r="AF303" s="1">
        <f>G303</f>
        <v>0</v>
      </c>
      <c r="AG303" s="1">
        <f>I303</f>
        <v>0</v>
      </c>
      <c r="AH303" s="1">
        <f>J303</f>
        <v>0</v>
      </c>
      <c r="AI303" s="1">
        <f>Q303</f>
        <v>0</v>
      </c>
      <c r="AJ303" s="1">
        <f>K303</f>
        <v>0</v>
      </c>
      <c r="AK303" s="1">
        <f>L303</f>
        <v>1</v>
      </c>
      <c r="AL303" s="1">
        <f>M303</f>
        <v>0</v>
      </c>
      <c r="AM303" s="1">
        <f>N303</f>
        <v>0</v>
      </c>
      <c r="AN303" s="1">
        <f>O303</f>
        <v>0</v>
      </c>
    </row>
    <row r="304">
      <c r="A304" s="1">
        <v>410</v>
      </c>
      <c r="B304" s="1">
        <v>19</v>
      </c>
      <c r="C304" s="1">
        <v>0.13</v>
      </c>
      <c r="D304" s="1">
        <v>87</v>
      </c>
      <c r="E304" s="1">
        <v>2</v>
      </c>
      <c r="F304" s="1">
        <v>0</v>
      </c>
      <c r="G304" s="1">
        <v>0</v>
      </c>
      <c r="H304" s="1">
        <v>1</v>
      </c>
      <c r="I304" s="1">
        <v>0</v>
      </c>
      <c r="J304" s="1">
        <v>0</v>
      </c>
      <c r="K304" s="1">
        <v>0</v>
      </c>
      <c r="L304" s="1">
        <v>0</v>
      </c>
      <c r="M304" s="1">
        <v>1</v>
      </c>
      <c r="N304" s="1">
        <v>0</v>
      </c>
      <c r="O304" s="1">
        <v>0</v>
      </c>
      <c r="P304" s="1">
        <f>LN(B304)</f>
        <v>2.94443897916644</v>
      </c>
      <c r="Q304" s="1">
        <f>1-SUM(F304:J304)</f>
        <v>0</v>
      </c>
      <c r="R304" s="1" t="str">
        <f>IF(F304=1,"Napa valley",IF(G304=1,"Bay area",IF(H304=1,"Sonoma",IF(I304=1,"Sierra/foothills",IF(J304=1,"Mendocino/lake","Generic California")))))</f>
        <v>Sonoma</v>
      </c>
      <c r="S304" s="1" t="str">
        <f>IF(F304=1,"Napa valley",IF(H304=1,"Sonoma","Other"))</f>
        <v>Sonoma</v>
      </c>
      <c r="T304" s="1" t="str">
        <f>IF(M304=1,"Cabernet",IF(N304=1,"Merlot",IF(L304=1,"Pinot noir","Other")))</f>
        <v>Cabernet</v>
      </c>
      <c r="U304" s="1" t="str">
        <f>IF(F304=1,B304,"")</f>
        <v/>
      </c>
      <c r="V304" s="1">
        <f>IF(F304=0,B304,"")</f>
        <v>19</v>
      </c>
      <c r="W304" s="1">
        <f>'Part B'!$B$150+SUMPRODUCT('Part B'!$B$164:$N$164,C304:O304)</f>
        <v>26.1750245573428</v>
      </c>
      <c r="X304" s="1">
        <f>B304-W304</f>
        <v>-7.17502455734279</v>
      </c>
      <c r="Y304" s="1">
        <f>'Part B'!$B$179+SUMPRODUCT('Part B'!$B$193:$N$193,C304:O304)</f>
        <v>3.11385669453743</v>
      </c>
      <c r="Z304" s="1">
        <f>P304-Y304</f>
        <v>-0.169417715370986</v>
      </c>
      <c r="AB304" s="1">
        <f>C304</f>
        <v>0.13</v>
      </c>
      <c r="AC304" s="1">
        <f>D304</f>
        <v>87</v>
      </c>
      <c r="AD304" s="1">
        <f>E304</f>
        <v>2</v>
      </c>
      <c r="AE304" s="1">
        <f>F304</f>
        <v>0</v>
      </c>
      <c r="AF304" s="1">
        <f>G304</f>
        <v>0</v>
      </c>
      <c r="AG304" s="1">
        <f>I304</f>
        <v>0</v>
      </c>
      <c r="AH304" s="1">
        <f>J304</f>
        <v>0</v>
      </c>
      <c r="AI304" s="1">
        <f>Q304</f>
        <v>0</v>
      </c>
      <c r="AJ304" s="1">
        <f>K304</f>
        <v>0</v>
      </c>
      <c r="AK304" s="1">
        <f>L304</f>
        <v>0</v>
      </c>
      <c r="AL304" s="1">
        <f>M304</f>
        <v>1</v>
      </c>
      <c r="AM304" s="1">
        <f>N304</f>
        <v>0</v>
      </c>
      <c r="AN304" s="1">
        <f>O304</f>
        <v>0</v>
      </c>
    </row>
    <row r="305">
      <c r="A305" s="1">
        <v>411</v>
      </c>
      <c r="B305" s="1">
        <v>19</v>
      </c>
      <c r="C305" s="1">
        <v>0.3</v>
      </c>
      <c r="D305" s="1">
        <v>88</v>
      </c>
      <c r="E305" s="1">
        <v>2</v>
      </c>
      <c r="F305" s="1">
        <v>0</v>
      </c>
      <c r="G305" s="1">
        <v>0</v>
      </c>
      <c r="H305" s="1">
        <v>1</v>
      </c>
      <c r="I305" s="1">
        <v>0</v>
      </c>
      <c r="J305" s="1">
        <v>0</v>
      </c>
      <c r="K305" s="1">
        <v>1</v>
      </c>
      <c r="L305" s="1">
        <v>0</v>
      </c>
      <c r="M305" s="1">
        <v>0</v>
      </c>
      <c r="N305" s="1">
        <v>0</v>
      </c>
      <c r="O305" s="1">
        <v>0</v>
      </c>
      <c r="P305" s="1">
        <f>LN(B305)</f>
        <v>2.94443897916644</v>
      </c>
      <c r="Q305" s="1">
        <f>1-SUM(F305:J305)</f>
        <v>0</v>
      </c>
      <c r="R305" s="1" t="str">
        <f>IF(F305=1,"Napa valley",IF(G305=1,"Bay area",IF(H305=1,"Sonoma",IF(I305=1,"Sierra/foothills",IF(J305=1,"Mendocino/lake","Generic California")))))</f>
        <v>Sonoma</v>
      </c>
      <c r="S305" s="1" t="str">
        <f>IF(F305=1,"Napa valley",IF(H305=1,"Sonoma","Other"))</f>
        <v>Sonoma</v>
      </c>
      <c r="T305" s="1" t="str">
        <f>IF(M305=1,"Cabernet",IF(N305=1,"Merlot",IF(L305=1,"Pinot noir","Other")))</f>
        <v>Other</v>
      </c>
      <c r="U305" s="1" t="str">
        <f>IF(F305=1,B305,"")</f>
        <v/>
      </c>
      <c r="V305" s="1">
        <f>IF(F305=0,B305,"")</f>
        <v>19</v>
      </c>
      <c r="W305" s="1">
        <f>'Part B'!$B$150+SUMPRODUCT('Part B'!$B$164:$N$164,C305:O305)</f>
        <v>36.9645260740164</v>
      </c>
      <c r="X305" s="1">
        <f>B305-W305</f>
        <v>-17.9645260740164</v>
      </c>
      <c r="Y305" s="1">
        <f>'Part B'!$B$179+SUMPRODUCT('Part B'!$B$193:$N$193,C305:O305)</f>
        <v>3.34068242555399</v>
      </c>
      <c r="Z305" s="1">
        <f>P305-Y305</f>
        <v>-0.396243446387553</v>
      </c>
      <c r="AB305" s="1">
        <f>C305</f>
        <v>0.3</v>
      </c>
      <c r="AC305" s="1">
        <f>D305</f>
        <v>88</v>
      </c>
      <c r="AD305" s="1">
        <f>E305</f>
        <v>2</v>
      </c>
      <c r="AE305" s="1">
        <f>F305</f>
        <v>0</v>
      </c>
      <c r="AF305" s="1">
        <f>G305</f>
        <v>0</v>
      </c>
      <c r="AG305" s="1">
        <f>I305</f>
        <v>0</v>
      </c>
      <c r="AH305" s="1">
        <f>J305</f>
        <v>0</v>
      </c>
      <c r="AI305" s="1">
        <f>Q305</f>
        <v>0</v>
      </c>
      <c r="AJ305" s="1">
        <f>K305</f>
        <v>1</v>
      </c>
      <c r="AK305" s="1">
        <f>L305</f>
        <v>0</v>
      </c>
      <c r="AL305" s="1">
        <f>M305</f>
        <v>0</v>
      </c>
      <c r="AM305" s="1">
        <f>N305</f>
        <v>0</v>
      </c>
      <c r="AN305" s="1">
        <f>O305</f>
        <v>0</v>
      </c>
    </row>
    <row r="306">
      <c r="A306" s="1">
        <v>412</v>
      </c>
      <c r="B306" s="1">
        <v>19</v>
      </c>
      <c r="C306" s="1">
        <v>11</v>
      </c>
      <c r="D306" s="1">
        <v>84</v>
      </c>
      <c r="E306" s="1">
        <v>2</v>
      </c>
      <c r="F306" s="1">
        <v>0</v>
      </c>
      <c r="G306" s="1">
        <v>0</v>
      </c>
      <c r="H306" s="1">
        <v>1</v>
      </c>
      <c r="I306" s="1">
        <v>0</v>
      </c>
      <c r="J306" s="1">
        <v>0</v>
      </c>
      <c r="K306" s="1">
        <v>0</v>
      </c>
      <c r="L306" s="1">
        <v>0</v>
      </c>
      <c r="M306" s="1">
        <v>1</v>
      </c>
      <c r="N306" s="1">
        <v>0</v>
      </c>
      <c r="O306" s="1">
        <v>0</v>
      </c>
      <c r="P306" s="1">
        <f>LN(B306)</f>
        <v>2.94443897916644</v>
      </c>
      <c r="Q306" s="1">
        <f>1-SUM(F306:J306)</f>
        <v>0</v>
      </c>
      <c r="R306" s="1" t="str">
        <f>IF(F306=1,"Napa valley",IF(G306=1,"Bay area",IF(H306=1,"Sonoma",IF(I306=1,"Sierra/foothills",IF(J306=1,"Mendocino/lake","Generic California")))))</f>
        <v>Sonoma</v>
      </c>
      <c r="S306" s="1" t="str">
        <f>IF(F306=1,"Napa valley",IF(H306=1,"Sonoma","Other"))</f>
        <v>Sonoma</v>
      </c>
      <c r="T306" s="1" t="str">
        <f>IF(M306=1,"Cabernet",IF(N306=1,"Merlot",IF(L306=1,"Pinot noir","Other")))</f>
        <v>Cabernet</v>
      </c>
      <c r="U306" s="1" t="str">
        <f>IF(F306=1,B306,"")</f>
        <v/>
      </c>
      <c r="V306" s="1">
        <f>IF(F306=0,B306,"")</f>
        <v>19</v>
      </c>
      <c r="W306" s="1">
        <f>'Part B'!$B$150+SUMPRODUCT('Part B'!$B$164:$N$164,C306:O306)</f>
        <v>15.7080206043822</v>
      </c>
      <c r="X306" s="1">
        <f>B306-W306</f>
        <v>3.29197939561777</v>
      </c>
      <c r="Y306" s="1">
        <f>'Part B'!$B$179+SUMPRODUCT('Part B'!$B$193:$N$193,C306:O306)</f>
        <v>2.85745912827809</v>
      </c>
      <c r="Z306" s="1">
        <f>P306-Y306</f>
        <v>0.0869798508883521</v>
      </c>
      <c r="AB306" s="1">
        <f>C306</f>
        <v>11</v>
      </c>
      <c r="AC306" s="1">
        <f>D306</f>
        <v>84</v>
      </c>
      <c r="AD306" s="1">
        <f>E306</f>
        <v>2</v>
      </c>
      <c r="AE306" s="1">
        <f>F306</f>
        <v>0</v>
      </c>
      <c r="AF306" s="1">
        <f>G306</f>
        <v>0</v>
      </c>
      <c r="AG306" s="1">
        <f>I306</f>
        <v>0</v>
      </c>
      <c r="AH306" s="1">
        <f>J306</f>
        <v>0</v>
      </c>
      <c r="AI306" s="1">
        <f>Q306</f>
        <v>0</v>
      </c>
      <c r="AJ306" s="1">
        <f>K306</f>
        <v>0</v>
      </c>
      <c r="AK306" s="1">
        <f>L306</f>
        <v>0</v>
      </c>
      <c r="AL306" s="1">
        <f>M306</f>
        <v>1</v>
      </c>
      <c r="AM306" s="1">
        <f>N306</f>
        <v>0</v>
      </c>
      <c r="AN306" s="1">
        <f>O306</f>
        <v>0</v>
      </c>
    </row>
    <row r="307">
      <c r="A307" s="1">
        <v>413</v>
      </c>
      <c r="B307" s="1">
        <v>19</v>
      </c>
      <c r="C307" s="1">
        <v>1.2</v>
      </c>
      <c r="D307" s="1">
        <v>89</v>
      </c>
      <c r="E307" s="1">
        <v>2</v>
      </c>
      <c r="F307" s="1">
        <v>1</v>
      </c>
      <c r="G307" s="1">
        <v>0</v>
      </c>
      <c r="H307" s="1">
        <v>0</v>
      </c>
      <c r="I307" s="1">
        <v>0</v>
      </c>
      <c r="J307" s="1">
        <v>0</v>
      </c>
      <c r="K307" s="1">
        <v>0</v>
      </c>
      <c r="L307" s="1">
        <v>0</v>
      </c>
      <c r="M307" s="1">
        <v>0</v>
      </c>
      <c r="N307" s="1">
        <v>0</v>
      </c>
      <c r="O307" s="1">
        <v>0</v>
      </c>
      <c r="P307" s="1">
        <f>LN(B307)</f>
        <v>2.94443897916644</v>
      </c>
      <c r="Q307" s="1">
        <f>1-SUM(F307:J307)</f>
        <v>0</v>
      </c>
      <c r="R307" s="1" t="str">
        <f>IF(F307=1,"Napa valley",IF(G307=1,"Bay area",IF(H307=1,"Sonoma",IF(I307=1,"Sierra/foothills",IF(J307=1,"Mendocino/lake","Generic California")))))</f>
        <v>Napa valley</v>
      </c>
      <c r="S307" s="1" t="str">
        <f>IF(F307=1,"Napa valley",IF(H307=1,"Sonoma","Other"))</f>
        <v>Napa valley</v>
      </c>
      <c r="T307" s="1" t="str">
        <f>IF(M307=1,"Cabernet",IF(N307=1,"Merlot",IF(L307=1,"Pinot noir","Other")))</f>
        <v>Other</v>
      </c>
      <c r="U307" s="1">
        <f>IF(F307=1,B307,"")</f>
        <v>19</v>
      </c>
      <c r="V307" s="1" t="str">
        <f>IF(F307=0,B307,"")</f>
        <v/>
      </c>
      <c r="W307" s="1">
        <f>'Part B'!$B$150+SUMPRODUCT('Part B'!$B$164:$N$164,C307:O307)</f>
        <v>27.632855186167</v>
      </c>
      <c r="X307" s="1">
        <f>B307-W307</f>
        <v>-8.63285518616704</v>
      </c>
      <c r="Y307" s="1">
        <f>'Part B'!$B$179+SUMPRODUCT('Part B'!$B$193:$N$193,C307:O307)</f>
        <v>3.07599273479984</v>
      </c>
      <c r="Z307" s="1">
        <f>P307-Y307</f>
        <v>-0.131553755633399</v>
      </c>
      <c r="AB307" s="1">
        <f>C307</f>
        <v>1.2</v>
      </c>
      <c r="AC307" s="1">
        <f>D307</f>
        <v>89</v>
      </c>
      <c r="AD307" s="1">
        <f>E307</f>
        <v>2</v>
      </c>
      <c r="AE307" s="1">
        <f>F307</f>
        <v>1</v>
      </c>
      <c r="AF307" s="1">
        <f>G307</f>
        <v>0</v>
      </c>
      <c r="AG307" s="1">
        <f>I307</f>
        <v>0</v>
      </c>
      <c r="AH307" s="1">
        <f>J307</f>
        <v>0</v>
      </c>
      <c r="AI307" s="1">
        <f>Q307</f>
        <v>0</v>
      </c>
      <c r="AJ307" s="1">
        <f>K307</f>
        <v>0</v>
      </c>
      <c r="AK307" s="1">
        <f>L307</f>
        <v>0</v>
      </c>
      <c r="AL307" s="1">
        <f>M307</f>
        <v>0</v>
      </c>
      <c r="AM307" s="1">
        <f>N307</f>
        <v>0</v>
      </c>
      <c r="AN307" s="1">
        <f>O307</f>
        <v>0</v>
      </c>
    </row>
    <row r="308">
      <c r="A308" s="1">
        <v>414</v>
      </c>
      <c r="B308" s="1">
        <v>19</v>
      </c>
      <c r="C308" s="1">
        <v>1.5</v>
      </c>
      <c r="D308" s="1">
        <v>88</v>
      </c>
      <c r="E308" s="1">
        <v>2</v>
      </c>
      <c r="F308" s="1">
        <v>0</v>
      </c>
      <c r="G308" s="1">
        <v>0</v>
      </c>
      <c r="H308" s="1">
        <v>0</v>
      </c>
      <c r="I308" s="1">
        <v>0</v>
      </c>
      <c r="J308" s="1">
        <v>1</v>
      </c>
      <c r="K308" s="1">
        <v>0</v>
      </c>
      <c r="L308" s="1">
        <v>0</v>
      </c>
      <c r="M308" s="1">
        <v>0</v>
      </c>
      <c r="N308" s="1">
        <v>0</v>
      </c>
      <c r="O308" s="1">
        <v>0</v>
      </c>
      <c r="P308" s="1">
        <f>LN(B308)</f>
        <v>2.94443897916644</v>
      </c>
      <c r="Q308" s="1">
        <f>1-SUM(F308:J308)</f>
        <v>0</v>
      </c>
      <c r="R308" s="1" t="str">
        <f>IF(F308=1,"Napa valley",IF(G308=1,"Bay area",IF(H308=1,"Sonoma",IF(I308=1,"Sierra/foothills",IF(J308=1,"Mendocino/lake","Generic California")))))</f>
        <v>Mendocino/lake</v>
      </c>
      <c r="S308" s="1" t="str">
        <f>IF(F308=1,"Napa valley",IF(H308=1,"Sonoma","Other"))</f>
        <v>Other</v>
      </c>
      <c r="T308" s="1" t="str">
        <f>IF(M308=1,"Cabernet",IF(N308=1,"Merlot",IF(L308=1,"Pinot noir","Other")))</f>
        <v>Other</v>
      </c>
      <c r="U308" s="1" t="str">
        <f>IF(F308=1,B308,"")</f>
        <v/>
      </c>
      <c r="V308" s="1">
        <f>IF(F308=0,B308,"")</f>
        <v>19</v>
      </c>
      <c r="W308" s="1">
        <f>'Part B'!$B$150+SUMPRODUCT('Part B'!$B$164:$N$164,C308:O308)</f>
        <v>18.2798190885903</v>
      </c>
      <c r="X308" s="1">
        <f>B308-W308</f>
        <v>0.720180911409727</v>
      </c>
      <c r="Y308" s="1">
        <f>'Part B'!$B$179+SUMPRODUCT('Part B'!$B$193:$N$193,C308:O308)</f>
        <v>2.81225514191034</v>
      </c>
      <c r="Z308" s="1">
        <f>P308-Y308</f>
        <v>0.132183837256097</v>
      </c>
      <c r="AB308" s="1">
        <f>C308</f>
        <v>1.5</v>
      </c>
      <c r="AC308" s="1">
        <f>D308</f>
        <v>88</v>
      </c>
      <c r="AD308" s="1">
        <f>E308</f>
        <v>2</v>
      </c>
      <c r="AE308" s="1">
        <f>F308</f>
        <v>0</v>
      </c>
      <c r="AF308" s="1">
        <f>G308</f>
        <v>0</v>
      </c>
      <c r="AG308" s="1">
        <f>I308</f>
        <v>0</v>
      </c>
      <c r="AH308" s="1">
        <f>J308</f>
        <v>1</v>
      </c>
      <c r="AI308" s="1">
        <f>Q308</f>
        <v>0</v>
      </c>
      <c r="AJ308" s="1">
        <f>K308</f>
        <v>0</v>
      </c>
      <c r="AK308" s="1">
        <f>L308</f>
        <v>0</v>
      </c>
      <c r="AL308" s="1">
        <f>M308</f>
        <v>0</v>
      </c>
      <c r="AM308" s="1">
        <f>N308</f>
        <v>0</v>
      </c>
      <c r="AN308" s="1">
        <f>O308</f>
        <v>0</v>
      </c>
    </row>
    <row r="309">
      <c r="A309" s="1">
        <v>415</v>
      </c>
      <c r="B309" s="1">
        <v>19</v>
      </c>
      <c r="C309" s="1">
        <v>0.175</v>
      </c>
      <c r="D309" s="1">
        <v>85</v>
      </c>
      <c r="E309" s="1">
        <v>2</v>
      </c>
      <c r="F309" s="1">
        <v>0</v>
      </c>
      <c r="G309" s="1">
        <v>0</v>
      </c>
      <c r="H309" s="1">
        <v>1</v>
      </c>
      <c r="I309" s="1">
        <v>0</v>
      </c>
      <c r="J309" s="1">
        <v>0</v>
      </c>
      <c r="K309" s="1">
        <v>0</v>
      </c>
      <c r="L309" s="1">
        <v>1</v>
      </c>
      <c r="M309" s="1">
        <v>0</v>
      </c>
      <c r="N309" s="1">
        <v>0</v>
      </c>
      <c r="O309" s="1">
        <v>0</v>
      </c>
      <c r="P309" s="1">
        <f>LN(B309)</f>
        <v>2.94443897916644</v>
      </c>
      <c r="Q309" s="1">
        <f>1-SUM(F309:J309)</f>
        <v>0</v>
      </c>
      <c r="R309" s="1" t="str">
        <f>IF(F309=1,"Napa valley",IF(G309=1,"Bay area",IF(H309=1,"Sonoma",IF(I309=1,"Sierra/foothills",IF(J309=1,"Mendocino/lake","Generic California")))))</f>
        <v>Sonoma</v>
      </c>
      <c r="S309" s="1" t="str">
        <f>IF(F309=1,"Napa valley",IF(H309=1,"Sonoma","Other"))</f>
        <v>Sonoma</v>
      </c>
      <c r="T309" s="1" t="str">
        <f>IF(M309=1,"Cabernet",IF(N309=1,"Merlot",IF(L309=1,"Pinot noir","Other")))</f>
        <v>Pinot noir</v>
      </c>
      <c r="U309" s="1" t="str">
        <f>IF(F309=1,B309,"")</f>
        <v/>
      </c>
      <c r="V309" s="1">
        <f>IF(F309=0,B309,"")</f>
        <v>19</v>
      </c>
      <c r="W309" s="1">
        <f>'Part B'!$B$150+SUMPRODUCT('Part B'!$B$164:$N$164,C309:O309)</f>
        <v>16.7075651374758</v>
      </c>
      <c r="X309" s="1">
        <f>B309-W309</f>
        <v>2.2924348625242</v>
      </c>
      <c r="Y309" s="1">
        <f>'Part B'!$B$179+SUMPRODUCT('Part B'!$B$193:$N$193,C309:O309)</f>
        <v>2.99926801659799</v>
      </c>
      <c r="Z309" s="1">
        <f>P309-Y309</f>
        <v>-0.0548290374315457</v>
      </c>
      <c r="AB309" s="1">
        <f>C309</f>
        <v>0.175</v>
      </c>
      <c r="AC309" s="1">
        <f>D309</f>
        <v>85</v>
      </c>
      <c r="AD309" s="1">
        <f>E309</f>
        <v>2</v>
      </c>
      <c r="AE309" s="1">
        <f>F309</f>
        <v>0</v>
      </c>
      <c r="AF309" s="1">
        <f>G309</f>
        <v>0</v>
      </c>
      <c r="AG309" s="1">
        <f>I309</f>
        <v>0</v>
      </c>
      <c r="AH309" s="1">
        <f>J309</f>
        <v>0</v>
      </c>
      <c r="AI309" s="1">
        <f>Q309</f>
        <v>0</v>
      </c>
      <c r="AJ309" s="1">
        <f>K309</f>
        <v>0</v>
      </c>
      <c r="AK309" s="1">
        <f>L309</f>
        <v>1</v>
      </c>
      <c r="AL309" s="1">
        <f>M309</f>
        <v>0</v>
      </c>
      <c r="AM309" s="1">
        <f>N309</f>
        <v>0</v>
      </c>
      <c r="AN309" s="1">
        <f>O309</f>
        <v>0</v>
      </c>
    </row>
    <row r="310">
      <c r="A310" s="1">
        <v>417</v>
      </c>
      <c r="B310" s="1">
        <v>19</v>
      </c>
      <c r="C310" s="1">
        <v>1.5</v>
      </c>
      <c r="D310" s="1">
        <v>90</v>
      </c>
      <c r="E310" s="1">
        <v>2</v>
      </c>
      <c r="F310" s="1">
        <v>1</v>
      </c>
      <c r="G310" s="1">
        <v>0</v>
      </c>
      <c r="H310" s="1">
        <v>0</v>
      </c>
      <c r="I310" s="1">
        <v>0</v>
      </c>
      <c r="J310" s="1">
        <v>0</v>
      </c>
      <c r="K310" s="1">
        <v>0</v>
      </c>
      <c r="L310" s="1">
        <v>0</v>
      </c>
      <c r="M310" s="1">
        <v>0</v>
      </c>
      <c r="N310" s="1">
        <v>0</v>
      </c>
      <c r="O310" s="1">
        <v>0</v>
      </c>
      <c r="P310" s="1">
        <f>LN(B310)</f>
        <v>2.94443897916644</v>
      </c>
      <c r="Q310" s="1">
        <f>1-SUM(F310:J310)</f>
        <v>0</v>
      </c>
      <c r="R310" s="1" t="str">
        <f>IF(F310=1,"Napa valley",IF(G310=1,"Bay area",IF(H310=1,"Sonoma",IF(I310=1,"Sierra/foothills",IF(J310=1,"Mendocino/lake","Generic California")))))</f>
        <v>Napa valley</v>
      </c>
      <c r="S310" s="1" t="str">
        <f>IF(F310=1,"Napa valley",IF(H310=1,"Sonoma","Other"))</f>
        <v>Napa valley</v>
      </c>
      <c r="T310" s="1" t="str">
        <f>IF(M310=1,"Cabernet",IF(N310=1,"Merlot",IF(L310=1,"Pinot noir","Other")))</f>
        <v>Other</v>
      </c>
      <c r="U310" s="1">
        <f>IF(F310=1,B310,"")</f>
        <v>19</v>
      </c>
      <c r="V310" s="1" t="str">
        <f>IF(F310=0,B310,"")</f>
        <v/>
      </c>
      <c r="W310" s="1">
        <f>'Part B'!$B$150+SUMPRODUCT('Part B'!$B$164:$N$164,C310:O310)</f>
        <v>30.7494781476386</v>
      </c>
      <c r="X310" s="1">
        <f>B310-W310</f>
        <v>-11.7494781476386</v>
      </c>
      <c r="Y310" s="1">
        <f>'Part B'!$B$179+SUMPRODUCT('Part B'!$B$193:$N$193,C310:O310)</f>
        <v>3.14467038345374</v>
      </c>
      <c r="Z310" s="1">
        <f>P310-Y310</f>
        <v>-0.2002314042873</v>
      </c>
      <c r="AB310" s="1">
        <f>C310</f>
        <v>1.5</v>
      </c>
      <c r="AC310" s="1">
        <f>D310</f>
        <v>90</v>
      </c>
      <c r="AD310" s="1">
        <f>E310</f>
        <v>2</v>
      </c>
      <c r="AE310" s="1">
        <f>F310</f>
        <v>1</v>
      </c>
      <c r="AF310" s="1">
        <f>G310</f>
        <v>0</v>
      </c>
      <c r="AG310" s="1">
        <f>I310</f>
        <v>0</v>
      </c>
      <c r="AH310" s="1">
        <f>J310</f>
        <v>0</v>
      </c>
      <c r="AI310" s="1">
        <f>Q310</f>
        <v>0</v>
      </c>
      <c r="AJ310" s="1">
        <f>K310</f>
        <v>0</v>
      </c>
      <c r="AK310" s="1">
        <f>L310</f>
        <v>0</v>
      </c>
      <c r="AL310" s="1">
        <f>M310</f>
        <v>0</v>
      </c>
      <c r="AM310" s="1">
        <f>N310</f>
        <v>0</v>
      </c>
      <c r="AN310" s="1">
        <f>O310</f>
        <v>0</v>
      </c>
    </row>
    <row r="311">
      <c r="A311" s="1">
        <v>419</v>
      </c>
      <c r="B311" s="1">
        <v>19</v>
      </c>
      <c r="C311" s="1">
        <v>0.65</v>
      </c>
      <c r="D311" s="1">
        <v>84</v>
      </c>
      <c r="E311" s="1">
        <v>2</v>
      </c>
      <c r="F311" s="1">
        <v>0</v>
      </c>
      <c r="G311" s="1">
        <v>0</v>
      </c>
      <c r="H311" s="1">
        <v>0</v>
      </c>
      <c r="I311" s="1">
        <v>0</v>
      </c>
      <c r="J311" s="1">
        <v>1</v>
      </c>
      <c r="K311" s="1">
        <v>0</v>
      </c>
      <c r="L311" s="1">
        <v>0</v>
      </c>
      <c r="M311" s="1">
        <v>0</v>
      </c>
      <c r="N311" s="1">
        <v>0</v>
      </c>
      <c r="O311" s="1">
        <v>0</v>
      </c>
      <c r="P311" s="1">
        <f>LN(B311)</f>
        <v>2.94443897916644</v>
      </c>
      <c r="Q311" s="1">
        <f>1-SUM(F311:J311)</f>
        <v>0</v>
      </c>
      <c r="R311" s="1" t="str">
        <f>IF(F311=1,"Napa valley",IF(G311=1,"Bay area",IF(H311=1,"Sonoma",IF(I311=1,"Sierra/foothills",IF(J311=1,"Mendocino/lake","Generic California")))))</f>
        <v>Mendocino/lake</v>
      </c>
      <c r="S311" s="1" t="str">
        <f>IF(F311=1,"Napa valley",IF(H311=1,"Sonoma","Other"))</f>
        <v>Other</v>
      </c>
      <c r="T311" s="1" t="str">
        <f>IF(M311=1,"Cabernet",IF(N311=1,"Merlot",IF(L311=1,"Pinot noir","Other")))</f>
        <v>Other</v>
      </c>
      <c r="U311" s="1" t="str">
        <f>IF(F311=1,B311,"")</f>
        <v/>
      </c>
      <c r="V311" s="1">
        <f>IF(F311=0,B311,"")</f>
        <v>19</v>
      </c>
      <c r="W311" s="1">
        <f>'Part B'!$B$150+SUMPRODUCT('Part B'!$B$164:$N$164,C311:O311)</f>
        <v>5.78010742333322</v>
      </c>
      <c r="X311" s="1">
        <f>B311-W311</f>
        <v>13.2198925766668</v>
      </c>
      <c r="Y311" s="1">
        <f>'Part B'!$B$179+SUMPRODUCT('Part B'!$B$193:$N$193,C311:O311)</f>
        <v>2.53604687379396</v>
      </c>
      <c r="Z311" s="1">
        <f>P311-Y311</f>
        <v>0.408392105372482</v>
      </c>
      <c r="AB311" s="1">
        <f>C311</f>
        <v>0.65</v>
      </c>
      <c r="AC311" s="1">
        <f>D311</f>
        <v>84</v>
      </c>
      <c r="AD311" s="1">
        <f>E311</f>
        <v>2</v>
      </c>
      <c r="AE311" s="1">
        <f>F311</f>
        <v>0</v>
      </c>
      <c r="AF311" s="1">
        <f>G311</f>
        <v>0</v>
      </c>
      <c r="AG311" s="1">
        <f>I311</f>
        <v>0</v>
      </c>
      <c r="AH311" s="1">
        <f>J311</f>
        <v>1</v>
      </c>
      <c r="AI311" s="1">
        <f>Q311</f>
        <v>0</v>
      </c>
      <c r="AJ311" s="1">
        <f>K311</f>
        <v>0</v>
      </c>
      <c r="AK311" s="1">
        <f>L311</f>
        <v>0</v>
      </c>
      <c r="AL311" s="1">
        <f>M311</f>
        <v>0</v>
      </c>
      <c r="AM311" s="1">
        <f>N311</f>
        <v>0</v>
      </c>
      <c r="AN311" s="1">
        <f>O311</f>
        <v>0</v>
      </c>
    </row>
    <row r="312">
      <c r="A312" s="1">
        <v>420</v>
      </c>
      <c r="B312" s="1">
        <v>19</v>
      </c>
      <c r="C312" s="1">
        <v>8.511</v>
      </c>
      <c r="D312" s="1">
        <v>83</v>
      </c>
      <c r="E312" s="1">
        <v>2</v>
      </c>
      <c r="F312" s="1">
        <v>0</v>
      </c>
      <c r="G312" s="1">
        <v>1</v>
      </c>
      <c r="H312" s="1">
        <v>0</v>
      </c>
      <c r="I312" s="1">
        <v>0</v>
      </c>
      <c r="J312" s="1">
        <v>0</v>
      </c>
      <c r="K312" s="1">
        <v>0</v>
      </c>
      <c r="L312" s="1">
        <v>0</v>
      </c>
      <c r="M312" s="1">
        <v>0</v>
      </c>
      <c r="N312" s="1">
        <v>1</v>
      </c>
      <c r="O312" s="1">
        <v>0</v>
      </c>
      <c r="P312" s="1">
        <f>LN(B312)</f>
        <v>2.94443897916644</v>
      </c>
      <c r="Q312" s="1">
        <f>1-SUM(F312:J312)</f>
        <v>0</v>
      </c>
      <c r="R312" s="1" t="str">
        <f>IF(F312=1,"Napa valley",IF(G312=1,"Bay area",IF(H312=1,"Sonoma",IF(I312=1,"Sierra/foothills",IF(J312=1,"Mendocino/lake","Generic California")))))</f>
        <v>Bay area</v>
      </c>
      <c r="S312" s="1" t="str">
        <f>IF(F312=1,"Napa valley",IF(H312=1,"Sonoma","Other"))</f>
        <v>Other</v>
      </c>
      <c r="T312" s="1" t="str">
        <f>IF(M312=1,"Cabernet",IF(N312=1,"Merlot",IF(L312=1,"Pinot noir","Other")))</f>
        <v>Merlot</v>
      </c>
      <c r="U312" s="1" t="str">
        <f>IF(F312=1,B312,"")</f>
        <v/>
      </c>
      <c r="V312" s="1">
        <f>IF(F312=0,B312,"")</f>
        <v>19</v>
      </c>
      <c r="W312" s="1">
        <f>'Part B'!$B$150+SUMPRODUCT('Part B'!$B$164:$N$164,C312:O312)</f>
        <v>10.9464409101991</v>
      </c>
      <c r="X312" s="1">
        <f>B312-W312</f>
        <v>8.0535590898009</v>
      </c>
      <c r="Y312" s="1">
        <f>'Part B'!$B$179+SUMPRODUCT('Part B'!$B$193:$N$193,C312:O312)</f>
        <v>2.73472255190027</v>
      </c>
      <c r="Z312" s="1">
        <f>P312-Y312</f>
        <v>0.209716427266166</v>
      </c>
      <c r="AB312" s="1">
        <f>C312</f>
        <v>8.511</v>
      </c>
      <c r="AC312" s="1">
        <f>D312</f>
        <v>83</v>
      </c>
      <c r="AD312" s="1">
        <f>E312</f>
        <v>2</v>
      </c>
      <c r="AE312" s="1">
        <f>F312</f>
        <v>0</v>
      </c>
      <c r="AF312" s="1">
        <f>G312</f>
        <v>1</v>
      </c>
      <c r="AG312" s="1">
        <f>I312</f>
        <v>0</v>
      </c>
      <c r="AH312" s="1">
        <f>J312</f>
        <v>0</v>
      </c>
      <c r="AI312" s="1">
        <f>Q312</f>
        <v>0</v>
      </c>
      <c r="AJ312" s="1">
        <f>K312</f>
        <v>0</v>
      </c>
      <c r="AK312" s="1">
        <f>L312</f>
        <v>0</v>
      </c>
      <c r="AL312" s="1">
        <f>M312</f>
        <v>0</v>
      </c>
      <c r="AM312" s="1">
        <f>N312</f>
        <v>1</v>
      </c>
      <c r="AN312" s="1">
        <f>O312</f>
        <v>0</v>
      </c>
    </row>
    <row r="313">
      <c r="A313" s="1">
        <v>425</v>
      </c>
      <c r="B313" s="1">
        <v>20</v>
      </c>
      <c r="C313" s="1">
        <v>1.2</v>
      </c>
      <c r="D313" s="1">
        <v>87</v>
      </c>
      <c r="E313" s="1">
        <v>4</v>
      </c>
      <c r="F313" s="1">
        <v>0</v>
      </c>
      <c r="G313" s="1">
        <v>0</v>
      </c>
      <c r="H313" s="1">
        <v>1</v>
      </c>
      <c r="I313" s="1">
        <v>0</v>
      </c>
      <c r="J313" s="1">
        <v>0</v>
      </c>
      <c r="K313" s="1">
        <v>0</v>
      </c>
      <c r="L313" s="1">
        <v>0</v>
      </c>
      <c r="M313" s="1">
        <v>0</v>
      </c>
      <c r="N313" s="1">
        <v>0</v>
      </c>
      <c r="O313" s="1">
        <v>1</v>
      </c>
      <c r="P313" s="1">
        <f>LN(B313)</f>
        <v>2.99573227355399</v>
      </c>
      <c r="Q313" s="1">
        <f>1-SUM(F313:J313)</f>
        <v>0</v>
      </c>
      <c r="R313" s="1" t="str">
        <f>IF(F313=1,"Napa valley",IF(G313=1,"Bay area",IF(H313=1,"Sonoma",IF(I313=1,"Sierra/foothills",IF(J313=1,"Mendocino/lake","Generic California")))))</f>
        <v>Sonoma</v>
      </c>
      <c r="S313" s="1" t="str">
        <f>IF(F313=1,"Napa valley",IF(H313=1,"Sonoma","Other"))</f>
        <v>Sonoma</v>
      </c>
      <c r="T313" s="1" t="str">
        <f>IF(M313=1,"Cabernet",IF(N313=1,"Merlot",IF(L313=1,"Pinot noir","Other")))</f>
        <v>Other</v>
      </c>
      <c r="U313" s="1" t="str">
        <f>IF(F313=1,B313,"")</f>
        <v/>
      </c>
      <c r="V313" s="1">
        <f>IF(F313=0,B313,"")</f>
        <v>20</v>
      </c>
      <c r="W313" s="1">
        <f>'Part B'!$B$150+SUMPRODUCT('Part B'!$B$164:$N$164,C313:O313)</f>
        <v>26.2791354978385</v>
      </c>
      <c r="X313" s="1">
        <f>B313-W313</f>
        <v>-6.27913549783852</v>
      </c>
      <c r="Y313" s="1">
        <f>'Part B'!$B$179+SUMPRODUCT('Part B'!$B$193:$N$193,C313:O313)</f>
        <v>3.1976869484282</v>
      </c>
      <c r="Z313" s="1">
        <f>P313-Y313</f>
        <v>-0.201954674874206</v>
      </c>
      <c r="AB313" s="1">
        <f>C313</f>
        <v>1.2</v>
      </c>
      <c r="AC313" s="1">
        <f>D313</f>
        <v>87</v>
      </c>
      <c r="AD313" s="1">
        <f>E313</f>
        <v>4</v>
      </c>
      <c r="AE313" s="1">
        <f>F313</f>
        <v>0</v>
      </c>
      <c r="AF313" s="1">
        <f>G313</f>
        <v>0</v>
      </c>
      <c r="AG313" s="1">
        <f>I313</f>
        <v>0</v>
      </c>
      <c r="AH313" s="1">
        <f>J313</f>
        <v>0</v>
      </c>
      <c r="AI313" s="1">
        <f>Q313</f>
        <v>0</v>
      </c>
      <c r="AJ313" s="1">
        <f>K313</f>
        <v>0</v>
      </c>
      <c r="AK313" s="1">
        <f>L313</f>
        <v>0</v>
      </c>
      <c r="AL313" s="1">
        <f>M313</f>
        <v>0</v>
      </c>
      <c r="AM313" s="1">
        <f>N313</f>
        <v>0</v>
      </c>
      <c r="AN313" s="1">
        <f>O313</f>
        <v>1</v>
      </c>
    </row>
    <row r="314">
      <c r="A314" s="1">
        <v>428</v>
      </c>
      <c r="B314" s="1">
        <v>20</v>
      </c>
      <c r="C314" s="1">
        <v>4.5</v>
      </c>
      <c r="D314" s="1">
        <v>87</v>
      </c>
      <c r="E314" s="1">
        <v>4</v>
      </c>
      <c r="F314" s="1">
        <v>1</v>
      </c>
      <c r="G314" s="1">
        <v>0</v>
      </c>
      <c r="H314" s="1">
        <v>0</v>
      </c>
      <c r="I314" s="1">
        <v>0</v>
      </c>
      <c r="J314" s="1">
        <v>0</v>
      </c>
      <c r="K314" s="1">
        <v>0</v>
      </c>
      <c r="L314" s="1">
        <v>0</v>
      </c>
      <c r="M314" s="1">
        <v>1</v>
      </c>
      <c r="N314" s="1">
        <v>0</v>
      </c>
      <c r="O314" s="1">
        <v>0</v>
      </c>
      <c r="P314" s="1">
        <f>LN(B314)</f>
        <v>2.99573227355399</v>
      </c>
      <c r="Q314" s="1">
        <f>1-SUM(F314:J314)</f>
        <v>0</v>
      </c>
      <c r="R314" s="1" t="str">
        <f>IF(F314=1,"Napa valley",IF(G314=1,"Bay area",IF(H314=1,"Sonoma",IF(I314=1,"Sierra/foothills",IF(J314=1,"Mendocino/lake","Generic California")))))</f>
        <v>Napa valley</v>
      </c>
      <c r="S314" s="1" t="str">
        <f>IF(F314=1,"Napa valley",IF(H314=1,"Sonoma","Other"))</f>
        <v>Napa valley</v>
      </c>
      <c r="T314" s="1" t="str">
        <f>IF(M314=1,"Cabernet",IF(N314=1,"Merlot",IF(L314=1,"Pinot noir","Other")))</f>
        <v>Cabernet</v>
      </c>
      <c r="U314" s="1">
        <f>IF(F314=1,B314,"")</f>
        <v>20</v>
      </c>
      <c r="V314" s="1" t="str">
        <f>IF(F314=0,B314,"")</f>
        <v/>
      </c>
      <c r="W314" s="1">
        <f>'Part B'!$B$150+SUMPRODUCT('Part B'!$B$164:$N$164,C314:O314)</f>
        <v>46.8959087206129</v>
      </c>
      <c r="X314" s="1">
        <f>B314-W314</f>
        <v>-26.8959087206129</v>
      </c>
      <c r="Y314" s="1">
        <f>'Part B'!$B$179+SUMPRODUCT('Part B'!$B$193:$N$193,C314:O314)</f>
        <v>3.6091153008968</v>
      </c>
      <c r="Z314" s="1">
        <f>P314-Y314</f>
        <v>-0.613383027342809</v>
      </c>
      <c r="AB314" s="1">
        <f>C314</f>
        <v>4.5</v>
      </c>
      <c r="AC314" s="1">
        <f>D314</f>
        <v>87</v>
      </c>
      <c r="AD314" s="1">
        <f>E314</f>
        <v>4</v>
      </c>
      <c r="AE314" s="1">
        <f>F314</f>
        <v>1</v>
      </c>
      <c r="AF314" s="1">
        <f>G314</f>
        <v>0</v>
      </c>
      <c r="AG314" s="1">
        <f>I314</f>
        <v>0</v>
      </c>
      <c r="AH314" s="1">
        <f>J314</f>
        <v>0</v>
      </c>
      <c r="AI314" s="1">
        <f>Q314</f>
        <v>0</v>
      </c>
      <c r="AJ314" s="1">
        <f>K314</f>
        <v>0</v>
      </c>
      <c r="AK314" s="1">
        <f>L314</f>
        <v>0</v>
      </c>
      <c r="AL314" s="1">
        <f>M314</f>
        <v>1</v>
      </c>
      <c r="AM314" s="1">
        <f>N314</f>
        <v>0</v>
      </c>
      <c r="AN314" s="1">
        <f>O314</f>
        <v>0</v>
      </c>
    </row>
    <row r="315">
      <c r="A315" s="1">
        <v>429</v>
      </c>
      <c r="B315" s="1">
        <v>20</v>
      </c>
      <c r="C315" s="1">
        <v>1.8</v>
      </c>
      <c r="D315" s="1">
        <v>86</v>
      </c>
      <c r="E315" s="1">
        <v>3</v>
      </c>
      <c r="F315" s="1">
        <v>0</v>
      </c>
      <c r="G315" s="1">
        <v>0</v>
      </c>
      <c r="H315" s="1">
        <v>1</v>
      </c>
      <c r="I315" s="1">
        <v>0</v>
      </c>
      <c r="J315" s="1">
        <v>0</v>
      </c>
      <c r="K315" s="1">
        <v>0</v>
      </c>
      <c r="L315" s="1">
        <v>0</v>
      </c>
      <c r="M315" s="1">
        <v>0</v>
      </c>
      <c r="N315" s="1">
        <v>1</v>
      </c>
      <c r="O315" s="1">
        <v>0</v>
      </c>
      <c r="P315" s="1">
        <f>LN(B315)</f>
        <v>2.99573227355399</v>
      </c>
      <c r="Q315" s="1">
        <f>1-SUM(F315:J315)</f>
        <v>0</v>
      </c>
      <c r="R315" s="1" t="str">
        <f>IF(F315=1,"Napa valley",IF(G315=1,"Bay area",IF(H315=1,"Sonoma",IF(I315=1,"Sierra/foothills",IF(J315=1,"Mendocino/lake","Generic California")))))</f>
        <v>Sonoma</v>
      </c>
      <c r="S315" s="1" t="str">
        <f>IF(F315=1,"Napa valley",IF(H315=1,"Sonoma","Other"))</f>
        <v>Sonoma</v>
      </c>
      <c r="T315" s="1" t="str">
        <f>IF(M315=1,"Cabernet",IF(N315=1,"Merlot",IF(L315=1,"Pinot noir","Other")))</f>
        <v>Merlot</v>
      </c>
      <c r="U315" s="1" t="str">
        <f>IF(F315=1,B315,"")</f>
        <v/>
      </c>
      <c r="V315" s="1">
        <f>IF(F315=0,B315,"")</f>
        <v>20</v>
      </c>
      <c r="W315" s="1">
        <f>'Part B'!$B$150+SUMPRODUCT('Part B'!$B$164:$N$164,C315:O315)</f>
        <v>24.5239821402515</v>
      </c>
      <c r="X315" s="1">
        <f>B315-W315</f>
        <v>-4.52398214025146</v>
      </c>
      <c r="Y315" s="1">
        <f>'Part B'!$B$179+SUMPRODUCT('Part B'!$B$193:$N$193,C315:O315)</f>
        <v>3.18335363553028</v>
      </c>
      <c r="Z315" s="1">
        <f>P315-Y315</f>
        <v>-0.187621361976286</v>
      </c>
      <c r="AB315" s="1">
        <f>C315</f>
        <v>1.8</v>
      </c>
      <c r="AC315" s="1">
        <f>D315</f>
        <v>86</v>
      </c>
      <c r="AD315" s="1">
        <f>E315</f>
        <v>3</v>
      </c>
      <c r="AE315" s="1">
        <f>F315</f>
        <v>0</v>
      </c>
      <c r="AF315" s="1">
        <f>G315</f>
        <v>0</v>
      </c>
      <c r="AG315" s="1">
        <f>I315</f>
        <v>0</v>
      </c>
      <c r="AH315" s="1">
        <f>J315</f>
        <v>0</v>
      </c>
      <c r="AI315" s="1">
        <f>Q315</f>
        <v>0</v>
      </c>
      <c r="AJ315" s="1">
        <f>K315</f>
        <v>0</v>
      </c>
      <c r="AK315" s="1">
        <f>L315</f>
        <v>0</v>
      </c>
      <c r="AL315" s="1">
        <f>M315</f>
        <v>0</v>
      </c>
      <c r="AM315" s="1">
        <f>N315</f>
        <v>1</v>
      </c>
      <c r="AN315" s="1">
        <f>O315</f>
        <v>0</v>
      </c>
    </row>
    <row r="316">
      <c r="A316" s="1">
        <v>431</v>
      </c>
      <c r="B316" s="1">
        <v>20</v>
      </c>
      <c r="C316" s="1">
        <v>1.008</v>
      </c>
      <c r="D316" s="1">
        <v>89</v>
      </c>
      <c r="E316" s="1">
        <v>3</v>
      </c>
      <c r="F316" s="1">
        <v>1</v>
      </c>
      <c r="G316" s="1">
        <v>0</v>
      </c>
      <c r="H316" s="1">
        <v>0</v>
      </c>
      <c r="I316" s="1">
        <v>0</v>
      </c>
      <c r="J316" s="1">
        <v>0</v>
      </c>
      <c r="K316" s="1">
        <v>0</v>
      </c>
      <c r="L316" s="1">
        <v>0</v>
      </c>
      <c r="M316" s="1">
        <v>0</v>
      </c>
      <c r="N316" s="1">
        <v>0</v>
      </c>
      <c r="O316" s="1">
        <v>0</v>
      </c>
      <c r="P316" s="1">
        <f>LN(B316)</f>
        <v>2.99573227355399</v>
      </c>
      <c r="Q316" s="1">
        <f>1-SUM(F316:J316)</f>
        <v>0</v>
      </c>
      <c r="R316" s="1" t="str">
        <f>IF(F316=1,"Napa valley",IF(G316=1,"Bay area",IF(H316=1,"Sonoma",IF(I316=1,"Sierra/foothills",IF(J316=1,"Mendocino/lake","Generic California")))))</f>
        <v>Napa valley</v>
      </c>
      <c r="S316" s="1" t="str">
        <f>IF(F316=1,"Napa valley",IF(H316=1,"Sonoma","Other"))</f>
        <v>Napa valley</v>
      </c>
      <c r="T316" s="1" t="str">
        <f>IF(M316=1,"Cabernet",IF(N316=1,"Merlot",IF(L316=1,"Pinot noir","Other")))</f>
        <v>Other</v>
      </c>
      <c r="U316" s="1">
        <f>IF(F316=1,B316,"")</f>
        <v>20</v>
      </c>
      <c r="V316" s="1" t="str">
        <f>IF(F316=0,B316,"")</f>
        <v/>
      </c>
      <c r="W316" s="1">
        <f>'Part B'!$B$150+SUMPRODUCT('Part B'!$B$164:$N$164,C316:O316)</f>
        <v>34.270683388314</v>
      </c>
      <c r="X316" s="1">
        <f>B316-W316</f>
        <v>-14.270683388314</v>
      </c>
      <c r="Y316" s="1">
        <f>'Part B'!$B$179+SUMPRODUCT('Part B'!$B$193:$N$193,C316:O316)</f>
        <v>3.2598995981333</v>
      </c>
      <c r="Z316" s="1">
        <f>P316-Y316</f>
        <v>-0.264167324579314</v>
      </c>
      <c r="AB316" s="1">
        <f>C316</f>
        <v>1.008</v>
      </c>
      <c r="AC316" s="1">
        <f>D316</f>
        <v>89</v>
      </c>
      <c r="AD316" s="1">
        <f>E316</f>
        <v>3</v>
      </c>
      <c r="AE316" s="1">
        <f>F316</f>
        <v>1</v>
      </c>
      <c r="AF316" s="1">
        <f>G316</f>
        <v>0</v>
      </c>
      <c r="AG316" s="1">
        <f>I316</f>
        <v>0</v>
      </c>
      <c r="AH316" s="1">
        <f>J316</f>
        <v>0</v>
      </c>
      <c r="AI316" s="1">
        <f>Q316</f>
        <v>0</v>
      </c>
      <c r="AJ316" s="1">
        <f>K316</f>
        <v>0</v>
      </c>
      <c r="AK316" s="1">
        <f>L316</f>
        <v>0</v>
      </c>
      <c r="AL316" s="1">
        <f>M316</f>
        <v>0</v>
      </c>
      <c r="AM316" s="1">
        <f>N316</f>
        <v>0</v>
      </c>
      <c r="AN316" s="1">
        <f>O316</f>
        <v>0</v>
      </c>
    </row>
    <row r="317">
      <c r="A317" s="1">
        <v>432</v>
      </c>
      <c r="B317" s="1">
        <v>20</v>
      </c>
      <c r="C317" s="1">
        <v>1.6</v>
      </c>
      <c r="D317" s="1">
        <v>86</v>
      </c>
      <c r="E317" s="1">
        <v>3</v>
      </c>
      <c r="F317" s="1">
        <v>0</v>
      </c>
      <c r="G317" s="1">
        <v>0</v>
      </c>
      <c r="H317" s="1">
        <v>1</v>
      </c>
      <c r="I317" s="1">
        <v>0</v>
      </c>
      <c r="J317" s="1">
        <v>0</v>
      </c>
      <c r="K317" s="1">
        <v>0</v>
      </c>
      <c r="L317" s="1">
        <v>0</v>
      </c>
      <c r="M317" s="1">
        <v>0</v>
      </c>
      <c r="N317" s="1">
        <v>1</v>
      </c>
      <c r="O317" s="1">
        <v>0</v>
      </c>
      <c r="P317" s="1">
        <f>LN(B317)</f>
        <v>2.99573227355399</v>
      </c>
      <c r="Q317" s="1">
        <f>1-SUM(F317:J317)</f>
        <v>0</v>
      </c>
      <c r="R317" s="1" t="str">
        <f>IF(F317=1,"Napa valley",IF(G317=1,"Bay area",IF(H317=1,"Sonoma",IF(I317=1,"Sierra/foothills",IF(J317=1,"Mendocino/lake","Generic California")))))</f>
        <v>Sonoma</v>
      </c>
      <c r="S317" s="1" t="str">
        <f>IF(F317=1,"Napa valley",IF(H317=1,"Sonoma","Other"))</f>
        <v>Sonoma</v>
      </c>
      <c r="T317" s="1" t="str">
        <f>IF(M317=1,"Cabernet",IF(N317=1,"Merlot",IF(L317=1,"Pinot noir","Other")))</f>
        <v>Merlot</v>
      </c>
      <c r="U317" s="1" t="str">
        <f>IF(F317=1,B317,"")</f>
        <v/>
      </c>
      <c r="V317" s="1">
        <f>IF(F317=0,B317,"")</f>
        <v>20</v>
      </c>
      <c r="W317" s="1">
        <f>'Part B'!$B$150+SUMPRODUCT('Part B'!$B$164:$N$164,C317:O317)</f>
        <v>24.5429648941774</v>
      </c>
      <c r="X317" s="1">
        <f>B317-W317</f>
        <v>-4.54296489417743</v>
      </c>
      <c r="Y317" s="1">
        <f>'Part B'!$B$179+SUMPRODUCT('Part B'!$B$193:$N$193,C317:O317)</f>
        <v>3.18420944895929</v>
      </c>
      <c r="Z317" s="1">
        <f>P317-Y317</f>
        <v>-0.188477175405303</v>
      </c>
      <c r="AB317" s="1">
        <f>C317</f>
        <v>1.6</v>
      </c>
      <c r="AC317" s="1">
        <f>D317</f>
        <v>86</v>
      </c>
      <c r="AD317" s="1">
        <f>E317</f>
        <v>3</v>
      </c>
      <c r="AE317" s="1">
        <f>F317</f>
        <v>0</v>
      </c>
      <c r="AF317" s="1">
        <f>G317</f>
        <v>0</v>
      </c>
      <c r="AG317" s="1">
        <f>I317</f>
        <v>0</v>
      </c>
      <c r="AH317" s="1">
        <f>J317</f>
        <v>0</v>
      </c>
      <c r="AI317" s="1">
        <f>Q317</f>
        <v>0</v>
      </c>
      <c r="AJ317" s="1">
        <f>K317</f>
        <v>0</v>
      </c>
      <c r="AK317" s="1">
        <f>L317</f>
        <v>0</v>
      </c>
      <c r="AL317" s="1">
        <f>M317</f>
        <v>0</v>
      </c>
      <c r="AM317" s="1">
        <f>N317</f>
        <v>1</v>
      </c>
      <c r="AN317" s="1">
        <f>O317</f>
        <v>0</v>
      </c>
    </row>
    <row r="318">
      <c r="A318" s="1">
        <v>434</v>
      </c>
      <c r="B318" s="1">
        <v>20</v>
      </c>
      <c r="C318" s="1">
        <v>9.224</v>
      </c>
      <c r="D318" s="1">
        <v>85</v>
      </c>
      <c r="E318" s="1">
        <v>3</v>
      </c>
      <c r="F318" s="1">
        <v>1</v>
      </c>
      <c r="G318" s="1">
        <v>0</v>
      </c>
      <c r="H318" s="1">
        <v>0</v>
      </c>
      <c r="I318" s="1">
        <v>0</v>
      </c>
      <c r="J318" s="1">
        <v>0</v>
      </c>
      <c r="K318" s="1">
        <v>0</v>
      </c>
      <c r="L318" s="1">
        <v>0</v>
      </c>
      <c r="M318" s="1">
        <v>1</v>
      </c>
      <c r="N318" s="1">
        <v>0</v>
      </c>
      <c r="O318" s="1">
        <v>0</v>
      </c>
      <c r="P318" s="1">
        <f>LN(B318)</f>
        <v>2.99573227355399</v>
      </c>
      <c r="Q318" s="1">
        <f>1-SUM(F318:J318)</f>
        <v>0</v>
      </c>
      <c r="R318" s="1" t="str">
        <f>IF(F318=1,"Napa valley",IF(G318=1,"Bay area",IF(H318=1,"Sonoma",IF(I318=1,"Sierra/foothills",IF(J318=1,"Mendocino/lake","Generic California")))))</f>
        <v>Napa valley</v>
      </c>
      <c r="S318" s="1" t="str">
        <f>IF(F318=1,"Napa valley",IF(H318=1,"Sonoma","Other"))</f>
        <v>Napa valley</v>
      </c>
      <c r="T318" s="1" t="str">
        <f>IF(M318=1,"Cabernet",IF(N318=1,"Merlot",IF(L318=1,"Pinot noir","Other")))</f>
        <v>Cabernet</v>
      </c>
      <c r="U318" s="1">
        <f>IF(F318=1,B318,"")</f>
        <v>20</v>
      </c>
      <c r="V318" s="1" t="str">
        <f>IF(F318=0,B318,"")</f>
        <v/>
      </c>
      <c r="W318" s="1">
        <f>'Part B'!$B$150+SUMPRODUCT('Part B'!$B$164:$N$164,C318:O318)</f>
        <v>33.5377371297811</v>
      </c>
      <c r="X318" s="1">
        <f>B318-W318</f>
        <v>-13.5377371297811</v>
      </c>
      <c r="Y318" s="1">
        <f>'Part B'!$B$179+SUMPRODUCT('Part B'!$B$193:$N$193,C318:O318)</f>
        <v>3.26589296766696</v>
      </c>
      <c r="Z318" s="1">
        <f>P318-Y318</f>
        <v>-0.270160694112973</v>
      </c>
      <c r="AB318" s="1">
        <f>C318</f>
        <v>9.224</v>
      </c>
      <c r="AC318" s="1">
        <f>D318</f>
        <v>85</v>
      </c>
      <c r="AD318" s="1">
        <f>E318</f>
        <v>3</v>
      </c>
      <c r="AE318" s="1">
        <f>F318</f>
        <v>1</v>
      </c>
      <c r="AF318" s="1">
        <f>G318</f>
        <v>0</v>
      </c>
      <c r="AG318" s="1">
        <f>I318</f>
        <v>0</v>
      </c>
      <c r="AH318" s="1">
        <f>J318</f>
        <v>0</v>
      </c>
      <c r="AI318" s="1">
        <f>Q318</f>
        <v>0</v>
      </c>
      <c r="AJ318" s="1">
        <f>K318</f>
        <v>0</v>
      </c>
      <c r="AK318" s="1">
        <f>L318</f>
        <v>0</v>
      </c>
      <c r="AL318" s="1">
        <f>M318</f>
        <v>1</v>
      </c>
      <c r="AM318" s="1">
        <f>N318</f>
        <v>0</v>
      </c>
      <c r="AN318" s="1">
        <f>O318</f>
        <v>0</v>
      </c>
    </row>
    <row r="319">
      <c r="A319" s="1">
        <v>435</v>
      </c>
      <c r="B319" s="1">
        <v>20</v>
      </c>
      <c r="C319" s="1">
        <v>2.467</v>
      </c>
      <c r="D319" s="1">
        <v>82</v>
      </c>
      <c r="E319" s="1">
        <v>3</v>
      </c>
      <c r="F319" s="1">
        <v>1</v>
      </c>
      <c r="G319" s="1">
        <v>0</v>
      </c>
      <c r="H319" s="1">
        <v>0</v>
      </c>
      <c r="I319" s="1">
        <v>0</v>
      </c>
      <c r="J319" s="1">
        <v>0</v>
      </c>
      <c r="K319" s="1">
        <v>0</v>
      </c>
      <c r="L319" s="1">
        <v>0</v>
      </c>
      <c r="M319" s="1">
        <v>0</v>
      </c>
      <c r="N319" s="1">
        <v>1</v>
      </c>
      <c r="O319" s="1">
        <v>0</v>
      </c>
      <c r="P319" s="1">
        <f>LN(B319)</f>
        <v>2.99573227355399</v>
      </c>
      <c r="Q319" s="1">
        <f>1-SUM(F319:J319)</f>
        <v>0</v>
      </c>
      <c r="R319" s="1" t="str">
        <f>IF(F319=1,"Napa valley",IF(G319=1,"Bay area",IF(H319=1,"Sonoma",IF(I319=1,"Sierra/foothills",IF(J319=1,"Mendocino/lake","Generic California")))))</f>
        <v>Napa valley</v>
      </c>
      <c r="S319" s="1" t="str">
        <f>IF(F319=1,"Napa valley",IF(H319=1,"Sonoma","Other"))</f>
        <v>Napa valley</v>
      </c>
      <c r="T319" s="1" t="str">
        <f>IF(M319=1,"Cabernet",IF(N319=1,"Merlot",IF(L319=1,"Pinot noir","Other")))</f>
        <v>Merlot</v>
      </c>
      <c r="U319" s="1">
        <f>IF(F319=1,B319,"")</f>
        <v>20</v>
      </c>
      <c r="V319" s="1" t="str">
        <f>IF(F319=0,B319,"")</f>
        <v/>
      </c>
      <c r="W319" s="1">
        <f>'Part B'!$B$150+SUMPRODUCT('Part B'!$B$164:$N$164,C319:O319)</f>
        <v>19.7767341062628</v>
      </c>
      <c r="X319" s="1">
        <f>B319-W319</f>
        <v>0.223265893737164</v>
      </c>
      <c r="Y319" s="1">
        <f>'Part B'!$B$179+SUMPRODUCT('Part B'!$B$193:$N$193,C319:O319)</f>
        <v>3.04844158745497</v>
      </c>
      <c r="Z319" s="1">
        <f>P319-Y319</f>
        <v>-0.0527093139009796</v>
      </c>
      <c r="AB319" s="1">
        <f>C319</f>
        <v>2.467</v>
      </c>
      <c r="AC319" s="1">
        <f>D319</f>
        <v>82</v>
      </c>
      <c r="AD319" s="1">
        <f>E319</f>
        <v>3</v>
      </c>
      <c r="AE319" s="1">
        <f>F319</f>
        <v>1</v>
      </c>
      <c r="AF319" s="1">
        <f>G319</f>
        <v>0</v>
      </c>
      <c r="AG319" s="1">
        <f>I319</f>
        <v>0</v>
      </c>
      <c r="AH319" s="1">
        <f>J319</f>
        <v>0</v>
      </c>
      <c r="AI319" s="1">
        <f>Q319</f>
        <v>0</v>
      </c>
      <c r="AJ319" s="1">
        <f>K319</f>
        <v>0</v>
      </c>
      <c r="AK319" s="1">
        <f>L319</f>
        <v>0</v>
      </c>
      <c r="AL319" s="1">
        <f>M319</f>
        <v>0</v>
      </c>
      <c r="AM319" s="1">
        <f>N319</f>
        <v>1</v>
      </c>
      <c r="AN319" s="1">
        <f>O319</f>
        <v>0</v>
      </c>
    </row>
    <row r="320">
      <c r="A320" s="1">
        <v>436</v>
      </c>
      <c r="B320" s="1">
        <v>20</v>
      </c>
      <c r="C320" s="1">
        <v>1.6</v>
      </c>
      <c r="D320" s="1">
        <v>87</v>
      </c>
      <c r="E320" s="1">
        <v>3</v>
      </c>
      <c r="F320" s="1">
        <v>0</v>
      </c>
      <c r="G320" s="1">
        <v>0</v>
      </c>
      <c r="H320" s="1">
        <v>0</v>
      </c>
      <c r="I320" s="1">
        <v>0</v>
      </c>
      <c r="J320" s="1">
        <v>1</v>
      </c>
      <c r="K320" s="1">
        <v>0</v>
      </c>
      <c r="L320" s="1">
        <v>1</v>
      </c>
      <c r="M320" s="1">
        <v>0</v>
      </c>
      <c r="N320" s="1">
        <v>0</v>
      </c>
      <c r="O320" s="1">
        <v>0</v>
      </c>
      <c r="P320" s="1">
        <f>LN(B320)</f>
        <v>2.99573227355399</v>
      </c>
      <c r="Q320" s="1">
        <f>1-SUM(F320:J320)</f>
        <v>0</v>
      </c>
      <c r="R320" s="1" t="str">
        <f>IF(F320=1,"Napa valley",IF(G320=1,"Bay area",IF(H320=1,"Sonoma",IF(I320=1,"Sierra/foothills",IF(J320=1,"Mendocino/lake","Generic California")))))</f>
        <v>Mendocino/lake</v>
      </c>
      <c r="S320" s="1" t="str">
        <f>IF(F320=1,"Napa valley",IF(H320=1,"Sonoma","Other"))</f>
        <v>Other</v>
      </c>
      <c r="T320" s="1" t="str">
        <f>IF(M320=1,"Cabernet",IF(N320=1,"Merlot",IF(L320=1,"Pinot noir","Other")))</f>
        <v>Pinot noir</v>
      </c>
      <c r="U320" s="1" t="str">
        <f>IF(F320=1,B320,"")</f>
        <v/>
      </c>
      <c r="V320" s="1">
        <f>IF(F320=0,B320,"")</f>
        <v>20</v>
      </c>
      <c r="W320" s="1">
        <f>'Part B'!$B$150+SUMPRODUCT('Part B'!$B$164:$N$164,C320:O320)</f>
        <v>31.1990949043225</v>
      </c>
      <c r="X320" s="1">
        <f>B320-W320</f>
        <v>-11.1990949043225</v>
      </c>
      <c r="Y320" s="1">
        <f>'Part B'!$B$179+SUMPRODUCT('Part B'!$B$193:$N$193,C320:O320)</f>
        <v>3.27147342690433</v>
      </c>
      <c r="Z320" s="1">
        <f>P320-Y320</f>
        <v>-0.275741153350342</v>
      </c>
      <c r="AB320" s="1">
        <f>C320</f>
        <v>1.6</v>
      </c>
      <c r="AC320" s="1">
        <f>D320</f>
        <v>87</v>
      </c>
      <c r="AD320" s="1">
        <f>E320</f>
        <v>3</v>
      </c>
      <c r="AE320" s="1">
        <f>F320</f>
        <v>0</v>
      </c>
      <c r="AF320" s="1">
        <f>G320</f>
        <v>0</v>
      </c>
      <c r="AG320" s="1">
        <f>I320</f>
        <v>0</v>
      </c>
      <c r="AH320" s="1">
        <f>J320</f>
        <v>1</v>
      </c>
      <c r="AI320" s="1">
        <f>Q320</f>
        <v>0</v>
      </c>
      <c r="AJ320" s="1">
        <f>K320</f>
        <v>0</v>
      </c>
      <c r="AK320" s="1">
        <f>L320</f>
        <v>1</v>
      </c>
      <c r="AL320" s="1">
        <f>M320</f>
        <v>0</v>
      </c>
      <c r="AM320" s="1">
        <f>N320</f>
        <v>0</v>
      </c>
      <c r="AN320" s="1">
        <f>O320</f>
        <v>0</v>
      </c>
    </row>
    <row r="321">
      <c r="A321" s="1">
        <v>437</v>
      </c>
      <c r="B321" s="1">
        <v>20</v>
      </c>
      <c r="C321" s="1">
        <v>0.6</v>
      </c>
      <c r="D321" s="1">
        <v>85</v>
      </c>
      <c r="E321" s="1">
        <v>3</v>
      </c>
      <c r="F321" s="1">
        <v>0</v>
      </c>
      <c r="G321" s="1">
        <v>0</v>
      </c>
      <c r="H321" s="1">
        <v>1</v>
      </c>
      <c r="I321" s="1">
        <v>0</v>
      </c>
      <c r="J321" s="1">
        <v>0</v>
      </c>
      <c r="K321" s="1">
        <v>0</v>
      </c>
      <c r="L321" s="1">
        <v>0</v>
      </c>
      <c r="M321" s="1">
        <v>0</v>
      </c>
      <c r="N321" s="1">
        <v>1</v>
      </c>
      <c r="O321" s="1">
        <v>0</v>
      </c>
      <c r="P321" s="1">
        <f>LN(B321)</f>
        <v>2.99573227355399</v>
      </c>
      <c r="Q321" s="1">
        <f>1-SUM(F321:J321)</f>
        <v>0</v>
      </c>
      <c r="R321" s="1" t="str">
        <f>IF(F321=1,"Napa valley",IF(G321=1,"Bay area",IF(H321=1,"Sonoma",IF(I321=1,"Sierra/foothills",IF(J321=1,"Mendocino/lake","Generic California")))))</f>
        <v>Sonoma</v>
      </c>
      <c r="S321" s="1" t="str">
        <f>IF(F321=1,"Napa valley",IF(H321=1,"Sonoma","Other"))</f>
        <v>Sonoma</v>
      </c>
      <c r="T321" s="1" t="str">
        <f>IF(M321=1,"Cabernet",IF(N321=1,"Merlot",IF(L321=1,"Pinot noir","Other")))</f>
        <v>Merlot</v>
      </c>
      <c r="U321" s="1" t="str">
        <f>IF(F321=1,B321,"")</f>
        <v/>
      </c>
      <c r="V321" s="1">
        <f>IF(F321=0,B321,"")</f>
        <v>20</v>
      </c>
      <c r="W321" s="1">
        <f>'Part B'!$B$150+SUMPRODUCT('Part B'!$B$164:$N$164,C321:O321)</f>
        <v>21.4927815714468</v>
      </c>
      <c r="X321" s="1">
        <f>B321-W321</f>
        <v>-1.49278157144681</v>
      </c>
      <c r="Y321" s="1">
        <f>'Part B'!$B$179+SUMPRODUCT('Part B'!$B$193:$N$193,C321:O321)</f>
        <v>3.11852714730695</v>
      </c>
      <c r="Z321" s="1">
        <f>P321-Y321</f>
        <v>-0.12279487375296</v>
      </c>
      <c r="AB321" s="1">
        <f>C321</f>
        <v>0.6</v>
      </c>
      <c r="AC321" s="1">
        <f>D321</f>
        <v>85</v>
      </c>
      <c r="AD321" s="1">
        <f>E321</f>
        <v>3</v>
      </c>
      <c r="AE321" s="1">
        <f>F321</f>
        <v>0</v>
      </c>
      <c r="AF321" s="1">
        <f>G321</f>
        <v>0</v>
      </c>
      <c r="AG321" s="1">
        <f>I321</f>
        <v>0</v>
      </c>
      <c r="AH321" s="1">
        <f>J321</f>
        <v>0</v>
      </c>
      <c r="AI321" s="1">
        <f>Q321</f>
        <v>0</v>
      </c>
      <c r="AJ321" s="1">
        <f>K321</f>
        <v>0</v>
      </c>
      <c r="AK321" s="1">
        <f>L321</f>
        <v>0</v>
      </c>
      <c r="AL321" s="1">
        <f>M321</f>
        <v>0</v>
      </c>
      <c r="AM321" s="1">
        <f>N321</f>
        <v>1</v>
      </c>
      <c r="AN321" s="1">
        <f>O321</f>
        <v>0</v>
      </c>
    </row>
    <row r="322">
      <c r="A322" s="1">
        <v>438</v>
      </c>
      <c r="B322" s="1">
        <v>20</v>
      </c>
      <c r="C322" s="1">
        <v>0.3</v>
      </c>
      <c r="D322" s="1">
        <v>88</v>
      </c>
      <c r="E322" s="1">
        <v>3</v>
      </c>
      <c r="F322" s="1">
        <v>0</v>
      </c>
      <c r="G322" s="1">
        <v>0</v>
      </c>
      <c r="H322" s="1">
        <v>1</v>
      </c>
      <c r="I322" s="1">
        <v>0</v>
      </c>
      <c r="J322" s="1">
        <v>0</v>
      </c>
      <c r="K322" s="1">
        <v>0</v>
      </c>
      <c r="L322" s="1">
        <v>0</v>
      </c>
      <c r="M322" s="1">
        <v>0</v>
      </c>
      <c r="N322" s="1">
        <v>0</v>
      </c>
      <c r="O322" s="1">
        <v>0</v>
      </c>
      <c r="P322" s="1">
        <f>LN(B322)</f>
        <v>2.99573227355399</v>
      </c>
      <c r="Q322" s="1">
        <f>1-SUM(F322:J322)</f>
        <v>0</v>
      </c>
      <c r="R322" s="1" t="str">
        <f>IF(F322=1,"Napa valley",IF(G322=1,"Bay area",IF(H322=1,"Sonoma",IF(I322=1,"Sierra/foothills",IF(J322=1,"Mendocino/lake","Generic California")))))</f>
        <v>Sonoma</v>
      </c>
      <c r="S322" s="1" t="str">
        <f>IF(F322=1,"Napa valley",IF(H322=1,"Sonoma","Other"))</f>
        <v>Sonoma</v>
      </c>
      <c r="T322" s="1" t="str">
        <f>IF(M322=1,"Cabernet",IF(N322=1,"Merlot",IF(L322=1,"Pinot noir","Other")))</f>
        <v>Other</v>
      </c>
      <c r="U322" s="1" t="str">
        <f>IF(F322=1,B322,"")</f>
        <v/>
      </c>
      <c r="V322" s="1">
        <f>IF(F322=0,B322,"")</f>
        <v>20</v>
      </c>
      <c r="W322" s="1">
        <f>'Part B'!$B$150+SUMPRODUCT('Part B'!$B$164:$N$164,C322:O322)</f>
        <v>23.2963374250542</v>
      </c>
      <c r="X322" s="1">
        <f>B322-W322</f>
        <v>-3.29633742505416</v>
      </c>
      <c r="Y322" s="1">
        <f>'Part B'!$B$179+SUMPRODUCT('Part B'!$B$193:$N$193,C322:O322)</f>
        <v>3.04518024397442</v>
      </c>
      <c r="Z322" s="1">
        <f>P322-Y322</f>
        <v>-0.049447970420434</v>
      </c>
      <c r="AB322" s="1">
        <f>C322</f>
        <v>0.3</v>
      </c>
      <c r="AC322" s="1">
        <f>D322</f>
        <v>88</v>
      </c>
      <c r="AD322" s="1">
        <f>E322</f>
        <v>3</v>
      </c>
      <c r="AE322" s="1">
        <f>F322</f>
        <v>0</v>
      </c>
      <c r="AF322" s="1">
        <f>G322</f>
        <v>0</v>
      </c>
      <c r="AG322" s="1">
        <f>I322</f>
        <v>0</v>
      </c>
      <c r="AH322" s="1">
        <f>J322</f>
        <v>0</v>
      </c>
      <c r="AI322" s="1">
        <f>Q322</f>
        <v>0</v>
      </c>
      <c r="AJ322" s="1">
        <f>K322</f>
        <v>0</v>
      </c>
      <c r="AK322" s="1">
        <f>L322</f>
        <v>0</v>
      </c>
      <c r="AL322" s="1">
        <f>M322</f>
        <v>0</v>
      </c>
      <c r="AM322" s="1">
        <f>N322</f>
        <v>0</v>
      </c>
      <c r="AN322" s="1">
        <f>O322</f>
        <v>0</v>
      </c>
    </row>
    <row r="323">
      <c r="A323" s="1">
        <v>439</v>
      </c>
      <c r="B323" s="1">
        <v>20</v>
      </c>
      <c r="C323" s="1">
        <v>1.96</v>
      </c>
      <c r="D323" s="1">
        <v>84</v>
      </c>
      <c r="E323" s="1">
        <v>3</v>
      </c>
      <c r="F323" s="1">
        <v>0</v>
      </c>
      <c r="G323" s="1">
        <v>0</v>
      </c>
      <c r="H323" s="1">
        <v>1</v>
      </c>
      <c r="I323" s="1">
        <v>0</v>
      </c>
      <c r="J323" s="1">
        <v>0</v>
      </c>
      <c r="K323" s="1">
        <v>0</v>
      </c>
      <c r="L323" s="1">
        <v>0</v>
      </c>
      <c r="M323" s="1">
        <v>0</v>
      </c>
      <c r="N323" s="1">
        <v>1</v>
      </c>
      <c r="O323" s="1">
        <v>0</v>
      </c>
      <c r="P323" s="1">
        <f>LN(B323)</f>
        <v>2.99573227355399</v>
      </c>
      <c r="Q323" s="1">
        <f>1-SUM(F323:J323)</f>
        <v>0</v>
      </c>
      <c r="R323" s="1" t="str">
        <f>IF(F323=1,"Napa valley",IF(G323=1,"Bay area",IF(H323=1,"Sonoma",IF(I323=1,"Sierra/foothills",IF(J323=1,"Mendocino/lake","Generic California")))))</f>
        <v>Sonoma</v>
      </c>
      <c r="S323" s="1" t="str">
        <f>IF(F323=1,"Napa valley",IF(H323=1,"Sonoma","Other"))</f>
        <v>Sonoma</v>
      </c>
      <c r="T323" s="1" t="str">
        <f>IF(M323=1,"Cabernet",IF(N323=1,"Merlot",IF(L323=1,"Pinot noir","Other")))</f>
        <v>Merlot</v>
      </c>
      <c r="U323" s="1" t="str">
        <f>IF(F323=1,B323,"")</f>
        <v/>
      </c>
      <c r="V323" s="1">
        <f>IF(F323=0,B323,"")</f>
        <v>20</v>
      </c>
      <c r="W323" s="1">
        <f>'Part B'!$B$150+SUMPRODUCT('Part B'!$B$164:$N$164,C323:O323)</f>
        <v>18.2186017523893</v>
      </c>
      <c r="X323" s="1">
        <f>B323-W323</f>
        <v>1.7813982476107</v>
      </c>
      <c r="Y323" s="1">
        <f>'Part B'!$B$179+SUMPRODUCT('Part B'!$B$193:$N$193,C323:O323)</f>
        <v>3.04274624719221</v>
      </c>
      <c r="Z323" s="1">
        <f>P323-Y323</f>
        <v>-0.0470139736382191</v>
      </c>
      <c r="AB323" s="1">
        <f>C323</f>
        <v>1.96</v>
      </c>
      <c r="AC323" s="1">
        <f>D323</f>
        <v>84</v>
      </c>
      <c r="AD323" s="1">
        <f>E323</f>
        <v>3</v>
      </c>
      <c r="AE323" s="1">
        <f>F323</f>
        <v>0</v>
      </c>
      <c r="AF323" s="1">
        <f>G323</f>
        <v>0</v>
      </c>
      <c r="AG323" s="1">
        <f>I323</f>
        <v>0</v>
      </c>
      <c r="AH323" s="1">
        <f>J323</f>
        <v>0</v>
      </c>
      <c r="AI323" s="1">
        <f>Q323</f>
        <v>0</v>
      </c>
      <c r="AJ323" s="1">
        <f>K323</f>
        <v>0</v>
      </c>
      <c r="AK323" s="1">
        <f>L323</f>
        <v>0</v>
      </c>
      <c r="AL323" s="1">
        <f>M323</f>
        <v>0</v>
      </c>
      <c r="AM323" s="1">
        <f>N323</f>
        <v>1</v>
      </c>
      <c r="AN323" s="1">
        <f>O323</f>
        <v>0</v>
      </c>
    </row>
    <row r="324">
      <c r="A324" s="1">
        <v>440</v>
      </c>
      <c r="B324" s="1">
        <v>20</v>
      </c>
      <c r="C324" s="1">
        <v>1.218</v>
      </c>
      <c r="D324" s="1">
        <v>87</v>
      </c>
      <c r="E324" s="1">
        <v>3</v>
      </c>
      <c r="F324" s="1">
        <v>0</v>
      </c>
      <c r="G324" s="1">
        <v>0</v>
      </c>
      <c r="H324" s="1">
        <v>0</v>
      </c>
      <c r="I324" s="1">
        <v>0</v>
      </c>
      <c r="J324" s="1">
        <v>1</v>
      </c>
      <c r="K324" s="1">
        <v>0</v>
      </c>
      <c r="L324" s="1">
        <v>1</v>
      </c>
      <c r="M324" s="1">
        <v>0</v>
      </c>
      <c r="N324" s="1">
        <v>0</v>
      </c>
      <c r="O324" s="1">
        <v>0</v>
      </c>
      <c r="P324" s="1">
        <f>LN(B324)</f>
        <v>2.99573227355399</v>
      </c>
      <c r="Q324" s="1">
        <f>1-SUM(F324:J324)</f>
        <v>0</v>
      </c>
      <c r="R324" s="1" t="str">
        <f>IF(F324=1,"Napa valley",IF(G324=1,"Bay area",IF(H324=1,"Sonoma",IF(I324=1,"Sierra/foothills",IF(J324=1,"Mendocino/lake","Generic California")))))</f>
        <v>Mendocino/lake</v>
      </c>
      <c r="S324" s="1" t="str">
        <f>IF(F324=1,"Napa valley",IF(H324=1,"Sonoma","Other"))</f>
        <v>Other</v>
      </c>
      <c r="T324" s="1" t="str">
        <f>IF(M324=1,"Cabernet",IF(N324=1,"Merlot",IF(L324=1,"Pinot noir","Other")))</f>
        <v>Pinot noir</v>
      </c>
      <c r="U324" s="1" t="str">
        <f>IF(F324=1,B324,"")</f>
        <v/>
      </c>
      <c r="V324" s="1">
        <f>IF(F324=0,B324,"")</f>
        <v>20</v>
      </c>
      <c r="W324" s="1">
        <f>'Part B'!$B$150+SUMPRODUCT('Part B'!$B$164:$N$164,C324:O324)</f>
        <v>31.2353519643212</v>
      </c>
      <c r="X324" s="1">
        <f>B324-W324</f>
        <v>-11.2353519643212</v>
      </c>
      <c r="Y324" s="1">
        <f>'Part B'!$B$179+SUMPRODUCT('Part B'!$B$193:$N$193,C324:O324)</f>
        <v>3.27310803055375</v>
      </c>
      <c r="Z324" s="1">
        <f>P324-Y324</f>
        <v>-0.277375756999763</v>
      </c>
      <c r="AB324" s="1">
        <f>C324</f>
        <v>1.218</v>
      </c>
      <c r="AC324" s="1">
        <f>D324</f>
        <v>87</v>
      </c>
      <c r="AD324" s="1">
        <f>E324</f>
        <v>3</v>
      </c>
      <c r="AE324" s="1">
        <f>F324</f>
        <v>0</v>
      </c>
      <c r="AF324" s="1">
        <f>G324</f>
        <v>0</v>
      </c>
      <c r="AG324" s="1">
        <f>I324</f>
        <v>0</v>
      </c>
      <c r="AH324" s="1">
        <f>J324</f>
        <v>1</v>
      </c>
      <c r="AI324" s="1">
        <f>Q324</f>
        <v>0</v>
      </c>
      <c r="AJ324" s="1">
        <f>K324</f>
        <v>0</v>
      </c>
      <c r="AK324" s="1">
        <f>L324</f>
        <v>1</v>
      </c>
      <c r="AL324" s="1">
        <f>M324</f>
        <v>0</v>
      </c>
      <c r="AM324" s="1">
        <f>N324</f>
        <v>0</v>
      </c>
      <c r="AN324" s="1">
        <f>O324</f>
        <v>0</v>
      </c>
    </row>
    <row r="325">
      <c r="A325" s="1">
        <v>441</v>
      </c>
      <c r="B325" s="1">
        <v>20</v>
      </c>
      <c r="C325" s="1">
        <v>0.2</v>
      </c>
      <c r="D325" s="1">
        <v>80</v>
      </c>
      <c r="E325" s="1">
        <v>3</v>
      </c>
      <c r="F325" s="1">
        <v>0</v>
      </c>
      <c r="G325" s="1">
        <v>0</v>
      </c>
      <c r="H325" s="1">
        <v>1</v>
      </c>
      <c r="I325" s="1">
        <v>0</v>
      </c>
      <c r="J325" s="1">
        <v>0</v>
      </c>
      <c r="K325" s="1">
        <v>0</v>
      </c>
      <c r="L325" s="1">
        <v>0</v>
      </c>
      <c r="M325" s="1">
        <v>1</v>
      </c>
      <c r="N325" s="1">
        <v>0</v>
      </c>
      <c r="O325" s="1">
        <v>0</v>
      </c>
      <c r="P325" s="1">
        <f>LN(B325)</f>
        <v>2.99573227355399</v>
      </c>
      <c r="Q325" s="1">
        <f>1-SUM(F325:J325)</f>
        <v>0</v>
      </c>
      <c r="R325" s="1" t="str">
        <f>IF(F325=1,"Napa valley",IF(G325=1,"Bay area",IF(H325=1,"Sonoma",IF(I325=1,"Sierra/foothills",IF(J325=1,"Mendocino/lake","Generic California")))))</f>
        <v>Sonoma</v>
      </c>
      <c r="S325" s="1" t="str">
        <f>IF(F325=1,"Napa valley",IF(H325=1,"Sonoma","Other"))</f>
        <v>Sonoma</v>
      </c>
      <c r="T325" s="1" t="str">
        <f>IF(M325=1,"Cabernet",IF(N325=1,"Merlot",IF(L325=1,"Pinot noir","Other")))</f>
        <v>Cabernet</v>
      </c>
      <c r="U325" s="1" t="str">
        <f>IF(F325=1,B325,"")</f>
        <v/>
      </c>
      <c r="V325" s="1">
        <f>IF(F325=0,B325,"")</f>
        <v>20</v>
      </c>
      <c r="W325" s="1">
        <f>'Part B'!$B$150+SUMPRODUCT('Part B'!$B$164:$N$164,C325:O325)</f>
        <v>10.7723057053222</v>
      </c>
      <c r="X325" s="1">
        <f>B325-W325</f>
        <v>9.2276942946778</v>
      </c>
      <c r="Y325" s="1">
        <f>'Part B'!$B$179+SUMPRODUCT('Part B'!$B$193:$N$193,C325:O325)</f>
        <v>2.80691286069689</v>
      </c>
      <c r="Z325" s="1">
        <f>P325-Y325</f>
        <v>0.188819412857098</v>
      </c>
      <c r="AB325" s="1">
        <f>C325</f>
        <v>0.2</v>
      </c>
      <c r="AC325" s="1">
        <f>D325</f>
        <v>80</v>
      </c>
      <c r="AD325" s="1">
        <f>E325</f>
        <v>3</v>
      </c>
      <c r="AE325" s="1">
        <f>F325</f>
        <v>0</v>
      </c>
      <c r="AF325" s="1">
        <f>G325</f>
        <v>0</v>
      </c>
      <c r="AG325" s="1">
        <f>I325</f>
        <v>0</v>
      </c>
      <c r="AH325" s="1">
        <f>J325</f>
        <v>0</v>
      </c>
      <c r="AI325" s="1">
        <f>Q325</f>
        <v>0</v>
      </c>
      <c r="AJ325" s="1">
        <f>K325</f>
        <v>0</v>
      </c>
      <c r="AK325" s="1">
        <f>L325</f>
        <v>0</v>
      </c>
      <c r="AL325" s="1">
        <f>M325</f>
        <v>1</v>
      </c>
      <c r="AM325" s="1">
        <f>N325</f>
        <v>0</v>
      </c>
      <c r="AN325" s="1">
        <f>O325</f>
        <v>0</v>
      </c>
    </row>
    <row r="326">
      <c r="A326" s="1">
        <v>443</v>
      </c>
      <c r="B326" s="1">
        <v>20</v>
      </c>
      <c r="C326" s="1">
        <v>0.268</v>
      </c>
      <c r="D326" s="1">
        <v>90</v>
      </c>
      <c r="E326" s="1">
        <v>3</v>
      </c>
      <c r="F326" s="1">
        <v>0</v>
      </c>
      <c r="G326" s="1">
        <v>0</v>
      </c>
      <c r="H326" s="1">
        <v>1</v>
      </c>
      <c r="I326" s="1">
        <v>0</v>
      </c>
      <c r="J326" s="1">
        <v>0</v>
      </c>
      <c r="K326" s="1">
        <v>0</v>
      </c>
      <c r="L326" s="1">
        <v>0</v>
      </c>
      <c r="M326" s="1">
        <v>0</v>
      </c>
      <c r="N326" s="1">
        <v>0</v>
      </c>
      <c r="O326" s="1">
        <v>0</v>
      </c>
      <c r="P326" s="1">
        <f>LN(B326)</f>
        <v>2.99573227355399</v>
      </c>
      <c r="Q326" s="1">
        <f>1-SUM(F326:J326)</f>
        <v>0</v>
      </c>
      <c r="R326" s="1" t="str">
        <f>IF(F326=1,"Napa valley",IF(G326=1,"Bay area",IF(H326=1,"Sonoma",IF(I326=1,"Sierra/foothills",IF(J326=1,"Mendocino/lake","Generic California")))))</f>
        <v>Sonoma</v>
      </c>
      <c r="S326" s="1" t="str">
        <f>IF(F326=1,"Napa valley",IF(H326=1,"Sonoma","Other"))</f>
        <v>Sonoma</v>
      </c>
      <c r="T326" s="1" t="str">
        <f>IF(M326=1,"Cabernet",IF(N326=1,"Merlot",IF(L326=1,"Pinot noir","Other")))</f>
        <v>Other</v>
      </c>
      <c r="U326" s="1" t="str">
        <f>IF(F326=1,B326,"")</f>
        <v/>
      </c>
      <c r="V326" s="1">
        <f>IF(F326=0,B326,"")</f>
        <v>20</v>
      </c>
      <c r="W326" s="1">
        <f>'Part B'!$B$150+SUMPRODUCT('Part B'!$B$164:$N$164,C326:O326)</f>
        <v>29.5895688504037</v>
      </c>
      <c r="X326" s="1">
        <f>B326-W326</f>
        <v>-9.58956885040368</v>
      </c>
      <c r="Y326" s="1">
        <f>'Part B'!$B$179+SUMPRODUCT('Part B'!$B$193:$N$193,C326:O326)</f>
        <v>3.18523991171792</v>
      </c>
      <c r="Z326" s="1">
        <f>P326-Y326</f>
        <v>-0.189507638163931</v>
      </c>
      <c r="AB326" s="1">
        <f>C326</f>
        <v>0.268</v>
      </c>
      <c r="AC326" s="1">
        <f>D326</f>
        <v>90</v>
      </c>
      <c r="AD326" s="1">
        <f>E326</f>
        <v>3</v>
      </c>
      <c r="AE326" s="1">
        <f>F326</f>
        <v>0</v>
      </c>
      <c r="AF326" s="1">
        <f>G326</f>
        <v>0</v>
      </c>
      <c r="AG326" s="1">
        <f>I326</f>
        <v>0</v>
      </c>
      <c r="AH326" s="1">
        <f>J326</f>
        <v>0</v>
      </c>
      <c r="AI326" s="1">
        <f>Q326</f>
        <v>0</v>
      </c>
      <c r="AJ326" s="1">
        <f>K326</f>
        <v>0</v>
      </c>
      <c r="AK326" s="1">
        <f>L326</f>
        <v>0</v>
      </c>
      <c r="AL326" s="1">
        <f>M326</f>
        <v>0</v>
      </c>
      <c r="AM326" s="1">
        <f>N326</f>
        <v>0</v>
      </c>
      <c r="AN326" s="1">
        <f>O326</f>
        <v>0</v>
      </c>
    </row>
    <row r="327">
      <c r="A327" s="1">
        <v>444</v>
      </c>
      <c r="B327" s="1">
        <v>20</v>
      </c>
      <c r="C327" s="1">
        <v>0.338</v>
      </c>
      <c r="D327" s="1">
        <v>90</v>
      </c>
      <c r="E327" s="1">
        <v>3</v>
      </c>
      <c r="F327" s="1">
        <v>0</v>
      </c>
      <c r="G327" s="1">
        <v>0</v>
      </c>
      <c r="H327" s="1">
        <v>1</v>
      </c>
      <c r="I327" s="1">
        <v>0</v>
      </c>
      <c r="J327" s="1">
        <v>0</v>
      </c>
      <c r="K327" s="1">
        <v>0</v>
      </c>
      <c r="L327" s="1">
        <v>0</v>
      </c>
      <c r="M327" s="1">
        <v>0</v>
      </c>
      <c r="N327" s="1">
        <v>0</v>
      </c>
      <c r="O327" s="1">
        <v>0</v>
      </c>
      <c r="P327" s="1">
        <f>LN(B327)</f>
        <v>2.99573227355399</v>
      </c>
      <c r="Q327" s="1">
        <f>1-SUM(F327:J327)</f>
        <v>0</v>
      </c>
      <c r="R327" s="1" t="str">
        <f>IF(F327=1,"Napa valley",IF(G327=1,"Bay area",IF(H327=1,"Sonoma",IF(I327=1,"Sierra/foothills",IF(J327=1,"Mendocino/lake","Generic California")))))</f>
        <v>Sonoma</v>
      </c>
      <c r="S327" s="1" t="str">
        <f>IF(F327=1,"Napa valley",IF(H327=1,"Sonoma","Other"))</f>
        <v>Sonoma</v>
      </c>
      <c r="T327" s="1" t="str">
        <f>IF(M327=1,"Cabernet",IF(N327=1,"Merlot",IF(L327=1,"Pinot noir","Other")))</f>
        <v>Other</v>
      </c>
      <c r="U327" s="1" t="str">
        <f>IF(F327=1,B327,"")</f>
        <v/>
      </c>
      <c r="V327" s="1">
        <f>IF(F327=0,B327,"")</f>
        <v>20</v>
      </c>
      <c r="W327" s="1">
        <f>'Part B'!$B$150+SUMPRODUCT('Part B'!$B$164:$N$164,C327:O327)</f>
        <v>29.5829248865296</v>
      </c>
      <c r="X327" s="1">
        <f>B327-W327</f>
        <v>-9.58292488652955</v>
      </c>
      <c r="Y327" s="1">
        <f>'Part B'!$B$179+SUMPRODUCT('Part B'!$B$193:$N$193,C327:O327)</f>
        <v>3.18494037701777</v>
      </c>
      <c r="Z327" s="1">
        <f>P327-Y327</f>
        <v>-0.189208103463775</v>
      </c>
      <c r="AB327" s="1">
        <f>C327</f>
        <v>0.338</v>
      </c>
      <c r="AC327" s="1">
        <f>D327</f>
        <v>90</v>
      </c>
      <c r="AD327" s="1">
        <f>E327</f>
        <v>3</v>
      </c>
      <c r="AE327" s="1">
        <f>F327</f>
        <v>0</v>
      </c>
      <c r="AF327" s="1">
        <f>G327</f>
        <v>0</v>
      </c>
      <c r="AG327" s="1">
        <f>I327</f>
        <v>0</v>
      </c>
      <c r="AH327" s="1">
        <f>J327</f>
        <v>0</v>
      </c>
      <c r="AI327" s="1">
        <f>Q327</f>
        <v>0</v>
      </c>
      <c r="AJ327" s="1">
        <f>K327</f>
        <v>0</v>
      </c>
      <c r="AK327" s="1">
        <f>L327</f>
        <v>0</v>
      </c>
      <c r="AL327" s="1">
        <f>M327</f>
        <v>0</v>
      </c>
      <c r="AM327" s="1">
        <f>N327</f>
        <v>0</v>
      </c>
      <c r="AN327" s="1">
        <f>O327</f>
        <v>0</v>
      </c>
    </row>
    <row r="328">
      <c r="A328" s="1">
        <v>446</v>
      </c>
      <c r="B328" s="1">
        <v>20</v>
      </c>
      <c r="C328" s="1">
        <v>1.105</v>
      </c>
      <c r="D328" s="1">
        <v>89</v>
      </c>
      <c r="E328" s="1">
        <v>3</v>
      </c>
      <c r="F328" s="1">
        <v>0</v>
      </c>
      <c r="G328" s="1">
        <v>0</v>
      </c>
      <c r="H328" s="1">
        <v>0</v>
      </c>
      <c r="I328" s="1">
        <v>1</v>
      </c>
      <c r="J328" s="1">
        <v>0</v>
      </c>
      <c r="K328" s="1">
        <v>0</v>
      </c>
      <c r="L328" s="1">
        <v>0</v>
      </c>
      <c r="M328" s="1">
        <v>0</v>
      </c>
      <c r="N328" s="1">
        <v>0</v>
      </c>
      <c r="O328" s="1">
        <v>0</v>
      </c>
      <c r="P328" s="1">
        <f>LN(B328)</f>
        <v>2.99573227355399</v>
      </c>
      <c r="Q328" s="1">
        <f>1-SUM(F328:J328)</f>
        <v>0</v>
      </c>
      <c r="R328" s="1" t="str">
        <f>IF(F328=1,"Napa valley",IF(G328=1,"Bay area",IF(H328=1,"Sonoma",IF(I328=1,"Sierra/foothills",IF(J328=1,"Mendocino/lake","Generic California")))))</f>
        <v>Sierra/foothills</v>
      </c>
      <c r="S328" s="1" t="str">
        <f>IF(F328=1,"Napa valley",IF(H328=1,"Sonoma","Other"))</f>
        <v>Other</v>
      </c>
      <c r="T328" s="1" t="str">
        <f>IF(M328=1,"Cabernet",IF(N328=1,"Merlot",IF(L328=1,"Pinot noir","Other")))</f>
        <v>Other</v>
      </c>
      <c r="U328" s="1" t="str">
        <f>IF(F328=1,B328,"")</f>
        <v/>
      </c>
      <c r="V328" s="1">
        <f>IF(F328=0,B328,"")</f>
        <v>20</v>
      </c>
      <c r="W328" s="1">
        <f>'Part B'!$B$150+SUMPRODUCT('Part B'!$B$164:$N$164,C328:O328)</f>
        <v>32.2244450952119</v>
      </c>
      <c r="X328" s="1">
        <f>B328-W328</f>
        <v>-12.2244450952119</v>
      </c>
      <c r="Y328" s="1">
        <f>'Part B'!$B$179+SUMPRODUCT('Part B'!$B$193:$N$193,C328:O328)</f>
        <v>3.08099963273242</v>
      </c>
      <c r="Z328" s="1">
        <f>P328-Y328</f>
        <v>-0.085267359178427</v>
      </c>
      <c r="AB328" s="1">
        <f>C328</f>
        <v>1.105</v>
      </c>
      <c r="AC328" s="1">
        <f>D328</f>
        <v>89</v>
      </c>
      <c r="AD328" s="1">
        <f>E328</f>
        <v>3</v>
      </c>
      <c r="AE328" s="1">
        <f>F328</f>
        <v>0</v>
      </c>
      <c r="AF328" s="1">
        <f>G328</f>
        <v>0</v>
      </c>
      <c r="AG328" s="1">
        <f>I328</f>
        <v>1</v>
      </c>
      <c r="AH328" s="1">
        <f>J328</f>
        <v>0</v>
      </c>
      <c r="AI328" s="1">
        <f>Q328</f>
        <v>0</v>
      </c>
      <c r="AJ328" s="1">
        <f>K328</f>
        <v>0</v>
      </c>
      <c r="AK328" s="1">
        <f>L328</f>
        <v>0</v>
      </c>
      <c r="AL328" s="1">
        <f>M328</f>
        <v>0</v>
      </c>
      <c r="AM328" s="1">
        <f>N328</f>
        <v>0</v>
      </c>
      <c r="AN328" s="1">
        <f>O328</f>
        <v>0</v>
      </c>
    </row>
    <row r="329">
      <c r="A329" s="1">
        <v>447</v>
      </c>
      <c r="B329" s="1">
        <v>20</v>
      </c>
      <c r="C329" s="1">
        <v>1</v>
      </c>
      <c r="D329" s="1">
        <v>87</v>
      </c>
      <c r="E329" s="1">
        <v>3</v>
      </c>
      <c r="F329" s="1">
        <v>0</v>
      </c>
      <c r="G329" s="1">
        <v>0</v>
      </c>
      <c r="H329" s="1">
        <v>1</v>
      </c>
      <c r="I329" s="1">
        <v>0</v>
      </c>
      <c r="J329" s="1">
        <v>0</v>
      </c>
      <c r="K329" s="1">
        <v>0</v>
      </c>
      <c r="L329" s="1">
        <v>0</v>
      </c>
      <c r="M329" s="1">
        <v>0</v>
      </c>
      <c r="N329" s="1">
        <v>0</v>
      </c>
      <c r="O329" s="1">
        <v>0</v>
      </c>
      <c r="P329" s="1">
        <f>LN(B329)</f>
        <v>2.99573227355399</v>
      </c>
      <c r="Q329" s="1">
        <f>1-SUM(F329:J329)</f>
        <v>0</v>
      </c>
      <c r="R329" s="1" t="str">
        <f>IF(F329=1,"Napa valley",IF(G329=1,"Bay area",IF(H329=1,"Sonoma",IF(I329=1,"Sierra/foothills",IF(J329=1,"Mendocino/lake","Generic California")))))</f>
        <v>Sonoma</v>
      </c>
      <c r="S329" s="1" t="str">
        <f>IF(F329=1,"Napa valley",IF(H329=1,"Sonoma","Other"))</f>
        <v>Sonoma</v>
      </c>
      <c r="T329" s="1" t="str">
        <f>IF(M329=1,"Cabernet",IF(N329=1,"Merlot",IF(L329=1,"Pinot noir","Other")))</f>
        <v>Other</v>
      </c>
      <c r="U329" s="1" t="str">
        <f>IF(F329=1,B329,"")</f>
        <v/>
      </c>
      <c r="V329" s="1">
        <f>IF(F329=0,B329,"")</f>
        <v>20</v>
      </c>
      <c r="W329" s="1">
        <f>'Part B'!$B$150+SUMPRODUCT('Part B'!$B$164:$N$164,C329:O329)</f>
        <v>20.0848006939525</v>
      </c>
      <c r="X329" s="1">
        <f>B329-W329</f>
        <v>-0.0848006939525021</v>
      </c>
      <c r="Y329" s="1">
        <f>'Part B'!$B$179+SUMPRODUCT('Part B'!$B$193:$N$193,C329:O329)</f>
        <v>2.97222352817544</v>
      </c>
      <c r="Z329" s="1">
        <f>P329-Y329</f>
        <v>0.023508745378551</v>
      </c>
      <c r="AB329" s="1">
        <f>C329</f>
        <v>1</v>
      </c>
      <c r="AC329" s="1">
        <f>D329</f>
        <v>87</v>
      </c>
      <c r="AD329" s="1">
        <f>E329</f>
        <v>3</v>
      </c>
      <c r="AE329" s="1">
        <f>F329</f>
        <v>0</v>
      </c>
      <c r="AF329" s="1">
        <f>G329</f>
        <v>0</v>
      </c>
      <c r="AG329" s="1">
        <f>I329</f>
        <v>0</v>
      </c>
      <c r="AH329" s="1">
        <f>J329</f>
        <v>0</v>
      </c>
      <c r="AI329" s="1">
        <f>Q329</f>
        <v>0</v>
      </c>
      <c r="AJ329" s="1">
        <f>K329</f>
        <v>0</v>
      </c>
      <c r="AK329" s="1">
        <f>L329</f>
        <v>0</v>
      </c>
      <c r="AL329" s="1">
        <f>M329</f>
        <v>0</v>
      </c>
      <c r="AM329" s="1">
        <f>N329</f>
        <v>0</v>
      </c>
      <c r="AN329" s="1">
        <f>O329</f>
        <v>0</v>
      </c>
    </row>
    <row r="330">
      <c r="A330" s="1">
        <v>448</v>
      </c>
      <c r="B330" s="1">
        <v>20</v>
      </c>
      <c r="C330" s="1">
        <v>5.988</v>
      </c>
      <c r="D330" s="1">
        <v>87</v>
      </c>
      <c r="E330" s="1">
        <v>3</v>
      </c>
      <c r="F330" s="1">
        <v>0</v>
      </c>
      <c r="G330" s="1">
        <v>0</v>
      </c>
      <c r="H330" s="1">
        <v>1</v>
      </c>
      <c r="I330" s="1">
        <v>0</v>
      </c>
      <c r="J330" s="1">
        <v>0</v>
      </c>
      <c r="K330" s="1">
        <v>0</v>
      </c>
      <c r="L330" s="1">
        <v>0</v>
      </c>
      <c r="M330" s="1">
        <v>0</v>
      </c>
      <c r="N330" s="1">
        <v>0</v>
      </c>
      <c r="O330" s="1">
        <v>0</v>
      </c>
      <c r="P330" s="1">
        <f>LN(B330)</f>
        <v>2.99573227355399</v>
      </c>
      <c r="Q330" s="1">
        <f>1-SUM(F330:J330)</f>
        <v>0</v>
      </c>
      <c r="R330" s="1" t="str">
        <f>IF(F330=1,"Napa valley",IF(G330=1,"Bay area",IF(H330=1,"Sonoma",IF(I330=1,"Sierra/foothills",IF(J330=1,"Mendocino/lake","Generic California")))))</f>
        <v>Sonoma</v>
      </c>
      <c r="S330" s="1" t="str">
        <f>IF(F330=1,"Napa valley",IF(H330=1,"Sonoma","Other"))</f>
        <v>Sonoma</v>
      </c>
      <c r="T330" s="1" t="str">
        <f>IF(M330=1,"Cabernet",IF(N330=1,"Merlot",IF(L330=1,"Pinot noir","Other")))</f>
        <v>Other</v>
      </c>
      <c r="U330" s="1" t="str">
        <f>IF(F330=1,B330,"")</f>
        <v/>
      </c>
      <c r="V330" s="1">
        <f>IF(F330=0,B330,"")</f>
        <v>20</v>
      </c>
      <c r="W330" s="1">
        <f>'Part B'!$B$150+SUMPRODUCT('Part B'!$B$164:$N$164,C330:O330)</f>
        <v>19.6113708110378</v>
      </c>
      <c r="X330" s="1">
        <f>B330-W330</f>
        <v>0.38862918896217</v>
      </c>
      <c r="Y330" s="1">
        <f>'Part B'!$B$179+SUMPRODUCT('Part B'!$B$193:$N$193,C330:O330)</f>
        <v>2.95087954125576</v>
      </c>
      <c r="Z330" s="1">
        <f>P330-Y330</f>
        <v>0.0448527322982275</v>
      </c>
      <c r="AB330" s="1">
        <f>C330</f>
        <v>5.988</v>
      </c>
      <c r="AC330" s="1">
        <f>D330</f>
        <v>87</v>
      </c>
      <c r="AD330" s="1">
        <f>E330</f>
        <v>3</v>
      </c>
      <c r="AE330" s="1">
        <f>F330</f>
        <v>0</v>
      </c>
      <c r="AF330" s="1">
        <f>G330</f>
        <v>0</v>
      </c>
      <c r="AG330" s="1">
        <f>I330</f>
        <v>0</v>
      </c>
      <c r="AH330" s="1">
        <f>J330</f>
        <v>0</v>
      </c>
      <c r="AI330" s="1">
        <f>Q330</f>
        <v>0</v>
      </c>
      <c r="AJ330" s="1">
        <f>K330</f>
        <v>0</v>
      </c>
      <c r="AK330" s="1">
        <f>L330</f>
        <v>0</v>
      </c>
      <c r="AL330" s="1">
        <f>M330</f>
        <v>0</v>
      </c>
      <c r="AM330" s="1">
        <f>N330</f>
        <v>0</v>
      </c>
      <c r="AN330" s="1">
        <f>O330</f>
        <v>0</v>
      </c>
    </row>
    <row r="331">
      <c r="A331" s="1">
        <v>449</v>
      </c>
      <c r="B331" s="1">
        <v>20</v>
      </c>
      <c r="C331" s="1">
        <v>0.679</v>
      </c>
      <c r="D331" s="1">
        <v>84</v>
      </c>
      <c r="E331" s="1">
        <v>3</v>
      </c>
      <c r="F331" s="1">
        <v>0</v>
      </c>
      <c r="G331" s="1">
        <v>0</v>
      </c>
      <c r="H331" s="1">
        <v>1</v>
      </c>
      <c r="I331" s="1">
        <v>0</v>
      </c>
      <c r="J331" s="1">
        <v>0</v>
      </c>
      <c r="K331" s="1">
        <v>0</v>
      </c>
      <c r="L331" s="1">
        <v>0</v>
      </c>
      <c r="M331" s="1">
        <v>0</v>
      </c>
      <c r="N331" s="1">
        <v>0</v>
      </c>
      <c r="O331" s="1">
        <v>0</v>
      </c>
      <c r="P331" s="1">
        <f>LN(B331)</f>
        <v>2.99573227355399</v>
      </c>
      <c r="Q331" s="1">
        <f>1-SUM(F331:J331)</f>
        <v>0</v>
      </c>
      <c r="R331" s="1" t="str">
        <f>IF(F331=1,"Napa valley",IF(G331=1,"Bay area",IF(H331=1,"Sonoma",IF(I331=1,"Sierra/foothills",IF(J331=1,"Mendocino/lake","Generic California")))))</f>
        <v>Sonoma</v>
      </c>
      <c r="S331" s="1" t="str">
        <f>IF(F331=1,"Napa valley",IF(H331=1,"Sonoma","Other"))</f>
        <v>Sonoma</v>
      </c>
      <c r="T331" s="1" t="str">
        <f>IF(M331=1,"Cabernet",IF(N331=1,"Merlot",IF(L331=1,"Pinot noir","Other")))</f>
        <v>Other</v>
      </c>
      <c r="U331" s="1" t="str">
        <f>IF(F331=1,B331,"")</f>
        <v/>
      </c>
      <c r="V331" s="1">
        <f>IF(F331=0,B331,"")</f>
        <v>20</v>
      </c>
      <c r="W331" s="1">
        <f>'Part B'!$B$150+SUMPRODUCT('Part B'!$B$164:$N$164,C331:O331)</f>
        <v>10.6799767369218</v>
      </c>
      <c r="X331" s="1">
        <f>B331-W331</f>
        <v>9.32002326307816</v>
      </c>
      <c r="Y331" s="1">
        <f>'Part B'!$B$179+SUMPRODUCT('Part B'!$B$193:$N$193,C331:O331)</f>
        <v>2.76371300233673</v>
      </c>
      <c r="Z331" s="1">
        <f>P331-Y331</f>
        <v>0.232019271217258</v>
      </c>
      <c r="AB331" s="1">
        <f>C331</f>
        <v>0.679</v>
      </c>
      <c r="AC331" s="1">
        <f>D331</f>
        <v>84</v>
      </c>
      <c r="AD331" s="1">
        <f>E331</f>
        <v>3</v>
      </c>
      <c r="AE331" s="1">
        <f>F331</f>
        <v>0</v>
      </c>
      <c r="AF331" s="1">
        <f>G331</f>
        <v>0</v>
      </c>
      <c r="AG331" s="1">
        <f>I331</f>
        <v>0</v>
      </c>
      <c r="AH331" s="1">
        <f>J331</f>
        <v>0</v>
      </c>
      <c r="AI331" s="1">
        <f>Q331</f>
        <v>0</v>
      </c>
      <c r="AJ331" s="1">
        <f>K331</f>
        <v>0</v>
      </c>
      <c r="AK331" s="1">
        <f>L331</f>
        <v>0</v>
      </c>
      <c r="AL331" s="1">
        <f>M331</f>
        <v>0</v>
      </c>
      <c r="AM331" s="1">
        <f>N331</f>
        <v>0</v>
      </c>
      <c r="AN331" s="1">
        <f>O331</f>
        <v>0</v>
      </c>
    </row>
    <row r="332">
      <c r="A332" s="1">
        <v>451</v>
      </c>
      <c r="B332" s="1">
        <v>20</v>
      </c>
      <c r="C332" s="1">
        <v>0.261</v>
      </c>
      <c r="D332" s="1">
        <v>78</v>
      </c>
      <c r="E332" s="1">
        <v>3</v>
      </c>
      <c r="F332" s="1">
        <v>0</v>
      </c>
      <c r="G332" s="1">
        <v>0</v>
      </c>
      <c r="H332" s="1">
        <v>1</v>
      </c>
      <c r="I332" s="1">
        <v>0</v>
      </c>
      <c r="J332" s="1">
        <v>0</v>
      </c>
      <c r="K332" s="1">
        <v>0</v>
      </c>
      <c r="L332" s="1">
        <v>0</v>
      </c>
      <c r="M332" s="1">
        <v>0</v>
      </c>
      <c r="N332" s="1">
        <v>1</v>
      </c>
      <c r="O332" s="1">
        <v>0</v>
      </c>
      <c r="P332" s="1">
        <f>LN(B332)</f>
        <v>2.99573227355399</v>
      </c>
      <c r="Q332" s="1">
        <f>1-SUM(F332:J332)</f>
        <v>0</v>
      </c>
      <c r="R332" s="1" t="str">
        <f>IF(F332=1,"Napa valley",IF(G332=1,"Bay area",IF(H332=1,"Sonoma",IF(I332=1,"Sierra/foothills",IF(J332=1,"Mendocino/lake","Generic California")))))</f>
        <v>Sonoma</v>
      </c>
      <c r="S332" s="1" t="str">
        <f>IF(F332=1,"Napa valley",IF(H332=1,"Sonoma","Other"))</f>
        <v>Sonoma</v>
      </c>
      <c r="T332" s="1" t="str">
        <f>IF(M332=1,"Cabernet",IF(N332=1,"Merlot",IF(L332=1,"Pinot noir","Other")))</f>
        <v>Merlot</v>
      </c>
      <c r="U332" s="1" t="str">
        <f>IF(F332=1,B332,"")</f>
        <v/>
      </c>
      <c r="V332" s="1">
        <f>IF(F332=0,B332,"")</f>
        <v>20</v>
      </c>
      <c r="W332" s="1">
        <f>'Part B'!$B$150+SUMPRODUCT('Part B'!$B$164:$N$164,C332:O332)</f>
        <v>-0.490722307173144</v>
      </c>
      <c r="X332" s="1">
        <f>B332-W332</f>
        <v>20.4907223071731</v>
      </c>
      <c r="Y332" s="1">
        <f>'Part B'!$B$179+SUMPRODUCT('Part B'!$B$193:$N$193,C332:O332)</f>
        <v>2.63024816948715</v>
      </c>
      <c r="Z332" s="1">
        <f>P332-Y332</f>
        <v>0.365484104066844</v>
      </c>
      <c r="AB332" s="1">
        <f>C332</f>
        <v>0.261</v>
      </c>
      <c r="AC332" s="1">
        <f>D332</f>
        <v>78</v>
      </c>
      <c r="AD332" s="1">
        <f>E332</f>
        <v>3</v>
      </c>
      <c r="AE332" s="1">
        <f>F332</f>
        <v>0</v>
      </c>
      <c r="AF332" s="1">
        <f>G332</f>
        <v>0</v>
      </c>
      <c r="AG332" s="1">
        <f>I332</f>
        <v>0</v>
      </c>
      <c r="AH332" s="1">
        <f>J332</f>
        <v>0</v>
      </c>
      <c r="AI332" s="1">
        <f>Q332</f>
        <v>0</v>
      </c>
      <c r="AJ332" s="1">
        <f>K332</f>
        <v>0</v>
      </c>
      <c r="AK332" s="1">
        <f>L332</f>
        <v>0</v>
      </c>
      <c r="AL332" s="1">
        <f>M332</f>
        <v>0</v>
      </c>
      <c r="AM332" s="1">
        <f>N332</f>
        <v>1</v>
      </c>
      <c r="AN332" s="1">
        <f>O332</f>
        <v>0</v>
      </c>
    </row>
    <row r="333">
      <c r="A333" s="1">
        <v>454</v>
      </c>
      <c r="B333" s="1">
        <v>20</v>
      </c>
      <c r="C333" s="1">
        <v>3.5</v>
      </c>
      <c r="D333" s="1">
        <v>88</v>
      </c>
      <c r="E333" s="1">
        <v>3</v>
      </c>
      <c r="F333" s="1">
        <v>0</v>
      </c>
      <c r="G333" s="1">
        <v>0</v>
      </c>
      <c r="H333" s="1">
        <v>1</v>
      </c>
      <c r="I333" s="1">
        <v>0</v>
      </c>
      <c r="J333" s="1">
        <v>0</v>
      </c>
      <c r="K333" s="1">
        <v>0</v>
      </c>
      <c r="L333" s="1">
        <v>0</v>
      </c>
      <c r="M333" s="1">
        <v>1</v>
      </c>
      <c r="N333" s="1">
        <v>0</v>
      </c>
      <c r="O333" s="1">
        <v>0</v>
      </c>
      <c r="P333" s="1">
        <f>LN(B333)</f>
        <v>2.99573227355399</v>
      </c>
      <c r="Q333" s="1">
        <f>1-SUM(F333:J333)</f>
        <v>0</v>
      </c>
      <c r="R333" s="1" t="str">
        <f>IF(F333=1,"Napa valley",IF(G333=1,"Bay area",IF(H333=1,"Sonoma",IF(I333=1,"Sierra/foothills",IF(J333=1,"Mendocino/lake","Generic California")))))</f>
        <v>Sonoma</v>
      </c>
      <c r="S333" s="1" t="str">
        <f>IF(F333=1,"Napa valley",IF(H333=1,"Sonoma","Other"))</f>
        <v>Sonoma</v>
      </c>
      <c r="T333" s="1" t="str">
        <f>IF(M333=1,"Cabernet",IF(N333=1,"Merlot",IF(L333=1,"Pinot noir","Other")))</f>
        <v>Cabernet</v>
      </c>
      <c r="U333" s="1" t="str">
        <f>IF(F333=1,B333,"")</f>
        <v/>
      </c>
      <c r="V333" s="1">
        <f>IF(F333=0,B333,"")</f>
        <v>20</v>
      </c>
      <c r="W333" s="1">
        <f>'Part B'!$B$150+SUMPRODUCT('Part B'!$B$164:$N$164,C333:O333)</f>
        <v>35.6198670044282</v>
      </c>
      <c r="X333" s="1">
        <f>B333-W333</f>
        <v>-15.6198670044282</v>
      </c>
      <c r="Y333" s="1">
        <f>'Part B'!$B$179+SUMPRODUCT('Part B'!$B$193:$N$193,C333:O333)</f>
        <v>3.35248288949753</v>
      </c>
      <c r="Z333" s="1">
        <f>P333-Y333</f>
        <v>-0.356750615943539</v>
      </c>
      <c r="AB333" s="1">
        <f>C333</f>
        <v>3.5</v>
      </c>
      <c r="AC333" s="1">
        <f>D333</f>
        <v>88</v>
      </c>
      <c r="AD333" s="1">
        <f>E333</f>
        <v>3</v>
      </c>
      <c r="AE333" s="1">
        <f>F333</f>
        <v>0</v>
      </c>
      <c r="AF333" s="1">
        <f>G333</f>
        <v>0</v>
      </c>
      <c r="AG333" s="1">
        <f>I333</f>
        <v>0</v>
      </c>
      <c r="AH333" s="1">
        <f>J333</f>
        <v>0</v>
      </c>
      <c r="AI333" s="1">
        <f>Q333</f>
        <v>0</v>
      </c>
      <c r="AJ333" s="1">
        <f>K333</f>
        <v>0</v>
      </c>
      <c r="AK333" s="1">
        <f>L333</f>
        <v>0</v>
      </c>
      <c r="AL333" s="1">
        <f>M333</f>
        <v>1</v>
      </c>
      <c r="AM333" s="1">
        <f>N333</f>
        <v>0</v>
      </c>
      <c r="AN333" s="1">
        <f>O333</f>
        <v>0</v>
      </c>
    </row>
    <row r="334">
      <c r="A334" s="1">
        <v>455</v>
      </c>
      <c r="B334" s="1">
        <v>20</v>
      </c>
      <c r="C334" s="1">
        <v>12</v>
      </c>
      <c r="D334" s="1">
        <v>83</v>
      </c>
      <c r="E334" s="1">
        <v>3</v>
      </c>
      <c r="F334" s="1">
        <v>1</v>
      </c>
      <c r="G334" s="1">
        <v>0</v>
      </c>
      <c r="H334" s="1">
        <v>0</v>
      </c>
      <c r="I334" s="1">
        <v>0</v>
      </c>
      <c r="J334" s="1">
        <v>0</v>
      </c>
      <c r="K334" s="1">
        <v>0</v>
      </c>
      <c r="L334" s="1">
        <v>0</v>
      </c>
      <c r="M334" s="1">
        <v>0</v>
      </c>
      <c r="N334" s="1">
        <v>1</v>
      </c>
      <c r="O334" s="1">
        <v>0</v>
      </c>
      <c r="P334" s="1">
        <f>LN(B334)</f>
        <v>2.99573227355399</v>
      </c>
      <c r="Q334" s="1">
        <f>1-SUM(F334:J334)</f>
        <v>0</v>
      </c>
      <c r="R334" s="1" t="str">
        <f>IF(F334=1,"Napa valley",IF(G334=1,"Bay area",IF(H334=1,"Sonoma",IF(I334=1,"Sierra/foothills",IF(J334=1,"Mendocino/lake","Generic California")))))</f>
        <v>Napa valley</v>
      </c>
      <c r="S334" s="1" t="str">
        <f>IF(F334=1,"Napa valley",IF(H334=1,"Sonoma","Other"))</f>
        <v>Napa valley</v>
      </c>
      <c r="T334" s="1" t="str">
        <f>IF(M334=1,"Cabernet",IF(N334=1,"Merlot",IF(L334=1,"Pinot noir","Other")))</f>
        <v>Merlot</v>
      </c>
      <c r="U334" s="1">
        <f>IF(F334=1,B334,"")</f>
        <v>20</v>
      </c>
      <c r="V334" s="1" t="str">
        <f>IF(F334=0,B334,"")</f>
        <v/>
      </c>
      <c r="W334" s="1">
        <f>'Part B'!$B$150+SUMPRODUCT('Part B'!$B$164:$N$164,C334:O334)</f>
        <v>22.0170182327402</v>
      </c>
      <c r="X334" s="1">
        <f>B334-W334</f>
        <v>-2.01701823274016</v>
      </c>
      <c r="Y334" s="1">
        <f>'Part B'!$B$179+SUMPRODUCT('Part B'!$B$193:$N$193,C334:O334)</f>
        <v>3.07761060915832</v>
      </c>
      <c r="Z334" s="1">
        <f>P334-Y334</f>
        <v>-0.0818783356043249</v>
      </c>
      <c r="AB334" s="1">
        <f>C334</f>
        <v>12</v>
      </c>
      <c r="AC334" s="1">
        <f>D334</f>
        <v>83</v>
      </c>
      <c r="AD334" s="1">
        <f>E334</f>
        <v>3</v>
      </c>
      <c r="AE334" s="1">
        <f>F334</f>
        <v>1</v>
      </c>
      <c r="AF334" s="1">
        <f>G334</f>
        <v>0</v>
      </c>
      <c r="AG334" s="1">
        <f>I334</f>
        <v>0</v>
      </c>
      <c r="AH334" s="1">
        <f>J334</f>
        <v>0</v>
      </c>
      <c r="AI334" s="1">
        <f>Q334</f>
        <v>0</v>
      </c>
      <c r="AJ334" s="1">
        <f>K334</f>
        <v>0</v>
      </c>
      <c r="AK334" s="1">
        <f>L334</f>
        <v>0</v>
      </c>
      <c r="AL334" s="1">
        <f>M334</f>
        <v>0</v>
      </c>
      <c r="AM334" s="1">
        <f>N334</f>
        <v>1</v>
      </c>
      <c r="AN334" s="1">
        <f>O334</f>
        <v>0</v>
      </c>
    </row>
    <row r="335">
      <c r="A335" s="1">
        <v>456</v>
      </c>
      <c r="B335" s="1">
        <v>20</v>
      </c>
      <c r="C335" s="1">
        <v>1.5</v>
      </c>
      <c r="D335" s="1">
        <v>90</v>
      </c>
      <c r="E335" s="1">
        <v>3</v>
      </c>
      <c r="F335" s="1">
        <v>1</v>
      </c>
      <c r="G335" s="1">
        <v>0</v>
      </c>
      <c r="H335" s="1">
        <v>0</v>
      </c>
      <c r="I335" s="1">
        <v>0</v>
      </c>
      <c r="J335" s="1">
        <v>0</v>
      </c>
      <c r="K335" s="1">
        <v>0</v>
      </c>
      <c r="L335" s="1">
        <v>0</v>
      </c>
      <c r="M335" s="1">
        <v>0</v>
      </c>
      <c r="N335" s="1">
        <v>0</v>
      </c>
      <c r="O335" s="1">
        <v>0</v>
      </c>
      <c r="P335" s="1">
        <f>LN(B335)</f>
        <v>2.99573227355399</v>
      </c>
      <c r="Q335" s="1">
        <f>1-SUM(F335:J335)</f>
        <v>0</v>
      </c>
      <c r="R335" s="1" t="str">
        <f>IF(F335=1,"Napa valley",IF(G335=1,"Bay area",IF(H335=1,"Sonoma",IF(I335=1,"Sierra/foothills",IF(J335=1,"Mendocino/lake","Generic California")))))</f>
        <v>Napa valley</v>
      </c>
      <c r="S335" s="1" t="str">
        <f>IF(F335=1,"Napa valley",IF(H335=1,"Sonoma","Other"))</f>
        <v>Napa valley</v>
      </c>
      <c r="T335" s="1" t="str">
        <f>IF(M335=1,"Cabernet",IF(N335=1,"Merlot",IF(L335=1,"Pinot noir","Other")))</f>
        <v>Other</v>
      </c>
      <c r="U335" s="1">
        <f>IF(F335=1,B335,"")</f>
        <v>20</v>
      </c>
      <c r="V335" s="1" t="str">
        <f>IF(F335=0,B335,"")</f>
        <v/>
      </c>
      <c r="W335" s="1">
        <f>'Part B'!$B$150+SUMPRODUCT('Part B'!$B$164:$N$164,C335:O335)</f>
        <v>37.3690829060167</v>
      </c>
      <c r="X335" s="1">
        <f>B335-W335</f>
        <v>-17.3690829060167</v>
      </c>
      <c r="Y335" s="1">
        <f>'Part B'!$B$179+SUMPRODUCT('Part B'!$B$193:$N$193,C335:O335)</f>
        <v>3.32775566589535</v>
      </c>
      <c r="Z335" s="1">
        <f>P335-Y335</f>
        <v>-0.332023392341358</v>
      </c>
      <c r="AB335" s="1">
        <f>C335</f>
        <v>1.5</v>
      </c>
      <c r="AC335" s="1">
        <f>D335</f>
        <v>90</v>
      </c>
      <c r="AD335" s="1">
        <f>E335</f>
        <v>3</v>
      </c>
      <c r="AE335" s="1">
        <f>F335</f>
        <v>1</v>
      </c>
      <c r="AF335" s="1">
        <f>G335</f>
        <v>0</v>
      </c>
      <c r="AG335" s="1">
        <f>I335</f>
        <v>0</v>
      </c>
      <c r="AH335" s="1">
        <f>J335</f>
        <v>0</v>
      </c>
      <c r="AI335" s="1">
        <f>Q335</f>
        <v>0</v>
      </c>
      <c r="AJ335" s="1">
        <f>K335</f>
        <v>0</v>
      </c>
      <c r="AK335" s="1">
        <f>L335</f>
        <v>0</v>
      </c>
      <c r="AL335" s="1">
        <f>M335</f>
        <v>0</v>
      </c>
      <c r="AM335" s="1">
        <f>N335</f>
        <v>0</v>
      </c>
      <c r="AN335" s="1">
        <f>O335</f>
        <v>0</v>
      </c>
    </row>
    <row r="336">
      <c r="A336" s="1">
        <v>457</v>
      </c>
      <c r="B336" s="1">
        <v>20</v>
      </c>
      <c r="C336" s="1">
        <v>1.2</v>
      </c>
      <c r="D336" s="1">
        <v>88</v>
      </c>
      <c r="E336" s="1">
        <v>3</v>
      </c>
      <c r="F336" s="1">
        <v>0</v>
      </c>
      <c r="G336" s="1">
        <v>0</v>
      </c>
      <c r="H336" s="1">
        <v>1</v>
      </c>
      <c r="I336" s="1">
        <v>0</v>
      </c>
      <c r="J336" s="1">
        <v>0</v>
      </c>
      <c r="K336" s="1">
        <v>0</v>
      </c>
      <c r="L336" s="1">
        <v>0</v>
      </c>
      <c r="M336" s="1">
        <v>0</v>
      </c>
      <c r="N336" s="1">
        <v>1</v>
      </c>
      <c r="O336" s="1">
        <v>0</v>
      </c>
      <c r="P336" s="1">
        <f>LN(B336)</f>
        <v>2.99573227355399</v>
      </c>
      <c r="Q336" s="1">
        <f>1-SUM(F336:J336)</f>
        <v>0</v>
      </c>
      <c r="R336" s="1" t="str">
        <f>IF(F336=1,"Napa valley",IF(G336=1,"Bay area",IF(H336=1,"Sonoma",IF(I336=1,"Sierra/foothills",IF(J336=1,"Mendocino/lake","Generic California")))))</f>
        <v>Sonoma</v>
      </c>
      <c r="S336" s="1" t="str">
        <f>IF(F336=1,"Napa valley",IF(H336=1,"Sonoma","Other"))</f>
        <v>Sonoma</v>
      </c>
      <c r="T336" s="1" t="str">
        <f>IF(M336=1,"Cabernet",IF(N336=1,"Merlot",IF(L336=1,"Pinot noir","Other")))</f>
        <v>Merlot</v>
      </c>
      <c r="U336" s="1" t="str">
        <f>IF(F336=1,B336,"")</f>
        <v/>
      </c>
      <c r="V336" s="1">
        <f>IF(F336=0,B336,"")</f>
        <v>20</v>
      </c>
      <c r="W336" s="1">
        <f>'Part B'!$B$150+SUMPRODUCT('Part B'!$B$164:$N$164,C336:O336)</f>
        <v>30.8711245867507</v>
      </c>
      <c r="X336" s="1">
        <f>B336-W336</f>
        <v>-10.8711245867507</v>
      </c>
      <c r="Y336" s="1">
        <f>'Part B'!$B$179+SUMPRODUCT('Part B'!$B$193:$N$193,C336:O336)</f>
        <v>3.32584381341218</v>
      </c>
      <c r="Z336" s="1">
        <f>P336-Y336</f>
        <v>-0.330111539858189</v>
      </c>
      <c r="AB336" s="1">
        <f>C336</f>
        <v>1.2</v>
      </c>
      <c r="AC336" s="1">
        <f>D336</f>
        <v>88</v>
      </c>
      <c r="AD336" s="1">
        <f>E336</f>
        <v>3</v>
      </c>
      <c r="AE336" s="1">
        <f>F336</f>
        <v>0</v>
      </c>
      <c r="AF336" s="1">
        <f>G336</f>
        <v>0</v>
      </c>
      <c r="AG336" s="1">
        <f>I336</f>
        <v>0</v>
      </c>
      <c r="AH336" s="1">
        <f>J336</f>
        <v>0</v>
      </c>
      <c r="AI336" s="1">
        <f>Q336</f>
        <v>0</v>
      </c>
      <c r="AJ336" s="1">
        <f>K336</f>
        <v>0</v>
      </c>
      <c r="AK336" s="1">
        <f>L336</f>
        <v>0</v>
      </c>
      <c r="AL336" s="1">
        <f>M336</f>
        <v>0</v>
      </c>
      <c r="AM336" s="1">
        <f>N336</f>
        <v>1</v>
      </c>
      <c r="AN336" s="1">
        <f>O336</f>
        <v>0</v>
      </c>
    </row>
    <row r="337">
      <c r="A337" s="1">
        <v>458</v>
      </c>
      <c r="B337" s="1">
        <v>20</v>
      </c>
      <c r="C337" s="1">
        <v>2.45</v>
      </c>
      <c r="D337" s="1">
        <v>82</v>
      </c>
      <c r="E337" s="1">
        <v>3</v>
      </c>
      <c r="F337" s="1">
        <v>0</v>
      </c>
      <c r="G337" s="1">
        <v>0</v>
      </c>
      <c r="H337" s="1">
        <v>1</v>
      </c>
      <c r="I337" s="1">
        <v>0</v>
      </c>
      <c r="J337" s="1">
        <v>0</v>
      </c>
      <c r="K337" s="1">
        <v>0</v>
      </c>
      <c r="L337" s="1">
        <v>0</v>
      </c>
      <c r="M337" s="1">
        <v>0</v>
      </c>
      <c r="N337" s="1">
        <v>0</v>
      </c>
      <c r="O337" s="1">
        <v>0</v>
      </c>
      <c r="P337" s="1">
        <f>LN(B337)</f>
        <v>2.99573227355399</v>
      </c>
      <c r="Q337" s="1">
        <f>1-SUM(F337:J337)</f>
        <v>0</v>
      </c>
      <c r="R337" s="1" t="str">
        <f>IF(F337=1,"Napa valley",IF(G337=1,"Bay area",IF(H337=1,"Sonoma",IF(I337=1,"Sierra/foothills",IF(J337=1,"Mendocino/lake","Generic California")))))</f>
        <v>Sonoma</v>
      </c>
      <c r="S337" s="1" t="str">
        <f>IF(F337=1,"Napa valley",IF(H337=1,"Sonoma","Other"))</f>
        <v>Sonoma</v>
      </c>
      <c r="T337" s="1" t="str">
        <f>IF(M337=1,"Cabernet",IF(N337=1,"Merlot",IF(L337=1,"Pinot noir","Other")))</f>
        <v>Other</v>
      </c>
      <c r="U337" s="1" t="str">
        <f>IF(F337=1,B337,"")</f>
        <v/>
      </c>
      <c r="V337" s="1">
        <f>IF(F337=0,B337,"")</f>
        <v>20</v>
      </c>
      <c r="W337" s="1">
        <f>'Part B'!$B$150+SUMPRODUCT('Part B'!$B$164:$N$164,C337:O337)</f>
        <v>4.2216902661857</v>
      </c>
      <c r="X337" s="1">
        <f>B337-W337</f>
        <v>15.7783097338143</v>
      </c>
      <c r="Y337" s="1">
        <f>'Part B'!$B$179+SUMPRODUCT('Part B'!$B$193:$N$193,C337:O337)</f>
        <v>2.61621203682794</v>
      </c>
      <c r="Z337" s="1">
        <f>P337-Y337</f>
        <v>0.379520236726055</v>
      </c>
      <c r="AB337" s="1">
        <f>C337</f>
        <v>2.45</v>
      </c>
      <c r="AC337" s="1">
        <f>D337</f>
        <v>82</v>
      </c>
      <c r="AD337" s="1">
        <f>E337</f>
        <v>3</v>
      </c>
      <c r="AE337" s="1">
        <f>F337</f>
        <v>0</v>
      </c>
      <c r="AF337" s="1">
        <f>G337</f>
        <v>0</v>
      </c>
      <c r="AG337" s="1">
        <f>I337</f>
        <v>0</v>
      </c>
      <c r="AH337" s="1">
        <f>J337</f>
        <v>0</v>
      </c>
      <c r="AI337" s="1">
        <f>Q337</f>
        <v>0</v>
      </c>
      <c r="AJ337" s="1">
        <f>K337</f>
        <v>0</v>
      </c>
      <c r="AK337" s="1">
        <f>L337</f>
        <v>0</v>
      </c>
      <c r="AL337" s="1">
        <f>M337</f>
        <v>0</v>
      </c>
      <c r="AM337" s="1">
        <f>N337</f>
        <v>0</v>
      </c>
      <c r="AN337" s="1">
        <f>O337</f>
        <v>0</v>
      </c>
    </row>
    <row r="338">
      <c r="A338" s="1">
        <v>459</v>
      </c>
      <c r="B338" s="1">
        <v>20</v>
      </c>
      <c r="C338" s="1">
        <v>0.26</v>
      </c>
      <c r="D338" s="1">
        <v>88</v>
      </c>
      <c r="E338" s="1">
        <v>3</v>
      </c>
      <c r="F338" s="1">
        <v>0</v>
      </c>
      <c r="G338" s="1">
        <v>0</v>
      </c>
      <c r="H338" s="1">
        <v>1</v>
      </c>
      <c r="I338" s="1">
        <v>0</v>
      </c>
      <c r="J338" s="1">
        <v>0</v>
      </c>
      <c r="K338" s="1">
        <v>0</v>
      </c>
      <c r="L338" s="1">
        <v>0</v>
      </c>
      <c r="M338" s="1">
        <v>0</v>
      </c>
      <c r="N338" s="1">
        <v>0</v>
      </c>
      <c r="O338" s="1">
        <v>0</v>
      </c>
      <c r="P338" s="1">
        <f>LN(B338)</f>
        <v>2.99573227355399</v>
      </c>
      <c r="Q338" s="1">
        <f>1-SUM(F338:J338)</f>
        <v>0</v>
      </c>
      <c r="R338" s="1" t="str">
        <f>IF(F338=1,"Napa valley",IF(G338=1,"Bay area",IF(H338=1,"Sonoma",IF(I338=1,"Sierra/foothills",IF(J338=1,"Mendocino/lake","Generic California")))))</f>
        <v>Sonoma</v>
      </c>
      <c r="S338" s="1" t="str">
        <f>IF(F338=1,"Napa valley",IF(H338=1,"Sonoma","Other"))</f>
        <v>Sonoma</v>
      </c>
      <c r="T338" s="1" t="str">
        <f>IF(M338=1,"Cabernet",IF(N338=1,"Merlot",IF(L338=1,"Pinot noir","Other")))</f>
        <v>Other</v>
      </c>
      <c r="U338" s="1" t="str">
        <f>IF(F338=1,B338,"")</f>
        <v/>
      </c>
      <c r="V338" s="1">
        <f>IF(F338=0,B338,"")</f>
        <v>20</v>
      </c>
      <c r="W338" s="1">
        <f>'Part B'!$B$150+SUMPRODUCT('Part B'!$B$164:$N$164,C338:O338)</f>
        <v>23.3001339758394</v>
      </c>
      <c r="X338" s="1">
        <f>B338-W338</f>
        <v>-3.3001339758394</v>
      </c>
      <c r="Y338" s="1">
        <f>'Part B'!$B$179+SUMPRODUCT('Part B'!$B$193:$N$193,C338:O338)</f>
        <v>3.04535140666023</v>
      </c>
      <c r="Z338" s="1">
        <f>P338-Y338</f>
        <v>-0.0496191331062374</v>
      </c>
      <c r="AB338" s="1">
        <f>C338</f>
        <v>0.26</v>
      </c>
      <c r="AC338" s="1">
        <f>D338</f>
        <v>88</v>
      </c>
      <c r="AD338" s="1">
        <f>E338</f>
        <v>3</v>
      </c>
      <c r="AE338" s="1">
        <f>F338</f>
        <v>0</v>
      </c>
      <c r="AF338" s="1">
        <f>G338</f>
        <v>0</v>
      </c>
      <c r="AG338" s="1">
        <f>I338</f>
        <v>0</v>
      </c>
      <c r="AH338" s="1">
        <f>J338</f>
        <v>0</v>
      </c>
      <c r="AI338" s="1">
        <f>Q338</f>
        <v>0</v>
      </c>
      <c r="AJ338" s="1">
        <f>K338</f>
        <v>0</v>
      </c>
      <c r="AK338" s="1">
        <f>L338</f>
        <v>0</v>
      </c>
      <c r="AL338" s="1">
        <f>M338</f>
        <v>0</v>
      </c>
      <c r="AM338" s="1">
        <f>N338</f>
        <v>0</v>
      </c>
      <c r="AN338" s="1">
        <f>O338</f>
        <v>0</v>
      </c>
    </row>
    <row r="339">
      <c r="A339" s="1">
        <v>460</v>
      </c>
      <c r="B339" s="1">
        <v>20</v>
      </c>
      <c r="C339" s="1">
        <v>1.7</v>
      </c>
      <c r="D339" s="1">
        <v>90</v>
      </c>
      <c r="E339" s="1">
        <v>3</v>
      </c>
      <c r="F339" s="1">
        <v>0</v>
      </c>
      <c r="G339" s="1">
        <v>0</v>
      </c>
      <c r="H339" s="1">
        <v>1</v>
      </c>
      <c r="I339" s="1">
        <v>0</v>
      </c>
      <c r="J339" s="1">
        <v>0</v>
      </c>
      <c r="K339" s="1">
        <v>0</v>
      </c>
      <c r="L339" s="1">
        <v>0</v>
      </c>
      <c r="M339" s="1">
        <v>0</v>
      </c>
      <c r="N339" s="1">
        <v>0</v>
      </c>
      <c r="O339" s="1">
        <v>0</v>
      </c>
      <c r="P339" s="1">
        <f>LN(B339)</f>
        <v>2.99573227355399</v>
      </c>
      <c r="Q339" s="1">
        <f>1-SUM(F339:J339)</f>
        <v>0</v>
      </c>
      <c r="R339" s="1" t="str">
        <f>IF(F339=1,"Napa valley",IF(G339=1,"Bay area",IF(H339=1,"Sonoma",IF(I339=1,"Sierra/foothills",IF(J339=1,"Mendocino/lake","Generic California")))))</f>
        <v>Sonoma</v>
      </c>
      <c r="S339" s="1" t="str">
        <f>IF(F339=1,"Napa valley",IF(H339=1,"Sonoma","Other"))</f>
        <v>Sonoma</v>
      </c>
      <c r="T339" s="1" t="str">
        <f>IF(M339=1,"Cabernet",IF(N339=1,"Merlot",IF(L339=1,"Pinot noir","Other")))</f>
        <v>Other</v>
      </c>
      <c r="U339" s="1" t="str">
        <f>IF(F339=1,B339,"")</f>
        <v/>
      </c>
      <c r="V339" s="1">
        <f>IF(F339=0,B339,"")</f>
        <v>20</v>
      </c>
      <c r="W339" s="1">
        <f>'Part B'!$B$150+SUMPRODUCT('Part B'!$B$164:$N$164,C339:O339)</f>
        <v>29.4536523322934</v>
      </c>
      <c r="X339" s="1">
        <f>B339-W339</f>
        <v>-9.45365233229342</v>
      </c>
      <c r="Y339" s="1">
        <f>'Part B'!$B$179+SUMPRODUCT('Part B'!$B$193:$N$193,C339:O339)</f>
        <v>3.17911228756616</v>
      </c>
      <c r="Z339" s="1">
        <f>P339-Y339</f>
        <v>-0.183380014012171</v>
      </c>
      <c r="AB339" s="1">
        <f>C339</f>
        <v>1.7</v>
      </c>
      <c r="AC339" s="1">
        <f>D339</f>
        <v>90</v>
      </c>
      <c r="AD339" s="1">
        <f>E339</f>
        <v>3</v>
      </c>
      <c r="AE339" s="1">
        <f>F339</f>
        <v>0</v>
      </c>
      <c r="AF339" s="1">
        <f>G339</f>
        <v>0</v>
      </c>
      <c r="AG339" s="1">
        <f>I339</f>
        <v>0</v>
      </c>
      <c r="AH339" s="1">
        <f>J339</f>
        <v>0</v>
      </c>
      <c r="AI339" s="1">
        <f>Q339</f>
        <v>0</v>
      </c>
      <c r="AJ339" s="1">
        <f>K339</f>
        <v>0</v>
      </c>
      <c r="AK339" s="1">
        <f>L339</f>
        <v>0</v>
      </c>
      <c r="AL339" s="1">
        <f>M339</f>
        <v>0</v>
      </c>
      <c r="AM339" s="1">
        <f>N339</f>
        <v>0</v>
      </c>
      <c r="AN339" s="1">
        <f>O339</f>
        <v>0</v>
      </c>
    </row>
    <row r="340">
      <c r="A340" s="1">
        <v>461</v>
      </c>
      <c r="B340" s="1">
        <v>20</v>
      </c>
      <c r="C340" s="1">
        <v>1</v>
      </c>
      <c r="D340" s="1">
        <v>85</v>
      </c>
      <c r="E340" s="1">
        <v>3</v>
      </c>
      <c r="F340" s="1">
        <v>0</v>
      </c>
      <c r="G340" s="1">
        <v>0</v>
      </c>
      <c r="H340" s="1">
        <v>1</v>
      </c>
      <c r="I340" s="1">
        <v>0</v>
      </c>
      <c r="J340" s="1">
        <v>0</v>
      </c>
      <c r="K340" s="1">
        <v>0</v>
      </c>
      <c r="L340" s="1">
        <v>0</v>
      </c>
      <c r="M340" s="1">
        <v>0</v>
      </c>
      <c r="N340" s="1">
        <v>0</v>
      </c>
      <c r="O340" s="1">
        <v>0</v>
      </c>
      <c r="P340" s="1">
        <f>LN(B340)</f>
        <v>2.99573227355399</v>
      </c>
      <c r="Q340" s="1">
        <f>1-SUM(F340:J340)</f>
        <v>0</v>
      </c>
      <c r="R340" s="1" t="str">
        <f>IF(F340=1,"Napa valley",IF(G340=1,"Bay area",IF(H340=1,"Sonoma",IF(I340=1,"Sierra/foothills",IF(J340=1,"Mendocino/lake","Generic California")))))</f>
        <v>Sonoma</v>
      </c>
      <c r="S340" s="1" t="str">
        <f>IF(F340=1,"Napa valley",IF(H340=1,"Sonoma","Other"))</f>
        <v>Sonoma</v>
      </c>
      <c r="T340" s="1" t="str">
        <f>IF(M340=1,"Cabernet",IF(N340=1,"Merlot",IF(L340=1,"Pinot noir","Other")))</f>
        <v>Other</v>
      </c>
      <c r="U340" s="1" t="str">
        <f>IF(F340=1,B340,"")</f>
        <v/>
      </c>
      <c r="V340" s="1">
        <f>IF(F340=0,B340,"")</f>
        <v>20</v>
      </c>
      <c r="W340" s="1">
        <f>'Part B'!$B$150+SUMPRODUCT('Part B'!$B$164:$N$164,C340:O340)</f>
        <v>13.7946065092312</v>
      </c>
      <c r="X340" s="1">
        <f>B340-W340</f>
        <v>6.20539349076881</v>
      </c>
      <c r="Y340" s="1">
        <f>'Part B'!$B$179+SUMPRODUCT('Part B'!$B$193:$N$193,C340:O340)</f>
        <v>2.83230079058059</v>
      </c>
      <c r="Z340" s="1">
        <f>P340-Y340</f>
        <v>0.163431482973404</v>
      </c>
      <c r="AB340" s="1">
        <f>C340</f>
        <v>1</v>
      </c>
      <c r="AC340" s="1">
        <f>D340</f>
        <v>85</v>
      </c>
      <c r="AD340" s="1">
        <f>E340</f>
        <v>3</v>
      </c>
      <c r="AE340" s="1">
        <f>F340</f>
        <v>0</v>
      </c>
      <c r="AF340" s="1">
        <f>G340</f>
        <v>0</v>
      </c>
      <c r="AG340" s="1">
        <f>I340</f>
        <v>0</v>
      </c>
      <c r="AH340" s="1">
        <f>J340</f>
        <v>0</v>
      </c>
      <c r="AI340" s="1">
        <f>Q340</f>
        <v>0</v>
      </c>
      <c r="AJ340" s="1">
        <f>K340</f>
        <v>0</v>
      </c>
      <c r="AK340" s="1">
        <f>L340</f>
        <v>0</v>
      </c>
      <c r="AL340" s="1">
        <f>M340</f>
        <v>0</v>
      </c>
      <c r="AM340" s="1">
        <f>N340</f>
        <v>0</v>
      </c>
      <c r="AN340" s="1">
        <f>O340</f>
        <v>0</v>
      </c>
    </row>
    <row r="341">
      <c r="A341" s="1">
        <v>462</v>
      </c>
      <c r="B341" s="1">
        <v>20</v>
      </c>
      <c r="C341" s="1">
        <v>2.1</v>
      </c>
      <c r="D341" s="1">
        <v>83</v>
      </c>
      <c r="E341" s="1">
        <v>3</v>
      </c>
      <c r="F341" s="1">
        <v>1</v>
      </c>
      <c r="G341" s="1">
        <v>0</v>
      </c>
      <c r="H341" s="1">
        <v>0</v>
      </c>
      <c r="I341" s="1">
        <v>0</v>
      </c>
      <c r="J341" s="1">
        <v>0</v>
      </c>
      <c r="K341" s="1">
        <v>0</v>
      </c>
      <c r="L341" s="1">
        <v>0</v>
      </c>
      <c r="M341" s="1">
        <v>0</v>
      </c>
      <c r="N341" s="1">
        <v>0</v>
      </c>
      <c r="O341" s="1">
        <v>0</v>
      </c>
      <c r="P341" s="1">
        <f>LN(B341)</f>
        <v>2.99573227355399</v>
      </c>
      <c r="Q341" s="1">
        <f>1-SUM(F341:J341)</f>
        <v>0</v>
      </c>
      <c r="R341" s="1" t="str">
        <f>IF(F341=1,"Napa valley",IF(G341=1,"Bay area",IF(H341=1,"Sonoma",IF(I341=1,"Sierra/foothills",IF(J341=1,"Mendocino/lake","Generic California")))))</f>
        <v>Napa valley</v>
      </c>
      <c r="S341" s="1" t="str">
        <f>IF(F341=1,"Napa valley",IF(H341=1,"Sonoma","Other"))</f>
        <v>Napa valley</v>
      </c>
      <c r="T341" s="1" t="str">
        <f>IF(M341=1,"Cabernet",IF(N341=1,"Merlot",IF(L341=1,"Pinot noir","Other")))</f>
        <v>Other</v>
      </c>
      <c r="U341" s="1">
        <f>IF(F341=1,B341,"")</f>
        <v>20</v>
      </c>
      <c r="V341" s="1" t="str">
        <f>IF(F341=0,B341,"")</f>
        <v/>
      </c>
      <c r="W341" s="1">
        <f>'Part B'!$B$150+SUMPRODUCT('Part B'!$B$164:$N$164,C341:O341)</f>
        <v>15.2964549977141</v>
      </c>
      <c r="X341" s="1">
        <f>B341-W341</f>
        <v>4.70354500228592</v>
      </c>
      <c r="Y341" s="1">
        <f>'Part B'!$B$179+SUMPRODUCT('Part B'!$B$193:$N$193,C341:O341)</f>
        <v>2.83545864402631</v>
      </c>
      <c r="Z341" s="1">
        <f>P341-Y341</f>
        <v>0.160273629527678</v>
      </c>
      <c r="AB341" s="1">
        <f>C341</f>
        <v>2.1</v>
      </c>
      <c r="AC341" s="1">
        <f>D341</f>
        <v>83</v>
      </c>
      <c r="AD341" s="1">
        <f>E341</f>
        <v>3</v>
      </c>
      <c r="AE341" s="1">
        <f>F341</f>
        <v>1</v>
      </c>
      <c r="AF341" s="1">
        <f>G341</f>
        <v>0</v>
      </c>
      <c r="AG341" s="1">
        <f>I341</f>
        <v>0</v>
      </c>
      <c r="AH341" s="1">
        <f>J341</f>
        <v>0</v>
      </c>
      <c r="AI341" s="1">
        <f>Q341</f>
        <v>0</v>
      </c>
      <c r="AJ341" s="1">
        <f>K341</f>
        <v>0</v>
      </c>
      <c r="AK341" s="1">
        <f>L341</f>
        <v>0</v>
      </c>
      <c r="AL341" s="1">
        <f>M341</f>
        <v>0</v>
      </c>
      <c r="AM341" s="1">
        <f>N341</f>
        <v>0</v>
      </c>
      <c r="AN341" s="1">
        <f>O341</f>
        <v>0</v>
      </c>
    </row>
    <row r="342">
      <c r="A342" s="1">
        <v>465</v>
      </c>
      <c r="B342" s="1">
        <v>20</v>
      </c>
      <c r="C342" s="1">
        <v>1.65</v>
      </c>
      <c r="D342" s="1">
        <v>87</v>
      </c>
      <c r="E342" s="1">
        <v>3</v>
      </c>
      <c r="F342" s="1">
        <v>0</v>
      </c>
      <c r="G342" s="1">
        <v>0</v>
      </c>
      <c r="H342" s="1">
        <v>1</v>
      </c>
      <c r="I342" s="1">
        <v>0</v>
      </c>
      <c r="J342" s="1">
        <v>0</v>
      </c>
      <c r="K342" s="1">
        <v>0</v>
      </c>
      <c r="L342" s="1">
        <v>0</v>
      </c>
      <c r="M342" s="1">
        <v>1</v>
      </c>
      <c r="N342" s="1">
        <v>0</v>
      </c>
      <c r="O342" s="1">
        <v>0</v>
      </c>
      <c r="P342" s="1">
        <f>LN(B342)</f>
        <v>2.99573227355399</v>
      </c>
      <c r="Q342" s="1">
        <f>1-SUM(F342:J342)</f>
        <v>0</v>
      </c>
      <c r="R342" s="1" t="str">
        <f>IF(F342=1,"Napa valley",IF(G342=1,"Bay area",IF(H342=1,"Sonoma",IF(I342=1,"Sierra/foothills",IF(J342=1,"Mendocino/lake","Generic California")))))</f>
        <v>Sonoma</v>
      </c>
      <c r="S342" s="1" t="str">
        <f>IF(F342=1,"Napa valley",IF(H342=1,"Sonoma","Other"))</f>
        <v>Sonoma</v>
      </c>
      <c r="T342" s="1" t="str">
        <f>IF(M342=1,"Cabernet",IF(N342=1,"Merlot",IF(L342=1,"Pinot noir","Other")))</f>
        <v>Cabernet</v>
      </c>
      <c r="U342" s="1" t="str">
        <f>IF(F342=1,B342,"")</f>
        <v/>
      </c>
      <c r="V342" s="1">
        <f>IF(F342=0,B342,"")</f>
        <v>20</v>
      </c>
      <c r="W342" s="1">
        <f>'Part B'!$B$150+SUMPRODUCT('Part B'!$B$164:$N$164,C342:O342)</f>
        <v>32.6503603858832</v>
      </c>
      <c r="X342" s="1">
        <f>B342-W342</f>
        <v>-12.6503603858832</v>
      </c>
      <c r="Y342" s="1">
        <f>'Part B'!$B$179+SUMPRODUCT('Part B'!$B$193:$N$193,C342:O342)</f>
        <v>3.29043779491851</v>
      </c>
      <c r="Z342" s="1">
        <f>P342-Y342</f>
        <v>-0.294705521364517</v>
      </c>
      <c r="AB342" s="1">
        <f>C342</f>
        <v>1.65</v>
      </c>
      <c r="AC342" s="1">
        <f>D342</f>
        <v>87</v>
      </c>
      <c r="AD342" s="1">
        <f>E342</f>
        <v>3</v>
      </c>
      <c r="AE342" s="1">
        <f>F342</f>
        <v>0</v>
      </c>
      <c r="AF342" s="1">
        <f>G342</f>
        <v>0</v>
      </c>
      <c r="AG342" s="1">
        <f>I342</f>
        <v>0</v>
      </c>
      <c r="AH342" s="1">
        <f>J342</f>
        <v>0</v>
      </c>
      <c r="AI342" s="1">
        <f>Q342</f>
        <v>0</v>
      </c>
      <c r="AJ342" s="1">
        <f>K342</f>
        <v>0</v>
      </c>
      <c r="AK342" s="1">
        <f>L342</f>
        <v>0</v>
      </c>
      <c r="AL342" s="1">
        <f>M342</f>
        <v>1</v>
      </c>
      <c r="AM342" s="1">
        <f>N342</f>
        <v>0</v>
      </c>
      <c r="AN342" s="1">
        <f>O342</f>
        <v>0</v>
      </c>
    </row>
    <row r="343">
      <c r="A343" s="1">
        <v>466</v>
      </c>
      <c r="B343" s="1">
        <v>20</v>
      </c>
      <c r="C343" s="1">
        <v>1.3</v>
      </c>
      <c r="D343" s="1">
        <v>89</v>
      </c>
      <c r="E343" s="1">
        <v>3</v>
      </c>
      <c r="F343" s="1">
        <v>0</v>
      </c>
      <c r="G343" s="1">
        <v>0</v>
      </c>
      <c r="H343" s="1">
        <v>0</v>
      </c>
      <c r="I343" s="1">
        <v>0</v>
      </c>
      <c r="J343" s="1">
        <v>0</v>
      </c>
      <c r="K343" s="1">
        <v>0</v>
      </c>
      <c r="L343" s="1">
        <v>0</v>
      </c>
      <c r="M343" s="1">
        <v>0</v>
      </c>
      <c r="N343" s="1">
        <v>0</v>
      </c>
      <c r="O343" s="1">
        <v>1</v>
      </c>
      <c r="P343" s="1">
        <f>LN(B343)</f>
        <v>2.99573227355399</v>
      </c>
      <c r="Q343" s="1">
        <f>1-SUM(F343:J343)</f>
        <v>1</v>
      </c>
      <c r="R343" s="1" t="str">
        <f>IF(F343=1,"Napa valley",IF(G343=1,"Bay area",IF(H343=1,"Sonoma",IF(I343=1,"Sierra/foothills",IF(J343=1,"Mendocino/lake","Generic California")))))</f>
        <v>Generic California</v>
      </c>
      <c r="S343" s="1" t="str">
        <f>IF(F343=1,"Napa valley",IF(H343=1,"Sonoma","Other"))</f>
        <v>Other</v>
      </c>
      <c r="T343" s="1" t="str">
        <f>IF(M343=1,"Cabernet",IF(N343=1,"Merlot",IF(L343=1,"Pinot noir","Other")))</f>
        <v>Other</v>
      </c>
      <c r="U343" s="1" t="str">
        <f>IF(F343=1,B343,"")</f>
        <v/>
      </c>
      <c r="V343" s="1">
        <f>IF(F343=0,B343,"")</f>
        <v>20</v>
      </c>
      <c r="W343" s="1">
        <f>'Part B'!$B$150+SUMPRODUCT('Part B'!$B$164:$N$164,C343:O343)</f>
        <v>26.7756769336864</v>
      </c>
      <c r="X343" s="1">
        <f>B343-W343</f>
        <v>-6.77567693368644</v>
      </c>
      <c r="Y343" s="1">
        <f>'Part B'!$B$179+SUMPRODUCT('Part B'!$B$193:$N$193,C343:O343)</f>
        <v>2.8721646488935</v>
      </c>
      <c r="Z343" s="1">
        <f>P343-Y343</f>
        <v>0.123567624660489</v>
      </c>
      <c r="AB343" s="1">
        <f>C343</f>
        <v>1.3</v>
      </c>
      <c r="AC343" s="1">
        <f>D343</f>
        <v>89</v>
      </c>
      <c r="AD343" s="1">
        <f>E343</f>
        <v>3</v>
      </c>
      <c r="AE343" s="1">
        <f>F343</f>
        <v>0</v>
      </c>
      <c r="AF343" s="1">
        <f>G343</f>
        <v>0</v>
      </c>
      <c r="AG343" s="1">
        <f>I343</f>
        <v>0</v>
      </c>
      <c r="AH343" s="1">
        <f>J343</f>
        <v>0</v>
      </c>
      <c r="AI343" s="1">
        <f>Q343</f>
        <v>1</v>
      </c>
      <c r="AJ343" s="1">
        <f>K343</f>
        <v>0</v>
      </c>
      <c r="AK343" s="1">
        <f>L343</f>
        <v>0</v>
      </c>
      <c r="AL343" s="1">
        <f>M343</f>
        <v>0</v>
      </c>
      <c r="AM343" s="1">
        <f>N343</f>
        <v>0</v>
      </c>
      <c r="AN343" s="1">
        <f>O343</f>
        <v>1</v>
      </c>
    </row>
    <row r="344">
      <c r="A344" s="1">
        <v>467</v>
      </c>
      <c r="B344" s="1">
        <v>20</v>
      </c>
      <c r="C344" s="1">
        <v>0.11</v>
      </c>
      <c r="D344" s="1">
        <v>87</v>
      </c>
      <c r="E344" s="1">
        <v>3</v>
      </c>
      <c r="F344" s="1">
        <v>0</v>
      </c>
      <c r="G344" s="1">
        <v>0</v>
      </c>
      <c r="H344" s="1">
        <v>1</v>
      </c>
      <c r="I344" s="1">
        <v>0</v>
      </c>
      <c r="J344" s="1">
        <v>0</v>
      </c>
      <c r="K344" s="1">
        <v>0</v>
      </c>
      <c r="L344" s="1">
        <v>0</v>
      </c>
      <c r="M344" s="1">
        <v>0</v>
      </c>
      <c r="N344" s="1">
        <v>0</v>
      </c>
      <c r="O344" s="1">
        <v>0</v>
      </c>
      <c r="P344" s="1">
        <f>LN(B344)</f>
        <v>2.99573227355399</v>
      </c>
      <c r="Q344" s="1">
        <f>1-SUM(F344:J344)</f>
        <v>0</v>
      </c>
      <c r="R344" s="1" t="str">
        <f>IF(F344=1,"Napa valley",IF(G344=1,"Bay area",IF(H344=1,"Sonoma",IF(I344=1,"Sierra/foothills",IF(J344=1,"Mendocino/lake","Generic California")))))</f>
        <v>Sonoma</v>
      </c>
      <c r="S344" s="1" t="str">
        <f>IF(F344=1,"Napa valley",IF(H344=1,"Sonoma","Other"))</f>
        <v>Sonoma</v>
      </c>
      <c r="T344" s="1" t="str">
        <f>IF(M344=1,"Cabernet",IF(N344=1,"Merlot",IF(L344=1,"Pinot noir","Other")))</f>
        <v>Other</v>
      </c>
      <c r="U344" s="1" t="str">
        <f>IF(F344=1,B344,"")</f>
        <v/>
      </c>
      <c r="V344" s="1">
        <f>IF(F344=0,B344,"")</f>
        <v>20</v>
      </c>
      <c r="W344" s="1">
        <f>'Part B'!$B$150+SUMPRODUCT('Part B'!$B$164:$N$164,C344:O344)</f>
        <v>20.1692739489233</v>
      </c>
      <c r="X344" s="1">
        <f>B344-W344</f>
        <v>-0.169273948923262</v>
      </c>
      <c r="Y344" s="1">
        <f>'Part B'!$B$179+SUMPRODUCT('Part B'!$B$193:$N$193,C344:O344)</f>
        <v>2.97603189793456</v>
      </c>
      <c r="Z344" s="1">
        <f>P344-Y344</f>
        <v>0.0197003756194261</v>
      </c>
      <c r="AB344" s="1">
        <f>C344</f>
        <v>0.11</v>
      </c>
      <c r="AC344" s="1">
        <f>D344</f>
        <v>87</v>
      </c>
      <c r="AD344" s="1">
        <f>E344</f>
        <v>3</v>
      </c>
      <c r="AE344" s="1">
        <f>F344</f>
        <v>0</v>
      </c>
      <c r="AF344" s="1">
        <f>G344</f>
        <v>0</v>
      </c>
      <c r="AG344" s="1">
        <f>I344</f>
        <v>0</v>
      </c>
      <c r="AH344" s="1">
        <f>J344</f>
        <v>0</v>
      </c>
      <c r="AI344" s="1">
        <f>Q344</f>
        <v>0</v>
      </c>
      <c r="AJ344" s="1">
        <f>K344</f>
        <v>0</v>
      </c>
      <c r="AK344" s="1">
        <f>L344</f>
        <v>0</v>
      </c>
      <c r="AL344" s="1">
        <f>M344</f>
        <v>0</v>
      </c>
      <c r="AM344" s="1">
        <f>N344</f>
        <v>0</v>
      </c>
      <c r="AN344" s="1">
        <f>O344</f>
        <v>0</v>
      </c>
    </row>
    <row r="345">
      <c r="A345" s="1">
        <v>470</v>
      </c>
      <c r="B345" s="1">
        <v>20</v>
      </c>
      <c r="C345" s="1">
        <v>0.102</v>
      </c>
      <c r="D345" s="1">
        <v>87</v>
      </c>
      <c r="E345" s="1">
        <v>2</v>
      </c>
      <c r="F345" s="1">
        <v>0</v>
      </c>
      <c r="G345" s="1">
        <v>0</v>
      </c>
      <c r="H345" s="1">
        <v>0</v>
      </c>
      <c r="I345" s="1">
        <v>0</v>
      </c>
      <c r="J345" s="1">
        <v>1</v>
      </c>
      <c r="K345" s="1">
        <v>0</v>
      </c>
      <c r="L345" s="1">
        <v>1</v>
      </c>
      <c r="M345" s="1">
        <v>0</v>
      </c>
      <c r="N345" s="1">
        <v>0</v>
      </c>
      <c r="O345" s="1">
        <v>0</v>
      </c>
      <c r="P345" s="1">
        <f>LN(B345)</f>
        <v>2.99573227355399</v>
      </c>
      <c r="Q345" s="1">
        <f>1-SUM(F345:J345)</f>
        <v>0</v>
      </c>
      <c r="R345" s="1" t="str">
        <f>IF(F345=1,"Napa valley",IF(G345=1,"Bay area",IF(H345=1,"Sonoma",IF(I345=1,"Sierra/foothills",IF(J345=1,"Mendocino/lake","Generic California")))))</f>
        <v>Mendocino/lake</v>
      </c>
      <c r="S345" s="1" t="str">
        <f>IF(F345=1,"Napa valley",IF(H345=1,"Sonoma","Other"))</f>
        <v>Other</v>
      </c>
      <c r="T345" s="1" t="str">
        <f>IF(M345=1,"Cabernet",IF(N345=1,"Merlot",IF(L345=1,"Pinot noir","Other")))</f>
        <v>Pinot noir</v>
      </c>
      <c r="U345" s="1" t="str">
        <f>IF(F345=1,B345,"")</f>
        <v/>
      </c>
      <c r="V345" s="1">
        <f>IF(F345=0,B345,"")</f>
        <v>20</v>
      </c>
      <c r="W345" s="1">
        <f>'Part B'!$B$150+SUMPRODUCT('Part B'!$B$164:$N$164,C345:O345)</f>
        <v>24.7216709728503</v>
      </c>
      <c r="X345" s="1">
        <f>B345-W345</f>
        <v>-4.72167097285029</v>
      </c>
      <c r="Y345" s="1">
        <f>'Part B'!$B$179+SUMPRODUCT('Part B'!$B$193:$N$193,C345:O345)</f>
        <v>3.09479818704606</v>
      </c>
      <c r="Z345" s="1">
        <f>P345-Y345</f>
        <v>-0.0990659134920677</v>
      </c>
      <c r="AB345" s="1">
        <f>C345</f>
        <v>0.102</v>
      </c>
      <c r="AC345" s="1">
        <f>D345</f>
        <v>87</v>
      </c>
      <c r="AD345" s="1">
        <f>E345</f>
        <v>2</v>
      </c>
      <c r="AE345" s="1">
        <f>F345</f>
        <v>0</v>
      </c>
      <c r="AF345" s="1">
        <f>G345</f>
        <v>0</v>
      </c>
      <c r="AG345" s="1">
        <f>I345</f>
        <v>0</v>
      </c>
      <c r="AH345" s="1">
        <f>J345</f>
        <v>1</v>
      </c>
      <c r="AI345" s="1">
        <f>Q345</f>
        <v>0</v>
      </c>
      <c r="AJ345" s="1">
        <f>K345</f>
        <v>0</v>
      </c>
      <c r="AK345" s="1">
        <f>L345</f>
        <v>1</v>
      </c>
      <c r="AL345" s="1">
        <f>M345</f>
        <v>0</v>
      </c>
      <c r="AM345" s="1">
        <f>N345</f>
        <v>0</v>
      </c>
      <c r="AN345" s="1">
        <f>O345</f>
        <v>0</v>
      </c>
    </row>
    <row r="346">
      <c r="A346" s="1">
        <v>472</v>
      </c>
      <c r="B346" s="1">
        <v>20</v>
      </c>
      <c r="C346" s="1">
        <v>0.1</v>
      </c>
      <c r="D346" s="1">
        <v>87</v>
      </c>
      <c r="E346" s="1">
        <v>2</v>
      </c>
      <c r="F346" s="1">
        <v>0</v>
      </c>
      <c r="G346" s="1">
        <v>1</v>
      </c>
      <c r="H346" s="1">
        <v>0</v>
      </c>
      <c r="I346" s="1">
        <v>0</v>
      </c>
      <c r="J346" s="1">
        <v>0</v>
      </c>
      <c r="K346" s="1">
        <v>0</v>
      </c>
      <c r="L346" s="1">
        <v>1</v>
      </c>
      <c r="M346" s="1">
        <v>0</v>
      </c>
      <c r="N346" s="1">
        <v>0</v>
      </c>
      <c r="O346" s="1">
        <v>0</v>
      </c>
      <c r="P346" s="1">
        <f>LN(B346)</f>
        <v>2.99573227355399</v>
      </c>
      <c r="Q346" s="1">
        <f>1-SUM(F346:J346)</f>
        <v>0</v>
      </c>
      <c r="R346" s="1" t="str">
        <f>IF(F346=1,"Napa valley",IF(G346=1,"Bay area",IF(H346=1,"Sonoma",IF(I346=1,"Sierra/foothills",IF(J346=1,"Mendocino/lake","Generic California")))))</f>
        <v>Bay area</v>
      </c>
      <c r="S346" s="1" t="str">
        <f>IF(F346=1,"Napa valley",IF(H346=1,"Sonoma","Other"))</f>
        <v>Other</v>
      </c>
      <c r="T346" s="1" t="str">
        <f>IF(M346=1,"Cabernet",IF(N346=1,"Merlot",IF(L346=1,"Pinot noir","Other")))</f>
        <v>Pinot noir</v>
      </c>
      <c r="U346" s="1" t="str">
        <f>IF(F346=1,B346,"")</f>
        <v/>
      </c>
      <c r="V346" s="1">
        <f>IF(F346=0,B346,"")</f>
        <v>20</v>
      </c>
      <c r="W346" s="1">
        <f>'Part B'!$B$150+SUMPRODUCT('Part B'!$B$164:$N$164,C346:O346)</f>
        <v>26.1191989683143</v>
      </c>
      <c r="X346" s="1">
        <f>B346-W346</f>
        <v>-6.11919896831432</v>
      </c>
      <c r="Y346" s="1">
        <f>'Part B'!$B$179+SUMPRODUCT('Part B'!$B$193:$N$193,C346:O346)</f>
        <v>3.11256680904326</v>
      </c>
      <c r="Z346" s="1">
        <f>P346-Y346</f>
        <v>-0.116834535489271</v>
      </c>
      <c r="AB346" s="1">
        <f>C346</f>
        <v>0.1</v>
      </c>
      <c r="AC346" s="1">
        <f>D346</f>
        <v>87</v>
      </c>
      <c r="AD346" s="1">
        <f>E346</f>
        <v>2</v>
      </c>
      <c r="AE346" s="1">
        <f>F346</f>
        <v>0</v>
      </c>
      <c r="AF346" s="1">
        <f>G346</f>
        <v>1</v>
      </c>
      <c r="AG346" s="1">
        <f>I346</f>
        <v>0</v>
      </c>
      <c r="AH346" s="1">
        <f>J346</f>
        <v>0</v>
      </c>
      <c r="AI346" s="1">
        <f>Q346</f>
        <v>0</v>
      </c>
      <c r="AJ346" s="1">
        <f>K346</f>
        <v>0</v>
      </c>
      <c r="AK346" s="1">
        <f>L346</f>
        <v>1</v>
      </c>
      <c r="AL346" s="1">
        <f>M346</f>
        <v>0</v>
      </c>
      <c r="AM346" s="1">
        <f>N346</f>
        <v>0</v>
      </c>
      <c r="AN346" s="1">
        <f>O346</f>
        <v>0</v>
      </c>
    </row>
    <row r="347">
      <c r="A347" s="1">
        <v>473</v>
      </c>
      <c r="B347" s="1">
        <v>20</v>
      </c>
      <c r="C347" s="1">
        <v>0.28</v>
      </c>
      <c r="D347" s="1">
        <v>86</v>
      </c>
      <c r="E347" s="1">
        <v>2</v>
      </c>
      <c r="F347" s="1">
        <v>0</v>
      </c>
      <c r="G347" s="1">
        <v>0</v>
      </c>
      <c r="H347" s="1">
        <v>0</v>
      </c>
      <c r="I347" s="1">
        <v>1</v>
      </c>
      <c r="J347" s="1">
        <v>0</v>
      </c>
      <c r="K347" s="1">
        <v>0</v>
      </c>
      <c r="L347" s="1">
        <v>0</v>
      </c>
      <c r="M347" s="1">
        <v>0</v>
      </c>
      <c r="N347" s="1">
        <v>0</v>
      </c>
      <c r="O347" s="1">
        <v>1</v>
      </c>
      <c r="P347" s="1">
        <f>LN(B347)</f>
        <v>2.99573227355399</v>
      </c>
      <c r="Q347" s="1">
        <f>1-SUM(F347:J347)</f>
        <v>0</v>
      </c>
      <c r="R347" s="1" t="str">
        <f>IF(F347=1,"Napa valley",IF(G347=1,"Bay area",IF(H347=1,"Sonoma",IF(I347=1,"Sierra/foothills",IF(J347=1,"Mendocino/lake","Generic California")))))</f>
        <v>Sierra/foothills</v>
      </c>
      <c r="S347" s="1" t="str">
        <f>IF(F347=1,"Napa valley",IF(H347=1,"Sonoma","Other"))</f>
        <v>Other</v>
      </c>
      <c r="T347" s="1" t="str">
        <f>IF(M347=1,"Cabernet",IF(N347=1,"Merlot",IF(L347=1,"Pinot noir","Other")))</f>
        <v>Other</v>
      </c>
      <c r="U347" s="1" t="str">
        <f>IF(F347=1,B347,"")</f>
        <v/>
      </c>
      <c r="V347" s="1">
        <f>IF(F347=0,B347,"")</f>
        <v>20</v>
      </c>
      <c r="W347" s="1">
        <f>'Part B'!$B$150+SUMPRODUCT('Part B'!$B$164:$N$164,C347:O347)</f>
        <v>15.8415657191307</v>
      </c>
      <c r="X347" s="1">
        <f>B347-W347</f>
        <v>4.1584342808693</v>
      </c>
      <c r="Y347" s="1">
        <f>'Part B'!$B$179+SUMPRODUCT('Part B'!$B$193:$N$193,C347:O347)</f>
        <v>2.73479442553339</v>
      </c>
      <c r="Z347" s="1">
        <f>P347-Y347</f>
        <v>0.260937848020605</v>
      </c>
      <c r="AB347" s="1">
        <f>C347</f>
        <v>0.28</v>
      </c>
      <c r="AC347" s="1">
        <f>D347</f>
        <v>86</v>
      </c>
      <c r="AD347" s="1">
        <f>E347</f>
        <v>2</v>
      </c>
      <c r="AE347" s="1">
        <f>F347</f>
        <v>0</v>
      </c>
      <c r="AF347" s="1">
        <f>G347</f>
        <v>0</v>
      </c>
      <c r="AG347" s="1">
        <f>I347</f>
        <v>1</v>
      </c>
      <c r="AH347" s="1">
        <f>J347</f>
        <v>0</v>
      </c>
      <c r="AI347" s="1">
        <f>Q347</f>
        <v>0</v>
      </c>
      <c r="AJ347" s="1">
        <f>K347</f>
        <v>0</v>
      </c>
      <c r="AK347" s="1">
        <f>L347</f>
        <v>0</v>
      </c>
      <c r="AL347" s="1">
        <f>M347</f>
        <v>0</v>
      </c>
      <c r="AM347" s="1">
        <f>N347</f>
        <v>0</v>
      </c>
      <c r="AN347" s="1">
        <f>O347</f>
        <v>1</v>
      </c>
    </row>
    <row r="348">
      <c r="A348" s="1">
        <v>475</v>
      </c>
      <c r="B348" s="1">
        <v>20</v>
      </c>
      <c r="C348" s="1">
        <v>1.9</v>
      </c>
      <c r="D348" s="1">
        <v>84</v>
      </c>
      <c r="E348" s="1">
        <v>2</v>
      </c>
      <c r="F348" s="1">
        <v>1</v>
      </c>
      <c r="G348" s="1">
        <v>0</v>
      </c>
      <c r="H348" s="1">
        <v>0</v>
      </c>
      <c r="I348" s="1">
        <v>0</v>
      </c>
      <c r="J348" s="1">
        <v>0</v>
      </c>
      <c r="K348" s="1">
        <v>0</v>
      </c>
      <c r="L348" s="1">
        <v>0</v>
      </c>
      <c r="M348" s="1">
        <v>0</v>
      </c>
      <c r="N348" s="1">
        <v>1</v>
      </c>
      <c r="O348" s="1">
        <v>0</v>
      </c>
      <c r="P348" s="1">
        <f>LN(B348)</f>
        <v>2.99573227355399</v>
      </c>
      <c r="Q348" s="1">
        <f>1-SUM(F348:J348)</f>
        <v>0</v>
      </c>
      <c r="R348" s="1" t="str">
        <f>IF(F348=1,"Napa valley",IF(G348=1,"Bay area",IF(H348=1,"Sonoma",IF(I348=1,"Sierra/foothills",IF(J348=1,"Mendocino/lake","Generic California")))))</f>
        <v>Napa valley</v>
      </c>
      <c r="S348" s="1" t="str">
        <f>IF(F348=1,"Napa valley",IF(H348=1,"Sonoma","Other"))</f>
        <v>Napa valley</v>
      </c>
      <c r="T348" s="1" t="str">
        <f>IF(M348=1,"Cabernet",IF(N348=1,"Merlot",IF(L348=1,"Pinot noir","Other")))</f>
        <v>Merlot</v>
      </c>
      <c r="U348" s="1">
        <f>IF(F348=1,B348,"")</f>
        <v>20</v>
      </c>
      <c r="V348" s="1" t="str">
        <f>IF(F348=0,B348,"")</f>
        <v/>
      </c>
      <c r="W348" s="1">
        <f>'Part B'!$B$150+SUMPRODUCT('Part B'!$B$164:$N$164,C348:O348)</f>
        <v>19.5011396399863</v>
      </c>
      <c r="X348" s="1">
        <f>B348-W348</f>
        <v>0.49886036001368</v>
      </c>
      <c r="Y348" s="1">
        <f>'Part B'!$B$179+SUMPRODUCT('Part B'!$B$193:$N$193,C348:O348)</f>
        <v>3.00770527367948</v>
      </c>
      <c r="Z348" s="1">
        <f>P348-Y348</f>
        <v>-0.0119730001254861</v>
      </c>
      <c r="AB348" s="1">
        <f>C348</f>
        <v>1.9</v>
      </c>
      <c r="AC348" s="1">
        <f>D348</f>
        <v>84</v>
      </c>
      <c r="AD348" s="1">
        <f>E348</f>
        <v>2</v>
      </c>
      <c r="AE348" s="1">
        <f>F348</f>
        <v>1</v>
      </c>
      <c r="AF348" s="1">
        <f>G348</f>
        <v>0</v>
      </c>
      <c r="AG348" s="1">
        <f>I348</f>
        <v>0</v>
      </c>
      <c r="AH348" s="1">
        <f>J348</f>
        <v>0</v>
      </c>
      <c r="AI348" s="1">
        <f>Q348</f>
        <v>0</v>
      </c>
      <c r="AJ348" s="1">
        <f>K348</f>
        <v>0</v>
      </c>
      <c r="AK348" s="1">
        <f>L348</f>
        <v>0</v>
      </c>
      <c r="AL348" s="1">
        <f>M348</f>
        <v>0</v>
      </c>
      <c r="AM348" s="1">
        <f>N348</f>
        <v>1</v>
      </c>
      <c r="AN348" s="1">
        <f>O348</f>
        <v>0</v>
      </c>
    </row>
    <row r="349">
      <c r="A349" s="1">
        <v>476</v>
      </c>
      <c r="B349" s="1">
        <v>20</v>
      </c>
      <c r="C349" s="1">
        <v>1.85</v>
      </c>
      <c r="D349" s="1">
        <v>87</v>
      </c>
      <c r="E349" s="1">
        <v>2</v>
      </c>
      <c r="F349" s="1">
        <v>0</v>
      </c>
      <c r="G349" s="1">
        <v>0</v>
      </c>
      <c r="H349" s="1">
        <v>1</v>
      </c>
      <c r="I349" s="1">
        <v>0</v>
      </c>
      <c r="J349" s="1">
        <v>0</v>
      </c>
      <c r="K349" s="1">
        <v>0</v>
      </c>
      <c r="L349" s="1">
        <v>1</v>
      </c>
      <c r="M349" s="1">
        <v>0</v>
      </c>
      <c r="N349" s="1">
        <v>0</v>
      </c>
      <c r="O349" s="1">
        <v>0</v>
      </c>
      <c r="P349" s="1">
        <f>LN(B349)</f>
        <v>2.99573227355399</v>
      </c>
      <c r="Q349" s="1">
        <f>1-SUM(F349:J349)</f>
        <v>0</v>
      </c>
      <c r="R349" s="1" t="str">
        <f>IF(F349=1,"Napa valley",IF(G349=1,"Bay area",IF(H349=1,"Sonoma",IF(I349=1,"Sierra/foothills",IF(J349=1,"Mendocino/lake","Generic California")))))</f>
        <v>Sonoma</v>
      </c>
      <c r="S349" s="1" t="str">
        <f>IF(F349=1,"Napa valley",IF(H349=1,"Sonoma","Other"))</f>
        <v>Sonoma</v>
      </c>
      <c r="T349" s="1" t="str">
        <f>IF(M349=1,"Cabernet",IF(N349=1,"Merlot",IF(L349=1,"Pinot noir","Other")))</f>
        <v>Pinot noir</v>
      </c>
      <c r="U349" s="1" t="str">
        <f>IF(F349=1,B349,"")</f>
        <v/>
      </c>
      <c r="V349" s="1">
        <f>IF(F349=0,B349,"")</f>
        <v>20</v>
      </c>
      <c r="W349" s="1">
        <f>'Part B'!$B$150+SUMPRODUCT('Part B'!$B$164:$N$164,C349:O349)</f>
        <v>22.8387787580668</v>
      </c>
      <c r="X349" s="1">
        <f>B349-W349</f>
        <v>-2.83877875806678</v>
      </c>
      <c r="Y349" s="1">
        <f>'Part B'!$B$179+SUMPRODUCT('Part B'!$B$193:$N$193,C349:O349)</f>
        <v>3.13202331672482</v>
      </c>
      <c r="Z349" s="1">
        <f>P349-Y349</f>
        <v>-0.136291043170834</v>
      </c>
      <c r="AB349" s="1">
        <f>C349</f>
        <v>1.85</v>
      </c>
      <c r="AC349" s="1">
        <f>D349</f>
        <v>87</v>
      </c>
      <c r="AD349" s="1">
        <f>E349</f>
        <v>2</v>
      </c>
      <c r="AE349" s="1">
        <f>F349</f>
        <v>0</v>
      </c>
      <c r="AF349" s="1">
        <f>G349</f>
        <v>0</v>
      </c>
      <c r="AG349" s="1">
        <f>I349</f>
        <v>0</v>
      </c>
      <c r="AH349" s="1">
        <f>J349</f>
        <v>0</v>
      </c>
      <c r="AI349" s="1">
        <f>Q349</f>
        <v>0</v>
      </c>
      <c r="AJ349" s="1">
        <f>K349</f>
        <v>0</v>
      </c>
      <c r="AK349" s="1">
        <f>L349</f>
        <v>1</v>
      </c>
      <c r="AL349" s="1">
        <f>M349</f>
        <v>0</v>
      </c>
      <c r="AM349" s="1">
        <f>N349</f>
        <v>0</v>
      </c>
      <c r="AN349" s="1">
        <f>O349</f>
        <v>0</v>
      </c>
    </row>
    <row r="350">
      <c r="A350" s="1">
        <v>477</v>
      </c>
      <c r="B350" s="1">
        <v>20</v>
      </c>
      <c r="C350" s="1">
        <v>0.841</v>
      </c>
      <c r="D350" s="1">
        <v>90</v>
      </c>
      <c r="E350" s="1">
        <v>2</v>
      </c>
      <c r="F350" s="1">
        <v>0</v>
      </c>
      <c r="G350" s="1">
        <v>0</v>
      </c>
      <c r="H350" s="1">
        <v>1</v>
      </c>
      <c r="I350" s="1">
        <v>0</v>
      </c>
      <c r="J350" s="1">
        <v>0</v>
      </c>
      <c r="K350" s="1">
        <v>0</v>
      </c>
      <c r="L350" s="1">
        <v>0</v>
      </c>
      <c r="M350" s="1">
        <v>0</v>
      </c>
      <c r="N350" s="1">
        <v>0</v>
      </c>
      <c r="O350" s="1">
        <v>0</v>
      </c>
      <c r="P350" s="1">
        <f>LN(B350)</f>
        <v>2.99573227355399</v>
      </c>
      <c r="Q350" s="1">
        <f>1-SUM(F350:J350)</f>
        <v>0</v>
      </c>
      <c r="R350" s="1" t="str">
        <f>IF(F350=1,"Napa valley",IF(G350=1,"Bay area",IF(H350=1,"Sonoma",IF(I350=1,"Sierra/foothills",IF(J350=1,"Mendocino/lake","Generic California")))))</f>
        <v>Sonoma</v>
      </c>
      <c r="S350" s="1" t="str">
        <f>IF(F350=1,"Napa valley",IF(H350=1,"Sonoma","Other"))</f>
        <v>Sonoma</v>
      </c>
      <c r="T350" s="1" t="str">
        <f>IF(M350=1,"Cabernet",IF(N350=1,"Merlot",IF(L350=1,"Pinot noir","Other")))</f>
        <v>Other</v>
      </c>
      <c r="U350" s="1" t="str">
        <f>IF(F350=1,B350,"")</f>
        <v/>
      </c>
      <c r="V350" s="1">
        <f>IF(F350=0,B350,"")</f>
        <v>20</v>
      </c>
      <c r="W350" s="1">
        <f>'Part B'!$B$150+SUMPRODUCT('Part B'!$B$164:$N$164,C350:O350)</f>
        <v>22.9155785020276</v>
      </c>
      <c r="X350" s="1">
        <f>B350-W350</f>
        <v>-2.91557850202759</v>
      </c>
      <c r="Y350" s="1">
        <f>'Part B'!$B$179+SUMPRODUCT('Part B'!$B$193:$N$193,C350:O350)</f>
        <v>2.99970272380218</v>
      </c>
      <c r="Z350" s="1">
        <f>P350-Y350</f>
        <v>-0.00397045024818921</v>
      </c>
      <c r="AB350" s="1">
        <f>C350</f>
        <v>0.841</v>
      </c>
      <c r="AC350" s="1">
        <f>D350</f>
        <v>90</v>
      </c>
      <c r="AD350" s="1">
        <f>E350</f>
        <v>2</v>
      </c>
      <c r="AE350" s="1">
        <f>F350</f>
        <v>0</v>
      </c>
      <c r="AF350" s="1">
        <f>G350</f>
        <v>0</v>
      </c>
      <c r="AG350" s="1">
        <f>I350</f>
        <v>0</v>
      </c>
      <c r="AH350" s="1">
        <f>J350</f>
        <v>0</v>
      </c>
      <c r="AI350" s="1">
        <f>Q350</f>
        <v>0</v>
      </c>
      <c r="AJ350" s="1">
        <f>K350</f>
        <v>0</v>
      </c>
      <c r="AK350" s="1">
        <f>L350</f>
        <v>0</v>
      </c>
      <c r="AL350" s="1">
        <f>M350</f>
        <v>0</v>
      </c>
      <c r="AM350" s="1">
        <f>N350</f>
        <v>0</v>
      </c>
      <c r="AN350" s="1">
        <f>O350</f>
        <v>0</v>
      </c>
    </row>
    <row r="351">
      <c r="A351" s="1">
        <v>478</v>
      </c>
      <c r="B351" s="1">
        <v>20</v>
      </c>
      <c r="C351" s="1">
        <v>2</v>
      </c>
      <c r="D351" s="1">
        <v>86</v>
      </c>
      <c r="E351" s="1">
        <v>2</v>
      </c>
      <c r="F351" s="1">
        <v>0</v>
      </c>
      <c r="G351" s="1">
        <v>0</v>
      </c>
      <c r="H351" s="1">
        <v>1</v>
      </c>
      <c r="I351" s="1">
        <v>0</v>
      </c>
      <c r="J351" s="1">
        <v>0</v>
      </c>
      <c r="K351" s="1">
        <v>0</v>
      </c>
      <c r="L351" s="1">
        <v>0</v>
      </c>
      <c r="M351" s="1">
        <v>1</v>
      </c>
      <c r="N351" s="1">
        <v>0</v>
      </c>
      <c r="O351" s="1">
        <v>0</v>
      </c>
      <c r="P351" s="1">
        <f>LN(B351)</f>
        <v>2.99573227355399</v>
      </c>
      <c r="Q351" s="1">
        <f>1-SUM(F351:J351)</f>
        <v>0</v>
      </c>
      <c r="R351" s="1" t="str">
        <f>IF(F351=1,"Napa valley",IF(G351=1,"Bay area",IF(H351=1,"Sonoma",IF(I351=1,"Sierra/foothills",IF(J351=1,"Mendocino/lake","Generic California")))))</f>
        <v>Sonoma</v>
      </c>
      <c r="S351" s="1" t="str">
        <f>IF(F351=1,"Napa valley",IF(H351=1,"Sonoma","Other"))</f>
        <v>Sonoma</v>
      </c>
      <c r="T351" s="1" t="str">
        <f>IF(M351=1,"Cabernet",IF(N351=1,"Merlot",IF(L351=1,"Pinot noir","Other")))</f>
        <v>Cabernet</v>
      </c>
      <c r="U351" s="1" t="str">
        <f>IF(F351=1,B351,"")</f>
        <v/>
      </c>
      <c r="V351" s="1">
        <f>IF(F351=0,B351,"")</f>
        <v>20</v>
      </c>
      <c r="W351" s="1">
        <f>'Part B'!$B$150+SUMPRODUCT('Part B'!$B$164:$N$164,C351:O351)</f>
        <v>22.852438715774</v>
      </c>
      <c r="X351" s="1">
        <f>B351-W351</f>
        <v>-2.85243871577399</v>
      </c>
      <c r="Y351" s="1">
        <f>'Part B'!$B$179+SUMPRODUCT('Part B'!$B$193:$N$193,C351:O351)</f>
        <v>3.03589347017869</v>
      </c>
      <c r="Z351" s="1">
        <f>P351-Y351</f>
        <v>-0.0401611966247022</v>
      </c>
      <c r="AB351" s="1">
        <f>C351</f>
        <v>2</v>
      </c>
      <c r="AC351" s="1">
        <f>D351</f>
        <v>86</v>
      </c>
      <c r="AD351" s="1">
        <f>E351</f>
        <v>2</v>
      </c>
      <c r="AE351" s="1">
        <f>F351</f>
        <v>0</v>
      </c>
      <c r="AF351" s="1">
        <f>G351</f>
        <v>0</v>
      </c>
      <c r="AG351" s="1">
        <f>I351</f>
        <v>0</v>
      </c>
      <c r="AH351" s="1">
        <f>J351</f>
        <v>0</v>
      </c>
      <c r="AI351" s="1">
        <f>Q351</f>
        <v>0</v>
      </c>
      <c r="AJ351" s="1">
        <f>K351</f>
        <v>0</v>
      </c>
      <c r="AK351" s="1">
        <f>L351</f>
        <v>0</v>
      </c>
      <c r="AL351" s="1">
        <f>M351</f>
        <v>1</v>
      </c>
      <c r="AM351" s="1">
        <f>N351</f>
        <v>0</v>
      </c>
      <c r="AN351" s="1">
        <f>O351</f>
        <v>0</v>
      </c>
    </row>
    <row r="352">
      <c r="A352" s="1">
        <v>479</v>
      </c>
      <c r="B352" s="1">
        <v>20</v>
      </c>
      <c r="C352" s="1">
        <v>0.2</v>
      </c>
      <c r="D352" s="1">
        <v>90</v>
      </c>
      <c r="E352" s="1">
        <v>2</v>
      </c>
      <c r="F352" s="1">
        <v>0</v>
      </c>
      <c r="G352" s="1">
        <v>0</v>
      </c>
      <c r="H352" s="1">
        <v>1</v>
      </c>
      <c r="I352" s="1">
        <v>0</v>
      </c>
      <c r="J352" s="1">
        <v>0</v>
      </c>
      <c r="K352" s="1">
        <v>0</v>
      </c>
      <c r="L352" s="1">
        <v>0</v>
      </c>
      <c r="M352" s="1">
        <v>0</v>
      </c>
      <c r="N352" s="1">
        <v>0</v>
      </c>
      <c r="O352" s="1">
        <v>0</v>
      </c>
      <c r="P352" s="1">
        <f>LN(B352)</f>
        <v>2.99573227355399</v>
      </c>
      <c r="Q352" s="1">
        <f>1-SUM(F352:J352)</f>
        <v>0</v>
      </c>
      <c r="R352" s="1" t="str">
        <f>IF(F352=1,"Napa valley",IF(G352=1,"Bay area",IF(H352=1,"Sonoma",IF(I352=1,"Sierra/foothills",IF(J352=1,"Mendocino/lake","Generic California")))))</f>
        <v>Sonoma</v>
      </c>
      <c r="S352" s="1" t="str">
        <f>IF(F352=1,"Napa valley",IF(H352=1,"Sonoma","Other"))</f>
        <v>Sonoma</v>
      </c>
      <c r="T352" s="1" t="str">
        <f>IF(M352=1,"Cabernet",IF(N352=1,"Merlot",IF(L352=1,"Pinot noir","Other")))</f>
        <v>Other</v>
      </c>
      <c r="U352" s="1" t="str">
        <f>IF(F352=1,B352,"")</f>
        <v/>
      </c>
      <c r="V352" s="1">
        <f>IF(F352=0,B352,"")</f>
        <v>20</v>
      </c>
      <c r="W352" s="1">
        <f>'Part B'!$B$150+SUMPRODUCT('Part B'!$B$164:$N$164,C352:O352)</f>
        <v>22.9764182283604</v>
      </c>
      <c r="X352" s="1">
        <f>B352-W352</f>
        <v>-2.97641822836044</v>
      </c>
      <c r="Y352" s="1">
        <f>'Part B'!$B$179+SUMPRODUCT('Part B'!$B$193:$N$193,C352:O352)</f>
        <v>3.00244560584218</v>
      </c>
      <c r="Z352" s="1">
        <f>P352-Y352</f>
        <v>-0.00671333228818716</v>
      </c>
      <c r="AB352" s="1">
        <f>C352</f>
        <v>0.2</v>
      </c>
      <c r="AC352" s="1">
        <f>D352</f>
        <v>90</v>
      </c>
      <c r="AD352" s="1">
        <f>E352</f>
        <v>2</v>
      </c>
      <c r="AE352" s="1">
        <f>F352</f>
        <v>0</v>
      </c>
      <c r="AF352" s="1">
        <f>G352</f>
        <v>0</v>
      </c>
      <c r="AG352" s="1">
        <f>I352</f>
        <v>0</v>
      </c>
      <c r="AH352" s="1">
        <f>J352</f>
        <v>0</v>
      </c>
      <c r="AI352" s="1">
        <f>Q352</f>
        <v>0</v>
      </c>
      <c r="AJ352" s="1">
        <f>K352</f>
        <v>0</v>
      </c>
      <c r="AK352" s="1">
        <f>L352</f>
        <v>0</v>
      </c>
      <c r="AL352" s="1">
        <f>M352</f>
        <v>0</v>
      </c>
      <c r="AM352" s="1">
        <f>N352</f>
        <v>0</v>
      </c>
      <c r="AN352" s="1">
        <f>O352</f>
        <v>0</v>
      </c>
    </row>
    <row r="353">
      <c r="A353" s="1">
        <v>483</v>
      </c>
      <c r="B353" s="1">
        <v>20</v>
      </c>
      <c r="C353" s="1">
        <v>0.65</v>
      </c>
      <c r="D353" s="1">
        <v>92</v>
      </c>
      <c r="E353" s="1">
        <v>2</v>
      </c>
      <c r="F353" s="1">
        <v>0</v>
      </c>
      <c r="G353" s="1">
        <v>1</v>
      </c>
      <c r="H353" s="1">
        <v>0</v>
      </c>
      <c r="I353" s="1">
        <v>0</v>
      </c>
      <c r="J353" s="1">
        <v>0</v>
      </c>
      <c r="K353" s="1">
        <v>0</v>
      </c>
      <c r="L353" s="1">
        <v>0</v>
      </c>
      <c r="M353" s="1">
        <v>0</v>
      </c>
      <c r="N353" s="1">
        <v>0</v>
      </c>
      <c r="O353" s="1">
        <v>0</v>
      </c>
      <c r="P353" s="1">
        <f>LN(B353)</f>
        <v>2.99573227355399</v>
      </c>
      <c r="Q353" s="1">
        <f>1-SUM(F353:J353)</f>
        <v>0</v>
      </c>
      <c r="R353" s="1" t="str">
        <f>IF(F353=1,"Napa valley",IF(G353=1,"Bay area",IF(H353=1,"Sonoma",IF(I353=1,"Sierra/foothills",IF(J353=1,"Mendocino/lake","Generic California")))))</f>
        <v>Bay area</v>
      </c>
      <c r="S353" s="1" t="str">
        <f>IF(F353=1,"Napa valley",IF(H353=1,"Sonoma","Other"))</f>
        <v>Other</v>
      </c>
      <c r="T353" s="1" t="str">
        <f>IF(M353=1,"Cabernet",IF(N353=1,"Merlot",IF(L353=1,"Pinot noir","Other")))</f>
        <v>Other</v>
      </c>
      <c r="U353" s="1" t="str">
        <f>IF(F353=1,B353,"")</f>
        <v/>
      </c>
      <c r="V353" s="1">
        <f>IF(F353=0,B353,"")</f>
        <v>20</v>
      </c>
      <c r="W353" s="1">
        <f>'Part B'!$B$150+SUMPRODUCT('Part B'!$B$164:$N$164,C353:O353)</f>
        <v>32.3382223301433</v>
      </c>
      <c r="X353" s="1">
        <f>B353-W353</f>
        <v>-12.3382223301433</v>
      </c>
      <c r="Y353" s="1">
        <f>'Part B'!$B$179+SUMPRODUCT('Part B'!$B$193:$N$193,C353:O353)</f>
        <v>3.11349788803629</v>
      </c>
      <c r="Z353" s="1">
        <f>P353-Y353</f>
        <v>-0.117765614482295</v>
      </c>
      <c r="AB353" s="1">
        <f>C353</f>
        <v>0.65</v>
      </c>
      <c r="AC353" s="1">
        <f>D353</f>
        <v>92</v>
      </c>
      <c r="AD353" s="1">
        <f>E353</f>
        <v>2</v>
      </c>
      <c r="AE353" s="1">
        <f>F353</f>
        <v>0</v>
      </c>
      <c r="AF353" s="1">
        <f>G353</f>
        <v>1</v>
      </c>
      <c r="AG353" s="1">
        <f>I353</f>
        <v>0</v>
      </c>
      <c r="AH353" s="1">
        <f>J353</f>
        <v>0</v>
      </c>
      <c r="AI353" s="1">
        <f>Q353</f>
        <v>0</v>
      </c>
      <c r="AJ353" s="1">
        <f>K353</f>
        <v>0</v>
      </c>
      <c r="AK353" s="1">
        <f>L353</f>
        <v>0</v>
      </c>
      <c r="AL353" s="1">
        <f>M353</f>
        <v>0</v>
      </c>
      <c r="AM353" s="1">
        <f>N353</f>
        <v>0</v>
      </c>
      <c r="AN353" s="1">
        <f>O353</f>
        <v>0</v>
      </c>
    </row>
    <row r="354">
      <c r="A354" s="1">
        <v>484</v>
      </c>
      <c r="B354" s="1">
        <v>20</v>
      </c>
      <c r="C354" s="1">
        <v>1.5</v>
      </c>
      <c r="D354" s="1">
        <v>92</v>
      </c>
      <c r="E354" s="1">
        <v>2</v>
      </c>
      <c r="F354" s="1">
        <v>0</v>
      </c>
      <c r="G354" s="1">
        <v>0</v>
      </c>
      <c r="H354" s="1">
        <v>1</v>
      </c>
      <c r="I354" s="1">
        <v>0</v>
      </c>
      <c r="J354" s="1">
        <v>0</v>
      </c>
      <c r="K354" s="1">
        <v>0</v>
      </c>
      <c r="L354" s="1">
        <v>0</v>
      </c>
      <c r="M354" s="1">
        <v>0</v>
      </c>
      <c r="N354" s="1">
        <v>0</v>
      </c>
      <c r="O354" s="1">
        <v>0</v>
      </c>
      <c r="P354" s="1">
        <f>LN(B354)</f>
        <v>2.99573227355399</v>
      </c>
      <c r="Q354" s="1">
        <f>1-SUM(F354:J354)</f>
        <v>0</v>
      </c>
      <c r="R354" s="1" t="str">
        <f>IF(F354=1,"Napa valley",IF(G354=1,"Bay area",IF(H354=1,"Sonoma",IF(I354=1,"Sierra/foothills",IF(J354=1,"Mendocino/lake","Generic California")))))</f>
        <v>Sonoma</v>
      </c>
      <c r="S354" s="1" t="str">
        <f>IF(F354=1,"Napa valley",IF(H354=1,"Sonoma","Other"))</f>
        <v>Sonoma</v>
      </c>
      <c r="T354" s="1" t="str">
        <f>IF(M354=1,"Cabernet",IF(N354=1,"Merlot",IF(L354=1,"Pinot noir","Other")))</f>
        <v>Other</v>
      </c>
      <c r="U354" s="1" t="str">
        <f>IF(F354=1,B354,"")</f>
        <v/>
      </c>
      <c r="V354" s="1">
        <f>IF(F354=0,B354,"")</f>
        <v>20</v>
      </c>
      <c r="W354" s="1">
        <f>'Part B'!$B$150+SUMPRODUCT('Part B'!$B$164:$N$164,C354:O354)</f>
        <v>29.1432245125627</v>
      </c>
      <c r="X354" s="1">
        <f>B354-W354</f>
        <v>-9.14322451256271</v>
      </c>
      <c r="Y354" s="1">
        <f>'Part B'!$B$179+SUMPRODUCT('Part B'!$B$193:$N$193,C354:O354)</f>
        <v>3.13680555614842</v>
      </c>
      <c r="Z354" s="1">
        <f>P354-Y354</f>
        <v>-0.141073282594432</v>
      </c>
      <c r="AB354" s="1">
        <f>C354</f>
        <v>1.5</v>
      </c>
      <c r="AC354" s="1">
        <f>D354</f>
        <v>92</v>
      </c>
      <c r="AD354" s="1">
        <f>E354</f>
        <v>2</v>
      </c>
      <c r="AE354" s="1">
        <f>F354</f>
        <v>0</v>
      </c>
      <c r="AF354" s="1">
        <f>G354</f>
        <v>0</v>
      </c>
      <c r="AG354" s="1">
        <f>I354</f>
        <v>0</v>
      </c>
      <c r="AH354" s="1">
        <f>J354</f>
        <v>0</v>
      </c>
      <c r="AI354" s="1">
        <f>Q354</f>
        <v>0</v>
      </c>
      <c r="AJ354" s="1">
        <f>K354</f>
        <v>0</v>
      </c>
      <c r="AK354" s="1">
        <f>L354</f>
        <v>0</v>
      </c>
      <c r="AL354" s="1">
        <f>M354</f>
        <v>0</v>
      </c>
      <c r="AM354" s="1">
        <f>N354</f>
        <v>0</v>
      </c>
      <c r="AN354" s="1">
        <f>O354</f>
        <v>0</v>
      </c>
    </row>
    <row r="355">
      <c r="A355" s="1">
        <v>486</v>
      </c>
      <c r="B355" s="1">
        <v>20</v>
      </c>
      <c r="C355" s="1">
        <v>0.6</v>
      </c>
      <c r="D355" s="1">
        <v>92</v>
      </c>
      <c r="E355" s="1">
        <v>2</v>
      </c>
      <c r="F355" s="1">
        <v>0</v>
      </c>
      <c r="G355" s="1">
        <v>0</v>
      </c>
      <c r="H355" s="1">
        <v>1</v>
      </c>
      <c r="I355" s="1">
        <v>0</v>
      </c>
      <c r="J355" s="1">
        <v>0</v>
      </c>
      <c r="K355" s="1">
        <v>0</v>
      </c>
      <c r="L355" s="1">
        <v>0</v>
      </c>
      <c r="M355" s="1">
        <v>0</v>
      </c>
      <c r="N355" s="1">
        <v>0</v>
      </c>
      <c r="O355" s="1">
        <v>0</v>
      </c>
      <c r="P355" s="1">
        <f>LN(B355)</f>
        <v>2.99573227355399</v>
      </c>
      <c r="Q355" s="1">
        <f>1-SUM(F355:J355)</f>
        <v>0</v>
      </c>
      <c r="R355" s="1" t="str">
        <f>IF(F355=1,"Napa valley",IF(G355=1,"Bay area",IF(H355=1,"Sonoma",IF(I355=1,"Sierra/foothills",IF(J355=1,"Mendocino/lake","Generic California")))))</f>
        <v>Sonoma</v>
      </c>
      <c r="S355" s="1" t="str">
        <f>IF(F355=1,"Napa valley",IF(H355=1,"Sonoma","Other"))</f>
        <v>Sonoma</v>
      </c>
      <c r="T355" s="1" t="str">
        <f>IF(M355=1,"Cabernet",IF(N355=1,"Merlot",IF(L355=1,"Pinot noir","Other")))</f>
        <v>Other</v>
      </c>
      <c r="U355" s="1" t="str">
        <f>IF(F355=1,B355,"")</f>
        <v/>
      </c>
      <c r="V355" s="1">
        <f>IF(F355=0,B355,"")</f>
        <v>20</v>
      </c>
      <c r="W355" s="1">
        <f>'Part B'!$B$150+SUMPRODUCT('Part B'!$B$164:$N$164,C355:O355)</f>
        <v>29.2286469052298</v>
      </c>
      <c r="X355" s="1">
        <f>B355-W355</f>
        <v>-9.22864690522977</v>
      </c>
      <c r="Y355" s="1">
        <f>'Part B'!$B$179+SUMPRODUCT('Part B'!$B$193:$N$193,C355:O355)</f>
        <v>3.140656716579</v>
      </c>
      <c r="Z355" s="1">
        <f>P355-Y355</f>
        <v>-0.144924443025007</v>
      </c>
      <c r="AB355" s="1">
        <f>C355</f>
        <v>0.6</v>
      </c>
      <c r="AC355" s="1">
        <f>D355</f>
        <v>92</v>
      </c>
      <c r="AD355" s="1">
        <f>E355</f>
        <v>2</v>
      </c>
      <c r="AE355" s="1">
        <f>F355</f>
        <v>0</v>
      </c>
      <c r="AF355" s="1">
        <f>G355</f>
        <v>0</v>
      </c>
      <c r="AG355" s="1">
        <f>I355</f>
        <v>0</v>
      </c>
      <c r="AH355" s="1">
        <f>J355</f>
        <v>0</v>
      </c>
      <c r="AI355" s="1">
        <f>Q355</f>
        <v>0</v>
      </c>
      <c r="AJ355" s="1">
        <f>K355</f>
        <v>0</v>
      </c>
      <c r="AK355" s="1">
        <f>L355</f>
        <v>0</v>
      </c>
      <c r="AL355" s="1">
        <f>M355</f>
        <v>0</v>
      </c>
      <c r="AM355" s="1">
        <f>N355</f>
        <v>0</v>
      </c>
      <c r="AN355" s="1">
        <f>O355</f>
        <v>0</v>
      </c>
    </row>
    <row r="356">
      <c r="A356" s="1">
        <v>487</v>
      </c>
      <c r="B356" s="1">
        <v>20</v>
      </c>
      <c r="C356" s="1">
        <v>1.3</v>
      </c>
      <c r="D356" s="1">
        <v>84</v>
      </c>
      <c r="E356" s="1">
        <v>2</v>
      </c>
      <c r="F356" s="1">
        <v>0</v>
      </c>
      <c r="G356" s="1">
        <v>0</v>
      </c>
      <c r="H356" s="1">
        <v>1</v>
      </c>
      <c r="I356" s="1">
        <v>0</v>
      </c>
      <c r="J356" s="1">
        <v>0</v>
      </c>
      <c r="K356" s="1">
        <v>0</v>
      </c>
      <c r="L356" s="1">
        <v>1</v>
      </c>
      <c r="M356" s="1">
        <v>0</v>
      </c>
      <c r="N356" s="1">
        <v>0</v>
      </c>
      <c r="O356" s="1">
        <v>0</v>
      </c>
      <c r="P356" s="1">
        <f>LN(B356)</f>
        <v>2.99573227355399</v>
      </c>
      <c r="Q356" s="1">
        <f>1-SUM(F356:J356)</f>
        <v>0</v>
      </c>
      <c r="R356" s="1" t="str">
        <f>IF(F356=1,"Napa valley",IF(G356=1,"Bay area",IF(H356=1,"Sonoma",IF(I356=1,"Sierra/foothills",IF(J356=1,"Mendocino/lake","Generic California")))))</f>
        <v>Sonoma</v>
      </c>
      <c r="S356" s="1" t="str">
        <f>IF(F356=1,"Napa valley",IF(H356=1,"Sonoma","Other"))</f>
        <v>Sonoma</v>
      </c>
      <c r="T356" s="1" t="str">
        <f>IF(M356=1,"Cabernet",IF(N356=1,"Merlot",IF(L356=1,"Pinot noir","Other")))</f>
        <v>Pinot noir</v>
      </c>
      <c r="U356" s="1" t="str">
        <f>IF(F356=1,B356,"")</f>
        <v/>
      </c>
      <c r="V356" s="1">
        <f>IF(F356=0,B356,"")</f>
        <v>20</v>
      </c>
      <c r="W356" s="1">
        <f>'Part B'!$B$150+SUMPRODUCT('Part B'!$B$164:$N$164,C356:O356)</f>
        <v>13.4556900542814</v>
      </c>
      <c r="X356" s="1">
        <f>B356-W356</f>
        <v>6.54430994571862</v>
      </c>
      <c r="Y356" s="1">
        <f>'Part B'!$B$179+SUMPRODUCT('Part B'!$B$193:$N$193,C356:O356)</f>
        <v>2.92449269726234</v>
      </c>
      <c r="Z356" s="1">
        <f>P356-Y356</f>
        <v>0.0712395762916507</v>
      </c>
      <c r="AB356" s="1">
        <f>C356</f>
        <v>1.3</v>
      </c>
      <c r="AC356" s="1">
        <f>D356</f>
        <v>84</v>
      </c>
      <c r="AD356" s="1">
        <f>E356</f>
        <v>2</v>
      </c>
      <c r="AE356" s="1">
        <f>F356</f>
        <v>0</v>
      </c>
      <c r="AF356" s="1">
        <f>G356</f>
        <v>0</v>
      </c>
      <c r="AG356" s="1">
        <f>I356</f>
        <v>0</v>
      </c>
      <c r="AH356" s="1">
        <f>J356</f>
        <v>0</v>
      </c>
      <c r="AI356" s="1">
        <f>Q356</f>
        <v>0</v>
      </c>
      <c r="AJ356" s="1">
        <f>K356</f>
        <v>0</v>
      </c>
      <c r="AK356" s="1">
        <f>L356</f>
        <v>1</v>
      </c>
      <c r="AL356" s="1">
        <f>M356</f>
        <v>0</v>
      </c>
      <c r="AM356" s="1">
        <f>N356</f>
        <v>0</v>
      </c>
      <c r="AN356" s="1">
        <f>O356</f>
        <v>0</v>
      </c>
    </row>
    <row r="357">
      <c r="A357" s="1">
        <v>490</v>
      </c>
      <c r="B357" s="1">
        <v>20</v>
      </c>
      <c r="C357" s="1">
        <v>0.533</v>
      </c>
      <c r="D357" s="1">
        <v>81</v>
      </c>
      <c r="E357" s="1">
        <v>2</v>
      </c>
      <c r="F357" s="1">
        <v>0</v>
      </c>
      <c r="G357" s="1">
        <v>0</v>
      </c>
      <c r="H357" s="1">
        <v>0</v>
      </c>
      <c r="I357" s="1">
        <v>0</v>
      </c>
      <c r="J357" s="1">
        <v>0</v>
      </c>
      <c r="K357" s="1">
        <v>0</v>
      </c>
      <c r="L357" s="1">
        <v>0</v>
      </c>
      <c r="M357" s="1">
        <v>0</v>
      </c>
      <c r="N357" s="1">
        <v>1</v>
      </c>
      <c r="O357" s="1">
        <v>0</v>
      </c>
      <c r="P357" s="1">
        <f>LN(B357)</f>
        <v>2.99573227355399</v>
      </c>
      <c r="Q357" s="1">
        <f>1-SUM(F357:J357)</f>
        <v>1</v>
      </c>
      <c r="R357" s="1" t="str">
        <f>IF(F357=1,"Napa valley",IF(G357=1,"Bay area",IF(H357=1,"Sonoma",IF(I357=1,"Sierra/foothills",IF(J357=1,"Mendocino/lake","Generic California")))))</f>
        <v>Generic California</v>
      </c>
      <c r="S357" s="1" t="str">
        <f>IF(F357=1,"Napa valley",IF(H357=1,"Sonoma","Other"))</f>
        <v>Other</v>
      </c>
      <c r="T357" s="1" t="str">
        <f>IF(M357=1,"Cabernet",IF(N357=1,"Merlot",IF(L357=1,"Pinot noir","Other")))</f>
        <v>Merlot</v>
      </c>
      <c r="U357" s="1" t="str">
        <f>IF(F357=1,B357,"")</f>
        <v/>
      </c>
      <c r="V357" s="1">
        <f>IF(F357=0,B357,"")</f>
        <v>20</v>
      </c>
      <c r="W357" s="1">
        <f>'Part B'!$B$150+SUMPRODUCT('Part B'!$B$164:$N$164,C357:O357)</f>
        <v>3.134591052659</v>
      </c>
      <c r="X357" s="1">
        <f>B357-W357</f>
        <v>16.865408947341</v>
      </c>
      <c r="Y357" s="1">
        <f>'Part B'!$B$179+SUMPRODUCT('Part B'!$B$193:$N$193,C357:O357)</f>
        <v>2.37395123920092</v>
      </c>
      <c r="Z357" s="1">
        <f>P357-Y357</f>
        <v>0.621781034353067</v>
      </c>
      <c r="AB357" s="1">
        <f>C357</f>
        <v>0.533</v>
      </c>
      <c r="AC357" s="1">
        <f>D357</f>
        <v>81</v>
      </c>
      <c r="AD357" s="1">
        <f>E357</f>
        <v>2</v>
      </c>
      <c r="AE357" s="1">
        <f>F357</f>
        <v>0</v>
      </c>
      <c r="AF357" s="1">
        <f>G357</f>
        <v>0</v>
      </c>
      <c r="AG357" s="1">
        <f>I357</f>
        <v>0</v>
      </c>
      <c r="AH357" s="1">
        <f>J357</f>
        <v>0</v>
      </c>
      <c r="AI357" s="1">
        <f>Q357</f>
        <v>1</v>
      </c>
      <c r="AJ357" s="1">
        <f>K357</f>
        <v>0</v>
      </c>
      <c r="AK357" s="1">
        <f>L357</f>
        <v>0</v>
      </c>
      <c r="AL357" s="1">
        <f>M357</f>
        <v>0</v>
      </c>
      <c r="AM357" s="1">
        <f>N357</f>
        <v>1</v>
      </c>
      <c r="AN357" s="1">
        <f>O357</f>
        <v>0</v>
      </c>
    </row>
    <row r="358">
      <c r="A358" s="1">
        <v>492</v>
      </c>
      <c r="B358" s="1">
        <v>20</v>
      </c>
      <c r="C358" s="1">
        <v>1.4</v>
      </c>
      <c r="D358" s="1">
        <v>89</v>
      </c>
      <c r="E358" s="1">
        <v>2</v>
      </c>
      <c r="F358" s="1">
        <v>0</v>
      </c>
      <c r="G358" s="1">
        <v>0</v>
      </c>
      <c r="H358" s="1">
        <v>0</v>
      </c>
      <c r="I358" s="1">
        <v>0</v>
      </c>
      <c r="J358" s="1">
        <v>1</v>
      </c>
      <c r="K358" s="1">
        <v>0</v>
      </c>
      <c r="L358" s="1">
        <v>0</v>
      </c>
      <c r="M358" s="1">
        <v>0</v>
      </c>
      <c r="N358" s="1">
        <v>0</v>
      </c>
      <c r="O358" s="1">
        <v>0</v>
      </c>
      <c r="P358" s="1">
        <f>LN(B358)</f>
        <v>2.99573227355399</v>
      </c>
      <c r="Q358" s="1">
        <f>1-SUM(F358:J358)</f>
        <v>0</v>
      </c>
      <c r="R358" s="1" t="str">
        <f>IF(F358=1,"Napa valley",IF(G358=1,"Bay area",IF(H358=1,"Sonoma",IF(I358=1,"Sierra/foothills",IF(J358=1,"Mendocino/lake","Generic California")))))</f>
        <v>Mendocino/lake</v>
      </c>
      <c r="S358" s="1" t="str">
        <f>IF(F358=1,"Napa valley",IF(H358=1,"Sonoma","Other"))</f>
        <v>Other</v>
      </c>
      <c r="T358" s="1" t="str">
        <f>IF(M358=1,"Cabernet",IF(N358=1,"Merlot",IF(L358=1,"Pinot noir","Other")))</f>
        <v>Other</v>
      </c>
      <c r="U358" s="1" t="str">
        <f>IF(F358=1,B358,"")</f>
        <v/>
      </c>
      <c r="V358" s="1">
        <f>IF(F358=0,B358,"")</f>
        <v>20</v>
      </c>
      <c r="W358" s="1">
        <f>'Part B'!$B$150+SUMPRODUCT('Part B'!$B$164:$N$164,C358:O358)</f>
        <v>21.4344075579139</v>
      </c>
      <c r="X358" s="1">
        <f>B358-W358</f>
        <v>-1.43440755791391</v>
      </c>
      <c r="Y358" s="1">
        <f>'Part B'!$B$179+SUMPRODUCT('Part B'!$B$193:$N$193,C358:O358)</f>
        <v>2.88264441742228</v>
      </c>
      <c r="Z358" s="1">
        <f>P358-Y358</f>
        <v>0.113087856131711</v>
      </c>
      <c r="AB358" s="1">
        <f>C358</f>
        <v>1.4</v>
      </c>
      <c r="AC358" s="1">
        <f>D358</f>
        <v>89</v>
      </c>
      <c r="AD358" s="1">
        <f>E358</f>
        <v>2</v>
      </c>
      <c r="AE358" s="1">
        <f>F358</f>
        <v>0</v>
      </c>
      <c r="AF358" s="1">
        <f>G358</f>
        <v>0</v>
      </c>
      <c r="AG358" s="1">
        <f>I358</f>
        <v>0</v>
      </c>
      <c r="AH358" s="1">
        <f>J358</f>
        <v>1</v>
      </c>
      <c r="AI358" s="1">
        <f>Q358</f>
        <v>0</v>
      </c>
      <c r="AJ358" s="1">
        <f>K358</f>
        <v>0</v>
      </c>
      <c r="AK358" s="1">
        <f>L358</f>
        <v>0</v>
      </c>
      <c r="AL358" s="1">
        <f>M358</f>
        <v>0</v>
      </c>
      <c r="AM358" s="1">
        <f>N358</f>
        <v>0</v>
      </c>
      <c r="AN358" s="1">
        <f>O358</f>
        <v>0</v>
      </c>
    </row>
    <row r="359">
      <c r="A359" s="1">
        <v>493</v>
      </c>
      <c r="B359" s="1">
        <v>20</v>
      </c>
      <c r="C359" s="1">
        <v>0.173</v>
      </c>
      <c r="D359" s="1">
        <v>86</v>
      </c>
      <c r="E359" s="1">
        <v>2</v>
      </c>
      <c r="F359" s="1">
        <v>0</v>
      </c>
      <c r="G359" s="1">
        <v>0</v>
      </c>
      <c r="H359" s="1">
        <v>0</v>
      </c>
      <c r="I359" s="1">
        <v>0</v>
      </c>
      <c r="J359" s="1">
        <v>0</v>
      </c>
      <c r="K359" s="1">
        <v>1</v>
      </c>
      <c r="L359" s="1">
        <v>0</v>
      </c>
      <c r="M359" s="1">
        <v>0</v>
      </c>
      <c r="N359" s="1">
        <v>0</v>
      </c>
      <c r="O359" s="1">
        <v>0</v>
      </c>
      <c r="P359" s="1">
        <f>LN(B359)</f>
        <v>2.99573227355399</v>
      </c>
      <c r="Q359" s="1">
        <f>1-SUM(F359:J359)</f>
        <v>1</v>
      </c>
      <c r="R359" s="1" t="str">
        <f>IF(F359=1,"Napa valley",IF(G359=1,"Bay area",IF(H359=1,"Sonoma",IF(I359=1,"Sierra/foothills",IF(J359=1,"Mendocino/lake","Generic California")))))</f>
        <v>Generic California</v>
      </c>
      <c r="S359" s="1" t="str">
        <f>IF(F359=1,"Napa valley",IF(H359=1,"Sonoma","Other"))</f>
        <v>Other</v>
      </c>
      <c r="T359" s="1" t="str">
        <f>IF(M359=1,"Cabernet",IF(N359=1,"Merlot",IF(L359=1,"Pinot noir","Other")))</f>
        <v>Other</v>
      </c>
      <c r="U359" s="1" t="str">
        <f>IF(F359=1,B359,"")</f>
        <v/>
      </c>
      <c r="V359" s="1">
        <f>IF(F359=0,B359,"")</f>
        <v>20</v>
      </c>
      <c r="W359" s="1">
        <f>'Part B'!$B$150+SUMPRODUCT('Part B'!$B$164:$N$164,C359:O359)</f>
        <v>31.5218293245057</v>
      </c>
      <c r="X359" s="1">
        <f>B359-W359</f>
        <v>-11.5218293245057</v>
      </c>
      <c r="Y359" s="1">
        <f>'Part B'!$B$179+SUMPRODUCT('Part B'!$B$193:$N$193,C359:O359)</f>
        <v>2.91937128151314</v>
      </c>
      <c r="Z359" s="1">
        <f>P359-Y359</f>
        <v>0.0763609920408554</v>
      </c>
      <c r="AB359" s="1">
        <f>C359</f>
        <v>0.173</v>
      </c>
      <c r="AC359" s="1">
        <f>D359</f>
        <v>86</v>
      </c>
      <c r="AD359" s="1">
        <f>E359</f>
        <v>2</v>
      </c>
      <c r="AE359" s="1">
        <f>F359</f>
        <v>0</v>
      </c>
      <c r="AF359" s="1">
        <f>G359</f>
        <v>0</v>
      </c>
      <c r="AG359" s="1">
        <f>I359</f>
        <v>0</v>
      </c>
      <c r="AH359" s="1">
        <f>J359</f>
        <v>0</v>
      </c>
      <c r="AI359" s="1">
        <f>Q359</f>
        <v>1</v>
      </c>
      <c r="AJ359" s="1">
        <f>K359</f>
        <v>1</v>
      </c>
      <c r="AK359" s="1">
        <f>L359</f>
        <v>0</v>
      </c>
      <c r="AL359" s="1">
        <f>M359</f>
        <v>0</v>
      </c>
      <c r="AM359" s="1">
        <f>N359</f>
        <v>0</v>
      </c>
      <c r="AN359" s="1">
        <f>O359</f>
        <v>0</v>
      </c>
    </row>
    <row r="360">
      <c r="A360" s="1">
        <v>494</v>
      </c>
      <c r="B360" s="1">
        <v>20</v>
      </c>
      <c r="C360" s="1">
        <v>0.4</v>
      </c>
      <c r="D360" s="1">
        <v>92</v>
      </c>
      <c r="E360" s="1">
        <v>2</v>
      </c>
      <c r="F360" s="1">
        <v>1</v>
      </c>
      <c r="G360" s="1">
        <v>0</v>
      </c>
      <c r="H360" s="1">
        <v>0</v>
      </c>
      <c r="I360" s="1">
        <v>0</v>
      </c>
      <c r="J360" s="1">
        <v>0</v>
      </c>
      <c r="K360" s="1">
        <v>0</v>
      </c>
      <c r="L360" s="1">
        <v>0</v>
      </c>
      <c r="M360" s="1">
        <v>0</v>
      </c>
      <c r="N360" s="1">
        <v>0</v>
      </c>
      <c r="O360" s="1">
        <v>0</v>
      </c>
      <c r="P360" s="1">
        <f>LN(B360)</f>
        <v>2.99573227355399</v>
      </c>
      <c r="Q360" s="1">
        <f>1-SUM(F360:J360)</f>
        <v>0</v>
      </c>
      <c r="R360" s="1" t="str">
        <f>IF(F360=1,"Napa valley",IF(G360=1,"Bay area",IF(H360=1,"Sonoma",IF(I360=1,"Sierra/foothills",IF(J360=1,"Mendocino/lake","Generic California")))))</f>
        <v>Napa valley</v>
      </c>
      <c r="S360" s="1" t="str">
        <f>IF(F360=1,"Napa valley",IF(H360=1,"Sonoma","Other"))</f>
        <v>Napa valley</v>
      </c>
      <c r="T360" s="1" t="str">
        <f>IF(M360=1,"Cabernet",IF(N360=1,"Merlot",IF(L360=1,"Pinot noir","Other")))</f>
        <v>Other</v>
      </c>
      <c r="U360" s="1">
        <f>IF(F360=1,B360,"")</f>
        <v>20</v>
      </c>
      <c r="V360" s="1" t="str">
        <f>IF(F360=0,B360,"")</f>
        <v/>
      </c>
      <c r="W360" s="1">
        <f>'Part B'!$B$150+SUMPRODUCT('Part B'!$B$164:$N$164,C360:O360)</f>
        <v>37.144077478953</v>
      </c>
      <c r="X360" s="1">
        <f>B360-W360</f>
        <v>-17.144077478953</v>
      </c>
      <c r="Y360" s="1">
        <f>'Part B'!$B$179+SUMPRODUCT('Part B'!$B$193:$N$193,C360:O360)</f>
        <v>3.28930009490819</v>
      </c>
      <c r="Z360" s="1">
        <f>P360-Y360</f>
        <v>-0.293567821354194</v>
      </c>
      <c r="AB360" s="1">
        <f>C360</f>
        <v>0.4</v>
      </c>
      <c r="AC360" s="1">
        <f>D360</f>
        <v>92</v>
      </c>
      <c r="AD360" s="1">
        <f>E360</f>
        <v>2</v>
      </c>
      <c r="AE360" s="1">
        <f>F360</f>
        <v>1</v>
      </c>
      <c r="AF360" s="1">
        <f>G360</f>
        <v>0</v>
      </c>
      <c r="AG360" s="1">
        <f>I360</f>
        <v>0</v>
      </c>
      <c r="AH360" s="1">
        <f>J360</f>
        <v>0</v>
      </c>
      <c r="AI360" s="1">
        <f>Q360</f>
        <v>0</v>
      </c>
      <c r="AJ360" s="1">
        <f>K360</f>
        <v>0</v>
      </c>
      <c r="AK360" s="1">
        <f>L360</f>
        <v>0</v>
      </c>
      <c r="AL360" s="1">
        <f>M360</f>
        <v>0</v>
      </c>
      <c r="AM360" s="1">
        <f>N360</f>
        <v>0</v>
      </c>
      <c r="AN360" s="1">
        <f>O360</f>
        <v>0</v>
      </c>
    </row>
    <row r="361">
      <c r="A361" s="1">
        <v>495</v>
      </c>
      <c r="B361" s="1">
        <v>20</v>
      </c>
      <c r="C361" s="1">
        <v>0.67</v>
      </c>
      <c r="D361" s="1">
        <v>84</v>
      </c>
      <c r="E361" s="1">
        <v>2</v>
      </c>
      <c r="F361" s="1">
        <v>0</v>
      </c>
      <c r="G361" s="1">
        <v>0</v>
      </c>
      <c r="H361" s="1">
        <v>1</v>
      </c>
      <c r="I361" s="1">
        <v>0</v>
      </c>
      <c r="J361" s="1">
        <v>0</v>
      </c>
      <c r="K361" s="1">
        <v>0</v>
      </c>
      <c r="L361" s="1">
        <v>0</v>
      </c>
      <c r="M361" s="1">
        <v>0</v>
      </c>
      <c r="N361" s="1">
        <v>0</v>
      </c>
      <c r="O361" s="1">
        <v>1</v>
      </c>
      <c r="P361" s="1">
        <f>LN(B361)</f>
        <v>2.99573227355399</v>
      </c>
      <c r="Q361" s="1">
        <f>1-SUM(F361:J361)</f>
        <v>0</v>
      </c>
      <c r="R361" s="1" t="str">
        <f>IF(F361=1,"Napa valley",IF(G361=1,"Bay area",IF(H361=1,"Sonoma",IF(I361=1,"Sierra/foothills",IF(J361=1,"Mendocino/lake","Generic California")))))</f>
        <v>Sonoma</v>
      </c>
      <c r="S361" s="1" t="str">
        <f>IF(F361=1,"Napa valley",IF(H361=1,"Sonoma","Other"))</f>
        <v>Sonoma</v>
      </c>
      <c r="T361" s="1" t="str">
        <f>IF(M361=1,"Cabernet",IF(N361=1,"Merlot",IF(L361=1,"Pinot noir","Other")))</f>
        <v>Other</v>
      </c>
      <c r="U361" s="1" t="str">
        <f>IF(F361=1,B361,"")</f>
        <v/>
      </c>
      <c r="V361" s="1">
        <f>IF(F361=0,B361,"")</f>
        <v>20</v>
      </c>
      <c r="W361" s="1">
        <f>'Part B'!$B$150+SUMPRODUCT('Part B'!$B$164:$N$164,C361:O361)</f>
        <v>3.65493900190444</v>
      </c>
      <c r="X361" s="1">
        <f>B361-W361</f>
        <v>16.3450609980956</v>
      </c>
      <c r="Y361" s="1">
        <f>'Part B'!$B$179+SUMPRODUCT('Part B'!$B$193:$N$193,C361:O361)</f>
        <v>2.62390018273959</v>
      </c>
      <c r="Z361" s="1">
        <f>P361-Y361</f>
        <v>0.371832090814399</v>
      </c>
      <c r="AB361" s="1">
        <f>C361</f>
        <v>0.67</v>
      </c>
      <c r="AC361" s="1">
        <f>D361</f>
        <v>84</v>
      </c>
      <c r="AD361" s="1">
        <f>E361</f>
        <v>2</v>
      </c>
      <c r="AE361" s="1">
        <f>F361</f>
        <v>0</v>
      </c>
      <c r="AF361" s="1">
        <f>G361</f>
        <v>0</v>
      </c>
      <c r="AG361" s="1">
        <f>I361</f>
        <v>0</v>
      </c>
      <c r="AH361" s="1">
        <f>J361</f>
        <v>0</v>
      </c>
      <c r="AI361" s="1">
        <f>Q361</f>
        <v>0</v>
      </c>
      <c r="AJ361" s="1">
        <f>K361</f>
        <v>0</v>
      </c>
      <c r="AK361" s="1">
        <f>L361</f>
        <v>0</v>
      </c>
      <c r="AL361" s="1">
        <f>M361</f>
        <v>0</v>
      </c>
      <c r="AM361" s="1">
        <f>N361</f>
        <v>0</v>
      </c>
      <c r="AN361" s="1">
        <f>O361</f>
        <v>1</v>
      </c>
    </row>
    <row r="362">
      <c r="A362" s="1">
        <v>496</v>
      </c>
      <c r="B362" s="1">
        <v>20</v>
      </c>
      <c r="C362" s="1">
        <v>1.05</v>
      </c>
      <c r="D362" s="1">
        <v>87</v>
      </c>
      <c r="E362" s="1">
        <v>2</v>
      </c>
      <c r="F362" s="1">
        <v>1</v>
      </c>
      <c r="G362" s="1">
        <v>0</v>
      </c>
      <c r="H362" s="1">
        <v>0</v>
      </c>
      <c r="I362" s="1">
        <v>0</v>
      </c>
      <c r="J362" s="1">
        <v>0</v>
      </c>
      <c r="K362" s="1">
        <v>1</v>
      </c>
      <c r="L362" s="1">
        <v>0</v>
      </c>
      <c r="M362" s="1">
        <v>0</v>
      </c>
      <c r="N362" s="1">
        <v>0</v>
      </c>
      <c r="O362" s="1">
        <v>0</v>
      </c>
      <c r="P362" s="1">
        <f>LN(B362)</f>
        <v>2.99573227355399</v>
      </c>
      <c r="Q362" s="1">
        <f>1-SUM(F362:J362)</f>
        <v>0</v>
      </c>
      <c r="R362" s="1" t="str">
        <f>IF(F362=1,"Napa valley",IF(G362=1,"Bay area",IF(H362=1,"Sonoma",IF(I362=1,"Sierra/foothills",IF(J362=1,"Mendocino/lake","Generic California")))))</f>
        <v>Napa valley</v>
      </c>
      <c r="S362" s="1" t="str">
        <f>IF(F362=1,"Napa valley",IF(H362=1,"Sonoma","Other"))</f>
        <v>Napa valley</v>
      </c>
      <c r="T362" s="1" t="str">
        <f>IF(M362=1,"Cabernet",IF(N362=1,"Merlot",IF(L362=1,"Pinot noir","Other")))</f>
        <v>Other</v>
      </c>
      <c r="U362" s="1">
        <f>IF(F362=1,B362,"")</f>
        <v>20</v>
      </c>
      <c r="V362" s="1" t="str">
        <f>IF(F362=0,B362,"")</f>
        <v/>
      </c>
      <c r="W362" s="1">
        <f>'Part B'!$B$150+SUMPRODUCT('Part B'!$B$164:$N$164,C362:O362)</f>
        <v>41.6446914742305</v>
      </c>
      <c r="X362" s="1">
        <f>B362-W362</f>
        <v>-21.6446914742305</v>
      </c>
      <c r="Y362" s="1">
        <f>'Part B'!$B$179+SUMPRODUCT('Part B'!$B$193:$N$193,C362:O362)</f>
        <v>3.41529932129793</v>
      </c>
      <c r="Z362" s="1">
        <f>P362-Y362</f>
        <v>-0.419567047743934</v>
      </c>
      <c r="AB362" s="1">
        <f>C362</f>
        <v>1.05</v>
      </c>
      <c r="AC362" s="1">
        <f>D362</f>
        <v>87</v>
      </c>
      <c r="AD362" s="1">
        <f>E362</f>
        <v>2</v>
      </c>
      <c r="AE362" s="1">
        <f>F362</f>
        <v>1</v>
      </c>
      <c r="AF362" s="1">
        <f>G362</f>
        <v>0</v>
      </c>
      <c r="AG362" s="1">
        <f>I362</f>
        <v>0</v>
      </c>
      <c r="AH362" s="1">
        <f>J362</f>
        <v>0</v>
      </c>
      <c r="AI362" s="1">
        <f>Q362</f>
        <v>0</v>
      </c>
      <c r="AJ362" s="1">
        <f>K362</f>
        <v>1</v>
      </c>
      <c r="AK362" s="1">
        <f>L362</f>
        <v>0</v>
      </c>
      <c r="AL362" s="1">
        <f>M362</f>
        <v>0</v>
      </c>
      <c r="AM362" s="1">
        <f>N362</f>
        <v>0</v>
      </c>
      <c r="AN362" s="1">
        <f>O362</f>
        <v>0</v>
      </c>
    </row>
    <row r="363">
      <c r="A363" s="1">
        <v>498</v>
      </c>
      <c r="B363" s="1">
        <v>20</v>
      </c>
      <c r="C363" s="1">
        <v>1.4</v>
      </c>
      <c r="D363" s="1">
        <v>84</v>
      </c>
      <c r="E363" s="1">
        <v>2</v>
      </c>
      <c r="F363" s="1">
        <v>0</v>
      </c>
      <c r="G363" s="1">
        <v>0</v>
      </c>
      <c r="H363" s="1">
        <v>1</v>
      </c>
      <c r="I363" s="1">
        <v>0</v>
      </c>
      <c r="J363" s="1">
        <v>0</v>
      </c>
      <c r="K363" s="1">
        <v>0</v>
      </c>
      <c r="L363" s="1">
        <v>0</v>
      </c>
      <c r="M363" s="1">
        <v>0</v>
      </c>
      <c r="N363" s="1">
        <v>0</v>
      </c>
      <c r="O363" s="1">
        <v>0</v>
      </c>
      <c r="P363" s="1">
        <f>LN(B363)</f>
        <v>2.99573227355399</v>
      </c>
      <c r="Q363" s="1">
        <f>1-SUM(F363:J363)</f>
        <v>0</v>
      </c>
      <c r="R363" s="1" t="str">
        <f>IF(F363=1,"Napa valley",IF(G363=1,"Bay area",IF(H363=1,"Sonoma",IF(I363=1,"Sierra/foothills",IF(J363=1,"Mendocino/lake","Generic California")))))</f>
        <v>Sonoma</v>
      </c>
      <c r="S363" s="1" t="str">
        <f>IF(F363=1,"Napa valley",IF(H363=1,"Sonoma","Other"))</f>
        <v>Sonoma</v>
      </c>
      <c r="T363" s="1" t="str">
        <f>IF(M363=1,"Cabernet",IF(N363=1,"Merlot",IF(L363=1,"Pinot noir","Other")))</f>
        <v>Other</v>
      </c>
      <c r="U363" s="1" t="str">
        <f>IF(F363=1,B363,"")</f>
        <v/>
      </c>
      <c r="V363" s="1">
        <f>IF(F363=0,B363,"")</f>
        <v>20</v>
      </c>
      <c r="W363" s="1">
        <f>'Part B'!$B$150+SUMPRODUCT('Part B'!$B$164:$N$164,C363:O363)</f>
        <v>3.99193915064052</v>
      </c>
      <c r="X363" s="1">
        <f>B363-W363</f>
        <v>16.0080608493595</v>
      </c>
      <c r="Y363" s="1">
        <f>'Part B'!$B$179+SUMPRODUCT('Part B'!$B$193:$N$193,C363:O363)</f>
        <v>2.57754251248352</v>
      </c>
      <c r="Z363" s="1">
        <f>P363-Y363</f>
        <v>0.418189761070473</v>
      </c>
      <c r="AB363" s="1">
        <f>C363</f>
        <v>1.4</v>
      </c>
      <c r="AC363" s="1">
        <f>D363</f>
        <v>84</v>
      </c>
      <c r="AD363" s="1">
        <f>E363</f>
        <v>2</v>
      </c>
      <c r="AE363" s="1">
        <f>F363</f>
        <v>0</v>
      </c>
      <c r="AF363" s="1">
        <f>G363</f>
        <v>0</v>
      </c>
      <c r="AG363" s="1">
        <f>I363</f>
        <v>0</v>
      </c>
      <c r="AH363" s="1">
        <f>J363</f>
        <v>0</v>
      </c>
      <c r="AI363" s="1">
        <f>Q363</f>
        <v>0</v>
      </c>
      <c r="AJ363" s="1">
        <f>K363</f>
        <v>0</v>
      </c>
      <c r="AK363" s="1">
        <f>L363</f>
        <v>0</v>
      </c>
      <c r="AL363" s="1">
        <f>M363</f>
        <v>0</v>
      </c>
      <c r="AM363" s="1">
        <f>N363</f>
        <v>0</v>
      </c>
      <c r="AN363" s="1">
        <f>O363</f>
        <v>0</v>
      </c>
    </row>
    <row r="364">
      <c r="A364" s="1">
        <v>500</v>
      </c>
      <c r="B364" s="1">
        <v>20</v>
      </c>
      <c r="C364" s="1">
        <v>4.5</v>
      </c>
      <c r="D364" s="1">
        <v>92</v>
      </c>
      <c r="E364" s="1">
        <v>2</v>
      </c>
      <c r="F364" s="1">
        <v>1</v>
      </c>
      <c r="G364" s="1">
        <v>0</v>
      </c>
      <c r="H364" s="1">
        <v>0</v>
      </c>
      <c r="I364" s="1">
        <v>0</v>
      </c>
      <c r="J364" s="1">
        <v>0</v>
      </c>
      <c r="K364" s="1">
        <v>0</v>
      </c>
      <c r="L364" s="1">
        <v>0</v>
      </c>
      <c r="M364" s="1">
        <v>0</v>
      </c>
      <c r="N364" s="1">
        <v>1</v>
      </c>
      <c r="O364" s="1">
        <v>0</v>
      </c>
      <c r="P364" s="1">
        <f>LN(B364)</f>
        <v>2.99573227355399</v>
      </c>
      <c r="Q364" s="1">
        <f>1-SUM(F364:J364)</f>
        <v>0</v>
      </c>
      <c r="R364" s="1" t="str">
        <f>IF(F364=1,"Napa valley",IF(G364=1,"Bay area",IF(H364=1,"Sonoma",IF(I364=1,"Sierra/foothills",IF(J364=1,"Mendocino/lake","Generic California")))))</f>
        <v>Napa valley</v>
      </c>
      <c r="S364" s="1" t="str">
        <f>IF(F364=1,"Napa valley",IF(H364=1,"Sonoma","Other"))</f>
        <v>Napa valley</v>
      </c>
      <c r="T364" s="1" t="str">
        <f>IF(M364=1,"Cabernet",IF(N364=1,"Merlot",IF(L364=1,"Pinot noir","Other")))</f>
        <v>Merlot</v>
      </c>
      <c r="U364" s="1">
        <f>IF(F364=1,B364,"")</f>
        <v>20</v>
      </c>
      <c r="V364" s="1" t="str">
        <f>IF(F364=0,B364,"")</f>
        <v/>
      </c>
      <c r="W364" s="1">
        <f>'Part B'!$B$150+SUMPRODUCT('Part B'!$B$164:$N$164,C364:O364)</f>
        <v>44.4151405778334</v>
      </c>
      <c r="X364" s="1">
        <f>B364-W364</f>
        <v>-24.4151405778334</v>
      </c>
      <c r="Y364" s="1">
        <f>'Part B'!$B$179+SUMPRODUCT('Part B'!$B$193:$N$193,C364:O364)</f>
        <v>3.55627064948167</v>
      </c>
      <c r="Z364" s="1">
        <f>P364-Y364</f>
        <v>-0.560538375927683</v>
      </c>
      <c r="AB364" s="1">
        <f>C364</f>
        <v>4.5</v>
      </c>
      <c r="AC364" s="1">
        <f>D364</f>
        <v>92</v>
      </c>
      <c r="AD364" s="1">
        <f>E364</f>
        <v>2</v>
      </c>
      <c r="AE364" s="1">
        <f>F364</f>
        <v>1</v>
      </c>
      <c r="AF364" s="1">
        <f>G364</f>
        <v>0</v>
      </c>
      <c r="AG364" s="1">
        <f>I364</f>
        <v>0</v>
      </c>
      <c r="AH364" s="1">
        <f>J364</f>
        <v>0</v>
      </c>
      <c r="AI364" s="1">
        <f>Q364</f>
        <v>0</v>
      </c>
      <c r="AJ364" s="1">
        <f>K364</f>
        <v>0</v>
      </c>
      <c r="AK364" s="1">
        <f>L364</f>
        <v>0</v>
      </c>
      <c r="AL364" s="1">
        <f>M364</f>
        <v>0</v>
      </c>
      <c r="AM364" s="1">
        <f>N364</f>
        <v>1</v>
      </c>
      <c r="AN364" s="1">
        <f>O364</f>
        <v>0</v>
      </c>
    </row>
    <row r="365">
      <c r="A365" s="1">
        <v>501</v>
      </c>
      <c r="B365" s="1">
        <v>20</v>
      </c>
      <c r="C365" s="1">
        <v>0.26</v>
      </c>
      <c r="D365" s="1">
        <v>89</v>
      </c>
      <c r="E365" s="1">
        <v>2</v>
      </c>
      <c r="F365" s="1">
        <v>1</v>
      </c>
      <c r="G365" s="1">
        <v>0</v>
      </c>
      <c r="H365" s="1">
        <v>0</v>
      </c>
      <c r="I365" s="1">
        <v>0</v>
      </c>
      <c r="J365" s="1">
        <v>0</v>
      </c>
      <c r="K365" s="1">
        <v>0</v>
      </c>
      <c r="L365" s="1">
        <v>0</v>
      </c>
      <c r="M365" s="1">
        <v>0</v>
      </c>
      <c r="N365" s="1">
        <v>0</v>
      </c>
      <c r="O365" s="1">
        <v>0</v>
      </c>
      <c r="P365" s="1">
        <f>LN(B365)</f>
        <v>2.99573227355399</v>
      </c>
      <c r="Q365" s="1">
        <f>1-SUM(F365:J365)</f>
        <v>0</v>
      </c>
      <c r="R365" s="1" t="str">
        <f>IF(F365=1,"Napa valley",IF(G365=1,"Bay area",IF(H365=1,"Sonoma",IF(I365=1,"Sierra/foothills",IF(J365=1,"Mendocino/lake","Generic California")))))</f>
        <v>Napa valley</v>
      </c>
      <c r="S365" s="1" t="str">
        <f>IF(F365=1,"Napa valley",IF(H365=1,"Sonoma","Other"))</f>
        <v>Napa valley</v>
      </c>
      <c r="T365" s="1" t="str">
        <f>IF(M365=1,"Cabernet",IF(N365=1,"Merlot",IF(L365=1,"Pinot noir","Other")))</f>
        <v>Other</v>
      </c>
      <c r="U365" s="1">
        <f>IF(F365=1,B365,"")</f>
        <v>20</v>
      </c>
      <c r="V365" s="1" t="str">
        <f>IF(F365=0,B365,"")</f>
        <v/>
      </c>
      <c r="W365" s="1">
        <f>'Part B'!$B$150+SUMPRODUCT('Part B'!$B$164:$N$164,C365:O365)</f>
        <v>27.7220741296193</v>
      </c>
      <c r="X365" s="1">
        <f>B365-W365</f>
        <v>-7.72207412961927</v>
      </c>
      <c r="Y365" s="1">
        <f>'Part B'!$B$179+SUMPRODUCT('Part B'!$B$193:$N$193,C365:O365)</f>
        <v>3.08001505791622</v>
      </c>
      <c r="Z365" s="1">
        <f>P365-Y365</f>
        <v>-0.0842827843622263</v>
      </c>
      <c r="AB365" s="1">
        <f>C365</f>
        <v>0.26</v>
      </c>
      <c r="AC365" s="1">
        <f>D365</f>
        <v>89</v>
      </c>
      <c r="AD365" s="1">
        <f>E365</f>
        <v>2</v>
      </c>
      <c r="AE365" s="1">
        <f>F365</f>
        <v>1</v>
      </c>
      <c r="AF365" s="1">
        <f>G365</f>
        <v>0</v>
      </c>
      <c r="AG365" s="1">
        <f>I365</f>
        <v>0</v>
      </c>
      <c r="AH365" s="1">
        <f>J365</f>
        <v>0</v>
      </c>
      <c r="AI365" s="1">
        <f>Q365</f>
        <v>0</v>
      </c>
      <c r="AJ365" s="1">
        <f>K365</f>
        <v>0</v>
      </c>
      <c r="AK365" s="1">
        <f>L365</f>
        <v>0</v>
      </c>
      <c r="AL365" s="1">
        <f>M365</f>
        <v>0</v>
      </c>
      <c r="AM365" s="1">
        <f>N365</f>
        <v>0</v>
      </c>
      <c r="AN365" s="1">
        <f>O365</f>
        <v>0</v>
      </c>
    </row>
    <row r="366">
      <c r="A366" s="1">
        <v>503</v>
      </c>
      <c r="B366" s="1">
        <v>21</v>
      </c>
      <c r="C366" s="1">
        <v>1.8</v>
      </c>
      <c r="D366" s="1">
        <v>78</v>
      </c>
      <c r="E366" s="1">
        <v>4</v>
      </c>
      <c r="F366" s="1">
        <v>0</v>
      </c>
      <c r="G366" s="1">
        <v>0</v>
      </c>
      <c r="H366" s="1">
        <v>1</v>
      </c>
      <c r="I366" s="1">
        <v>0</v>
      </c>
      <c r="J366" s="1">
        <v>0</v>
      </c>
      <c r="K366" s="1">
        <v>0</v>
      </c>
      <c r="L366" s="1">
        <v>0</v>
      </c>
      <c r="M366" s="1">
        <v>1</v>
      </c>
      <c r="N366" s="1">
        <v>0</v>
      </c>
      <c r="O366" s="1">
        <v>0</v>
      </c>
      <c r="P366" s="1">
        <f>LN(B366)</f>
        <v>3.04452243772342</v>
      </c>
      <c r="Q366" s="1">
        <f>1-SUM(F366:J366)</f>
        <v>0</v>
      </c>
      <c r="R366" s="1" t="str">
        <f>IF(F366=1,"Napa valley",IF(G366=1,"Bay area",IF(H366=1,"Sonoma",IF(I366=1,"Sierra/foothills",IF(J366=1,"Mendocino/lake","Generic California")))))</f>
        <v>Sonoma</v>
      </c>
      <c r="S366" s="1" t="str">
        <f>IF(F366=1,"Napa valley",IF(H366=1,"Sonoma","Other"))</f>
        <v>Sonoma</v>
      </c>
      <c r="T366" s="1" t="str">
        <f>IF(M366=1,"Cabernet",IF(N366=1,"Merlot",IF(L366=1,"Pinot noir","Other")))</f>
        <v>Cabernet</v>
      </c>
      <c r="U366" s="1" t="str">
        <f>IF(F366=1,B366,"")</f>
        <v/>
      </c>
      <c r="V366" s="1">
        <f>IF(F366=0,B366,"")</f>
        <v>21</v>
      </c>
      <c r="W366" s="1">
        <f>'Part B'!$B$150+SUMPRODUCT('Part B'!$B$164:$N$164,C366:O366)</f>
        <v>10.9498542475709</v>
      </c>
      <c r="X366" s="1">
        <f>B366-W366</f>
        <v>10.0501457524291</v>
      </c>
      <c r="Y366" s="1">
        <f>'Part B'!$B$179+SUMPRODUCT('Part B'!$B$193:$N$193,C366:O366)</f>
        <v>2.84322889811151</v>
      </c>
      <c r="Z366" s="1">
        <f>P366-Y366</f>
        <v>0.201293539611908</v>
      </c>
      <c r="AB366" s="1">
        <f>C366</f>
        <v>1.8</v>
      </c>
      <c r="AC366" s="1">
        <f>D366</f>
        <v>78</v>
      </c>
      <c r="AD366" s="1">
        <f>E366</f>
        <v>4</v>
      </c>
      <c r="AE366" s="1">
        <f>F366</f>
        <v>0</v>
      </c>
      <c r="AF366" s="1">
        <f>G366</f>
        <v>0</v>
      </c>
      <c r="AG366" s="1">
        <f>I366</f>
        <v>0</v>
      </c>
      <c r="AH366" s="1">
        <f>J366</f>
        <v>0</v>
      </c>
      <c r="AI366" s="1">
        <f>Q366</f>
        <v>0</v>
      </c>
      <c r="AJ366" s="1">
        <f>K366</f>
        <v>0</v>
      </c>
      <c r="AK366" s="1">
        <f>L366</f>
        <v>0</v>
      </c>
      <c r="AL366" s="1">
        <f>M366</f>
        <v>1</v>
      </c>
      <c r="AM366" s="1">
        <f>N366</f>
        <v>0</v>
      </c>
      <c r="AN366" s="1">
        <f>O366</f>
        <v>0</v>
      </c>
    </row>
    <row r="367">
      <c r="A367" s="1">
        <v>505</v>
      </c>
      <c r="B367" s="1">
        <v>21</v>
      </c>
      <c r="C367" s="1">
        <v>9</v>
      </c>
      <c r="D367" s="1">
        <v>88</v>
      </c>
      <c r="E367" s="1">
        <v>3</v>
      </c>
      <c r="F367" s="1">
        <v>1</v>
      </c>
      <c r="G367" s="1">
        <v>0</v>
      </c>
      <c r="H367" s="1">
        <v>0</v>
      </c>
      <c r="I367" s="1">
        <v>0</v>
      </c>
      <c r="J367" s="1">
        <v>0</v>
      </c>
      <c r="K367" s="1">
        <v>0</v>
      </c>
      <c r="L367" s="1">
        <v>0</v>
      </c>
      <c r="M367" s="1">
        <v>0</v>
      </c>
      <c r="N367" s="1">
        <v>1</v>
      </c>
      <c r="O367" s="1">
        <v>0</v>
      </c>
      <c r="P367" s="1">
        <f>LN(B367)</f>
        <v>3.04452243772342</v>
      </c>
      <c r="Q367" s="1">
        <f>1-SUM(F367:J367)</f>
        <v>0</v>
      </c>
      <c r="R367" s="1" t="str">
        <f>IF(F367=1,"Napa valley",IF(G367=1,"Bay area",IF(H367=1,"Sonoma",IF(I367=1,"Sierra/foothills",IF(J367=1,"Mendocino/lake","Generic California")))))</f>
        <v>Napa valley</v>
      </c>
      <c r="S367" s="1" t="str">
        <f>IF(F367=1,"Napa valley",IF(H367=1,"Sonoma","Other"))</f>
        <v>Napa valley</v>
      </c>
      <c r="T367" s="1" t="str">
        <f>IF(M367=1,"Cabernet",IF(N367=1,"Merlot",IF(L367=1,"Pinot noir","Other")))</f>
        <v>Merlot</v>
      </c>
      <c r="U367" s="1">
        <f>IF(F367=1,B367,"")</f>
        <v>21</v>
      </c>
      <c r="V367" s="1" t="str">
        <f>IF(F367=0,B367,"")</f>
        <v/>
      </c>
      <c r="W367" s="1">
        <f>'Part B'!$B$150+SUMPRODUCT('Part B'!$B$164:$N$164,C367:O367)</f>
        <v>38.0272450034336</v>
      </c>
      <c r="X367" s="1">
        <f>B367-W367</f>
        <v>-17.0272450034336</v>
      </c>
      <c r="Y367" s="1">
        <f>'Part B'!$B$179+SUMPRODUCT('Part B'!$B$193:$N$193,C367:O367)</f>
        <v>3.4402546545807</v>
      </c>
      <c r="Z367" s="1">
        <f>P367-Y367</f>
        <v>-0.395732216857276</v>
      </c>
      <c r="AB367" s="1">
        <f>C367</f>
        <v>9</v>
      </c>
      <c r="AC367" s="1">
        <f>D367</f>
        <v>88</v>
      </c>
      <c r="AD367" s="1">
        <f>E367</f>
        <v>3</v>
      </c>
      <c r="AE367" s="1">
        <f>F367</f>
        <v>1</v>
      </c>
      <c r="AF367" s="1">
        <f>G367</f>
        <v>0</v>
      </c>
      <c r="AG367" s="1">
        <f>I367</f>
        <v>0</v>
      </c>
      <c r="AH367" s="1">
        <f>J367</f>
        <v>0</v>
      </c>
      <c r="AI367" s="1">
        <f>Q367</f>
        <v>0</v>
      </c>
      <c r="AJ367" s="1">
        <f>K367</f>
        <v>0</v>
      </c>
      <c r="AK367" s="1">
        <f>L367</f>
        <v>0</v>
      </c>
      <c r="AL367" s="1">
        <f>M367</f>
        <v>0</v>
      </c>
      <c r="AM367" s="1">
        <f>N367</f>
        <v>1</v>
      </c>
      <c r="AN367" s="1">
        <f>O367</f>
        <v>0</v>
      </c>
    </row>
    <row r="368">
      <c r="A368" s="1">
        <v>506</v>
      </c>
      <c r="B368" s="1">
        <v>21</v>
      </c>
      <c r="C368" s="1">
        <v>0.35</v>
      </c>
      <c r="D368" s="1">
        <v>86</v>
      </c>
      <c r="E368" s="1">
        <v>3</v>
      </c>
      <c r="F368" s="1">
        <v>0</v>
      </c>
      <c r="G368" s="1">
        <v>0</v>
      </c>
      <c r="H368" s="1">
        <v>1</v>
      </c>
      <c r="I368" s="1">
        <v>0</v>
      </c>
      <c r="J368" s="1">
        <v>0</v>
      </c>
      <c r="K368" s="1">
        <v>0</v>
      </c>
      <c r="L368" s="1">
        <v>0</v>
      </c>
      <c r="M368" s="1">
        <v>0</v>
      </c>
      <c r="N368" s="1">
        <v>0</v>
      </c>
      <c r="O368" s="1">
        <v>1</v>
      </c>
      <c r="P368" s="1">
        <f>LN(B368)</f>
        <v>3.04452243772342</v>
      </c>
      <c r="Q368" s="1">
        <f>1-SUM(F368:J368)</f>
        <v>0</v>
      </c>
      <c r="R368" s="1" t="str">
        <f>IF(F368=1,"Napa valley",IF(G368=1,"Bay area",IF(H368=1,"Sonoma",IF(I368=1,"Sierra/foothills",IF(J368=1,"Mendocino/lake","Generic California")))))</f>
        <v>Sonoma</v>
      </c>
      <c r="S368" s="1" t="str">
        <f>IF(F368=1,"Napa valley",IF(H368=1,"Sonoma","Other"))</f>
        <v>Sonoma</v>
      </c>
      <c r="T368" s="1" t="str">
        <f>IF(M368=1,"Cabernet",IF(N368=1,"Merlot",IF(L368=1,"Pinot noir","Other")))</f>
        <v>Other</v>
      </c>
      <c r="U368" s="1" t="str">
        <f>IF(F368=1,B368,"")</f>
        <v/>
      </c>
      <c r="V368" s="1">
        <f>IF(F368=0,B368,"")</f>
        <v>21</v>
      </c>
      <c r="W368" s="1">
        <f>'Part B'!$B$150+SUMPRODUCT('Part B'!$B$164:$N$164,C368:O368)</f>
        <v>16.5951103512854</v>
      </c>
      <c r="X368" s="1">
        <f>B368-W368</f>
        <v>4.40488964871457</v>
      </c>
      <c r="Y368" s="1">
        <f>'Part B'!$B$179+SUMPRODUCT('Part B'!$B$193:$N$193,C368:O368)</f>
        <v>2.94827750426248</v>
      </c>
      <c r="Z368" s="1">
        <f>P368-Y368</f>
        <v>0.0962449334609414</v>
      </c>
      <c r="AB368" s="1">
        <f>C368</f>
        <v>0.35</v>
      </c>
      <c r="AC368" s="1">
        <f>D368</f>
        <v>86</v>
      </c>
      <c r="AD368" s="1">
        <f>E368</f>
        <v>3</v>
      </c>
      <c r="AE368" s="1">
        <f>F368</f>
        <v>0</v>
      </c>
      <c r="AF368" s="1">
        <f>G368</f>
        <v>0</v>
      </c>
      <c r="AG368" s="1">
        <f>I368</f>
        <v>0</v>
      </c>
      <c r="AH368" s="1">
        <f>J368</f>
        <v>0</v>
      </c>
      <c r="AI368" s="1">
        <f>Q368</f>
        <v>0</v>
      </c>
      <c r="AJ368" s="1">
        <f>K368</f>
        <v>0</v>
      </c>
      <c r="AK368" s="1">
        <f>L368</f>
        <v>0</v>
      </c>
      <c r="AL368" s="1">
        <f>M368</f>
        <v>0</v>
      </c>
      <c r="AM368" s="1">
        <f>N368</f>
        <v>0</v>
      </c>
      <c r="AN368" s="1">
        <f>O368</f>
        <v>1</v>
      </c>
    </row>
    <row r="369">
      <c r="A369" s="1">
        <v>507</v>
      </c>
      <c r="B369" s="1">
        <v>21</v>
      </c>
      <c r="C369" s="1">
        <v>13.3</v>
      </c>
      <c r="D369" s="1">
        <v>86</v>
      </c>
      <c r="E369" s="1">
        <v>3</v>
      </c>
      <c r="F369" s="1">
        <v>0</v>
      </c>
      <c r="G369" s="1">
        <v>0</v>
      </c>
      <c r="H369" s="1">
        <v>1</v>
      </c>
      <c r="I369" s="1">
        <v>0</v>
      </c>
      <c r="J369" s="1">
        <v>0</v>
      </c>
      <c r="K369" s="1">
        <v>0</v>
      </c>
      <c r="L369" s="1">
        <v>0</v>
      </c>
      <c r="M369" s="1">
        <v>0</v>
      </c>
      <c r="N369" s="1">
        <v>1</v>
      </c>
      <c r="O369" s="1">
        <v>0</v>
      </c>
      <c r="P369" s="1">
        <f>LN(B369)</f>
        <v>3.04452243772342</v>
      </c>
      <c r="Q369" s="1">
        <f>1-SUM(F369:J369)</f>
        <v>0</v>
      </c>
      <c r="R369" s="1" t="str">
        <f>IF(F369=1,"Napa valley",IF(G369=1,"Bay area",IF(H369=1,"Sonoma",IF(I369=1,"Sierra/foothills",IF(J369=1,"Mendocino/lake","Generic California")))))</f>
        <v>Sonoma</v>
      </c>
      <c r="S369" s="1" t="str">
        <f>IF(F369=1,"Napa valley",IF(H369=1,"Sonoma","Other"))</f>
        <v>Sonoma</v>
      </c>
      <c r="T369" s="1" t="str">
        <f>IF(M369=1,"Cabernet",IF(N369=1,"Merlot",IF(L369=1,"Pinot noir","Other")))</f>
        <v>Merlot</v>
      </c>
      <c r="U369" s="1" t="str">
        <f>IF(F369=1,B369,"")</f>
        <v/>
      </c>
      <c r="V369" s="1">
        <f>IF(F369=0,B369,"")</f>
        <v>21</v>
      </c>
      <c r="W369" s="1">
        <f>'Part B'!$B$150+SUMPRODUCT('Part B'!$B$164:$N$164,C369:O369)</f>
        <v>23.4324737895059</v>
      </c>
      <c r="X369" s="1">
        <f>B369-W369</f>
        <v>-2.43247378950588</v>
      </c>
      <c r="Y369" s="1">
        <f>'Part B'!$B$179+SUMPRODUCT('Part B'!$B$193:$N$193,C369:O369)</f>
        <v>3.13414436336182</v>
      </c>
      <c r="Z369" s="1">
        <f>P369-Y369</f>
        <v>-0.0896219256383932</v>
      </c>
      <c r="AB369" s="1">
        <f>C369</f>
        <v>13.3</v>
      </c>
      <c r="AC369" s="1">
        <f>D369</f>
        <v>86</v>
      </c>
      <c r="AD369" s="1">
        <f>E369</f>
        <v>3</v>
      </c>
      <c r="AE369" s="1">
        <f>F369</f>
        <v>0</v>
      </c>
      <c r="AF369" s="1">
        <f>G369</f>
        <v>0</v>
      </c>
      <c r="AG369" s="1">
        <f>I369</f>
        <v>0</v>
      </c>
      <c r="AH369" s="1">
        <f>J369</f>
        <v>0</v>
      </c>
      <c r="AI369" s="1">
        <f>Q369</f>
        <v>0</v>
      </c>
      <c r="AJ369" s="1">
        <f>K369</f>
        <v>0</v>
      </c>
      <c r="AK369" s="1">
        <f>L369</f>
        <v>0</v>
      </c>
      <c r="AL369" s="1">
        <f>M369</f>
        <v>0</v>
      </c>
      <c r="AM369" s="1">
        <f>N369</f>
        <v>1</v>
      </c>
      <c r="AN369" s="1">
        <f>O369</f>
        <v>0</v>
      </c>
    </row>
    <row r="370">
      <c r="A370" s="1">
        <v>509</v>
      </c>
      <c r="B370" s="1">
        <v>21</v>
      </c>
      <c r="C370" s="1">
        <v>14.5</v>
      </c>
      <c r="D370" s="1">
        <v>87</v>
      </c>
      <c r="E370" s="1">
        <v>3</v>
      </c>
      <c r="F370" s="1">
        <v>1</v>
      </c>
      <c r="G370" s="1">
        <v>0</v>
      </c>
      <c r="H370" s="1">
        <v>0</v>
      </c>
      <c r="I370" s="1">
        <v>0</v>
      </c>
      <c r="J370" s="1">
        <v>0</v>
      </c>
      <c r="K370" s="1">
        <v>0</v>
      </c>
      <c r="L370" s="1">
        <v>0</v>
      </c>
      <c r="M370" s="1">
        <v>1</v>
      </c>
      <c r="N370" s="1">
        <v>0</v>
      </c>
      <c r="O370" s="1">
        <v>0</v>
      </c>
      <c r="P370" s="1">
        <f>LN(B370)</f>
        <v>3.04452243772342</v>
      </c>
      <c r="Q370" s="1">
        <f>1-SUM(F370:J370)</f>
        <v>0</v>
      </c>
      <c r="R370" s="1" t="str">
        <f>IF(F370=1,"Napa valley",IF(G370=1,"Bay area",IF(H370=1,"Sonoma",IF(I370=1,"Sierra/foothills",IF(J370=1,"Mendocino/lake","Generic California")))))</f>
        <v>Napa valley</v>
      </c>
      <c r="S370" s="1" t="str">
        <f>IF(F370=1,"Napa valley",IF(H370=1,"Sonoma","Other"))</f>
        <v>Napa valley</v>
      </c>
      <c r="T370" s="1" t="str">
        <f>IF(M370=1,"Cabernet",IF(N370=1,"Merlot",IF(L370=1,"Pinot noir","Other")))</f>
        <v>Cabernet</v>
      </c>
      <c r="U370" s="1">
        <f>IF(F370=1,B370,"")</f>
        <v>21</v>
      </c>
      <c r="V370" s="1" t="str">
        <f>IF(F370=0,B370,"")</f>
        <v/>
      </c>
      <c r="W370" s="1">
        <f>'Part B'!$B$150+SUMPRODUCT('Part B'!$B$164:$N$164,C370:O370)</f>
        <v>39.3271662659343</v>
      </c>
      <c r="X370" s="1">
        <f>B370-W370</f>
        <v>-18.3271662659343</v>
      </c>
      <c r="Y370" s="1">
        <f>'Part B'!$B$179+SUMPRODUCT('Part B'!$B$193:$N$193,C370:O370)</f>
        <v>3.38323934700436</v>
      </c>
      <c r="Z370" s="1">
        <f>P370-Y370</f>
        <v>-0.338716909280933</v>
      </c>
      <c r="AB370" s="1">
        <f>C370</f>
        <v>14.5</v>
      </c>
      <c r="AC370" s="1">
        <f>D370</f>
        <v>87</v>
      </c>
      <c r="AD370" s="1">
        <f>E370</f>
        <v>3</v>
      </c>
      <c r="AE370" s="1">
        <f>F370</f>
        <v>1</v>
      </c>
      <c r="AF370" s="1">
        <f>G370</f>
        <v>0</v>
      </c>
      <c r="AG370" s="1">
        <f>I370</f>
        <v>0</v>
      </c>
      <c r="AH370" s="1">
        <f>J370</f>
        <v>0</v>
      </c>
      <c r="AI370" s="1">
        <f>Q370</f>
        <v>0</v>
      </c>
      <c r="AJ370" s="1">
        <f>K370</f>
        <v>0</v>
      </c>
      <c r="AK370" s="1">
        <f>L370</f>
        <v>0</v>
      </c>
      <c r="AL370" s="1">
        <f>M370</f>
        <v>1</v>
      </c>
      <c r="AM370" s="1">
        <f>N370</f>
        <v>0</v>
      </c>
      <c r="AN370" s="1">
        <f>O370</f>
        <v>0</v>
      </c>
    </row>
    <row r="371">
      <c r="A371" s="1">
        <v>510</v>
      </c>
      <c r="B371" s="1">
        <v>21</v>
      </c>
      <c r="C371" s="1">
        <v>1.8</v>
      </c>
      <c r="D371" s="1">
        <v>87</v>
      </c>
      <c r="E371" s="1">
        <v>3</v>
      </c>
      <c r="F371" s="1">
        <v>0</v>
      </c>
      <c r="G371" s="1">
        <v>0</v>
      </c>
      <c r="H371" s="1">
        <v>1</v>
      </c>
      <c r="I371" s="1">
        <v>0</v>
      </c>
      <c r="J371" s="1">
        <v>0</v>
      </c>
      <c r="K371" s="1">
        <v>0</v>
      </c>
      <c r="L371" s="1">
        <v>0</v>
      </c>
      <c r="M371" s="1">
        <v>0</v>
      </c>
      <c r="N371" s="1">
        <v>1</v>
      </c>
      <c r="O371" s="1">
        <v>0</v>
      </c>
      <c r="P371" s="1">
        <f>LN(B371)</f>
        <v>3.04452243772342</v>
      </c>
      <c r="Q371" s="1">
        <f>1-SUM(F371:J371)</f>
        <v>0</v>
      </c>
      <c r="R371" s="1" t="str">
        <f>IF(F371=1,"Napa valley",IF(G371=1,"Bay area",IF(H371=1,"Sonoma",IF(I371=1,"Sierra/foothills",IF(J371=1,"Mendocino/lake","Generic California")))))</f>
        <v>Sonoma</v>
      </c>
      <c r="S371" s="1" t="str">
        <f>IF(F371=1,"Napa valley",IF(H371=1,"Sonoma","Other"))</f>
        <v>Sonoma</v>
      </c>
      <c r="T371" s="1" t="str">
        <f>IF(M371=1,"Cabernet",IF(N371=1,"Merlot",IF(L371=1,"Pinot noir","Other")))</f>
        <v>Merlot</v>
      </c>
      <c r="U371" s="1" t="str">
        <f>IF(F371=1,B371,"")</f>
        <v/>
      </c>
      <c r="V371" s="1">
        <f>IF(F371=0,B371,"")</f>
        <v>21</v>
      </c>
      <c r="W371" s="1">
        <f>'Part B'!$B$150+SUMPRODUCT('Part B'!$B$164:$N$164,C371:O371)</f>
        <v>27.6690792326121</v>
      </c>
      <c r="X371" s="1">
        <f>B371-W371</f>
        <v>-6.66907923261209</v>
      </c>
      <c r="Y371" s="1">
        <f>'Part B'!$B$179+SUMPRODUCT('Part B'!$B$193:$N$193,C371:O371)</f>
        <v>3.2533150043277</v>
      </c>
      <c r="Z371" s="1">
        <f>P371-Y371</f>
        <v>-0.20879256660428</v>
      </c>
      <c r="AB371" s="1">
        <f>C371</f>
        <v>1.8</v>
      </c>
      <c r="AC371" s="1">
        <f>D371</f>
        <v>87</v>
      </c>
      <c r="AD371" s="1">
        <f>E371</f>
        <v>3</v>
      </c>
      <c r="AE371" s="1">
        <f>F371</f>
        <v>0</v>
      </c>
      <c r="AF371" s="1">
        <f>G371</f>
        <v>0</v>
      </c>
      <c r="AG371" s="1">
        <f>I371</f>
        <v>0</v>
      </c>
      <c r="AH371" s="1">
        <f>J371</f>
        <v>0</v>
      </c>
      <c r="AI371" s="1">
        <f>Q371</f>
        <v>0</v>
      </c>
      <c r="AJ371" s="1">
        <f>K371</f>
        <v>0</v>
      </c>
      <c r="AK371" s="1">
        <f>L371</f>
        <v>0</v>
      </c>
      <c r="AL371" s="1">
        <f>M371</f>
        <v>0</v>
      </c>
      <c r="AM371" s="1">
        <f>N371</f>
        <v>1</v>
      </c>
      <c r="AN371" s="1">
        <f>O371</f>
        <v>0</v>
      </c>
    </row>
    <row r="372">
      <c r="A372" s="1">
        <v>515</v>
      </c>
      <c r="B372" s="1">
        <v>21</v>
      </c>
      <c r="C372" s="1">
        <v>0.9</v>
      </c>
      <c r="D372" s="1">
        <v>87</v>
      </c>
      <c r="E372" s="1">
        <v>2</v>
      </c>
      <c r="F372" s="1">
        <v>0</v>
      </c>
      <c r="G372" s="1">
        <v>0</v>
      </c>
      <c r="H372" s="1">
        <v>1</v>
      </c>
      <c r="I372" s="1">
        <v>0</v>
      </c>
      <c r="J372" s="1">
        <v>0</v>
      </c>
      <c r="K372" s="1">
        <v>0</v>
      </c>
      <c r="L372" s="1">
        <v>1</v>
      </c>
      <c r="M372" s="1">
        <v>0</v>
      </c>
      <c r="N372" s="1">
        <v>0</v>
      </c>
      <c r="O372" s="1">
        <v>0</v>
      </c>
      <c r="P372" s="1">
        <f>LN(B372)</f>
        <v>3.04452243772342</v>
      </c>
      <c r="Q372" s="1">
        <f>1-SUM(F372:J372)</f>
        <v>0</v>
      </c>
      <c r="R372" s="1" t="str">
        <f>IF(F372=1,"Napa valley",IF(G372=1,"Bay area",IF(H372=1,"Sonoma",IF(I372=1,"Sierra/foothills",IF(J372=1,"Mendocino/lake","Generic California")))))</f>
        <v>Sonoma</v>
      </c>
      <c r="S372" s="1" t="str">
        <f>IF(F372=1,"Napa valley",IF(H372=1,"Sonoma","Other"))</f>
        <v>Sonoma</v>
      </c>
      <c r="T372" s="1" t="str">
        <f>IF(M372=1,"Cabernet",IF(N372=1,"Merlot",IF(L372=1,"Pinot noir","Other")))</f>
        <v>Pinot noir</v>
      </c>
      <c r="U372" s="1" t="str">
        <f>IF(F372=1,B372,"")</f>
        <v/>
      </c>
      <c r="V372" s="1">
        <f>IF(F372=0,B372,"")</f>
        <v>21</v>
      </c>
      <c r="W372" s="1">
        <f>'Part B'!$B$150+SUMPRODUCT('Part B'!$B$164:$N$164,C372:O372)</f>
        <v>22.9289468392153</v>
      </c>
      <c r="X372" s="1">
        <f>B372-W372</f>
        <v>-1.92894683921531</v>
      </c>
      <c r="Y372" s="1">
        <f>'Part B'!$B$179+SUMPRODUCT('Part B'!$B$193:$N$193,C372:O372)</f>
        <v>3.13608843051265</v>
      </c>
      <c r="Z372" s="1">
        <f>P372-Y372</f>
        <v>-0.0915659927892309</v>
      </c>
      <c r="AB372" s="1">
        <f>C372</f>
        <v>0.9</v>
      </c>
      <c r="AC372" s="1">
        <f>D372</f>
        <v>87</v>
      </c>
      <c r="AD372" s="1">
        <f>E372</f>
        <v>2</v>
      </c>
      <c r="AE372" s="1">
        <f>F372</f>
        <v>0</v>
      </c>
      <c r="AF372" s="1">
        <f>G372</f>
        <v>0</v>
      </c>
      <c r="AG372" s="1">
        <f>I372</f>
        <v>0</v>
      </c>
      <c r="AH372" s="1">
        <f>J372</f>
        <v>0</v>
      </c>
      <c r="AI372" s="1">
        <f>Q372</f>
        <v>0</v>
      </c>
      <c r="AJ372" s="1">
        <f>K372</f>
        <v>0</v>
      </c>
      <c r="AK372" s="1">
        <f>L372</f>
        <v>1</v>
      </c>
      <c r="AL372" s="1">
        <f>M372</f>
        <v>0</v>
      </c>
      <c r="AM372" s="1">
        <f>N372</f>
        <v>0</v>
      </c>
      <c r="AN372" s="1">
        <f>O372</f>
        <v>0</v>
      </c>
    </row>
    <row r="373">
      <c r="A373" s="1">
        <v>517</v>
      </c>
      <c r="B373" s="1">
        <v>22</v>
      </c>
      <c r="C373" s="1">
        <v>0.4</v>
      </c>
      <c r="D373" s="1">
        <v>87</v>
      </c>
      <c r="E373" s="1">
        <v>4</v>
      </c>
      <c r="F373" s="1">
        <v>0</v>
      </c>
      <c r="G373" s="1">
        <v>0</v>
      </c>
      <c r="H373" s="1">
        <v>1</v>
      </c>
      <c r="I373" s="1">
        <v>0</v>
      </c>
      <c r="J373" s="1">
        <v>0</v>
      </c>
      <c r="K373" s="1">
        <v>0</v>
      </c>
      <c r="L373" s="1">
        <v>0</v>
      </c>
      <c r="M373" s="1">
        <v>0</v>
      </c>
      <c r="N373" s="1">
        <v>0</v>
      </c>
      <c r="O373" s="1">
        <v>0</v>
      </c>
      <c r="P373" s="1">
        <f>LN(B373)</f>
        <v>3.09104245335832</v>
      </c>
      <c r="Q373" s="1">
        <f>1-SUM(F373:J373)</f>
        <v>0</v>
      </c>
      <c r="R373" s="1" t="str">
        <f>IF(F373=1,"Napa valley",IF(G373=1,"Bay area",IF(H373=1,"Sonoma",IF(I373=1,"Sierra/foothills",IF(J373=1,"Mendocino/lake","Generic California")))))</f>
        <v>Sonoma</v>
      </c>
      <c r="S373" s="1" t="str">
        <f>IF(F373=1,"Napa valley",IF(H373=1,"Sonoma","Other"))</f>
        <v>Sonoma</v>
      </c>
      <c r="T373" s="1" t="str">
        <f>IF(M373=1,"Cabernet",IF(N373=1,"Merlot",IF(L373=1,"Pinot noir","Other")))</f>
        <v>Other</v>
      </c>
      <c r="U373" s="1" t="str">
        <f>IF(F373=1,B373,"")</f>
        <v/>
      </c>
      <c r="V373" s="1">
        <f>IF(F373=0,B373,"")</f>
        <v>22</v>
      </c>
      <c r="W373" s="1">
        <f>'Part B'!$B$150+SUMPRODUCT('Part B'!$B$164:$N$164,C373:O373)</f>
        <v>26.7613537141086</v>
      </c>
      <c r="X373" s="1">
        <f>B373-W373</f>
        <v>-4.76135371410862</v>
      </c>
      <c r="Y373" s="1">
        <f>'Part B'!$B$179+SUMPRODUCT('Part B'!$B$193:$N$193,C373:O373)</f>
        <v>3.1578762509041</v>
      </c>
      <c r="Z373" s="1">
        <f>P373-Y373</f>
        <v>-0.0668337975457831</v>
      </c>
      <c r="AB373" s="1">
        <f>C373</f>
        <v>0.4</v>
      </c>
      <c r="AC373" s="1">
        <f>D373</f>
        <v>87</v>
      </c>
      <c r="AD373" s="1">
        <f>E373</f>
        <v>4</v>
      </c>
      <c r="AE373" s="1">
        <f>F373</f>
        <v>0</v>
      </c>
      <c r="AF373" s="1">
        <f>G373</f>
        <v>0</v>
      </c>
      <c r="AG373" s="1">
        <f>I373</f>
        <v>0</v>
      </c>
      <c r="AH373" s="1">
        <f>J373</f>
        <v>0</v>
      </c>
      <c r="AI373" s="1">
        <f>Q373</f>
        <v>0</v>
      </c>
      <c r="AJ373" s="1">
        <f>K373</f>
        <v>0</v>
      </c>
      <c r="AK373" s="1">
        <f>L373</f>
        <v>0</v>
      </c>
      <c r="AL373" s="1">
        <f>M373</f>
        <v>0</v>
      </c>
      <c r="AM373" s="1">
        <f>N373</f>
        <v>0</v>
      </c>
      <c r="AN373" s="1">
        <f>O373</f>
        <v>0</v>
      </c>
    </row>
    <row r="374">
      <c r="A374" s="1">
        <v>518</v>
      </c>
      <c r="B374" s="1">
        <v>22</v>
      </c>
      <c r="C374" s="1">
        <v>0.449</v>
      </c>
      <c r="D374" s="1">
        <v>86</v>
      </c>
      <c r="E374" s="1">
        <v>4</v>
      </c>
      <c r="F374" s="1">
        <v>0</v>
      </c>
      <c r="G374" s="1">
        <v>0</v>
      </c>
      <c r="H374" s="1">
        <v>1</v>
      </c>
      <c r="I374" s="1">
        <v>0</v>
      </c>
      <c r="J374" s="1">
        <v>0</v>
      </c>
      <c r="K374" s="1">
        <v>0</v>
      </c>
      <c r="L374" s="1">
        <v>0</v>
      </c>
      <c r="M374" s="1">
        <v>0</v>
      </c>
      <c r="N374" s="1">
        <v>0</v>
      </c>
      <c r="O374" s="1">
        <v>0</v>
      </c>
      <c r="P374" s="1">
        <f>LN(B374)</f>
        <v>3.09104245335832</v>
      </c>
      <c r="Q374" s="1">
        <f>1-SUM(F374:J374)</f>
        <v>0</v>
      </c>
      <c r="R374" s="1" t="str">
        <f>IF(F374=1,"Napa valley",IF(G374=1,"Bay area",IF(H374=1,"Sonoma",IF(I374=1,"Sierra/foothills",IF(J374=1,"Mendocino/lake","Generic California")))))</f>
        <v>Sonoma</v>
      </c>
      <c r="S374" s="1" t="str">
        <f>IF(F374=1,"Napa valley",IF(H374=1,"Sonoma","Other"))</f>
        <v>Sonoma</v>
      </c>
      <c r="T374" s="1" t="str">
        <f>IF(M374=1,"Cabernet",IF(N374=1,"Merlot",IF(L374=1,"Pinot noir","Other")))</f>
        <v>Other</v>
      </c>
      <c r="U374" s="1" t="str">
        <f>IF(F374=1,B374,"")</f>
        <v/>
      </c>
      <c r="V374" s="1">
        <f>IF(F374=0,B374,"")</f>
        <v>22</v>
      </c>
      <c r="W374" s="1">
        <f>'Part B'!$B$150+SUMPRODUCT('Part B'!$B$164:$N$164,C374:O374)</f>
        <v>23.6116058470361</v>
      </c>
      <c r="X374" s="1">
        <f>B374-W374</f>
        <v>-1.61160584703612</v>
      </c>
      <c r="Y374" s="1">
        <f>'Part B'!$B$179+SUMPRODUCT('Part B'!$B$193:$N$193,C374:O374)</f>
        <v>3.08770520781656</v>
      </c>
      <c r="Z374" s="1">
        <f>P374-Y374</f>
        <v>0.00333724554175241</v>
      </c>
      <c r="AB374" s="1">
        <f>C374</f>
        <v>0.449</v>
      </c>
      <c r="AC374" s="1">
        <f>D374</f>
        <v>86</v>
      </c>
      <c r="AD374" s="1">
        <f>E374</f>
        <v>4</v>
      </c>
      <c r="AE374" s="1">
        <f>F374</f>
        <v>0</v>
      </c>
      <c r="AF374" s="1">
        <f>G374</f>
        <v>0</v>
      </c>
      <c r="AG374" s="1">
        <f>I374</f>
        <v>0</v>
      </c>
      <c r="AH374" s="1">
        <f>J374</f>
        <v>0</v>
      </c>
      <c r="AI374" s="1">
        <f>Q374</f>
        <v>0</v>
      </c>
      <c r="AJ374" s="1">
        <f>K374</f>
        <v>0</v>
      </c>
      <c r="AK374" s="1">
        <f>L374</f>
        <v>0</v>
      </c>
      <c r="AL374" s="1">
        <f>M374</f>
        <v>0</v>
      </c>
      <c r="AM374" s="1">
        <f>N374</f>
        <v>0</v>
      </c>
      <c r="AN374" s="1">
        <f>O374</f>
        <v>0</v>
      </c>
    </row>
    <row r="375">
      <c r="A375" s="1">
        <v>519</v>
      </c>
      <c r="B375" s="1">
        <v>22</v>
      </c>
      <c r="C375" s="1">
        <v>0.5</v>
      </c>
      <c r="D375" s="1">
        <v>86</v>
      </c>
      <c r="E375" s="1">
        <v>4</v>
      </c>
      <c r="F375" s="1">
        <v>0</v>
      </c>
      <c r="G375" s="1">
        <v>0</v>
      </c>
      <c r="H375" s="1">
        <v>0</v>
      </c>
      <c r="I375" s="1">
        <v>0</v>
      </c>
      <c r="J375" s="1">
        <v>0</v>
      </c>
      <c r="K375" s="1">
        <v>0</v>
      </c>
      <c r="L375" s="1">
        <v>0</v>
      </c>
      <c r="M375" s="1">
        <v>1</v>
      </c>
      <c r="N375" s="1">
        <v>0</v>
      </c>
      <c r="O375" s="1">
        <v>0</v>
      </c>
      <c r="P375" s="1">
        <f>LN(B375)</f>
        <v>3.09104245335832</v>
      </c>
      <c r="Q375" s="1">
        <f>1-SUM(F375:J375)</f>
        <v>1</v>
      </c>
      <c r="R375" s="1" t="str">
        <f>IF(F375=1,"Napa valley",IF(G375=1,"Bay area",IF(H375=1,"Sonoma",IF(I375=1,"Sierra/foothills",IF(J375=1,"Mendocino/lake","Generic California")))))</f>
        <v>Generic California</v>
      </c>
      <c r="S375" s="1" t="str">
        <f>IF(F375=1,"Napa valley",IF(H375=1,"Sonoma","Other"))</f>
        <v>Other</v>
      </c>
      <c r="T375" s="1" t="str">
        <f>IF(M375=1,"Cabernet",IF(N375=1,"Merlot",IF(L375=1,"Pinot noir","Other")))</f>
        <v>Cabernet</v>
      </c>
      <c r="U375" s="1" t="str">
        <f>IF(F375=1,B375,"")</f>
        <v/>
      </c>
      <c r="V375" s="1">
        <f>IF(F375=0,B375,"")</f>
        <v>22</v>
      </c>
      <c r="W375" s="1">
        <f>'Part B'!$B$150+SUMPRODUCT('Part B'!$B$164:$N$164,C375:O375)</f>
        <v>37.0694622734428</v>
      </c>
      <c r="X375" s="1">
        <f>B375-W375</f>
        <v>-15.0694622734428</v>
      </c>
      <c r="Y375" s="1">
        <f>'Part B'!$B$179+SUMPRODUCT('Part B'!$B$193:$N$193,C375:O375)</f>
        <v>3.12655078780611</v>
      </c>
      <c r="Z375" s="1">
        <f>P375-Y375</f>
        <v>-0.0355083344477904</v>
      </c>
      <c r="AB375" s="1">
        <f>C375</f>
        <v>0.5</v>
      </c>
      <c r="AC375" s="1">
        <f>D375</f>
        <v>86</v>
      </c>
      <c r="AD375" s="1">
        <f>E375</f>
        <v>4</v>
      </c>
      <c r="AE375" s="1">
        <f>F375</f>
        <v>0</v>
      </c>
      <c r="AF375" s="1">
        <f>G375</f>
        <v>0</v>
      </c>
      <c r="AG375" s="1">
        <f>I375</f>
        <v>0</v>
      </c>
      <c r="AH375" s="1">
        <f>J375</f>
        <v>0</v>
      </c>
      <c r="AI375" s="1">
        <f>Q375</f>
        <v>1</v>
      </c>
      <c r="AJ375" s="1">
        <f>K375</f>
        <v>0</v>
      </c>
      <c r="AK375" s="1">
        <f>L375</f>
        <v>0</v>
      </c>
      <c r="AL375" s="1">
        <f>M375</f>
        <v>1</v>
      </c>
      <c r="AM375" s="1">
        <f>N375</f>
        <v>0</v>
      </c>
      <c r="AN375" s="1">
        <f>O375</f>
        <v>0</v>
      </c>
    </row>
    <row r="376">
      <c r="A376" s="1">
        <v>520</v>
      </c>
      <c r="B376" s="1">
        <v>22</v>
      </c>
      <c r="C376" s="1">
        <v>0.512</v>
      </c>
      <c r="D376" s="1">
        <v>82</v>
      </c>
      <c r="E376" s="1">
        <v>4</v>
      </c>
      <c r="F376" s="1">
        <v>1</v>
      </c>
      <c r="G376" s="1">
        <v>0</v>
      </c>
      <c r="H376" s="1">
        <v>0</v>
      </c>
      <c r="I376" s="1">
        <v>0</v>
      </c>
      <c r="J376" s="1">
        <v>0</v>
      </c>
      <c r="K376" s="1">
        <v>0</v>
      </c>
      <c r="L376" s="1">
        <v>1</v>
      </c>
      <c r="M376" s="1">
        <v>0</v>
      </c>
      <c r="N376" s="1">
        <v>0</v>
      </c>
      <c r="O376" s="1">
        <v>0</v>
      </c>
      <c r="P376" s="1">
        <f>LN(B376)</f>
        <v>3.09104245335832</v>
      </c>
      <c r="Q376" s="1">
        <f>1-SUM(F376:J376)</f>
        <v>0</v>
      </c>
      <c r="R376" s="1" t="str">
        <f>IF(F376=1,"Napa valley",IF(G376=1,"Bay area",IF(H376=1,"Sonoma",IF(I376=1,"Sierra/foothills",IF(J376=1,"Mendocino/lake","Generic California")))))</f>
        <v>Napa valley</v>
      </c>
      <c r="S376" s="1" t="str">
        <f>IF(F376=1,"Napa valley",IF(H376=1,"Sonoma","Other"))</f>
        <v>Napa valley</v>
      </c>
      <c r="T376" s="1" t="str">
        <f>IF(M376=1,"Cabernet",IF(N376=1,"Merlot",IF(L376=1,"Pinot noir","Other")))</f>
        <v>Pinot noir</v>
      </c>
      <c r="U376" s="1">
        <f>IF(F376=1,B376,"")</f>
        <v>22</v>
      </c>
      <c r="V376" s="1" t="str">
        <f>IF(F376=0,B376,"")</f>
        <v/>
      </c>
      <c r="W376" s="1">
        <f>'Part B'!$B$150+SUMPRODUCT('Part B'!$B$164:$N$164,C376:O376)</f>
        <v>28.3759452565819</v>
      </c>
      <c r="X376" s="1">
        <f>B376-W376</f>
        <v>-6.37594525658187</v>
      </c>
      <c r="Y376" s="1">
        <f>'Part B'!$B$179+SUMPRODUCT('Part B'!$B$193:$N$193,C376:O376)</f>
        <v>3.3018999943612</v>
      </c>
      <c r="Z376" s="1">
        <f>P376-Y376</f>
        <v>-0.210857541002887</v>
      </c>
      <c r="AB376" s="1">
        <f>C376</f>
        <v>0.512</v>
      </c>
      <c r="AC376" s="1">
        <f>D376</f>
        <v>82</v>
      </c>
      <c r="AD376" s="1">
        <f>E376</f>
        <v>4</v>
      </c>
      <c r="AE376" s="1">
        <f>F376</f>
        <v>1</v>
      </c>
      <c r="AF376" s="1">
        <f>G376</f>
        <v>0</v>
      </c>
      <c r="AG376" s="1">
        <f>I376</f>
        <v>0</v>
      </c>
      <c r="AH376" s="1">
        <f>J376</f>
        <v>0</v>
      </c>
      <c r="AI376" s="1">
        <f>Q376</f>
        <v>0</v>
      </c>
      <c r="AJ376" s="1">
        <f>K376</f>
        <v>0</v>
      </c>
      <c r="AK376" s="1">
        <f>L376</f>
        <v>1</v>
      </c>
      <c r="AL376" s="1">
        <f>M376</f>
        <v>0</v>
      </c>
      <c r="AM376" s="1">
        <f>N376</f>
        <v>0</v>
      </c>
      <c r="AN376" s="1">
        <f>O376</f>
        <v>0</v>
      </c>
    </row>
    <row r="377">
      <c r="A377" s="1">
        <v>521</v>
      </c>
      <c r="B377" s="1">
        <v>22</v>
      </c>
      <c r="C377" s="1">
        <v>0.658</v>
      </c>
      <c r="D377" s="1">
        <v>88</v>
      </c>
      <c r="E377" s="1">
        <v>4</v>
      </c>
      <c r="F377" s="1">
        <v>1</v>
      </c>
      <c r="G377" s="1">
        <v>0</v>
      </c>
      <c r="H377" s="1">
        <v>0</v>
      </c>
      <c r="I377" s="1">
        <v>0</v>
      </c>
      <c r="J377" s="1">
        <v>0</v>
      </c>
      <c r="K377" s="1">
        <v>0</v>
      </c>
      <c r="L377" s="1">
        <v>0</v>
      </c>
      <c r="M377" s="1">
        <v>1</v>
      </c>
      <c r="N377" s="1">
        <v>0</v>
      </c>
      <c r="O377" s="1">
        <v>0</v>
      </c>
      <c r="P377" s="1">
        <f>LN(B377)</f>
        <v>3.09104245335832</v>
      </c>
      <c r="Q377" s="1">
        <f>1-SUM(F377:J377)</f>
        <v>0</v>
      </c>
      <c r="R377" s="1" t="str">
        <f>IF(F377=1,"Napa valley",IF(G377=1,"Bay area",IF(H377=1,"Sonoma",IF(I377=1,"Sierra/foothills",IF(J377=1,"Mendocino/lake","Generic California")))))</f>
        <v>Napa valley</v>
      </c>
      <c r="S377" s="1" t="str">
        <f>IF(F377=1,"Napa valley",IF(H377=1,"Sonoma","Other"))</f>
        <v>Napa valley</v>
      </c>
      <c r="T377" s="1" t="str">
        <f>IF(M377=1,"Cabernet",IF(N377=1,"Merlot",IF(L377=1,"Pinot noir","Other")))</f>
        <v>Cabernet</v>
      </c>
      <c r="U377" s="1">
        <f>IF(F377=1,B377,"")</f>
        <v>22</v>
      </c>
      <c r="V377" s="1" t="str">
        <f>IF(F377=0,B377,"")</f>
        <v/>
      </c>
      <c r="W377" s="1">
        <f>'Part B'!$B$150+SUMPRODUCT('Part B'!$B$164:$N$164,C377:O377)</f>
        <v>50.4056645158921</v>
      </c>
      <c r="X377" s="1">
        <f>B377-W377</f>
        <v>-28.4056645158921</v>
      </c>
      <c r="Y377" s="1">
        <f>'Part B'!$B$179+SUMPRODUCT('Part B'!$B$193:$N$193,C377:O377)</f>
        <v>3.69551684566564</v>
      </c>
      <c r="Z377" s="1">
        <f>P377-Y377</f>
        <v>-0.604474392307322</v>
      </c>
      <c r="AB377" s="1">
        <f>C377</f>
        <v>0.658</v>
      </c>
      <c r="AC377" s="1">
        <f>D377</f>
        <v>88</v>
      </c>
      <c r="AD377" s="1">
        <f>E377</f>
        <v>4</v>
      </c>
      <c r="AE377" s="1">
        <f>F377</f>
        <v>1</v>
      </c>
      <c r="AF377" s="1">
        <f>G377</f>
        <v>0</v>
      </c>
      <c r="AG377" s="1">
        <f>I377</f>
        <v>0</v>
      </c>
      <c r="AH377" s="1">
        <f>J377</f>
        <v>0</v>
      </c>
      <c r="AI377" s="1">
        <f>Q377</f>
        <v>0</v>
      </c>
      <c r="AJ377" s="1">
        <f>K377</f>
        <v>0</v>
      </c>
      <c r="AK377" s="1">
        <f>L377</f>
        <v>0</v>
      </c>
      <c r="AL377" s="1">
        <f>M377</f>
        <v>1</v>
      </c>
      <c r="AM377" s="1">
        <f>N377</f>
        <v>0</v>
      </c>
      <c r="AN377" s="1">
        <f>O377</f>
        <v>0</v>
      </c>
    </row>
    <row r="378">
      <c r="A378" s="1">
        <v>522</v>
      </c>
      <c r="B378" s="1">
        <v>22</v>
      </c>
      <c r="C378" s="1">
        <v>1</v>
      </c>
      <c r="D378" s="1">
        <v>87</v>
      </c>
      <c r="E378" s="1">
        <v>4</v>
      </c>
      <c r="F378" s="1">
        <v>1</v>
      </c>
      <c r="G378" s="1">
        <v>0</v>
      </c>
      <c r="H378" s="1">
        <v>0</v>
      </c>
      <c r="I378" s="1">
        <v>0</v>
      </c>
      <c r="J378" s="1">
        <v>0</v>
      </c>
      <c r="K378" s="1">
        <v>0</v>
      </c>
      <c r="L378" s="1">
        <v>0</v>
      </c>
      <c r="M378" s="1">
        <v>1</v>
      </c>
      <c r="N378" s="1">
        <v>0</v>
      </c>
      <c r="O378" s="1">
        <v>0</v>
      </c>
      <c r="P378" s="1">
        <f>LN(B378)</f>
        <v>3.09104245335832</v>
      </c>
      <c r="Q378" s="1">
        <f>1-SUM(F378:J378)</f>
        <v>0</v>
      </c>
      <c r="R378" s="1" t="str">
        <f>IF(F378=1,"Napa valley",IF(G378=1,"Bay area",IF(H378=1,"Sonoma",IF(I378=1,"Sierra/foothills",IF(J378=1,"Mendocino/lake","Generic California")))))</f>
        <v>Napa valley</v>
      </c>
      <c r="S378" s="1" t="str">
        <f>IF(F378=1,"Napa valley",IF(H378=1,"Sonoma","Other"))</f>
        <v>Napa valley</v>
      </c>
      <c r="T378" s="1" t="str">
        <f>IF(M378=1,"Cabernet",IF(N378=1,"Merlot",IF(L378=1,"Pinot noir","Other")))</f>
        <v>Cabernet</v>
      </c>
      <c r="U378" s="1">
        <f>IF(F378=1,B378,"")</f>
        <v>22</v>
      </c>
      <c r="V378" s="1" t="str">
        <f>IF(F378=0,B378,"")</f>
        <v/>
      </c>
      <c r="W378" s="1">
        <f>'Part B'!$B$150+SUMPRODUCT('Part B'!$B$164:$N$164,C378:O378)</f>
        <v>47.228106914318</v>
      </c>
      <c r="X378" s="1">
        <f>B378-W378</f>
        <v>-25.228106914318</v>
      </c>
      <c r="Y378" s="1">
        <f>'Part B'!$B$179+SUMPRODUCT('Part B'!$B$193:$N$193,C378:O378)</f>
        <v>3.62409203590459</v>
      </c>
      <c r="Z378" s="1">
        <f>P378-Y378</f>
        <v>-0.533049582546276</v>
      </c>
      <c r="AB378" s="1">
        <f>C378</f>
        <v>1</v>
      </c>
      <c r="AC378" s="1">
        <f>D378</f>
        <v>87</v>
      </c>
      <c r="AD378" s="1">
        <f>E378</f>
        <v>4</v>
      </c>
      <c r="AE378" s="1">
        <f>F378</f>
        <v>1</v>
      </c>
      <c r="AF378" s="1">
        <f>G378</f>
        <v>0</v>
      </c>
      <c r="AG378" s="1">
        <f>I378</f>
        <v>0</v>
      </c>
      <c r="AH378" s="1">
        <f>J378</f>
        <v>0</v>
      </c>
      <c r="AI378" s="1">
        <f>Q378</f>
        <v>0</v>
      </c>
      <c r="AJ378" s="1">
        <f>K378</f>
        <v>0</v>
      </c>
      <c r="AK378" s="1">
        <f>L378</f>
        <v>0</v>
      </c>
      <c r="AL378" s="1">
        <f>M378</f>
        <v>1</v>
      </c>
      <c r="AM378" s="1">
        <f>N378</f>
        <v>0</v>
      </c>
      <c r="AN378" s="1">
        <f>O378</f>
        <v>0</v>
      </c>
    </row>
    <row r="379">
      <c r="A379" s="1">
        <v>523</v>
      </c>
      <c r="B379" s="1">
        <v>22</v>
      </c>
      <c r="C379" s="1">
        <v>87</v>
      </c>
      <c r="D379" s="1">
        <v>91</v>
      </c>
      <c r="E379" s="1">
        <v>3</v>
      </c>
      <c r="F379" s="1">
        <v>0</v>
      </c>
      <c r="G379" s="1">
        <v>0</v>
      </c>
      <c r="H379" s="1">
        <v>1</v>
      </c>
      <c r="I379" s="1">
        <v>0</v>
      </c>
      <c r="J379" s="1">
        <v>0</v>
      </c>
      <c r="K379" s="1">
        <v>0</v>
      </c>
      <c r="L379" s="1">
        <v>0</v>
      </c>
      <c r="M379" s="1">
        <v>1</v>
      </c>
      <c r="N379" s="1">
        <v>0</v>
      </c>
      <c r="O379" s="1">
        <v>0</v>
      </c>
      <c r="P379" s="1">
        <f>LN(B379)</f>
        <v>3.09104245335832</v>
      </c>
      <c r="Q379" s="1">
        <f>1-SUM(F379:J379)</f>
        <v>0</v>
      </c>
      <c r="R379" s="1" t="str">
        <f>IF(F379=1,"Napa valley",IF(G379=1,"Bay area",IF(H379=1,"Sonoma",IF(I379=1,"Sierra/foothills",IF(J379=1,"Mendocino/lake","Generic California")))))</f>
        <v>Sonoma</v>
      </c>
      <c r="S379" s="1" t="str">
        <f>IF(F379=1,"Napa valley",IF(H379=1,"Sonoma","Other"))</f>
        <v>Sonoma</v>
      </c>
      <c r="T379" s="1" t="str">
        <f>IF(M379=1,"Cabernet",IF(N379=1,"Merlot",IF(L379=1,"Pinot noir","Other")))</f>
        <v>Cabernet</v>
      </c>
      <c r="U379" s="1" t="str">
        <f>IF(F379=1,B379,"")</f>
        <v/>
      </c>
      <c r="V379" s="1">
        <f>IF(F379=0,B379,"")</f>
        <v>22</v>
      </c>
      <c r="W379" s="1">
        <f>'Part B'!$B$150+SUMPRODUCT('Part B'!$B$164:$N$164,C379:O379)</f>
        <v>37.129858517401</v>
      </c>
      <c r="X379" s="1">
        <f>B379-W379</f>
        <v>-15.129858517401</v>
      </c>
      <c r="Y379" s="1">
        <f>'Part B'!$B$179+SUMPRODUCT('Part B'!$B$193:$N$193,C379:O379)</f>
        <v>3.20506488927534</v>
      </c>
      <c r="Z379" s="1">
        <f>P379-Y379</f>
        <v>-0.11402243591702</v>
      </c>
      <c r="AB379" s="1">
        <f>C379</f>
        <v>87</v>
      </c>
      <c r="AC379" s="1">
        <f>D379</f>
        <v>91</v>
      </c>
      <c r="AD379" s="1">
        <f>E379</f>
        <v>3</v>
      </c>
      <c r="AE379" s="1">
        <f>F379</f>
        <v>0</v>
      </c>
      <c r="AF379" s="1">
        <f>G379</f>
        <v>0</v>
      </c>
      <c r="AG379" s="1">
        <f>I379</f>
        <v>0</v>
      </c>
      <c r="AH379" s="1">
        <f>J379</f>
        <v>0</v>
      </c>
      <c r="AI379" s="1">
        <f>Q379</f>
        <v>0</v>
      </c>
      <c r="AJ379" s="1">
        <f>K379</f>
        <v>0</v>
      </c>
      <c r="AK379" s="1">
        <f>L379</f>
        <v>0</v>
      </c>
      <c r="AL379" s="1">
        <f>M379</f>
        <v>1</v>
      </c>
      <c r="AM379" s="1">
        <f>N379</f>
        <v>0</v>
      </c>
      <c r="AN379" s="1">
        <f>O379</f>
        <v>0</v>
      </c>
    </row>
    <row r="380">
      <c r="A380" s="1">
        <v>524</v>
      </c>
      <c r="B380" s="1">
        <v>22</v>
      </c>
      <c r="C380" s="1">
        <v>0.9</v>
      </c>
      <c r="D380" s="1">
        <v>88</v>
      </c>
      <c r="E380" s="1">
        <v>3</v>
      </c>
      <c r="F380" s="1">
        <v>0</v>
      </c>
      <c r="G380" s="1">
        <v>0</v>
      </c>
      <c r="H380" s="1">
        <v>0</v>
      </c>
      <c r="I380" s="1">
        <v>0</v>
      </c>
      <c r="J380" s="1">
        <v>1</v>
      </c>
      <c r="K380" s="1">
        <v>0</v>
      </c>
      <c r="L380" s="1">
        <v>0</v>
      </c>
      <c r="M380" s="1">
        <v>0</v>
      </c>
      <c r="N380" s="1">
        <v>0</v>
      </c>
      <c r="O380" s="1">
        <v>1</v>
      </c>
      <c r="P380" s="1">
        <f>LN(B380)</f>
        <v>3.09104245335832</v>
      </c>
      <c r="Q380" s="1">
        <f>1-SUM(F380:J380)</f>
        <v>0</v>
      </c>
      <c r="R380" s="1" t="str">
        <f>IF(F380=1,"Napa valley",IF(G380=1,"Bay area",IF(H380=1,"Sonoma",IF(I380=1,"Sierra/foothills",IF(J380=1,"Mendocino/lake","Generic California")))))</f>
        <v>Mendocino/lake</v>
      </c>
      <c r="S380" s="1" t="str">
        <f>IF(F380=1,"Napa valley",IF(H380=1,"Sonoma","Other"))</f>
        <v>Other</v>
      </c>
      <c r="T380" s="1" t="str">
        <f>IF(M380=1,"Cabernet",IF(N380=1,"Merlot",IF(L380=1,"Pinot noir","Other")))</f>
        <v>Other</v>
      </c>
      <c r="U380" s="1" t="str">
        <f>IF(F380=1,B380,"")</f>
        <v/>
      </c>
      <c r="V380" s="1">
        <f>IF(F380=0,B380,"")</f>
        <v>22</v>
      </c>
      <c r="W380" s="1">
        <f>'Part B'!$B$150+SUMPRODUCT('Part B'!$B$164:$N$164,C380:O380)</f>
        <v>24.5500849081803</v>
      </c>
      <c r="X380" s="1">
        <f>B380-W380</f>
        <v>-2.55008490818034</v>
      </c>
      <c r="Y380" s="1">
        <f>'Part B'!$B$179+SUMPRODUCT('Part B'!$B$193:$N$193,C380:O380)</f>
        <v>3.04114181587917</v>
      </c>
      <c r="Z380" s="1">
        <f>P380-Y380</f>
        <v>0.0499006374791495</v>
      </c>
      <c r="AB380" s="1">
        <f>C380</f>
        <v>0.9</v>
      </c>
      <c r="AC380" s="1">
        <f>D380</f>
        <v>88</v>
      </c>
      <c r="AD380" s="1">
        <f>E380</f>
        <v>3</v>
      </c>
      <c r="AE380" s="1">
        <f>F380</f>
        <v>0</v>
      </c>
      <c r="AF380" s="1">
        <f>G380</f>
        <v>0</v>
      </c>
      <c r="AG380" s="1">
        <f>I380</f>
        <v>0</v>
      </c>
      <c r="AH380" s="1">
        <f>J380</f>
        <v>1</v>
      </c>
      <c r="AI380" s="1">
        <f>Q380</f>
        <v>0</v>
      </c>
      <c r="AJ380" s="1">
        <f>K380</f>
        <v>0</v>
      </c>
      <c r="AK380" s="1">
        <f>L380</f>
        <v>0</v>
      </c>
      <c r="AL380" s="1">
        <f>M380</f>
        <v>0</v>
      </c>
      <c r="AM380" s="1">
        <f>N380</f>
        <v>0</v>
      </c>
      <c r="AN380" s="1">
        <f>O380</f>
        <v>1</v>
      </c>
    </row>
    <row r="381">
      <c r="A381" s="1">
        <v>525</v>
      </c>
      <c r="B381" s="1">
        <v>22</v>
      </c>
      <c r="C381" s="1">
        <v>10</v>
      </c>
      <c r="D381" s="1">
        <v>87</v>
      </c>
      <c r="E381" s="1">
        <v>3</v>
      </c>
      <c r="F381" s="1">
        <v>1</v>
      </c>
      <c r="G381" s="1">
        <v>0</v>
      </c>
      <c r="H381" s="1">
        <v>0</v>
      </c>
      <c r="I381" s="1">
        <v>0</v>
      </c>
      <c r="J381" s="1">
        <v>0</v>
      </c>
      <c r="K381" s="1">
        <v>1</v>
      </c>
      <c r="L381" s="1">
        <v>0</v>
      </c>
      <c r="M381" s="1">
        <v>0</v>
      </c>
      <c r="N381" s="1">
        <v>0</v>
      </c>
      <c r="O381" s="1">
        <v>0</v>
      </c>
      <c r="P381" s="1">
        <f>LN(B381)</f>
        <v>3.09104245335832</v>
      </c>
      <c r="Q381" s="1">
        <f>1-SUM(F381:J381)</f>
        <v>0</v>
      </c>
      <c r="R381" s="1" t="str">
        <f>IF(F381=1,"Napa valley",IF(G381=1,"Bay area",IF(H381=1,"Sonoma",IF(I381=1,"Sierra/foothills",IF(J381=1,"Mendocino/lake","Generic California")))))</f>
        <v>Napa valley</v>
      </c>
      <c r="S381" s="1" t="str">
        <f>IF(F381=1,"Napa valley",IF(H381=1,"Sonoma","Other"))</f>
        <v>Napa valley</v>
      </c>
      <c r="T381" s="1" t="str">
        <f>IF(M381=1,"Cabernet",IF(N381=1,"Merlot",IF(L381=1,"Pinot noir","Other")))</f>
        <v>Other</v>
      </c>
      <c r="U381" s="1">
        <f>IF(F381=1,B381,"")</f>
        <v>22</v>
      </c>
      <c r="V381" s="1" t="str">
        <f>IF(F381=0,B381,"")</f>
        <v/>
      </c>
      <c r="W381" s="1">
        <f>'Part B'!$B$150+SUMPRODUCT('Part B'!$B$164:$N$164,C381:O381)</f>
        <v>47.4148179944195</v>
      </c>
      <c r="X381" s="1">
        <f>B381-W381</f>
        <v>-25.4148179944195</v>
      </c>
      <c r="Y381" s="1">
        <f>'Part B'!$B$179+SUMPRODUCT('Part B'!$B$193:$N$193,C381:O381)</f>
        <v>3.56008695279104</v>
      </c>
      <c r="Z381" s="1">
        <f>P381-Y381</f>
        <v>-0.46904449943272</v>
      </c>
      <c r="AB381" s="1">
        <f>C381</f>
        <v>10</v>
      </c>
      <c r="AC381" s="1">
        <f>D381</f>
        <v>87</v>
      </c>
      <c r="AD381" s="1">
        <f>E381</f>
        <v>3</v>
      </c>
      <c r="AE381" s="1">
        <f>F381</f>
        <v>1</v>
      </c>
      <c r="AF381" s="1">
        <f>G381</f>
        <v>0</v>
      </c>
      <c r="AG381" s="1">
        <f>I381</f>
        <v>0</v>
      </c>
      <c r="AH381" s="1">
        <f>J381</f>
        <v>0</v>
      </c>
      <c r="AI381" s="1">
        <f>Q381</f>
        <v>0</v>
      </c>
      <c r="AJ381" s="1">
        <f>K381</f>
        <v>1</v>
      </c>
      <c r="AK381" s="1">
        <f>L381</f>
        <v>0</v>
      </c>
      <c r="AL381" s="1">
        <f>M381</f>
        <v>0</v>
      </c>
      <c r="AM381" s="1">
        <f>N381</f>
        <v>0</v>
      </c>
      <c r="AN381" s="1">
        <f>O381</f>
        <v>0</v>
      </c>
    </row>
    <row r="382">
      <c r="A382" s="1">
        <v>528</v>
      </c>
      <c r="B382" s="1">
        <v>22</v>
      </c>
      <c r="C382" s="1">
        <v>0.3</v>
      </c>
      <c r="D382" s="1">
        <v>77</v>
      </c>
      <c r="E382" s="1">
        <v>3</v>
      </c>
      <c r="F382" s="1">
        <v>0</v>
      </c>
      <c r="G382" s="1">
        <v>1</v>
      </c>
      <c r="H382" s="1">
        <v>0</v>
      </c>
      <c r="I382" s="1">
        <v>0</v>
      </c>
      <c r="J382" s="1">
        <v>0</v>
      </c>
      <c r="K382" s="1">
        <v>0</v>
      </c>
      <c r="L382" s="1">
        <v>0</v>
      </c>
      <c r="M382" s="1">
        <v>0</v>
      </c>
      <c r="N382" s="1">
        <v>1</v>
      </c>
      <c r="O382" s="1">
        <v>0</v>
      </c>
      <c r="P382" s="1">
        <f>LN(B382)</f>
        <v>3.09104245335832</v>
      </c>
      <c r="Q382" s="1">
        <f>1-SUM(F382:J382)</f>
        <v>0</v>
      </c>
      <c r="R382" s="1" t="str">
        <f>IF(F382=1,"Napa valley",IF(G382=1,"Bay area",IF(H382=1,"Sonoma",IF(I382=1,"Sierra/foothills",IF(J382=1,"Mendocino/lake","Generic California")))))</f>
        <v>Bay area</v>
      </c>
      <c r="S382" s="1" t="str">
        <f>IF(F382=1,"Napa valley",IF(H382=1,"Sonoma","Other"))</f>
        <v>Other</v>
      </c>
      <c r="T382" s="1" t="str">
        <f>IF(M382=1,"Cabernet",IF(N382=1,"Merlot",IF(L382=1,"Pinot noir","Other")))</f>
        <v>Merlot</v>
      </c>
      <c r="U382" s="1" t="str">
        <f>IF(F382=1,B382,"")</f>
        <v/>
      </c>
      <c r="V382" s="1">
        <f>IF(F382=0,B382,"")</f>
        <v>22</v>
      </c>
      <c r="W382" s="1">
        <f>'Part B'!$B$150+SUMPRODUCT('Part B'!$B$164:$N$164,C382:O382)</f>
        <v>-0.525199923154389</v>
      </c>
      <c r="X382" s="1">
        <f>B382-W382</f>
        <v>22.5251999231544</v>
      </c>
      <c r="Y382" s="1">
        <f>'Part B'!$B$179+SUMPRODUCT('Part B'!$B$193:$N$193,C382:O382)</f>
        <v>2.5331750418856</v>
      </c>
      <c r="Z382" s="1">
        <f>P382-Y382</f>
        <v>0.557867411472712</v>
      </c>
      <c r="AB382" s="1">
        <f>C382</f>
        <v>0.3</v>
      </c>
      <c r="AC382" s="1">
        <f>D382</f>
        <v>77</v>
      </c>
      <c r="AD382" s="1">
        <f>E382</f>
        <v>3</v>
      </c>
      <c r="AE382" s="1">
        <f>F382</f>
        <v>0</v>
      </c>
      <c r="AF382" s="1">
        <f>G382</f>
        <v>1</v>
      </c>
      <c r="AG382" s="1">
        <f>I382</f>
        <v>0</v>
      </c>
      <c r="AH382" s="1">
        <f>J382</f>
        <v>0</v>
      </c>
      <c r="AI382" s="1">
        <f>Q382</f>
        <v>0</v>
      </c>
      <c r="AJ382" s="1">
        <f>K382</f>
        <v>0</v>
      </c>
      <c r="AK382" s="1">
        <f>L382</f>
        <v>0</v>
      </c>
      <c r="AL382" s="1">
        <f>M382</f>
        <v>0</v>
      </c>
      <c r="AM382" s="1">
        <f>N382</f>
        <v>1</v>
      </c>
      <c r="AN382" s="1">
        <f>O382</f>
        <v>0</v>
      </c>
    </row>
    <row r="383">
      <c r="A383" s="1">
        <v>530</v>
      </c>
      <c r="B383" s="1">
        <v>22</v>
      </c>
      <c r="C383" s="1">
        <v>0.2</v>
      </c>
      <c r="D383" s="1">
        <v>86</v>
      </c>
      <c r="E383" s="1">
        <v>3</v>
      </c>
      <c r="F383" s="1">
        <v>1</v>
      </c>
      <c r="G383" s="1">
        <v>0</v>
      </c>
      <c r="H383" s="1">
        <v>0</v>
      </c>
      <c r="I383" s="1">
        <v>0</v>
      </c>
      <c r="J383" s="1">
        <v>0</v>
      </c>
      <c r="K383" s="1">
        <v>0</v>
      </c>
      <c r="L383" s="1">
        <v>0</v>
      </c>
      <c r="M383" s="1">
        <v>0</v>
      </c>
      <c r="N383" s="1">
        <v>1</v>
      </c>
      <c r="O383" s="1">
        <v>0</v>
      </c>
      <c r="P383" s="1">
        <f>LN(B383)</f>
        <v>3.09104245335832</v>
      </c>
      <c r="Q383" s="1">
        <f>1-SUM(F383:J383)</f>
        <v>0</v>
      </c>
      <c r="R383" s="1" t="str">
        <f>IF(F383=1,"Napa valley",IF(G383=1,"Bay area",IF(H383=1,"Sonoma",IF(I383=1,"Sierra/foothills",IF(J383=1,"Mendocino/lake","Generic California")))))</f>
        <v>Napa valley</v>
      </c>
      <c r="S383" s="1" t="str">
        <f>IF(F383=1,"Napa valley",IF(H383=1,"Sonoma","Other"))</f>
        <v>Napa valley</v>
      </c>
      <c r="T383" s="1" t="str">
        <f>IF(M383=1,"Cabernet",IF(N383=1,"Merlot",IF(L383=1,"Pinot noir","Other")))</f>
        <v>Merlot</v>
      </c>
      <c r="U383" s="1">
        <f>IF(F383=1,B383,"")</f>
        <v>22</v>
      </c>
      <c r="V383" s="1" t="str">
        <f>IF(F383=0,B383,"")</f>
        <v/>
      </c>
      <c r="W383" s="1">
        <f>'Part B'!$B$150+SUMPRODUCT('Part B'!$B$164:$N$164,C383:O383)</f>
        <v>32.5722919914568</v>
      </c>
      <c r="X383" s="1">
        <f>B383-W383</f>
        <v>-10.5722919914568</v>
      </c>
      <c r="Y383" s="1">
        <f>'Part B'!$B$179+SUMPRODUCT('Part B'!$B$193:$N$193,C383:O383)</f>
        <v>3.33798770786258</v>
      </c>
      <c r="Z383" s="1">
        <f>P383-Y383</f>
        <v>-0.246945254504265</v>
      </c>
      <c r="AB383" s="1">
        <f>C383</f>
        <v>0.2</v>
      </c>
      <c r="AC383" s="1">
        <f>D383</f>
        <v>86</v>
      </c>
      <c r="AD383" s="1">
        <f>E383</f>
        <v>3</v>
      </c>
      <c r="AE383" s="1">
        <f>F383</f>
        <v>1</v>
      </c>
      <c r="AF383" s="1">
        <f>G383</f>
        <v>0</v>
      </c>
      <c r="AG383" s="1">
        <f>I383</f>
        <v>0</v>
      </c>
      <c r="AH383" s="1">
        <f>J383</f>
        <v>0</v>
      </c>
      <c r="AI383" s="1">
        <f>Q383</f>
        <v>0</v>
      </c>
      <c r="AJ383" s="1">
        <f>K383</f>
        <v>0</v>
      </c>
      <c r="AK383" s="1">
        <f>L383</f>
        <v>0</v>
      </c>
      <c r="AL383" s="1">
        <f>M383</f>
        <v>0</v>
      </c>
      <c r="AM383" s="1">
        <f>N383</f>
        <v>1</v>
      </c>
      <c r="AN383" s="1">
        <f>O383</f>
        <v>0</v>
      </c>
    </row>
    <row r="384">
      <c r="A384" s="1">
        <v>531</v>
      </c>
      <c r="B384" s="1">
        <v>22</v>
      </c>
      <c r="C384" s="1">
        <v>0.2</v>
      </c>
      <c r="D384" s="1">
        <v>84</v>
      </c>
      <c r="E384" s="1">
        <v>3</v>
      </c>
      <c r="F384" s="1">
        <v>1</v>
      </c>
      <c r="G384" s="1">
        <v>0</v>
      </c>
      <c r="H384" s="1">
        <v>0</v>
      </c>
      <c r="I384" s="1">
        <v>0</v>
      </c>
      <c r="J384" s="1">
        <v>0</v>
      </c>
      <c r="K384" s="1">
        <v>0</v>
      </c>
      <c r="L384" s="1">
        <v>0</v>
      </c>
      <c r="M384" s="1">
        <v>0</v>
      </c>
      <c r="N384" s="1">
        <v>0</v>
      </c>
      <c r="O384" s="1">
        <v>0</v>
      </c>
      <c r="P384" s="1">
        <f>LN(B384)</f>
        <v>3.09104245335832</v>
      </c>
      <c r="Q384" s="1">
        <f>1-SUM(F384:J384)</f>
        <v>0</v>
      </c>
      <c r="R384" s="1" t="str">
        <f>IF(F384=1,"Napa valley",IF(G384=1,"Bay area",IF(H384=1,"Sonoma",IF(I384=1,"Sierra/foothills",IF(J384=1,"Mendocino/lake","Generic California")))))</f>
        <v>Napa valley</v>
      </c>
      <c r="S384" s="1" t="str">
        <f>IF(F384=1,"Napa valley",IF(H384=1,"Sonoma","Other"))</f>
        <v>Napa valley</v>
      </c>
      <c r="T384" s="1" t="str">
        <f>IF(M384=1,"Cabernet",IF(N384=1,"Merlot",IF(L384=1,"Pinot noir","Other")))</f>
        <v>Other</v>
      </c>
      <c r="U384" s="1">
        <f>IF(F384=1,B384,"")</f>
        <v>22</v>
      </c>
      <c r="V384" s="1" t="str">
        <f>IF(F384=0,B384,"")</f>
        <v/>
      </c>
      <c r="W384" s="1">
        <f>'Part B'!$B$150+SUMPRODUCT('Part B'!$B$164:$N$164,C384:O384)</f>
        <v>18.6218882523718</v>
      </c>
      <c r="X384" s="1">
        <f>B384-W384</f>
        <v>3.37811174762817</v>
      </c>
      <c r="Y384" s="1">
        <f>'Part B'!$B$179+SUMPRODUCT('Part B'!$B$193:$N$193,C384:O384)</f>
        <v>2.9135502403994</v>
      </c>
      <c r="Z384" s="1">
        <f>P384-Y384</f>
        <v>0.177492212958918</v>
      </c>
      <c r="AB384" s="1">
        <f>C384</f>
        <v>0.2</v>
      </c>
      <c r="AC384" s="1">
        <f>D384</f>
        <v>84</v>
      </c>
      <c r="AD384" s="1">
        <f>E384</f>
        <v>3</v>
      </c>
      <c r="AE384" s="1">
        <f>F384</f>
        <v>1</v>
      </c>
      <c r="AF384" s="1">
        <f>G384</f>
        <v>0</v>
      </c>
      <c r="AG384" s="1">
        <f>I384</f>
        <v>0</v>
      </c>
      <c r="AH384" s="1">
        <f>J384</f>
        <v>0</v>
      </c>
      <c r="AI384" s="1">
        <f>Q384</f>
        <v>0</v>
      </c>
      <c r="AJ384" s="1">
        <f>K384</f>
        <v>0</v>
      </c>
      <c r="AK384" s="1">
        <f>L384</f>
        <v>0</v>
      </c>
      <c r="AL384" s="1">
        <f>M384</f>
        <v>0</v>
      </c>
      <c r="AM384" s="1">
        <f>N384</f>
        <v>0</v>
      </c>
      <c r="AN384" s="1">
        <f>O384</f>
        <v>0</v>
      </c>
    </row>
    <row r="385">
      <c r="A385" s="1">
        <v>532</v>
      </c>
      <c r="B385" s="1">
        <v>22</v>
      </c>
      <c r="C385" s="1">
        <v>0.082</v>
      </c>
      <c r="D385" s="1">
        <v>88</v>
      </c>
      <c r="E385" s="1">
        <v>3</v>
      </c>
      <c r="F385" s="1">
        <v>0</v>
      </c>
      <c r="G385" s="1">
        <v>0</v>
      </c>
      <c r="H385" s="1">
        <v>1</v>
      </c>
      <c r="I385" s="1">
        <v>0</v>
      </c>
      <c r="J385" s="1">
        <v>0</v>
      </c>
      <c r="K385" s="1">
        <v>0</v>
      </c>
      <c r="L385" s="1">
        <v>0</v>
      </c>
      <c r="M385" s="1">
        <v>0</v>
      </c>
      <c r="N385" s="1">
        <v>0</v>
      </c>
      <c r="O385" s="1">
        <v>0</v>
      </c>
      <c r="P385" s="1">
        <f>LN(B385)</f>
        <v>3.09104245335832</v>
      </c>
      <c r="Q385" s="1">
        <f>1-SUM(F385:J385)</f>
        <v>0</v>
      </c>
      <c r="R385" s="1" t="str">
        <f>IF(F385=1,"Napa valley",IF(G385=1,"Bay area",IF(H385=1,"Sonoma",IF(I385=1,"Sierra/foothills",IF(J385=1,"Mendocino/lake","Generic California")))))</f>
        <v>Sonoma</v>
      </c>
      <c r="S385" s="1" t="str">
        <f>IF(F385=1,"Napa valley",IF(H385=1,"Sonoma","Other"))</f>
        <v>Sonoma</v>
      </c>
      <c r="T385" s="1" t="str">
        <f>IF(M385=1,"Cabernet",IF(N385=1,"Merlot",IF(L385=1,"Pinot noir","Other")))</f>
        <v>Other</v>
      </c>
      <c r="U385" s="1" t="str">
        <f>IF(F385=1,B385,"")</f>
        <v/>
      </c>
      <c r="V385" s="1">
        <f>IF(F385=0,B385,"")</f>
        <v>22</v>
      </c>
      <c r="W385" s="1">
        <f>'Part B'!$B$150+SUMPRODUCT('Part B'!$B$164:$N$164,C385:O385)</f>
        <v>23.3170286268335</v>
      </c>
      <c r="X385" s="1">
        <f>B385-W385</f>
        <v>-1.31702862683352</v>
      </c>
      <c r="Y385" s="1">
        <f>'Part B'!$B$179+SUMPRODUCT('Part B'!$B$193:$N$193,C385:O385)</f>
        <v>3.04611308061205</v>
      </c>
      <c r="Z385" s="1">
        <f>P385-Y385</f>
        <v>0.044929372746263</v>
      </c>
      <c r="AB385" s="1">
        <f>C385</f>
        <v>0.082</v>
      </c>
      <c r="AC385" s="1">
        <f>D385</f>
        <v>88</v>
      </c>
      <c r="AD385" s="1">
        <f>E385</f>
        <v>3</v>
      </c>
      <c r="AE385" s="1">
        <f>F385</f>
        <v>0</v>
      </c>
      <c r="AF385" s="1">
        <f>G385</f>
        <v>0</v>
      </c>
      <c r="AG385" s="1">
        <f>I385</f>
        <v>0</v>
      </c>
      <c r="AH385" s="1">
        <f>J385</f>
        <v>0</v>
      </c>
      <c r="AI385" s="1">
        <f>Q385</f>
        <v>0</v>
      </c>
      <c r="AJ385" s="1">
        <f>K385</f>
        <v>0</v>
      </c>
      <c r="AK385" s="1">
        <f>L385</f>
        <v>0</v>
      </c>
      <c r="AL385" s="1">
        <f>M385</f>
        <v>0</v>
      </c>
      <c r="AM385" s="1">
        <f>N385</f>
        <v>0</v>
      </c>
      <c r="AN385" s="1">
        <f>O385</f>
        <v>0</v>
      </c>
    </row>
    <row r="386">
      <c r="A386" s="1">
        <v>533</v>
      </c>
      <c r="B386" s="1">
        <v>22</v>
      </c>
      <c r="C386" s="1">
        <v>10</v>
      </c>
      <c r="D386" s="1">
        <v>87</v>
      </c>
      <c r="E386" s="1">
        <v>3</v>
      </c>
      <c r="F386" s="1">
        <v>0</v>
      </c>
      <c r="G386" s="1">
        <v>0</v>
      </c>
      <c r="H386" s="1">
        <v>1</v>
      </c>
      <c r="I386" s="1">
        <v>0</v>
      </c>
      <c r="J386" s="1">
        <v>0</v>
      </c>
      <c r="K386" s="1">
        <v>1</v>
      </c>
      <c r="L386" s="1">
        <v>0</v>
      </c>
      <c r="M386" s="1">
        <v>0</v>
      </c>
      <c r="N386" s="1">
        <v>0</v>
      </c>
      <c r="O386" s="1">
        <v>0</v>
      </c>
      <c r="P386" s="1">
        <f>LN(B386)</f>
        <v>3.09104245335832</v>
      </c>
      <c r="Q386" s="1">
        <f>1-SUM(F386:J386)</f>
        <v>0</v>
      </c>
      <c r="R386" s="1" t="str">
        <f>IF(F386=1,"Napa valley",IF(G386=1,"Bay area",IF(H386=1,"Sonoma",IF(I386=1,"Sierra/foothills",IF(J386=1,"Mendocino/lake","Generic California")))))</f>
        <v>Sonoma</v>
      </c>
      <c r="S386" s="1" t="str">
        <f>IF(F386=1,"Napa valley",IF(H386=1,"Sonoma","Other"))</f>
        <v>Sonoma</v>
      </c>
      <c r="T386" s="1" t="str">
        <f>IF(M386=1,"Cabernet",IF(N386=1,"Merlot",IF(L386=1,"Pinot noir","Other")))</f>
        <v>Other</v>
      </c>
      <c r="U386" s="1" t="str">
        <f>IF(F386=1,B386,"")</f>
        <v/>
      </c>
      <c r="V386" s="1">
        <f>IF(F386=0,B386,"")</f>
        <v>22</v>
      </c>
      <c r="W386" s="1">
        <f>'Part B'!$B$150+SUMPRODUCT('Part B'!$B$164:$N$164,C386:O386)</f>
        <v>39.5183701746223</v>
      </c>
      <c r="X386" s="1">
        <f>B386-W386</f>
        <v>-17.5183701746223</v>
      </c>
      <c r="Y386" s="1">
        <f>'Part B'!$B$179+SUMPRODUCT('Part B'!$B$193:$N$193,C386:O386)</f>
        <v>3.41229938789087</v>
      </c>
      <c r="Z386" s="1">
        <f>P386-Y386</f>
        <v>-0.32125693453255</v>
      </c>
      <c r="AB386" s="1">
        <f>C386</f>
        <v>10</v>
      </c>
      <c r="AC386" s="1">
        <f>D386</f>
        <v>87</v>
      </c>
      <c r="AD386" s="1">
        <f>E386</f>
        <v>3</v>
      </c>
      <c r="AE386" s="1">
        <f>F386</f>
        <v>0</v>
      </c>
      <c r="AF386" s="1">
        <f>G386</f>
        <v>0</v>
      </c>
      <c r="AG386" s="1">
        <f>I386</f>
        <v>0</v>
      </c>
      <c r="AH386" s="1">
        <f>J386</f>
        <v>0</v>
      </c>
      <c r="AI386" s="1">
        <f>Q386</f>
        <v>0</v>
      </c>
      <c r="AJ386" s="1">
        <f>K386</f>
        <v>1</v>
      </c>
      <c r="AK386" s="1">
        <f>L386</f>
        <v>0</v>
      </c>
      <c r="AL386" s="1">
        <f>M386</f>
        <v>0</v>
      </c>
      <c r="AM386" s="1">
        <f>N386</f>
        <v>0</v>
      </c>
      <c r="AN386" s="1">
        <f>O386</f>
        <v>0</v>
      </c>
    </row>
    <row r="387">
      <c r="A387" s="1">
        <v>534</v>
      </c>
      <c r="B387" s="1">
        <v>22</v>
      </c>
      <c r="C387" s="1">
        <v>4</v>
      </c>
      <c r="D387" s="1">
        <v>89</v>
      </c>
      <c r="E387" s="1">
        <v>3</v>
      </c>
      <c r="F387" s="1">
        <v>1</v>
      </c>
      <c r="G387" s="1">
        <v>0</v>
      </c>
      <c r="H387" s="1">
        <v>0</v>
      </c>
      <c r="I387" s="1">
        <v>0</v>
      </c>
      <c r="J387" s="1">
        <v>0</v>
      </c>
      <c r="K387" s="1">
        <v>0</v>
      </c>
      <c r="L387" s="1">
        <v>0</v>
      </c>
      <c r="M387" s="1">
        <v>1</v>
      </c>
      <c r="N387" s="1">
        <v>0</v>
      </c>
      <c r="O387" s="1">
        <v>0</v>
      </c>
      <c r="P387" s="1">
        <f>LN(B387)</f>
        <v>3.09104245335832</v>
      </c>
      <c r="Q387" s="1">
        <f>1-SUM(F387:J387)</f>
        <v>0</v>
      </c>
      <c r="R387" s="1" t="str">
        <f>IF(F387=1,"Napa valley",IF(G387=1,"Bay area",IF(H387=1,"Sonoma",IF(I387=1,"Sierra/foothills",IF(J387=1,"Mendocino/lake","Generic California")))))</f>
        <v>Napa valley</v>
      </c>
      <c r="S387" s="1" t="str">
        <f>IF(F387=1,"Napa valley",IF(H387=1,"Sonoma","Other"))</f>
        <v>Napa valley</v>
      </c>
      <c r="T387" s="1" t="str">
        <f>IF(M387=1,"Cabernet",IF(N387=1,"Merlot",IF(L387=1,"Pinot noir","Other")))</f>
        <v>Cabernet</v>
      </c>
      <c r="U387" s="1">
        <f>IF(F387=1,B387,"")</f>
        <v>22</v>
      </c>
      <c r="V387" s="1" t="str">
        <f>IF(F387=0,B387,"")</f>
        <v/>
      </c>
      <c r="W387" s="1">
        <f>'Part B'!$B$150+SUMPRODUCT('Part B'!$B$164:$N$164,C387:O387)</f>
        <v>46.6139550317711</v>
      </c>
      <c r="X387" s="1">
        <f>B387-W387</f>
        <v>-24.6139550317711</v>
      </c>
      <c r="Y387" s="1">
        <f>'Part B'!$B$179+SUMPRODUCT('Part B'!$B$193:$N$193,C387:O387)</f>
        <v>3.56809228962259</v>
      </c>
      <c r="Z387" s="1">
        <f>P387-Y387</f>
        <v>-0.47704983626427</v>
      </c>
      <c r="AB387" s="1">
        <f>C387</f>
        <v>4</v>
      </c>
      <c r="AC387" s="1">
        <f>D387</f>
        <v>89</v>
      </c>
      <c r="AD387" s="1">
        <f>E387</f>
        <v>3</v>
      </c>
      <c r="AE387" s="1">
        <f>F387</f>
        <v>1</v>
      </c>
      <c r="AF387" s="1">
        <f>G387</f>
        <v>0</v>
      </c>
      <c r="AG387" s="1">
        <f>I387</f>
        <v>0</v>
      </c>
      <c r="AH387" s="1">
        <f>J387</f>
        <v>0</v>
      </c>
      <c r="AI387" s="1">
        <f>Q387</f>
        <v>0</v>
      </c>
      <c r="AJ387" s="1">
        <f>K387</f>
        <v>0</v>
      </c>
      <c r="AK387" s="1">
        <f>L387</f>
        <v>0</v>
      </c>
      <c r="AL387" s="1">
        <f>M387</f>
        <v>1</v>
      </c>
      <c r="AM387" s="1">
        <f>N387</f>
        <v>0</v>
      </c>
      <c r="AN387" s="1">
        <f>O387</f>
        <v>0</v>
      </c>
    </row>
    <row r="388">
      <c r="A388" s="1">
        <v>535</v>
      </c>
      <c r="B388" s="1">
        <v>22</v>
      </c>
      <c r="C388" s="1">
        <v>2.12</v>
      </c>
      <c r="D388" s="1">
        <v>88</v>
      </c>
      <c r="E388" s="1">
        <v>3</v>
      </c>
      <c r="F388" s="1">
        <v>1</v>
      </c>
      <c r="G388" s="1">
        <v>0</v>
      </c>
      <c r="H388" s="1">
        <v>0</v>
      </c>
      <c r="I388" s="1">
        <v>0</v>
      </c>
      <c r="J388" s="1">
        <v>0</v>
      </c>
      <c r="K388" s="1">
        <v>0</v>
      </c>
      <c r="L388" s="1">
        <v>0</v>
      </c>
      <c r="M388" s="1">
        <v>1</v>
      </c>
      <c r="N388" s="1">
        <v>0</v>
      </c>
      <c r="O388" s="1">
        <v>0</v>
      </c>
      <c r="P388" s="1">
        <f>LN(B388)</f>
        <v>3.09104245335832</v>
      </c>
      <c r="Q388" s="1">
        <f>1-SUM(F388:J388)</f>
        <v>0</v>
      </c>
      <c r="R388" s="1" t="str">
        <f>IF(F388=1,"Napa valley",IF(G388=1,"Bay area",IF(H388=1,"Sonoma",IF(I388=1,"Sierra/foothills",IF(J388=1,"Mendocino/lake","Generic California")))))</f>
        <v>Napa valley</v>
      </c>
      <c r="S388" s="1" t="str">
        <f>IF(F388=1,"Napa valley",IF(H388=1,"Sonoma","Other"))</f>
        <v>Napa valley</v>
      </c>
      <c r="T388" s="1" t="str">
        <f>IF(M388=1,"Cabernet",IF(N388=1,"Merlot",IF(L388=1,"Pinot noir","Other")))</f>
        <v>Cabernet</v>
      </c>
      <c r="U388" s="1">
        <f>IF(F388=1,B388,"")</f>
        <v>22</v>
      </c>
      <c r="V388" s="1" t="str">
        <f>IF(F388=0,B388,"")</f>
        <v/>
      </c>
      <c r="W388" s="1">
        <f>'Part B'!$B$150+SUMPRODUCT('Part B'!$B$164:$N$164,C388:O388)</f>
        <v>43.6472958263149</v>
      </c>
      <c r="X388" s="1">
        <f>B388-W388</f>
        <v>-21.6472958263149</v>
      </c>
      <c r="Y388" s="1">
        <f>'Part B'!$B$179+SUMPRODUCT('Part B'!$B$193:$N$193,C388:O388)</f>
        <v>3.50617556705792</v>
      </c>
      <c r="Z388" s="1">
        <f>P388-Y388</f>
        <v>-0.4151331136996</v>
      </c>
      <c r="AB388" s="1">
        <f>C388</f>
        <v>2.12</v>
      </c>
      <c r="AC388" s="1">
        <f>D388</f>
        <v>88</v>
      </c>
      <c r="AD388" s="1">
        <f>E388</f>
        <v>3</v>
      </c>
      <c r="AE388" s="1">
        <f>F388</f>
        <v>1</v>
      </c>
      <c r="AF388" s="1">
        <f>G388</f>
        <v>0</v>
      </c>
      <c r="AG388" s="1">
        <f>I388</f>
        <v>0</v>
      </c>
      <c r="AH388" s="1">
        <f>J388</f>
        <v>0</v>
      </c>
      <c r="AI388" s="1">
        <f>Q388</f>
        <v>0</v>
      </c>
      <c r="AJ388" s="1">
        <f>K388</f>
        <v>0</v>
      </c>
      <c r="AK388" s="1">
        <f>L388</f>
        <v>0</v>
      </c>
      <c r="AL388" s="1">
        <f>M388</f>
        <v>1</v>
      </c>
      <c r="AM388" s="1">
        <f>N388</f>
        <v>0</v>
      </c>
      <c r="AN388" s="1">
        <f>O388</f>
        <v>0</v>
      </c>
    </row>
    <row r="389">
      <c r="A389" s="1">
        <v>536</v>
      </c>
      <c r="B389" s="1">
        <v>22</v>
      </c>
      <c r="C389" s="1">
        <v>0.234</v>
      </c>
      <c r="D389" s="1">
        <v>90</v>
      </c>
      <c r="E389" s="1">
        <v>3</v>
      </c>
      <c r="F389" s="1">
        <v>0</v>
      </c>
      <c r="G389" s="1">
        <v>1</v>
      </c>
      <c r="H389" s="1">
        <v>0</v>
      </c>
      <c r="I389" s="1">
        <v>0</v>
      </c>
      <c r="J389" s="1">
        <v>0</v>
      </c>
      <c r="K389" s="1">
        <v>0</v>
      </c>
      <c r="L389" s="1">
        <v>0</v>
      </c>
      <c r="M389" s="1">
        <v>1</v>
      </c>
      <c r="N389" s="1">
        <v>0</v>
      </c>
      <c r="O389" s="1">
        <v>0</v>
      </c>
      <c r="P389" s="1">
        <f>LN(B389)</f>
        <v>3.09104245335832</v>
      </c>
      <c r="Q389" s="1">
        <f>1-SUM(F389:J389)</f>
        <v>0</v>
      </c>
      <c r="R389" s="1" t="str">
        <f>IF(F389=1,"Napa valley",IF(G389=1,"Bay area",IF(H389=1,"Sonoma",IF(I389=1,"Sierra/foothills",IF(J389=1,"Mendocino/lake","Generic California")))))</f>
        <v>Bay area</v>
      </c>
      <c r="S389" s="1" t="str">
        <f>IF(F389=1,"Napa valley",IF(H389=1,"Sonoma","Other"))</f>
        <v>Other</v>
      </c>
      <c r="T389" s="1" t="str">
        <f>IF(M389=1,"Cabernet",IF(N389=1,"Merlot",IF(L389=1,"Pinot noir","Other")))</f>
        <v>Cabernet</v>
      </c>
      <c r="U389" s="1" t="str">
        <f>IF(F389=1,B389,"")</f>
        <v/>
      </c>
      <c r="V389" s="1">
        <f>IF(F389=0,B389,"")</f>
        <v>22</v>
      </c>
      <c r="W389" s="1">
        <f>'Part B'!$B$150+SUMPRODUCT('Part B'!$B$164:$N$164,C389:O389)</f>
        <v>45.3343706741563</v>
      </c>
      <c r="X389" s="1">
        <f>B389-W389</f>
        <v>-23.3343706741563</v>
      </c>
      <c r="Y389" s="1">
        <f>'Part B'!$B$179+SUMPRODUCT('Part B'!$B$193:$N$193,C389:O389)</f>
        <v>3.47943618520277</v>
      </c>
      <c r="Z389" s="1">
        <f>P389-Y389</f>
        <v>-0.388393731844452</v>
      </c>
      <c r="AB389" s="1">
        <f>C389</f>
        <v>0.234</v>
      </c>
      <c r="AC389" s="1">
        <f>D389</f>
        <v>90</v>
      </c>
      <c r="AD389" s="1">
        <f>E389</f>
        <v>3</v>
      </c>
      <c r="AE389" s="1">
        <f>F389</f>
        <v>0</v>
      </c>
      <c r="AF389" s="1">
        <f>G389</f>
        <v>1</v>
      </c>
      <c r="AG389" s="1">
        <f>I389</f>
        <v>0</v>
      </c>
      <c r="AH389" s="1">
        <f>J389</f>
        <v>0</v>
      </c>
      <c r="AI389" s="1">
        <f>Q389</f>
        <v>0</v>
      </c>
      <c r="AJ389" s="1">
        <f>K389</f>
        <v>0</v>
      </c>
      <c r="AK389" s="1">
        <f>L389</f>
        <v>0</v>
      </c>
      <c r="AL389" s="1">
        <f>M389</f>
        <v>1</v>
      </c>
      <c r="AM389" s="1">
        <f>N389</f>
        <v>0</v>
      </c>
      <c r="AN389" s="1">
        <f>O389</f>
        <v>0</v>
      </c>
    </row>
    <row r="390">
      <c r="A390" s="1">
        <v>537</v>
      </c>
      <c r="B390" s="1">
        <v>22</v>
      </c>
      <c r="C390" s="1">
        <v>0.9</v>
      </c>
      <c r="D390" s="1">
        <v>84</v>
      </c>
      <c r="E390" s="1">
        <v>3</v>
      </c>
      <c r="F390" s="1">
        <v>0</v>
      </c>
      <c r="G390" s="1">
        <v>0</v>
      </c>
      <c r="H390" s="1">
        <v>0</v>
      </c>
      <c r="I390" s="1">
        <v>0</v>
      </c>
      <c r="J390" s="1">
        <v>1</v>
      </c>
      <c r="K390" s="1">
        <v>0</v>
      </c>
      <c r="L390" s="1">
        <v>0</v>
      </c>
      <c r="M390" s="1">
        <v>0</v>
      </c>
      <c r="N390" s="1">
        <v>1</v>
      </c>
      <c r="O390" s="1">
        <v>0</v>
      </c>
      <c r="P390" s="1">
        <f>LN(B390)</f>
        <v>3.09104245335832</v>
      </c>
      <c r="Q390" s="1">
        <f>1-SUM(F390:J390)</f>
        <v>0</v>
      </c>
      <c r="R390" s="1" t="str">
        <f>IF(F390=1,"Napa valley",IF(G390=1,"Bay area",IF(H390=1,"Sonoma",IF(I390=1,"Sierra/foothills",IF(J390=1,"Mendocino/lake","Generic California")))))</f>
        <v>Mendocino/lake</v>
      </c>
      <c r="S390" s="1" t="str">
        <f>IF(F390=1,"Napa valley",IF(H390=1,"Sonoma","Other"))</f>
        <v>Other</v>
      </c>
      <c r="T390" s="1" t="str">
        <f>IF(M390=1,"Cabernet",IF(N390=1,"Merlot",IF(L390=1,"Pinot noir","Other")))</f>
        <v>Merlot</v>
      </c>
      <c r="U390" s="1" t="str">
        <f>IF(F390=1,B390,"")</f>
        <v/>
      </c>
      <c r="V390" s="1">
        <f>IF(F390=0,B390,"")</f>
        <v>22</v>
      </c>
      <c r="W390" s="1">
        <f>'Part B'!$B$150+SUMPRODUCT('Part B'!$B$164:$N$164,C390:O390)</f>
        <v>20.0361932936673</v>
      </c>
      <c r="X390" s="1">
        <f>B390-W390</f>
        <v>1.96380670633266</v>
      </c>
      <c r="Y390" s="1">
        <f>'Part B'!$B$179+SUMPRODUCT('Part B'!$B$193:$N$193,C390:O390)</f>
        <v>3.00257711931763</v>
      </c>
      <c r="Z390" s="1">
        <f>P390-Y390</f>
        <v>0.0884653340406896</v>
      </c>
      <c r="AB390" s="1">
        <f>C390</f>
        <v>0.9</v>
      </c>
      <c r="AC390" s="1">
        <f>D390</f>
        <v>84</v>
      </c>
      <c r="AD390" s="1">
        <f>E390</f>
        <v>3</v>
      </c>
      <c r="AE390" s="1">
        <f>F390</f>
        <v>0</v>
      </c>
      <c r="AF390" s="1">
        <f>G390</f>
        <v>0</v>
      </c>
      <c r="AG390" s="1">
        <f>I390</f>
        <v>0</v>
      </c>
      <c r="AH390" s="1">
        <f>J390</f>
        <v>1</v>
      </c>
      <c r="AI390" s="1">
        <f>Q390</f>
        <v>0</v>
      </c>
      <c r="AJ390" s="1">
        <f>K390</f>
        <v>0</v>
      </c>
      <c r="AK390" s="1">
        <f>L390</f>
        <v>0</v>
      </c>
      <c r="AL390" s="1">
        <f>M390</f>
        <v>0</v>
      </c>
      <c r="AM390" s="1">
        <f>N390</f>
        <v>1</v>
      </c>
      <c r="AN390" s="1">
        <f>O390</f>
        <v>0</v>
      </c>
    </row>
    <row r="391">
      <c r="A391" s="1">
        <v>538</v>
      </c>
      <c r="B391" s="1">
        <v>22</v>
      </c>
      <c r="C391" s="1">
        <v>0.4</v>
      </c>
      <c r="D391" s="1">
        <v>79</v>
      </c>
      <c r="E391" s="1">
        <v>3</v>
      </c>
      <c r="F391" s="1">
        <v>0</v>
      </c>
      <c r="G391" s="1">
        <v>0</v>
      </c>
      <c r="H391" s="1">
        <v>1</v>
      </c>
      <c r="I391" s="1">
        <v>0</v>
      </c>
      <c r="J391" s="1">
        <v>0</v>
      </c>
      <c r="K391" s="1">
        <v>0</v>
      </c>
      <c r="L391" s="1">
        <v>0</v>
      </c>
      <c r="M391" s="1">
        <v>0</v>
      </c>
      <c r="N391" s="1">
        <v>0</v>
      </c>
      <c r="O391" s="1">
        <v>0</v>
      </c>
      <c r="P391" s="1">
        <f>LN(B391)</f>
        <v>3.09104245335832</v>
      </c>
      <c r="Q391" s="1">
        <f>1-SUM(F391:J391)</f>
        <v>0</v>
      </c>
      <c r="R391" s="1" t="str">
        <f>IF(F391=1,"Napa valley",IF(G391=1,"Bay area",IF(H391=1,"Sonoma",IF(I391=1,"Sierra/foothills",IF(J391=1,"Mendocino/lake","Generic California")))))</f>
        <v>Sonoma</v>
      </c>
      <c r="S391" s="1" t="str">
        <f>IF(F391=1,"Napa valley",IF(H391=1,"Sonoma","Other"))</f>
        <v>Sonoma</v>
      </c>
      <c r="T391" s="1" t="str">
        <f>IF(M391=1,"Cabernet",IF(N391=1,"Merlot",IF(L391=1,"Pinot noir","Other")))</f>
        <v>Other</v>
      </c>
      <c r="U391" s="1" t="str">
        <f>IF(F391=1,B391,"")</f>
        <v/>
      </c>
      <c r="V391" s="1">
        <f>IF(F391=0,B391,"")</f>
        <v>22</v>
      </c>
      <c r="W391" s="1">
        <f>'Part B'!$B$150+SUMPRODUCT('Part B'!$B$164:$N$164,C391:O391)</f>
        <v>-5.01902778315463</v>
      </c>
      <c r="X391" s="1">
        <f>B391-W391</f>
        <v>27.0190277831546</v>
      </c>
      <c r="Y391" s="1">
        <f>'Part B'!$B$179+SUMPRODUCT('Part B'!$B$193:$N$193,C391:O391)</f>
        <v>2.41510001808308</v>
      </c>
      <c r="Z391" s="1">
        <f>P391-Y391</f>
        <v>0.675942435275239</v>
      </c>
      <c r="AB391" s="1">
        <f>C391</f>
        <v>0.4</v>
      </c>
      <c r="AC391" s="1">
        <f>D391</f>
        <v>79</v>
      </c>
      <c r="AD391" s="1">
        <f>E391</f>
        <v>3</v>
      </c>
      <c r="AE391" s="1">
        <f>F391</f>
        <v>0</v>
      </c>
      <c r="AF391" s="1">
        <f>G391</f>
        <v>0</v>
      </c>
      <c r="AG391" s="1">
        <f>I391</f>
        <v>0</v>
      </c>
      <c r="AH391" s="1">
        <f>J391</f>
        <v>0</v>
      </c>
      <c r="AI391" s="1">
        <f>Q391</f>
        <v>0</v>
      </c>
      <c r="AJ391" s="1">
        <f>K391</f>
        <v>0</v>
      </c>
      <c r="AK391" s="1">
        <f>L391</f>
        <v>0</v>
      </c>
      <c r="AL391" s="1">
        <f>M391</f>
        <v>0</v>
      </c>
      <c r="AM391" s="1">
        <f>N391</f>
        <v>0</v>
      </c>
      <c r="AN391" s="1">
        <f>O391</f>
        <v>0</v>
      </c>
    </row>
    <row r="392">
      <c r="A392" s="1">
        <v>539</v>
      </c>
      <c r="B392" s="1">
        <v>22</v>
      </c>
      <c r="C392" s="1">
        <v>2.15</v>
      </c>
      <c r="D392" s="1">
        <v>85</v>
      </c>
      <c r="E392" s="1">
        <v>3</v>
      </c>
      <c r="F392" s="1">
        <v>0</v>
      </c>
      <c r="G392" s="1">
        <v>0</v>
      </c>
      <c r="H392" s="1">
        <v>1</v>
      </c>
      <c r="I392" s="1">
        <v>0</v>
      </c>
      <c r="J392" s="1">
        <v>0</v>
      </c>
      <c r="K392" s="1">
        <v>0</v>
      </c>
      <c r="L392" s="1">
        <v>0</v>
      </c>
      <c r="M392" s="1">
        <v>1</v>
      </c>
      <c r="N392" s="1">
        <v>0</v>
      </c>
      <c r="O392" s="1">
        <v>0</v>
      </c>
      <c r="P392" s="1">
        <f>LN(B392)</f>
        <v>3.09104245335832</v>
      </c>
      <c r="Q392" s="1">
        <f>1-SUM(F392:J392)</f>
        <v>0</v>
      </c>
      <c r="R392" s="1" t="str">
        <f>IF(F392=1,"Napa valley",IF(G392=1,"Bay area",IF(H392=1,"Sonoma",IF(I392=1,"Sierra/foothills",IF(J392=1,"Mendocino/lake","Generic California")))))</f>
        <v>Sonoma</v>
      </c>
      <c r="S392" s="1" t="str">
        <f>IF(F392=1,"Napa valley",IF(H392=1,"Sonoma","Other"))</f>
        <v>Sonoma</v>
      </c>
      <c r="T392" s="1" t="str">
        <f>IF(M392=1,"Cabernet",IF(N392=1,"Merlot",IF(L392=1,"Pinot noir","Other")))</f>
        <v>Cabernet</v>
      </c>
      <c r="U392" s="1" t="str">
        <f>IF(F392=1,B392,"")</f>
        <v/>
      </c>
      <c r="V392" s="1">
        <f>IF(F392=0,B392,"")</f>
        <v>22</v>
      </c>
      <c r="W392" s="1">
        <f>'Part B'!$B$150+SUMPRODUCT('Part B'!$B$164:$N$164,C392:O392)</f>
        <v>26.3127093163469</v>
      </c>
      <c r="X392" s="1">
        <f>B392-W392</f>
        <v>-4.31270931634685</v>
      </c>
      <c r="Y392" s="1">
        <f>'Part B'!$B$179+SUMPRODUCT('Part B'!$B$193:$N$193,C392:O392)</f>
        <v>3.14837552375111</v>
      </c>
      <c r="Z392" s="1">
        <f>P392-Y392</f>
        <v>-0.0573330703927972</v>
      </c>
      <c r="AB392" s="1">
        <f>C392</f>
        <v>2.15</v>
      </c>
      <c r="AC392" s="1">
        <f>D392</f>
        <v>85</v>
      </c>
      <c r="AD392" s="1">
        <f>E392</f>
        <v>3</v>
      </c>
      <c r="AE392" s="1">
        <f>F392</f>
        <v>0</v>
      </c>
      <c r="AF392" s="1">
        <f>G392</f>
        <v>0</v>
      </c>
      <c r="AG392" s="1">
        <f>I392</f>
        <v>0</v>
      </c>
      <c r="AH392" s="1">
        <f>J392</f>
        <v>0</v>
      </c>
      <c r="AI392" s="1">
        <f>Q392</f>
        <v>0</v>
      </c>
      <c r="AJ392" s="1">
        <f>K392</f>
        <v>0</v>
      </c>
      <c r="AK392" s="1">
        <f>L392</f>
        <v>0</v>
      </c>
      <c r="AL392" s="1">
        <f>M392</f>
        <v>1</v>
      </c>
      <c r="AM392" s="1">
        <f>N392</f>
        <v>0</v>
      </c>
      <c r="AN392" s="1">
        <f>O392</f>
        <v>0</v>
      </c>
    </row>
    <row r="393">
      <c r="A393" s="1">
        <v>540</v>
      </c>
      <c r="B393" s="1">
        <v>22</v>
      </c>
      <c r="C393" s="1">
        <v>2</v>
      </c>
      <c r="D393" s="1">
        <v>85</v>
      </c>
      <c r="E393" s="1">
        <v>3</v>
      </c>
      <c r="F393" s="1">
        <v>1</v>
      </c>
      <c r="G393" s="1">
        <v>0</v>
      </c>
      <c r="H393" s="1">
        <v>0</v>
      </c>
      <c r="I393" s="1">
        <v>0</v>
      </c>
      <c r="J393" s="1">
        <v>0</v>
      </c>
      <c r="K393" s="1">
        <v>0</v>
      </c>
      <c r="L393" s="1">
        <v>0</v>
      </c>
      <c r="M393" s="1">
        <v>1</v>
      </c>
      <c r="N393" s="1">
        <v>0</v>
      </c>
      <c r="O393" s="1">
        <v>0</v>
      </c>
      <c r="P393" s="1">
        <f>LN(B393)</f>
        <v>3.09104245335832</v>
      </c>
      <c r="Q393" s="1">
        <f>1-SUM(F393:J393)</f>
        <v>0</v>
      </c>
      <c r="R393" s="1" t="str">
        <f>IF(F393=1,"Napa valley",IF(G393=1,"Bay area",IF(H393=1,"Sonoma",IF(I393=1,"Sierra/foothills",IF(J393=1,"Mendocino/lake","Generic California")))))</f>
        <v>Napa valley</v>
      </c>
      <c r="S393" s="1" t="str">
        <f>IF(F393=1,"Napa valley",IF(H393=1,"Sonoma","Other"))</f>
        <v>Napa valley</v>
      </c>
      <c r="T393" s="1" t="str">
        <f>IF(M393=1,"Cabernet",IF(N393=1,"Merlot",IF(L393=1,"Pinot noir","Other")))</f>
        <v>Cabernet</v>
      </c>
      <c r="U393" s="1">
        <f>IF(F393=1,B393,"")</f>
        <v>22</v>
      </c>
      <c r="V393" s="1" t="str">
        <f>IF(F393=0,B393,"")</f>
        <v/>
      </c>
      <c r="W393" s="1">
        <f>'Part B'!$B$150+SUMPRODUCT('Part B'!$B$164:$N$164,C393:O393)</f>
        <v>34.2233942015886</v>
      </c>
      <c r="X393" s="1">
        <f>B393-W393</f>
        <v>-12.2233942015886</v>
      </c>
      <c r="Y393" s="1">
        <f>'Part B'!$B$179+SUMPRODUCT('Part B'!$B$193:$N$193,C393:O393)</f>
        <v>3.29680494872305</v>
      </c>
      <c r="Z393" s="1">
        <f>P393-Y393</f>
        <v>-0.205762495364731</v>
      </c>
      <c r="AB393" s="1">
        <f>C393</f>
        <v>2</v>
      </c>
      <c r="AC393" s="1">
        <f>D393</f>
        <v>85</v>
      </c>
      <c r="AD393" s="1">
        <f>E393</f>
        <v>3</v>
      </c>
      <c r="AE393" s="1">
        <f>F393</f>
        <v>1</v>
      </c>
      <c r="AF393" s="1">
        <f>G393</f>
        <v>0</v>
      </c>
      <c r="AG393" s="1">
        <f>I393</f>
        <v>0</v>
      </c>
      <c r="AH393" s="1">
        <f>J393</f>
        <v>0</v>
      </c>
      <c r="AI393" s="1">
        <f>Q393</f>
        <v>0</v>
      </c>
      <c r="AJ393" s="1">
        <f>K393</f>
        <v>0</v>
      </c>
      <c r="AK393" s="1">
        <f>L393</f>
        <v>0</v>
      </c>
      <c r="AL393" s="1">
        <f>M393</f>
        <v>1</v>
      </c>
      <c r="AM393" s="1">
        <f>N393</f>
        <v>0</v>
      </c>
      <c r="AN393" s="1">
        <f>O393</f>
        <v>0</v>
      </c>
    </row>
    <row r="394">
      <c r="A394" s="1">
        <v>541</v>
      </c>
      <c r="B394" s="1">
        <v>22</v>
      </c>
      <c r="C394" s="1">
        <v>1</v>
      </c>
      <c r="D394" s="1">
        <v>82</v>
      </c>
      <c r="E394" s="1">
        <v>3</v>
      </c>
      <c r="F394" s="1">
        <v>1</v>
      </c>
      <c r="G394" s="1">
        <v>0</v>
      </c>
      <c r="H394" s="1">
        <v>0</v>
      </c>
      <c r="I394" s="1">
        <v>0</v>
      </c>
      <c r="J394" s="1">
        <v>0</v>
      </c>
      <c r="K394" s="1">
        <v>0</v>
      </c>
      <c r="L394" s="1">
        <v>1</v>
      </c>
      <c r="M394" s="1">
        <v>0</v>
      </c>
      <c r="N394" s="1">
        <v>0</v>
      </c>
      <c r="O394" s="1">
        <v>0</v>
      </c>
      <c r="P394" s="1">
        <f>LN(B394)</f>
        <v>3.09104245335832</v>
      </c>
      <c r="Q394" s="1">
        <f>1-SUM(F394:J394)</f>
        <v>0</v>
      </c>
      <c r="R394" s="1" t="str">
        <f>IF(F394=1,"Napa valley",IF(G394=1,"Bay area",IF(H394=1,"Sonoma",IF(I394=1,"Sierra/foothills",IF(J394=1,"Mendocino/lake","Generic California")))))</f>
        <v>Napa valley</v>
      </c>
      <c r="S394" s="1" t="str">
        <f>IF(F394=1,"Napa valley",IF(H394=1,"Sonoma","Other"))</f>
        <v>Napa valley</v>
      </c>
      <c r="T394" s="1" t="str">
        <f>IF(M394=1,"Cabernet",IF(N394=1,"Merlot",IF(L394=1,"Pinot noir","Other")))</f>
        <v>Pinot noir</v>
      </c>
      <c r="U394" s="1">
        <f>IF(F394=1,B394,"")</f>
        <v>22</v>
      </c>
      <c r="V394" s="1" t="str">
        <f>IF(F394=0,B394,"")</f>
        <v/>
      </c>
      <c r="W394" s="1">
        <f>'Part B'!$B$150+SUMPRODUCT('Part B'!$B$164:$N$164,C394:O394)</f>
        <v>21.7100225786244</v>
      </c>
      <c r="X394" s="1">
        <f>B394-W394</f>
        <v>0.289977421375625</v>
      </c>
      <c r="Y394" s="1">
        <f>'Part B'!$B$179+SUMPRODUCT('Part B'!$B$193:$N$193,C394:O394)</f>
        <v>3.11672652715279</v>
      </c>
      <c r="Z394" s="1">
        <f>P394-Y394</f>
        <v>-0.0256840737944763</v>
      </c>
      <c r="AB394" s="1">
        <f>C394</f>
        <v>1</v>
      </c>
      <c r="AC394" s="1">
        <f>D394</f>
        <v>82</v>
      </c>
      <c r="AD394" s="1">
        <f>E394</f>
        <v>3</v>
      </c>
      <c r="AE394" s="1">
        <f>F394</f>
        <v>1</v>
      </c>
      <c r="AF394" s="1">
        <f>G394</f>
        <v>0</v>
      </c>
      <c r="AG394" s="1">
        <f>I394</f>
        <v>0</v>
      </c>
      <c r="AH394" s="1">
        <f>J394</f>
        <v>0</v>
      </c>
      <c r="AI394" s="1">
        <f>Q394</f>
        <v>0</v>
      </c>
      <c r="AJ394" s="1">
        <f>K394</f>
        <v>0</v>
      </c>
      <c r="AK394" s="1">
        <f>L394</f>
        <v>1</v>
      </c>
      <c r="AL394" s="1">
        <f>M394</f>
        <v>0</v>
      </c>
      <c r="AM394" s="1">
        <f>N394</f>
        <v>0</v>
      </c>
      <c r="AN394" s="1">
        <f>O394</f>
        <v>0</v>
      </c>
    </row>
    <row r="395">
      <c r="A395" s="1">
        <v>542</v>
      </c>
      <c r="B395" s="1">
        <v>22</v>
      </c>
      <c r="C395" s="1">
        <v>0.08</v>
      </c>
      <c r="D395" s="1">
        <v>89</v>
      </c>
      <c r="E395" s="1">
        <v>3</v>
      </c>
      <c r="F395" s="1">
        <v>1</v>
      </c>
      <c r="G395" s="1">
        <v>0</v>
      </c>
      <c r="H395" s="1">
        <v>0</v>
      </c>
      <c r="I395" s="1">
        <v>0</v>
      </c>
      <c r="J395" s="1">
        <v>0</v>
      </c>
      <c r="K395" s="1">
        <v>0</v>
      </c>
      <c r="L395" s="1">
        <v>0</v>
      </c>
      <c r="M395" s="1">
        <v>0</v>
      </c>
      <c r="N395" s="1">
        <v>0</v>
      </c>
      <c r="O395" s="1">
        <v>0</v>
      </c>
      <c r="P395" s="1">
        <f>LN(B395)</f>
        <v>3.09104245335832</v>
      </c>
      <c r="Q395" s="1">
        <f>1-SUM(F395:J395)</f>
        <v>0</v>
      </c>
      <c r="R395" s="1" t="str">
        <f>IF(F395=1,"Napa valley",IF(G395=1,"Bay area",IF(H395=1,"Sonoma",IF(I395=1,"Sierra/foothills",IF(J395=1,"Mendocino/lake","Generic California")))))</f>
        <v>Napa valley</v>
      </c>
      <c r="S395" s="1" t="str">
        <f>IF(F395=1,"Napa valley",IF(H395=1,"Sonoma","Other"))</f>
        <v>Napa valley</v>
      </c>
      <c r="T395" s="1" t="str">
        <f>IF(M395=1,"Cabernet",IF(N395=1,"Merlot",IF(L395=1,"Pinot noir","Other")))</f>
        <v>Other</v>
      </c>
      <c r="U395" s="1">
        <f>IF(F395=1,B395,"")</f>
        <v>22</v>
      </c>
      <c r="V395" s="1" t="str">
        <f>IF(F395=0,B395,"")</f>
        <v/>
      </c>
      <c r="W395" s="1">
        <f>'Part B'!$B$150+SUMPRODUCT('Part B'!$B$164:$N$164,C395:O395)</f>
        <v>34.3587633665307</v>
      </c>
      <c r="X395" s="1">
        <f>B395-W395</f>
        <v>-12.3587633665307</v>
      </c>
      <c r="Y395" s="1">
        <f>'Part B'!$B$179+SUMPRODUCT('Part B'!$B$193:$N$193,C395:O395)</f>
        <v>3.26387057244394</v>
      </c>
      <c r="Z395" s="1">
        <f>P395-Y395</f>
        <v>-0.172828119085626</v>
      </c>
      <c r="AB395" s="1">
        <f>C395</f>
        <v>0.08</v>
      </c>
      <c r="AC395" s="1">
        <f>D395</f>
        <v>89</v>
      </c>
      <c r="AD395" s="1">
        <f>E395</f>
        <v>3</v>
      </c>
      <c r="AE395" s="1">
        <f>F395</f>
        <v>1</v>
      </c>
      <c r="AF395" s="1">
        <f>G395</f>
        <v>0</v>
      </c>
      <c r="AG395" s="1">
        <f>I395</f>
        <v>0</v>
      </c>
      <c r="AH395" s="1">
        <f>J395</f>
        <v>0</v>
      </c>
      <c r="AI395" s="1">
        <f>Q395</f>
        <v>0</v>
      </c>
      <c r="AJ395" s="1">
        <f>K395</f>
        <v>0</v>
      </c>
      <c r="AK395" s="1">
        <f>L395</f>
        <v>0</v>
      </c>
      <c r="AL395" s="1">
        <f>M395</f>
        <v>0</v>
      </c>
      <c r="AM395" s="1">
        <f>N395</f>
        <v>0</v>
      </c>
      <c r="AN395" s="1">
        <f>O395</f>
        <v>0</v>
      </c>
    </row>
    <row r="396">
      <c r="A396" s="1">
        <v>543</v>
      </c>
      <c r="B396" s="1">
        <v>22</v>
      </c>
      <c r="C396" s="1">
        <v>0.9</v>
      </c>
      <c r="D396" s="1">
        <v>90</v>
      </c>
      <c r="E396" s="1">
        <v>3</v>
      </c>
      <c r="F396" s="1">
        <v>1</v>
      </c>
      <c r="G396" s="1">
        <v>0</v>
      </c>
      <c r="H396" s="1">
        <v>0</v>
      </c>
      <c r="I396" s="1">
        <v>0</v>
      </c>
      <c r="J396" s="1">
        <v>0</v>
      </c>
      <c r="K396" s="1">
        <v>0</v>
      </c>
      <c r="L396" s="1">
        <v>0</v>
      </c>
      <c r="M396" s="1">
        <v>1</v>
      </c>
      <c r="N396" s="1">
        <v>0</v>
      </c>
      <c r="O396" s="1">
        <v>0</v>
      </c>
      <c r="P396" s="1">
        <f>LN(B396)</f>
        <v>3.09104245335832</v>
      </c>
      <c r="Q396" s="1">
        <f>1-SUM(F396:J396)</f>
        <v>0</v>
      </c>
      <c r="R396" s="1" t="str">
        <f>IF(F396=1,"Napa valley",IF(G396=1,"Bay area",IF(H396=1,"Sonoma",IF(I396=1,"Sierra/foothills",IF(J396=1,"Mendocino/lake","Generic California")))))</f>
        <v>Napa valley</v>
      </c>
      <c r="S396" s="1" t="str">
        <f>IF(F396=1,"Napa valley",IF(H396=1,"Sonoma","Other"))</f>
        <v>Napa valley</v>
      </c>
      <c r="T396" s="1" t="str">
        <f>IF(M396=1,"Cabernet",IF(N396=1,"Merlot",IF(L396=1,"Pinot noir","Other")))</f>
        <v>Cabernet</v>
      </c>
      <c r="U396" s="1">
        <f>IF(F396=1,B396,"")</f>
        <v>22</v>
      </c>
      <c r="V396" s="1" t="str">
        <f>IF(F396=0,B396,"")</f>
        <v/>
      </c>
      <c r="W396" s="1">
        <f>'Part B'!$B$150+SUMPRODUCT('Part B'!$B$164:$N$164,C396:O396)</f>
        <v>50.0532848099849</v>
      </c>
      <c r="X396" s="1">
        <f>B396-W396</f>
        <v>-28.0532848099849</v>
      </c>
      <c r="Y396" s="1">
        <f>'Part B'!$B$179+SUMPRODUCT('Part B'!$B$193:$N$193,C396:O396)</f>
        <v>3.65131876656977</v>
      </c>
      <c r="Z396" s="1">
        <f>P396-Y396</f>
        <v>-0.560276313211456</v>
      </c>
      <c r="AB396" s="1">
        <f>C396</f>
        <v>0.9</v>
      </c>
      <c r="AC396" s="1">
        <f>D396</f>
        <v>90</v>
      </c>
      <c r="AD396" s="1">
        <f>E396</f>
        <v>3</v>
      </c>
      <c r="AE396" s="1">
        <f>F396</f>
        <v>1</v>
      </c>
      <c r="AF396" s="1">
        <f>G396</f>
        <v>0</v>
      </c>
      <c r="AG396" s="1">
        <f>I396</f>
        <v>0</v>
      </c>
      <c r="AH396" s="1">
        <f>J396</f>
        <v>0</v>
      </c>
      <c r="AI396" s="1">
        <f>Q396</f>
        <v>0</v>
      </c>
      <c r="AJ396" s="1">
        <f>K396</f>
        <v>0</v>
      </c>
      <c r="AK396" s="1">
        <f>L396</f>
        <v>0</v>
      </c>
      <c r="AL396" s="1">
        <f>M396</f>
        <v>1</v>
      </c>
      <c r="AM396" s="1">
        <f>N396</f>
        <v>0</v>
      </c>
      <c r="AN396" s="1">
        <f>O396</f>
        <v>0</v>
      </c>
    </row>
    <row r="397">
      <c r="A397" s="1">
        <v>544</v>
      </c>
      <c r="B397" s="1">
        <v>22</v>
      </c>
      <c r="C397" s="1">
        <v>0.9</v>
      </c>
      <c r="D397" s="1">
        <v>88</v>
      </c>
      <c r="E397" s="1">
        <v>3</v>
      </c>
      <c r="F397" s="1">
        <v>1</v>
      </c>
      <c r="G397" s="1">
        <v>0</v>
      </c>
      <c r="H397" s="1">
        <v>0</v>
      </c>
      <c r="I397" s="1">
        <v>0</v>
      </c>
      <c r="J397" s="1">
        <v>0</v>
      </c>
      <c r="K397" s="1">
        <v>0</v>
      </c>
      <c r="L397" s="1">
        <v>0</v>
      </c>
      <c r="M397" s="1">
        <v>0</v>
      </c>
      <c r="N397" s="1">
        <v>1</v>
      </c>
      <c r="O397" s="1">
        <v>0</v>
      </c>
      <c r="P397" s="1">
        <f>LN(B397)</f>
        <v>3.09104245335832</v>
      </c>
      <c r="Q397" s="1">
        <f>1-SUM(F397:J397)</f>
        <v>0</v>
      </c>
      <c r="R397" s="1" t="str">
        <f>IF(F397=1,"Napa valley",IF(G397=1,"Bay area",IF(H397=1,"Sonoma",IF(I397=1,"Sierra/foothills",IF(J397=1,"Mendocino/lake","Generic California")))))</f>
        <v>Napa valley</v>
      </c>
      <c r="S397" s="1" t="str">
        <f>IF(F397=1,"Napa valley",IF(H397=1,"Sonoma","Other"))</f>
        <v>Napa valley</v>
      </c>
      <c r="T397" s="1" t="str">
        <f>IF(M397=1,"Cabernet",IF(N397=1,"Merlot",IF(L397=1,"Pinot noir","Other")))</f>
        <v>Merlot</v>
      </c>
      <c r="U397" s="1">
        <f>IF(F397=1,B397,"")</f>
        <v>22</v>
      </c>
      <c r="V397" s="1" t="str">
        <f>IF(F397=0,B397,"")</f>
        <v/>
      </c>
      <c r="W397" s="1">
        <f>'Part B'!$B$150+SUMPRODUCT('Part B'!$B$164:$N$164,C397:O397)</f>
        <v>38.796046537437</v>
      </c>
      <c r="X397" s="1">
        <f>B397-W397</f>
        <v>-16.796046537437</v>
      </c>
      <c r="Y397" s="1">
        <f>'Part B'!$B$179+SUMPRODUCT('Part B'!$B$193:$N$193,C397:O397)</f>
        <v>3.47491509845588</v>
      </c>
      <c r="Z397" s="1">
        <f>P397-Y397</f>
        <v>-0.38387264509756</v>
      </c>
      <c r="AB397" s="1">
        <f>C397</f>
        <v>0.9</v>
      </c>
      <c r="AC397" s="1">
        <f>D397</f>
        <v>88</v>
      </c>
      <c r="AD397" s="1">
        <f>E397</f>
        <v>3</v>
      </c>
      <c r="AE397" s="1">
        <f>F397</f>
        <v>1</v>
      </c>
      <c r="AF397" s="1">
        <f>G397</f>
        <v>0</v>
      </c>
      <c r="AG397" s="1">
        <f>I397</f>
        <v>0</v>
      </c>
      <c r="AH397" s="1">
        <f>J397</f>
        <v>0</v>
      </c>
      <c r="AI397" s="1">
        <f>Q397</f>
        <v>0</v>
      </c>
      <c r="AJ397" s="1">
        <f>K397</f>
        <v>0</v>
      </c>
      <c r="AK397" s="1">
        <f>L397</f>
        <v>0</v>
      </c>
      <c r="AL397" s="1">
        <f>M397</f>
        <v>0</v>
      </c>
      <c r="AM397" s="1">
        <f>N397</f>
        <v>1</v>
      </c>
      <c r="AN397" s="1">
        <f>O397</f>
        <v>0</v>
      </c>
    </row>
    <row r="398">
      <c r="A398" s="1">
        <v>545</v>
      </c>
      <c r="B398" s="1">
        <v>22</v>
      </c>
      <c r="C398" s="1">
        <v>0.517</v>
      </c>
      <c r="D398" s="1">
        <v>85</v>
      </c>
      <c r="E398" s="1">
        <v>3</v>
      </c>
      <c r="F398" s="1">
        <v>1</v>
      </c>
      <c r="G398" s="1">
        <v>0</v>
      </c>
      <c r="H398" s="1">
        <v>0</v>
      </c>
      <c r="I398" s="1">
        <v>0</v>
      </c>
      <c r="J398" s="1">
        <v>0</v>
      </c>
      <c r="K398" s="1">
        <v>0</v>
      </c>
      <c r="L398" s="1">
        <v>0</v>
      </c>
      <c r="M398" s="1">
        <v>0</v>
      </c>
      <c r="N398" s="1">
        <v>1</v>
      </c>
      <c r="O398" s="1">
        <v>0</v>
      </c>
      <c r="P398" s="1">
        <f>LN(B398)</f>
        <v>3.09104245335832</v>
      </c>
      <c r="Q398" s="1">
        <f>1-SUM(F398:J398)</f>
        <v>0</v>
      </c>
      <c r="R398" s="1" t="str">
        <f>IF(F398=1,"Napa valley",IF(G398=1,"Bay area",IF(H398=1,"Sonoma",IF(I398=1,"Sierra/foothills",IF(J398=1,"Mendocino/lake","Generic California")))))</f>
        <v>Napa valley</v>
      </c>
      <c r="S398" s="1" t="str">
        <f>IF(F398=1,"Napa valley",IF(H398=1,"Sonoma","Other"))</f>
        <v>Napa valley</v>
      </c>
      <c r="T398" s="1" t="str">
        <f>IF(M398=1,"Cabernet",IF(N398=1,"Merlot",IF(L398=1,"Pinot noir","Other")))</f>
        <v>Merlot</v>
      </c>
      <c r="U398" s="1">
        <f>IF(F398=1,B398,"")</f>
        <v>22</v>
      </c>
      <c r="V398" s="1" t="str">
        <f>IF(F398=0,B398,"")</f>
        <v/>
      </c>
      <c r="W398" s="1">
        <f>'Part B'!$B$150+SUMPRODUCT('Part B'!$B$164:$N$164,C398:O398)</f>
        <v>29.3971072341234</v>
      </c>
      <c r="X398" s="1">
        <f>B398-W398</f>
        <v>-7.39710723412338</v>
      </c>
      <c r="Y398" s="1">
        <f>'Part B'!$B$179+SUMPRODUCT('Part B'!$B$193:$N$193,C398:O398)</f>
        <v>3.26666987478016</v>
      </c>
      <c r="Z398" s="1">
        <f>P398-Y398</f>
        <v>-0.175627421421847</v>
      </c>
      <c r="AB398" s="1">
        <f>C398</f>
        <v>0.517</v>
      </c>
      <c r="AC398" s="1">
        <f>D398</f>
        <v>85</v>
      </c>
      <c r="AD398" s="1">
        <f>E398</f>
        <v>3</v>
      </c>
      <c r="AE398" s="1">
        <f>F398</f>
        <v>1</v>
      </c>
      <c r="AF398" s="1">
        <f>G398</f>
        <v>0</v>
      </c>
      <c r="AG398" s="1">
        <f>I398</f>
        <v>0</v>
      </c>
      <c r="AH398" s="1">
        <f>J398</f>
        <v>0</v>
      </c>
      <c r="AI398" s="1">
        <f>Q398</f>
        <v>0</v>
      </c>
      <c r="AJ398" s="1">
        <f>K398</f>
        <v>0</v>
      </c>
      <c r="AK398" s="1">
        <f>L398</f>
        <v>0</v>
      </c>
      <c r="AL398" s="1">
        <f>M398</f>
        <v>0</v>
      </c>
      <c r="AM398" s="1">
        <f>N398</f>
        <v>1</v>
      </c>
      <c r="AN398" s="1">
        <f>O398</f>
        <v>0</v>
      </c>
    </row>
    <row r="399">
      <c r="A399" s="1">
        <v>546</v>
      </c>
      <c r="B399" s="1">
        <v>22</v>
      </c>
      <c r="C399" s="1">
        <v>0.9</v>
      </c>
      <c r="D399" s="1">
        <v>79</v>
      </c>
      <c r="E399" s="1">
        <v>3</v>
      </c>
      <c r="F399" s="1">
        <v>0</v>
      </c>
      <c r="G399" s="1">
        <v>1</v>
      </c>
      <c r="H399" s="1">
        <v>0</v>
      </c>
      <c r="I399" s="1">
        <v>0</v>
      </c>
      <c r="J399" s="1">
        <v>0</v>
      </c>
      <c r="K399" s="1">
        <v>0</v>
      </c>
      <c r="L399" s="1">
        <v>0</v>
      </c>
      <c r="M399" s="1">
        <v>0</v>
      </c>
      <c r="N399" s="1">
        <v>1</v>
      </c>
      <c r="O399" s="1">
        <v>0</v>
      </c>
      <c r="P399" s="1">
        <f>LN(B399)</f>
        <v>3.09104245335832</v>
      </c>
      <c r="Q399" s="1">
        <f>1-SUM(F399:J399)</f>
        <v>0</v>
      </c>
      <c r="R399" s="1" t="str">
        <f>IF(F399=1,"Napa valley",IF(G399=1,"Bay area",IF(H399=1,"Sonoma",IF(I399=1,"Sierra/foothills",IF(J399=1,"Mendocino/lake","Generic California")))))</f>
        <v>Bay area</v>
      </c>
      <c r="S399" s="1" t="str">
        <f>IF(F399=1,"Napa valley",IF(H399=1,"Sonoma","Other"))</f>
        <v>Other</v>
      </c>
      <c r="T399" s="1" t="str">
        <f>IF(M399=1,"Cabernet",IF(N399=1,"Merlot",IF(L399=1,"Pinot noir","Other")))</f>
        <v>Merlot</v>
      </c>
      <c r="U399" s="1" t="str">
        <f>IF(F399=1,B399,"")</f>
        <v/>
      </c>
      <c r="V399" s="1">
        <f>IF(F399=0,B399,"")</f>
        <v>22</v>
      </c>
      <c r="W399" s="1">
        <f>'Part B'!$B$150+SUMPRODUCT('Part B'!$B$164:$N$164,C399:O399)</f>
        <v>5.70804599978891</v>
      </c>
      <c r="X399" s="1">
        <f>B399-W399</f>
        <v>16.2919540002111</v>
      </c>
      <c r="Y399" s="1">
        <f>'Part B'!$B$179+SUMPRODUCT('Part B'!$B$193:$N$193,C399:O399)</f>
        <v>2.67053033919341</v>
      </c>
      <c r="Z399" s="1">
        <f>P399-Y399</f>
        <v>0.420512114164909</v>
      </c>
      <c r="AB399" s="1">
        <f>C399</f>
        <v>0.9</v>
      </c>
      <c r="AC399" s="1">
        <f>D399</f>
        <v>79</v>
      </c>
      <c r="AD399" s="1">
        <f>E399</f>
        <v>3</v>
      </c>
      <c r="AE399" s="1">
        <f>F399</f>
        <v>0</v>
      </c>
      <c r="AF399" s="1">
        <f>G399</f>
        <v>1</v>
      </c>
      <c r="AG399" s="1">
        <f>I399</f>
        <v>0</v>
      </c>
      <c r="AH399" s="1">
        <f>J399</f>
        <v>0</v>
      </c>
      <c r="AI399" s="1">
        <f>Q399</f>
        <v>0</v>
      </c>
      <c r="AJ399" s="1">
        <f>K399</f>
        <v>0</v>
      </c>
      <c r="AK399" s="1">
        <f>L399</f>
        <v>0</v>
      </c>
      <c r="AL399" s="1">
        <f>M399</f>
        <v>0</v>
      </c>
      <c r="AM399" s="1">
        <f>N399</f>
        <v>1</v>
      </c>
      <c r="AN399" s="1">
        <f>O399</f>
        <v>0</v>
      </c>
    </row>
    <row r="400">
      <c r="A400" s="1">
        <v>547</v>
      </c>
      <c r="B400" s="1">
        <v>22</v>
      </c>
      <c r="C400" s="1">
        <v>0.9</v>
      </c>
      <c r="D400" s="1">
        <v>87</v>
      </c>
      <c r="E400" s="1">
        <v>3</v>
      </c>
      <c r="F400" s="1">
        <v>1</v>
      </c>
      <c r="G400" s="1">
        <v>0</v>
      </c>
      <c r="H400" s="1">
        <v>0</v>
      </c>
      <c r="I400" s="1">
        <v>0</v>
      </c>
      <c r="J400" s="1">
        <v>0</v>
      </c>
      <c r="K400" s="1">
        <v>0</v>
      </c>
      <c r="L400" s="1">
        <v>1</v>
      </c>
      <c r="M400" s="1">
        <v>0</v>
      </c>
      <c r="N400" s="1">
        <v>0</v>
      </c>
      <c r="O400" s="1">
        <v>0</v>
      </c>
      <c r="P400" s="1">
        <f>LN(B400)</f>
        <v>3.09104245335832</v>
      </c>
      <c r="Q400" s="1">
        <f>1-SUM(F400:J400)</f>
        <v>0</v>
      </c>
      <c r="R400" s="1" t="str">
        <f>IF(F400=1,"Napa valley",IF(G400=1,"Bay area",IF(H400=1,"Sonoma",IF(I400=1,"Sierra/foothills",IF(J400=1,"Mendocino/lake","Generic California")))))</f>
        <v>Napa valley</v>
      </c>
      <c r="S400" s="1" t="str">
        <f>IF(F400=1,"Napa valley",IF(H400=1,"Sonoma","Other"))</f>
        <v>Napa valley</v>
      </c>
      <c r="T400" s="1" t="str">
        <f>IF(M400=1,"Cabernet",IF(N400=1,"Merlot",IF(L400=1,"Pinot noir","Other")))</f>
        <v>Pinot noir</v>
      </c>
      <c r="U400" s="1">
        <f>IF(F400=1,B400,"")</f>
        <v>22</v>
      </c>
      <c r="V400" s="1" t="str">
        <f>IF(F400=0,B400,"")</f>
        <v/>
      </c>
      <c r="W400" s="1">
        <f>'Part B'!$B$150+SUMPRODUCT('Part B'!$B$164:$N$164,C400:O400)</f>
        <v>37.4449994173906</v>
      </c>
      <c r="X400" s="1">
        <f>B400-W400</f>
        <v>-15.4449994173906</v>
      </c>
      <c r="Y400" s="1">
        <f>'Part B'!$B$179+SUMPRODUCT('Part B'!$B$193:$N$193,C400:O400)</f>
        <v>3.46696127785443</v>
      </c>
      <c r="Z400" s="1">
        <f>P400-Y400</f>
        <v>-0.375918824496117</v>
      </c>
      <c r="AB400" s="1">
        <f>C400</f>
        <v>0.9</v>
      </c>
      <c r="AC400" s="1">
        <f>D400</f>
        <v>87</v>
      </c>
      <c r="AD400" s="1">
        <f>E400</f>
        <v>3</v>
      </c>
      <c r="AE400" s="1">
        <f>F400</f>
        <v>1</v>
      </c>
      <c r="AF400" s="1">
        <f>G400</f>
        <v>0</v>
      </c>
      <c r="AG400" s="1">
        <f>I400</f>
        <v>0</v>
      </c>
      <c r="AH400" s="1">
        <f>J400</f>
        <v>0</v>
      </c>
      <c r="AI400" s="1">
        <f>Q400</f>
        <v>0</v>
      </c>
      <c r="AJ400" s="1">
        <f>K400</f>
        <v>0</v>
      </c>
      <c r="AK400" s="1">
        <f>L400</f>
        <v>1</v>
      </c>
      <c r="AL400" s="1">
        <f>M400</f>
        <v>0</v>
      </c>
      <c r="AM400" s="1">
        <f>N400</f>
        <v>0</v>
      </c>
      <c r="AN400" s="1">
        <f>O400</f>
        <v>0</v>
      </c>
    </row>
    <row r="401">
      <c r="A401" s="1">
        <v>548</v>
      </c>
      <c r="B401" s="1">
        <v>22</v>
      </c>
      <c r="C401" s="1">
        <v>0.5</v>
      </c>
      <c r="D401" s="1">
        <v>82</v>
      </c>
      <c r="E401" s="1">
        <v>3</v>
      </c>
      <c r="F401" s="1">
        <v>0</v>
      </c>
      <c r="G401" s="1">
        <v>0</v>
      </c>
      <c r="H401" s="1">
        <v>0</v>
      </c>
      <c r="I401" s="1">
        <v>1</v>
      </c>
      <c r="J401" s="1">
        <v>0</v>
      </c>
      <c r="K401" s="1">
        <v>0</v>
      </c>
      <c r="L401" s="1">
        <v>0</v>
      </c>
      <c r="M401" s="1">
        <v>0</v>
      </c>
      <c r="N401" s="1">
        <v>0</v>
      </c>
      <c r="O401" s="1">
        <v>0</v>
      </c>
      <c r="P401" s="1">
        <f>LN(B401)</f>
        <v>3.09104245335832</v>
      </c>
      <c r="Q401" s="1">
        <f>1-SUM(F401:J401)</f>
        <v>0</v>
      </c>
      <c r="R401" s="1" t="str">
        <f>IF(F401=1,"Napa valley",IF(G401=1,"Bay area",IF(H401=1,"Sonoma",IF(I401=1,"Sierra/foothills",IF(J401=1,"Mendocino/lake","Generic California")))))</f>
        <v>Sierra/foothills</v>
      </c>
      <c r="S401" s="1" t="str">
        <f>IF(F401=1,"Napa valley",IF(H401=1,"Sonoma","Other"))</f>
        <v>Other</v>
      </c>
      <c r="T401" s="1" t="str">
        <f>IF(M401=1,"Cabernet",IF(N401=1,"Merlot",IF(L401=1,"Pinot noir","Other")))</f>
        <v>Other</v>
      </c>
      <c r="U401" s="1" t="str">
        <f>IF(F401=1,B401,"")</f>
        <v/>
      </c>
      <c r="V401" s="1">
        <f>IF(F401=0,B401,"")</f>
        <v>22</v>
      </c>
      <c r="W401" s="1">
        <f>'Part B'!$B$150+SUMPRODUCT('Part B'!$B$164:$N$164,C401:O401)</f>
        <v>10.2661882793135</v>
      </c>
      <c r="X401" s="1">
        <f>B401-W401</f>
        <v>11.7338117206865</v>
      </c>
      <c r="Y401" s="1">
        <f>'Part B'!$B$179+SUMPRODUCT('Part B'!$B$193:$N$193,C401:O401)</f>
        <v>2.59385888677321</v>
      </c>
      <c r="Z401" s="1">
        <f>P401-Y401</f>
        <v>0.497183566585109</v>
      </c>
      <c r="AB401" s="1">
        <f>C401</f>
        <v>0.5</v>
      </c>
      <c r="AC401" s="1">
        <f>D401</f>
        <v>82</v>
      </c>
      <c r="AD401" s="1">
        <f>E401</f>
        <v>3</v>
      </c>
      <c r="AE401" s="1">
        <f>F401</f>
        <v>0</v>
      </c>
      <c r="AF401" s="1">
        <f>G401</f>
        <v>0</v>
      </c>
      <c r="AG401" s="1">
        <f>I401</f>
        <v>1</v>
      </c>
      <c r="AH401" s="1">
        <f>J401</f>
        <v>0</v>
      </c>
      <c r="AI401" s="1">
        <f>Q401</f>
        <v>0</v>
      </c>
      <c r="AJ401" s="1">
        <f>K401</f>
        <v>0</v>
      </c>
      <c r="AK401" s="1">
        <f>L401</f>
        <v>0</v>
      </c>
      <c r="AL401" s="1">
        <f>M401</f>
        <v>0</v>
      </c>
      <c r="AM401" s="1">
        <f>N401</f>
        <v>0</v>
      </c>
      <c r="AN401" s="1">
        <f>O401</f>
        <v>0</v>
      </c>
    </row>
    <row r="402">
      <c r="A402" s="1">
        <v>549</v>
      </c>
      <c r="B402" s="1">
        <v>22</v>
      </c>
      <c r="C402" s="1">
        <v>11.9</v>
      </c>
      <c r="D402" s="1">
        <v>87</v>
      </c>
      <c r="E402" s="1">
        <v>3</v>
      </c>
      <c r="F402" s="1">
        <v>1</v>
      </c>
      <c r="G402" s="1">
        <v>0</v>
      </c>
      <c r="H402" s="1">
        <v>0</v>
      </c>
      <c r="I402" s="1">
        <v>0</v>
      </c>
      <c r="J402" s="1">
        <v>0</v>
      </c>
      <c r="K402" s="1">
        <v>0</v>
      </c>
      <c r="L402" s="1">
        <v>0</v>
      </c>
      <c r="M402" s="1">
        <v>0</v>
      </c>
      <c r="N402" s="1">
        <v>1</v>
      </c>
      <c r="O402" s="1">
        <v>0</v>
      </c>
      <c r="P402" s="1">
        <f>LN(B402)</f>
        <v>3.09104245335832</v>
      </c>
      <c r="Q402" s="1">
        <f>1-SUM(F402:J402)</f>
        <v>0</v>
      </c>
      <c r="R402" s="1" t="str">
        <f>IF(F402=1,"Napa valley",IF(G402=1,"Bay area",IF(H402=1,"Sonoma",IF(I402=1,"Sierra/foothills",IF(J402=1,"Mendocino/lake","Generic California")))))</f>
        <v>Napa valley</v>
      </c>
      <c r="S402" s="1" t="str">
        <f>IF(F402=1,"Napa valley",IF(H402=1,"Sonoma","Other"))</f>
        <v>Napa valley</v>
      </c>
      <c r="T402" s="1" t="str">
        <f>IF(M402=1,"Cabernet",IF(N402=1,"Merlot",IF(L402=1,"Pinot noir","Other")))</f>
        <v>Merlot</v>
      </c>
      <c r="U402" s="1">
        <f>IF(F402=1,B402,"")</f>
        <v>22</v>
      </c>
      <c r="V402" s="1" t="str">
        <f>IF(F402=0,B402,"")</f>
        <v/>
      </c>
      <c r="W402" s="1">
        <f>'Part B'!$B$150+SUMPRODUCT('Part B'!$B$164:$N$164,C402:O402)</f>
        <v>34.6068979791458</v>
      </c>
      <c r="X402" s="1">
        <f>B402-W402</f>
        <v>-12.6068979791458</v>
      </c>
      <c r="Y402" s="1">
        <f>'Part B'!$B$179+SUMPRODUCT('Part B'!$B$193:$N$193,C402:O402)</f>
        <v>3.35788399106253</v>
      </c>
      <c r="Z402" s="1">
        <f>P402-Y402</f>
        <v>-0.266841537704215</v>
      </c>
      <c r="AB402" s="1">
        <f>C402</f>
        <v>11.9</v>
      </c>
      <c r="AC402" s="1">
        <f>D402</f>
        <v>87</v>
      </c>
      <c r="AD402" s="1">
        <f>E402</f>
        <v>3</v>
      </c>
      <c r="AE402" s="1">
        <f>F402</f>
        <v>1</v>
      </c>
      <c r="AF402" s="1">
        <f>G402</f>
        <v>0</v>
      </c>
      <c r="AG402" s="1">
        <f>I402</f>
        <v>0</v>
      </c>
      <c r="AH402" s="1">
        <f>J402</f>
        <v>0</v>
      </c>
      <c r="AI402" s="1">
        <f>Q402</f>
        <v>0</v>
      </c>
      <c r="AJ402" s="1">
        <f>K402</f>
        <v>0</v>
      </c>
      <c r="AK402" s="1">
        <f>L402</f>
        <v>0</v>
      </c>
      <c r="AL402" s="1">
        <f>M402</f>
        <v>0</v>
      </c>
      <c r="AM402" s="1">
        <f>N402</f>
        <v>1</v>
      </c>
      <c r="AN402" s="1">
        <f>O402</f>
        <v>0</v>
      </c>
    </row>
    <row r="403">
      <c r="A403" s="1">
        <v>550</v>
      </c>
      <c r="B403" s="1">
        <v>22</v>
      </c>
      <c r="C403" s="1">
        <v>35</v>
      </c>
      <c r="D403" s="1">
        <v>89</v>
      </c>
      <c r="E403" s="1">
        <v>3</v>
      </c>
      <c r="F403" s="1">
        <v>0</v>
      </c>
      <c r="G403" s="1">
        <v>0</v>
      </c>
      <c r="H403" s="1">
        <v>1</v>
      </c>
      <c r="I403" s="1">
        <v>0</v>
      </c>
      <c r="J403" s="1">
        <v>0</v>
      </c>
      <c r="K403" s="1">
        <v>0</v>
      </c>
      <c r="L403" s="1">
        <v>0</v>
      </c>
      <c r="M403" s="1">
        <v>1</v>
      </c>
      <c r="N403" s="1">
        <v>0</v>
      </c>
      <c r="O403" s="1">
        <v>0</v>
      </c>
      <c r="P403" s="1">
        <f>LN(B403)</f>
        <v>3.09104245335832</v>
      </c>
      <c r="Q403" s="1">
        <f>1-SUM(F403:J403)</f>
        <v>0</v>
      </c>
      <c r="R403" s="1" t="str">
        <f>IF(F403=1,"Napa valley",IF(G403=1,"Bay area",IF(H403=1,"Sonoma",IF(I403=1,"Sierra/foothills",IF(J403=1,"Mendocino/lake","Generic California")))))</f>
        <v>Sonoma</v>
      </c>
      <c r="S403" s="1" t="str">
        <f>IF(F403=1,"Napa valley",IF(H403=1,"Sonoma","Other"))</f>
        <v>Sonoma</v>
      </c>
      <c r="T403" s="1" t="str">
        <f>IF(M403=1,"Cabernet",IF(N403=1,"Merlot",IF(L403=1,"Pinot noir","Other")))</f>
        <v>Cabernet</v>
      </c>
      <c r="U403" s="1" t="str">
        <f>IF(F403=1,B403,"")</f>
        <v/>
      </c>
      <c r="V403" s="1">
        <f>IF(F403=0,B403,"")</f>
        <v>22</v>
      </c>
      <c r="W403" s="1">
        <f>'Part B'!$B$150+SUMPRODUCT('Part B'!$B$164:$N$164,C403:O403)</f>
        <v>35.7751803534423</v>
      </c>
      <c r="X403" s="1">
        <f>B403-W403</f>
        <v>-13.7751803534424</v>
      </c>
      <c r="Y403" s="1">
        <f>'Part B'!$B$179+SUMPRODUCT('Part B'!$B$193:$N$193,C403:O403)</f>
        <v>3.28765364322483</v>
      </c>
      <c r="Z403" s="1">
        <f>P403-Y403</f>
        <v>-0.19661118986651</v>
      </c>
      <c r="AB403" s="1">
        <f>C403</f>
        <v>35</v>
      </c>
      <c r="AC403" s="1">
        <f>D403</f>
        <v>89</v>
      </c>
      <c r="AD403" s="1">
        <f>E403</f>
        <v>3</v>
      </c>
      <c r="AE403" s="1">
        <f>F403</f>
        <v>0</v>
      </c>
      <c r="AF403" s="1">
        <f>G403</f>
        <v>0</v>
      </c>
      <c r="AG403" s="1">
        <f>I403</f>
        <v>0</v>
      </c>
      <c r="AH403" s="1">
        <f>J403</f>
        <v>0</v>
      </c>
      <c r="AI403" s="1">
        <f>Q403</f>
        <v>0</v>
      </c>
      <c r="AJ403" s="1">
        <f>K403</f>
        <v>0</v>
      </c>
      <c r="AK403" s="1">
        <f>L403</f>
        <v>0</v>
      </c>
      <c r="AL403" s="1">
        <f>M403</f>
        <v>1</v>
      </c>
      <c r="AM403" s="1">
        <f>N403</f>
        <v>0</v>
      </c>
      <c r="AN403" s="1">
        <f>O403</f>
        <v>0</v>
      </c>
    </row>
    <row r="404">
      <c r="A404" s="1">
        <v>552</v>
      </c>
      <c r="B404" s="1">
        <v>22</v>
      </c>
      <c r="C404" s="1">
        <v>0.9</v>
      </c>
      <c r="D404" s="1">
        <v>88</v>
      </c>
      <c r="E404" s="1">
        <v>2</v>
      </c>
      <c r="F404" s="1">
        <v>0</v>
      </c>
      <c r="G404" s="1">
        <v>0</v>
      </c>
      <c r="H404" s="1">
        <v>0</v>
      </c>
      <c r="I404" s="1">
        <v>0</v>
      </c>
      <c r="J404" s="1">
        <v>0</v>
      </c>
      <c r="K404" s="1">
        <v>0</v>
      </c>
      <c r="L404" s="1">
        <v>0</v>
      </c>
      <c r="M404" s="1">
        <v>0</v>
      </c>
      <c r="N404" s="1">
        <v>1</v>
      </c>
      <c r="O404" s="1">
        <v>0</v>
      </c>
      <c r="P404" s="1">
        <f>LN(B404)</f>
        <v>3.09104245335832</v>
      </c>
      <c r="Q404" s="1">
        <f>1-SUM(F404:J404)</f>
        <v>1</v>
      </c>
      <c r="R404" s="1" t="str">
        <f>IF(F404=1,"Napa valley",IF(G404=1,"Bay area",IF(H404=1,"Sonoma",IF(I404=1,"Sierra/foothills",IF(J404=1,"Mendocino/lake","Generic California")))))</f>
        <v>Generic California</v>
      </c>
      <c r="S404" s="1" t="str">
        <f>IF(F404=1,"Napa valley",IF(H404=1,"Sonoma","Other"))</f>
        <v>Other</v>
      </c>
      <c r="T404" s="1" t="str">
        <f>IF(M404=1,"Cabernet",IF(N404=1,"Merlot",IF(L404=1,"Pinot noir","Other")))</f>
        <v>Merlot</v>
      </c>
      <c r="U404" s="1" t="str">
        <f>IF(F404=1,B404,"")</f>
        <v/>
      </c>
      <c r="V404" s="1">
        <f>IF(F404=0,B404,"")</f>
        <v>22</v>
      </c>
      <c r="W404" s="1">
        <f>'Part B'!$B$150+SUMPRODUCT('Part B'!$B$164:$N$164,C404:O404)</f>
        <v>25.1154373457293</v>
      </c>
      <c r="X404" s="1">
        <f>B404-W404</f>
        <v>-3.11543734572933</v>
      </c>
      <c r="Y404" s="1">
        <f>'Part B'!$B$179+SUMPRODUCT('Part B'!$B$193:$N$193,C404:O404)</f>
        <v>2.86211040314067</v>
      </c>
      <c r="Z404" s="1">
        <f>P404-Y404</f>
        <v>0.228932050217651</v>
      </c>
      <c r="AB404" s="1">
        <f>C404</f>
        <v>0.9</v>
      </c>
      <c r="AC404" s="1">
        <f>D404</f>
        <v>88</v>
      </c>
      <c r="AD404" s="1">
        <f>E404</f>
        <v>2</v>
      </c>
      <c r="AE404" s="1">
        <f>F404</f>
        <v>0</v>
      </c>
      <c r="AF404" s="1">
        <f>G404</f>
        <v>0</v>
      </c>
      <c r="AG404" s="1">
        <f>I404</f>
        <v>0</v>
      </c>
      <c r="AH404" s="1">
        <f>J404</f>
        <v>0</v>
      </c>
      <c r="AI404" s="1">
        <f>Q404</f>
        <v>1</v>
      </c>
      <c r="AJ404" s="1">
        <f>K404</f>
        <v>0</v>
      </c>
      <c r="AK404" s="1">
        <f>L404</f>
        <v>0</v>
      </c>
      <c r="AL404" s="1">
        <f>M404</f>
        <v>0</v>
      </c>
      <c r="AM404" s="1">
        <f>N404</f>
        <v>1</v>
      </c>
      <c r="AN404" s="1">
        <f>O404</f>
        <v>0</v>
      </c>
    </row>
    <row r="405">
      <c r="A405" s="1">
        <v>553</v>
      </c>
      <c r="B405" s="1">
        <v>22</v>
      </c>
      <c r="C405" s="1">
        <v>0.53</v>
      </c>
      <c r="D405" s="1">
        <v>88</v>
      </c>
      <c r="E405" s="1">
        <v>2</v>
      </c>
      <c r="F405" s="1">
        <v>1</v>
      </c>
      <c r="G405" s="1">
        <v>0</v>
      </c>
      <c r="H405" s="1">
        <v>0</v>
      </c>
      <c r="I405" s="1">
        <v>0</v>
      </c>
      <c r="J405" s="1">
        <v>0</v>
      </c>
      <c r="K405" s="1">
        <v>0</v>
      </c>
      <c r="L405" s="1">
        <v>0</v>
      </c>
      <c r="M405" s="1">
        <v>0</v>
      </c>
      <c r="N405" s="1">
        <v>1</v>
      </c>
      <c r="O405" s="1">
        <v>0</v>
      </c>
      <c r="P405" s="1">
        <f>LN(B405)</f>
        <v>3.09104245335832</v>
      </c>
      <c r="Q405" s="1">
        <f>1-SUM(F405:J405)</f>
        <v>0</v>
      </c>
      <c r="R405" s="1" t="str">
        <f>IF(F405=1,"Napa valley",IF(G405=1,"Bay area",IF(H405=1,"Sonoma",IF(I405=1,"Sierra/foothills",IF(J405=1,"Mendocino/lake","Generic California")))))</f>
        <v>Napa valley</v>
      </c>
      <c r="S405" s="1" t="str">
        <f>IF(F405=1,"Napa valley",IF(H405=1,"Sonoma","Other"))</f>
        <v>Napa valley</v>
      </c>
      <c r="T405" s="1" t="str">
        <f>IF(M405=1,"Cabernet",IF(N405=1,"Merlot",IF(L405=1,"Pinot noir","Other")))</f>
        <v>Merlot</v>
      </c>
      <c r="U405" s="1">
        <f>IF(F405=1,B405,"")</f>
        <v>22</v>
      </c>
      <c r="V405" s="1" t="str">
        <f>IF(F405=0,B405,"")</f>
        <v/>
      </c>
      <c r="W405" s="1">
        <f>'Part B'!$B$150+SUMPRODUCT('Part B'!$B$164:$N$164,C405:O405)</f>
        <v>32.2115598738221</v>
      </c>
      <c r="X405" s="1">
        <f>B405-W405</f>
        <v>-10.2115598738221</v>
      </c>
      <c r="Y405" s="1">
        <f>'Part B'!$B$179+SUMPRODUCT('Part B'!$B$193:$N$193,C405:O405)</f>
        <v>3.29341307085795</v>
      </c>
      <c r="Z405" s="1">
        <f>P405-Y405</f>
        <v>-0.202370617499631</v>
      </c>
      <c r="AB405" s="1">
        <f>C405</f>
        <v>0.53</v>
      </c>
      <c r="AC405" s="1">
        <f>D405</f>
        <v>88</v>
      </c>
      <c r="AD405" s="1">
        <f>E405</f>
        <v>2</v>
      </c>
      <c r="AE405" s="1">
        <f>F405</f>
        <v>1</v>
      </c>
      <c r="AF405" s="1">
        <f>G405</f>
        <v>0</v>
      </c>
      <c r="AG405" s="1">
        <f>I405</f>
        <v>0</v>
      </c>
      <c r="AH405" s="1">
        <f>J405</f>
        <v>0</v>
      </c>
      <c r="AI405" s="1">
        <f>Q405</f>
        <v>0</v>
      </c>
      <c r="AJ405" s="1">
        <f>K405</f>
        <v>0</v>
      </c>
      <c r="AK405" s="1">
        <f>L405</f>
        <v>0</v>
      </c>
      <c r="AL405" s="1">
        <f>M405</f>
        <v>0</v>
      </c>
      <c r="AM405" s="1">
        <f>N405</f>
        <v>1</v>
      </c>
      <c r="AN405" s="1">
        <f>O405</f>
        <v>0</v>
      </c>
    </row>
    <row r="406">
      <c r="A406" s="1">
        <v>554</v>
      </c>
      <c r="B406" s="1">
        <v>22</v>
      </c>
      <c r="C406" s="1">
        <v>0.429</v>
      </c>
      <c r="D406" s="1">
        <v>91</v>
      </c>
      <c r="E406" s="1">
        <v>2</v>
      </c>
      <c r="F406" s="1">
        <v>0</v>
      </c>
      <c r="G406" s="1">
        <v>0</v>
      </c>
      <c r="H406" s="1">
        <v>1</v>
      </c>
      <c r="I406" s="1">
        <v>0</v>
      </c>
      <c r="J406" s="1">
        <v>0</v>
      </c>
      <c r="K406" s="1">
        <v>0</v>
      </c>
      <c r="L406" s="1">
        <v>1</v>
      </c>
      <c r="M406" s="1">
        <v>0</v>
      </c>
      <c r="N406" s="1">
        <v>0</v>
      </c>
      <c r="O406" s="1">
        <v>0</v>
      </c>
      <c r="P406" s="1">
        <f>LN(B406)</f>
        <v>3.09104245335832</v>
      </c>
      <c r="Q406" s="1">
        <f>1-SUM(F406:J406)</f>
        <v>0</v>
      </c>
      <c r="R406" s="1" t="str">
        <f>IF(F406=1,"Napa valley",IF(G406=1,"Bay area",IF(H406=1,"Sonoma",IF(I406=1,"Sierra/foothills",IF(J406=1,"Mendocino/lake","Generic California")))))</f>
        <v>Sonoma</v>
      </c>
      <c r="S406" s="1" t="str">
        <f>IF(F406=1,"Napa valley",IF(H406=1,"Sonoma","Other"))</f>
        <v>Sonoma</v>
      </c>
      <c r="T406" s="1" t="str">
        <f>IF(M406=1,"Cabernet",IF(N406=1,"Merlot",IF(L406=1,"Pinot noir","Other")))</f>
        <v>Pinot noir</v>
      </c>
      <c r="U406" s="1" t="str">
        <f>IF(F406=1,B406,"")</f>
        <v/>
      </c>
      <c r="V406" s="1">
        <f>IF(F406=0,B406,"")</f>
        <v>22</v>
      </c>
      <c r="W406" s="1">
        <f>'Part B'!$B$150+SUMPRODUCT('Part B'!$B$164:$N$164,C406:O406)</f>
        <v>35.5540395941537</v>
      </c>
      <c r="X406" s="1">
        <f>B406-W406</f>
        <v>-13.5540395941537</v>
      </c>
      <c r="Y406" s="1">
        <f>'Part B'!$B$179+SUMPRODUCT('Part B'!$B$193:$N$193,C406:O406)</f>
        <v>3.41794934632769</v>
      </c>
      <c r="Z406" s="1">
        <f>P406-Y406</f>
        <v>-0.326906892969379</v>
      </c>
      <c r="AB406" s="1">
        <f>C406</f>
        <v>0.429</v>
      </c>
      <c r="AC406" s="1">
        <f>D406</f>
        <v>91</v>
      </c>
      <c r="AD406" s="1">
        <f>E406</f>
        <v>2</v>
      </c>
      <c r="AE406" s="1">
        <f>F406</f>
        <v>0</v>
      </c>
      <c r="AF406" s="1">
        <f>G406</f>
        <v>0</v>
      </c>
      <c r="AG406" s="1">
        <f>I406</f>
        <v>0</v>
      </c>
      <c r="AH406" s="1">
        <f>J406</f>
        <v>0</v>
      </c>
      <c r="AI406" s="1">
        <f>Q406</f>
        <v>0</v>
      </c>
      <c r="AJ406" s="1">
        <f>K406</f>
        <v>0</v>
      </c>
      <c r="AK406" s="1">
        <f>L406</f>
        <v>1</v>
      </c>
      <c r="AL406" s="1">
        <f>M406</f>
        <v>0</v>
      </c>
      <c r="AM406" s="1">
        <f>N406</f>
        <v>0</v>
      </c>
      <c r="AN406" s="1">
        <f>O406</f>
        <v>0</v>
      </c>
    </row>
    <row r="407">
      <c r="A407" s="1">
        <v>555</v>
      </c>
      <c r="B407" s="1">
        <v>22</v>
      </c>
      <c r="C407" s="1">
        <v>1.912</v>
      </c>
      <c r="D407" s="1">
        <v>89</v>
      </c>
      <c r="E407" s="1">
        <v>2</v>
      </c>
      <c r="F407" s="1">
        <v>1</v>
      </c>
      <c r="G407" s="1">
        <v>0</v>
      </c>
      <c r="H407" s="1">
        <v>0</v>
      </c>
      <c r="I407" s="1">
        <v>0</v>
      </c>
      <c r="J407" s="1">
        <v>0</v>
      </c>
      <c r="K407" s="1">
        <v>0</v>
      </c>
      <c r="L407" s="1">
        <v>0</v>
      </c>
      <c r="M407" s="1">
        <v>0</v>
      </c>
      <c r="N407" s="1">
        <v>0</v>
      </c>
      <c r="O407" s="1">
        <v>0</v>
      </c>
      <c r="P407" s="1">
        <f>LN(B407)</f>
        <v>3.09104245335832</v>
      </c>
      <c r="Q407" s="1">
        <f>1-SUM(F407:J407)</f>
        <v>0</v>
      </c>
      <c r="R407" s="1" t="str">
        <f>IF(F407=1,"Napa valley",IF(G407=1,"Bay area",IF(H407=1,"Sonoma",IF(I407=1,"Sierra/foothills",IF(J407=1,"Mendocino/lake","Generic California")))))</f>
        <v>Napa valley</v>
      </c>
      <c r="S407" s="1" t="str">
        <f>IF(F407=1,"Napa valley",IF(H407=1,"Sonoma","Other"))</f>
        <v>Napa valley</v>
      </c>
      <c r="T407" s="1" t="str">
        <f>IF(M407=1,"Cabernet",IF(N407=1,"Merlot",IF(L407=1,"Pinot noir","Other")))</f>
        <v>Other</v>
      </c>
      <c r="U407" s="1">
        <f>IF(F407=1,B407,"")</f>
        <v>22</v>
      </c>
      <c r="V407" s="1" t="str">
        <f>IF(F407=0,B407,"")</f>
        <v/>
      </c>
      <c r="W407" s="1">
        <f>'Part B'!$B$150+SUMPRODUCT('Part B'!$B$164:$N$164,C407:O407)</f>
        <v>27.5652765821904</v>
      </c>
      <c r="X407" s="1">
        <f>B407-W407</f>
        <v>-5.56527658219039</v>
      </c>
      <c r="Y407" s="1">
        <f>'Part B'!$B$179+SUMPRODUCT('Part B'!$B$193:$N$193,C407:O407)</f>
        <v>3.07294603899254</v>
      </c>
      <c r="Z407" s="1">
        <f>P407-Y407</f>
        <v>0.0180964143657762</v>
      </c>
      <c r="AB407" s="1">
        <f>C407</f>
        <v>1.912</v>
      </c>
      <c r="AC407" s="1">
        <f>D407</f>
        <v>89</v>
      </c>
      <c r="AD407" s="1">
        <f>E407</f>
        <v>2</v>
      </c>
      <c r="AE407" s="1">
        <f>F407</f>
        <v>1</v>
      </c>
      <c r="AF407" s="1">
        <f>G407</f>
        <v>0</v>
      </c>
      <c r="AG407" s="1">
        <f>I407</f>
        <v>0</v>
      </c>
      <c r="AH407" s="1">
        <f>J407</f>
        <v>0</v>
      </c>
      <c r="AI407" s="1">
        <f>Q407</f>
        <v>0</v>
      </c>
      <c r="AJ407" s="1">
        <f>K407</f>
        <v>0</v>
      </c>
      <c r="AK407" s="1">
        <f>L407</f>
        <v>0</v>
      </c>
      <c r="AL407" s="1">
        <f>M407</f>
        <v>0</v>
      </c>
      <c r="AM407" s="1">
        <f>N407</f>
        <v>0</v>
      </c>
      <c r="AN407" s="1">
        <f>O407</f>
        <v>0</v>
      </c>
    </row>
    <row r="408">
      <c r="A408" s="1">
        <v>556</v>
      </c>
      <c r="B408" s="1">
        <v>22</v>
      </c>
      <c r="C408" s="1">
        <v>3.015</v>
      </c>
      <c r="D408" s="1">
        <v>88</v>
      </c>
      <c r="E408" s="1">
        <v>2</v>
      </c>
      <c r="F408" s="1">
        <v>0</v>
      </c>
      <c r="G408" s="1">
        <v>0</v>
      </c>
      <c r="H408" s="1">
        <v>1</v>
      </c>
      <c r="I408" s="1">
        <v>0</v>
      </c>
      <c r="J408" s="1">
        <v>0</v>
      </c>
      <c r="K408" s="1">
        <v>0</v>
      </c>
      <c r="L408" s="1">
        <v>0</v>
      </c>
      <c r="M408" s="1">
        <v>0</v>
      </c>
      <c r="N408" s="1">
        <v>0</v>
      </c>
      <c r="O408" s="1">
        <v>0</v>
      </c>
      <c r="P408" s="1">
        <f>LN(B408)</f>
        <v>3.09104245335832</v>
      </c>
      <c r="Q408" s="1">
        <f>1-SUM(F408:J408)</f>
        <v>0</v>
      </c>
      <c r="R408" s="1" t="str">
        <f>IF(F408=1,"Napa valley",IF(G408=1,"Bay area",IF(H408=1,"Sonoma",IF(I408=1,"Sierra/foothills",IF(J408=1,"Mendocino/lake","Generic California")))))</f>
        <v>Sonoma</v>
      </c>
      <c r="S408" s="1" t="str">
        <f>IF(F408=1,"Napa valley",IF(H408=1,"Sonoma","Other"))</f>
        <v>Sonoma</v>
      </c>
      <c r="T408" s="1" t="str">
        <f>IF(M408=1,"Cabernet",IF(N408=1,"Merlot",IF(L408=1,"Pinot noir","Other")))</f>
        <v>Other</v>
      </c>
      <c r="U408" s="1" t="str">
        <f>IF(F408=1,B408,"")</f>
        <v/>
      </c>
      <c r="V408" s="1">
        <f>IF(F408=0,B408,"")</f>
        <v>22</v>
      </c>
      <c r="W408" s="1">
        <f>'Part B'!$B$150+SUMPRODUCT('Part B'!$B$164:$N$164,C408:O408)</f>
        <v>16.4190417821305</v>
      </c>
      <c r="X408" s="1">
        <f>B408-W408</f>
        <v>5.58095821786947</v>
      </c>
      <c r="Y408" s="1">
        <f>'Part B'!$B$179+SUMPRODUCT('Part B'!$B$193:$N$193,C408:O408)</f>
        <v>2.85047729423391</v>
      </c>
      <c r="Z408" s="1">
        <f>P408-Y408</f>
        <v>0.240565159124402</v>
      </c>
      <c r="AB408" s="1">
        <f>C408</f>
        <v>3.015</v>
      </c>
      <c r="AC408" s="1">
        <f>D408</f>
        <v>88</v>
      </c>
      <c r="AD408" s="1">
        <f>E408</f>
        <v>2</v>
      </c>
      <c r="AE408" s="1">
        <f>F408</f>
        <v>0</v>
      </c>
      <c r="AF408" s="1">
        <f>G408</f>
        <v>0</v>
      </c>
      <c r="AG408" s="1">
        <f>I408</f>
        <v>0</v>
      </c>
      <c r="AH408" s="1">
        <f>J408</f>
        <v>0</v>
      </c>
      <c r="AI408" s="1">
        <f>Q408</f>
        <v>0</v>
      </c>
      <c r="AJ408" s="1">
        <f>K408</f>
        <v>0</v>
      </c>
      <c r="AK408" s="1">
        <f>L408</f>
        <v>0</v>
      </c>
      <c r="AL408" s="1">
        <f>M408</f>
        <v>0</v>
      </c>
      <c r="AM408" s="1">
        <f>N408</f>
        <v>0</v>
      </c>
      <c r="AN408" s="1">
        <f>O408</f>
        <v>0</v>
      </c>
    </row>
    <row r="409">
      <c r="A409" s="1">
        <v>557</v>
      </c>
      <c r="B409" s="1">
        <v>22</v>
      </c>
      <c r="C409" s="1">
        <v>1.444</v>
      </c>
      <c r="D409" s="1">
        <v>86</v>
      </c>
      <c r="E409" s="1">
        <v>2</v>
      </c>
      <c r="F409" s="1">
        <v>0</v>
      </c>
      <c r="G409" s="1">
        <v>0</v>
      </c>
      <c r="H409" s="1">
        <v>0</v>
      </c>
      <c r="I409" s="1">
        <v>1</v>
      </c>
      <c r="J409" s="1">
        <v>0</v>
      </c>
      <c r="K409" s="1">
        <v>0</v>
      </c>
      <c r="L409" s="1">
        <v>0</v>
      </c>
      <c r="M409" s="1">
        <v>0</v>
      </c>
      <c r="N409" s="1">
        <v>0</v>
      </c>
      <c r="O409" s="1">
        <v>1</v>
      </c>
      <c r="P409" s="1">
        <f>LN(B409)</f>
        <v>3.09104245335832</v>
      </c>
      <c r="Q409" s="1">
        <f>1-SUM(F409:J409)</f>
        <v>0</v>
      </c>
      <c r="R409" s="1" t="str">
        <f>IF(F409=1,"Napa valley",IF(G409=1,"Bay area",IF(H409=1,"Sonoma",IF(I409=1,"Sierra/foothills",IF(J409=1,"Mendocino/lake","Generic California")))))</f>
        <v>Sierra/foothills</v>
      </c>
      <c r="S409" s="1" t="str">
        <f>IF(F409=1,"Napa valley",IF(H409=1,"Sonoma","Other"))</f>
        <v>Other</v>
      </c>
      <c r="T409" s="1" t="str">
        <f>IF(M409=1,"Cabernet",IF(N409=1,"Merlot",IF(L409=1,"Pinot noir","Other")))</f>
        <v>Other</v>
      </c>
      <c r="U409" s="1" t="str">
        <f>IF(F409=1,B409,"")</f>
        <v/>
      </c>
      <c r="V409" s="1">
        <f>IF(F409=0,B409,"")</f>
        <v>22</v>
      </c>
      <c r="W409" s="1">
        <f>'Part B'!$B$150+SUMPRODUCT('Part B'!$B$164:$N$164,C409:O409)</f>
        <v>15.7310860912813</v>
      </c>
      <c r="X409" s="1">
        <f>B409-W409</f>
        <v>6.26891390871867</v>
      </c>
      <c r="Y409" s="1">
        <f>'Part B'!$B$179+SUMPRODUCT('Part B'!$B$193:$N$193,C409:O409)</f>
        <v>2.72981359137651</v>
      </c>
      <c r="Z409" s="1">
        <f>P409-Y409</f>
        <v>0.361228861981807</v>
      </c>
      <c r="AB409" s="1">
        <f>C409</f>
        <v>1.444</v>
      </c>
      <c r="AC409" s="1">
        <f>D409</f>
        <v>86</v>
      </c>
      <c r="AD409" s="1">
        <f>E409</f>
        <v>2</v>
      </c>
      <c r="AE409" s="1">
        <f>F409</f>
        <v>0</v>
      </c>
      <c r="AF409" s="1">
        <f>G409</f>
        <v>0</v>
      </c>
      <c r="AG409" s="1">
        <f>I409</f>
        <v>1</v>
      </c>
      <c r="AH409" s="1">
        <f>J409</f>
        <v>0</v>
      </c>
      <c r="AI409" s="1">
        <f>Q409</f>
        <v>0</v>
      </c>
      <c r="AJ409" s="1">
        <f>K409</f>
        <v>0</v>
      </c>
      <c r="AK409" s="1">
        <f>L409</f>
        <v>0</v>
      </c>
      <c r="AL409" s="1">
        <f>M409</f>
        <v>0</v>
      </c>
      <c r="AM409" s="1">
        <f>N409</f>
        <v>0</v>
      </c>
      <c r="AN409" s="1">
        <f>O409</f>
        <v>1</v>
      </c>
    </row>
    <row r="410">
      <c r="A410" s="1">
        <v>560</v>
      </c>
      <c r="B410" s="1">
        <v>22</v>
      </c>
      <c r="C410" s="1">
        <v>3.5</v>
      </c>
      <c r="D410" s="1">
        <v>88</v>
      </c>
      <c r="E410" s="1">
        <v>2</v>
      </c>
      <c r="F410" s="1">
        <v>0</v>
      </c>
      <c r="G410" s="1">
        <v>0</v>
      </c>
      <c r="H410" s="1">
        <v>1</v>
      </c>
      <c r="I410" s="1">
        <v>0</v>
      </c>
      <c r="J410" s="1">
        <v>0</v>
      </c>
      <c r="K410" s="1">
        <v>0</v>
      </c>
      <c r="L410" s="1">
        <v>0</v>
      </c>
      <c r="M410" s="1">
        <v>0</v>
      </c>
      <c r="N410" s="1">
        <v>0</v>
      </c>
      <c r="O410" s="1">
        <v>0</v>
      </c>
      <c r="P410" s="1">
        <f>LN(B410)</f>
        <v>3.09104245335832</v>
      </c>
      <c r="Q410" s="1">
        <f>1-SUM(F410:J410)</f>
        <v>0</v>
      </c>
      <c r="R410" s="1" t="str">
        <f>IF(F410=1,"Napa valley",IF(G410=1,"Bay area",IF(H410=1,"Sonoma",IF(I410=1,"Sierra/foothills",IF(J410=1,"Mendocino/lake","Generic California")))))</f>
        <v>Sonoma</v>
      </c>
      <c r="S410" s="1" t="str">
        <f>IF(F410=1,"Napa valley",IF(H410=1,"Sonoma","Other"))</f>
        <v>Sonoma</v>
      </c>
      <c r="T410" s="1" t="str">
        <f>IF(M410=1,"Cabernet",IF(N410=1,"Merlot",IF(L410=1,"Pinot noir","Other")))</f>
        <v>Other</v>
      </c>
      <c r="U410" s="1" t="str">
        <f>IF(F410=1,B410,"")</f>
        <v/>
      </c>
      <c r="V410" s="1">
        <f>IF(F410=0,B410,"")</f>
        <v>22</v>
      </c>
      <c r="W410" s="1">
        <f>'Part B'!$B$150+SUMPRODUCT('Part B'!$B$164:$N$164,C410:O410)</f>
        <v>16.3730086038599</v>
      </c>
      <c r="X410" s="1">
        <f>B410-W410</f>
        <v>5.62699139614006</v>
      </c>
      <c r="Y410" s="1">
        <f>'Part B'!$B$179+SUMPRODUCT('Part B'!$B$193:$N$193,C410:O410)</f>
        <v>2.84840194666855</v>
      </c>
      <c r="Z410" s="1">
        <f>P410-Y410</f>
        <v>0.242640506689767</v>
      </c>
      <c r="AB410" s="1">
        <f>C410</f>
        <v>3.5</v>
      </c>
      <c r="AC410" s="1">
        <f>D410</f>
        <v>88</v>
      </c>
      <c r="AD410" s="1">
        <f>E410</f>
        <v>2</v>
      </c>
      <c r="AE410" s="1">
        <f>F410</f>
        <v>0</v>
      </c>
      <c r="AF410" s="1">
        <f>G410</f>
        <v>0</v>
      </c>
      <c r="AG410" s="1">
        <f>I410</f>
        <v>0</v>
      </c>
      <c r="AH410" s="1">
        <f>J410</f>
        <v>0</v>
      </c>
      <c r="AI410" s="1">
        <f>Q410</f>
        <v>0</v>
      </c>
      <c r="AJ410" s="1">
        <f>K410</f>
        <v>0</v>
      </c>
      <c r="AK410" s="1">
        <f>L410</f>
        <v>0</v>
      </c>
      <c r="AL410" s="1">
        <f>M410</f>
        <v>0</v>
      </c>
      <c r="AM410" s="1">
        <f>N410</f>
        <v>0</v>
      </c>
      <c r="AN410" s="1">
        <f>O410</f>
        <v>0</v>
      </c>
    </row>
    <row r="411">
      <c r="A411" s="1">
        <v>561</v>
      </c>
      <c r="B411" s="1">
        <v>22</v>
      </c>
      <c r="C411" s="1">
        <v>0.9</v>
      </c>
      <c r="D411" s="1">
        <v>88</v>
      </c>
      <c r="E411" s="1">
        <v>2</v>
      </c>
      <c r="F411" s="1">
        <v>0</v>
      </c>
      <c r="G411" s="1">
        <v>0</v>
      </c>
      <c r="H411" s="1">
        <v>0</v>
      </c>
      <c r="I411" s="1">
        <v>0</v>
      </c>
      <c r="J411" s="1">
        <v>1</v>
      </c>
      <c r="K411" s="1">
        <v>0</v>
      </c>
      <c r="L411" s="1">
        <v>1</v>
      </c>
      <c r="M411" s="1">
        <v>0</v>
      </c>
      <c r="N411" s="1">
        <v>0</v>
      </c>
      <c r="O411" s="1">
        <v>0</v>
      </c>
      <c r="P411" s="1">
        <f>LN(B411)</f>
        <v>3.09104245335832</v>
      </c>
      <c r="Q411" s="1">
        <f>1-SUM(F411:J411)</f>
        <v>0</v>
      </c>
      <c r="R411" s="1" t="str">
        <f>IF(F411=1,"Napa valley",IF(G411=1,"Bay area",IF(H411=1,"Sonoma",IF(I411=1,"Sierra/foothills",IF(J411=1,"Mendocino/lake","Generic California")))))</f>
        <v>Mendocino/lake</v>
      </c>
      <c r="S411" s="1" t="str">
        <f>IF(F411=1,"Napa valley",IF(H411=1,"Sonoma","Other"))</f>
        <v>Other</v>
      </c>
      <c r="T411" s="1" t="str">
        <f>IF(M411=1,"Cabernet",IF(N411=1,"Merlot",IF(L411=1,"Pinot noir","Other")))</f>
        <v>Pinot noir</v>
      </c>
      <c r="U411" s="1" t="str">
        <f>IF(F411=1,B411,"")</f>
        <v/>
      </c>
      <c r="V411" s="1">
        <f>IF(F411=0,B411,"")</f>
        <v>22</v>
      </c>
      <c r="W411" s="1">
        <f>'Part B'!$B$150+SUMPRODUCT('Part B'!$B$164:$N$164,C411:O411)</f>
        <v>27.7910268770461</v>
      </c>
      <c r="X411" s="1">
        <f>B411-W411</f>
        <v>-5.79102687704614</v>
      </c>
      <c r="Y411" s="1">
        <f>'Part B'!$B$179+SUMPRODUCT('Part B'!$B$193:$N$193,C411:O411)</f>
        <v>3.16134486026171</v>
      </c>
      <c r="Z411" s="1">
        <f>P411-Y411</f>
        <v>-0.0703024069033917</v>
      </c>
      <c r="AB411" s="1">
        <f>C411</f>
        <v>0.9</v>
      </c>
      <c r="AC411" s="1">
        <f>D411</f>
        <v>88</v>
      </c>
      <c r="AD411" s="1">
        <f>E411</f>
        <v>2</v>
      </c>
      <c r="AE411" s="1">
        <f>F411</f>
        <v>0</v>
      </c>
      <c r="AF411" s="1">
        <f>G411</f>
        <v>0</v>
      </c>
      <c r="AG411" s="1">
        <f>I411</f>
        <v>0</v>
      </c>
      <c r="AH411" s="1">
        <f>J411</f>
        <v>1</v>
      </c>
      <c r="AI411" s="1">
        <f>Q411</f>
        <v>0</v>
      </c>
      <c r="AJ411" s="1">
        <f>K411</f>
        <v>0</v>
      </c>
      <c r="AK411" s="1">
        <f>L411</f>
        <v>1</v>
      </c>
      <c r="AL411" s="1">
        <f>M411</f>
        <v>0</v>
      </c>
      <c r="AM411" s="1">
        <f>N411</f>
        <v>0</v>
      </c>
      <c r="AN411" s="1">
        <f>O411</f>
        <v>0</v>
      </c>
    </row>
    <row r="412">
      <c r="A412" s="1">
        <v>563</v>
      </c>
      <c r="B412" s="1">
        <v>23</v>
      </c>
      <c r="C412" s="1">
        <v>0.54</v>
      </c>
      <c r="D412" s="1">
        <v>88</v>
      </c>
      <c r="E412" s="1">
        <v>4</v>
      </c>
      <c r="F412" s="1">
        <v>0</v>
      </c>
      <c r="G412" s="1">
        <v>1</v>
      </c>
      <c r="H412" s="1">
        <v>0</v>
      </c>
      <c r="I412" s="1">
        <v>0</v>
      </c>
      <c r="J412" s="1">
        <v>0</v>
      </c>
      <c r="K412" s="1">
        <v>0</v>
      </c>
      <c r="L412" s="1">
        <v>0</v>
      </c>
      <c r="M412" s="1">
        <v>1</v>
      </c>
      <c r="N412" s="1">
        <v>0</v>
      </c>
      <c r="O412" s="1">
        <v>0</v>
      </c>
      <c r="P412" s="1">
        <f>LN(B412)</f>
        <v>3.13549421592915</v>
      </c>
      <c r="Q412" s="1">
        <f>1-SUM(F412:J412)</f>
        <v>0</v>
      </c>
      <c r="R412" s="1" t="str">
        <f>IF(F412=1,"Napa valley",IF(G412=1,"Bay area",IF(H412=1,"Sonoma",IF(I412=1,"Sierra/foothills",IF(J412=1,"Mendocino/lake","Generic California")))))</f>
        <v>Bay area</v>
      </c>
      <c r="S412" s="1" t="str">
        <f>IF(F412=1,"Napa valley",IF(H412=1,"Sonoma","Other"))</f>
        <v>Other</v>
      </c>
      <c r="T412" s="1" t="str">
        <f>IF(M412=1,"Cabernet",IF(N412=1,"Merlot",IF(L412=1,"Pinot noir","Other")))</f>
        <v>Cabernet</v>
      </c>
      <c r="U412" s="1" t="str">
        <f>IF(F412=1,B412,"")</f>
        <v/>
      </c>
      <c r="V412" s="1">
        <f>IF(F412=0,B412,"")</f>
        <v>23</v>
      </c>
      <c r="W412" s="1">
        <f>'Part B'!$B$150+SUMPRODUCT('Part B'!$B$164:$N$164,C412:O412)</f>
        <v>45.6347376343062</v>
      </c>
      <c r="X412" s="1">
        <f>B412-W412</f>
        <v>-22.6347376343062</v>
      </c>
      <c r="Y412" s="1">
        <f>'Part B'!$B$179+SUMPRODUCT('Part B'!$B$193:$N$193,C412:O412)</f>
        <v>3.52128933550313</v>
      </c>
      <c r="Z412" s="1">
        <f>P412-Y412</f>
        <v>-0.385795119573979</v>
      </c>
      <c r="AB412" s="1">
        <f>C412</f>
        <v>0.54</v>
      </c>
      <c r="AC412" s="1">
        <f>D412</f>
        <v>88</v>
      </c>
      <c r="AD412" s="1">
        <f>E412</f>
        <v>4</v>
      </c>
      <c r="AE412" s="1">
        <f>F412</f>
        <v>0</v>
      </c>
      <c r="AF412" s="1">
        <f>G412</f>
        <v>1</v>
      </c>
      <c r="AG412" s="1">
        <f>I412</f>
        <v>0</v>
      </c>
      <c r="AH412" s="1">
        <f>J412</f>
        <v>0</v>
      </c>
      <c r="AI412" s="1">
        <f>Q412</f>
        <v>0</v>
      </c>
      <c r="AJ412" s="1">
        <f>K412</f>
        <v>0</v>
      </c>
      <c r="AK412" s="1">
        <f>L412</f>
        <v>0</v>
      </c>
      <c r="AL412" s="1">
        <f>M412</f>
        <v>1</v>
      </c>
      <c r="AM412" s="1">
        <f>N412</f>
        <v>0</v>
      </c>
      <c r="AN412" s="1">
        <f>O412</f>
        <v>0</v>
      </c>
    </row>
    <row r="413">
      <c r="A413" s="1">
        <v>564</v>
      </c>
      <c r="B413" s="1">
        <v>23</v>
      </c>
      <c r="C413" s="1">
        <v>0.21</v>
      </c>
      <c r="D413" s="1">
        <v>87</v>
      </c>
      <c r="E413" s="1">
        <v>4</v>
      </c>
      <c r="F413" s="1">
        <v>0</v>
      </c>
      <c r="G413" s="1">
        <v>1</v>
      </c>
      <c r="H413" s="1">
        <v>0</v>
      </c>
      <c r="I413" s="1">
        <v>0</v>
      </c>
      <c r="J413" s="1">
        <v>0</v>
      </c>
      <c r="K413" s="1">
        <v>0</v>
      </c>
      <c r="L413" s="1">
        <v>0</v>
      </c>
      <c r="M413" s="1">
        <v>1</v>
      </c>
      <c r="N413" s="1">
        <v>0</v>
      </c>
      <c r="O413" s="1">
        <v>0</v>
      </c>
      <c r="P413" s="1">
        <f>LN(B413)</f>
        <v>3.13549421592915</v>
      </c>
      <c r="Q413" s="1">
        <f>1-SUM(F413:J413)</f>
        <v>0</v>
      </c>
      <c r="R413" s="1" t="str">
        <f>IF(F413=1,"Napa valley",IF(G413=1,"Bay area",IF(H413=1,"Sonoma",IF(I413=1,"Sierra/foothills",IF(J413=1,"Mendocino/lake","Generic California")))))</f>
        <v>Bay area</v>
      </c>
      <c r="S413" s="1" t="str">
        <f>IF(F413=1,"Napa valley",IF(H413=1,"Sonoma","Other"))</f>
        <v>Other</v>
      </c>
      <c r="T413" s="1" t="str">
        <f>IF(M413=1,"Cabernet",IF(N413=1,"Merlot",IF(L413=1,"Pinot noir","Other")))</f>
        <v>Cabernet</v>
      </c>
      <c r="U413" s="1" t="str">
        <f>IF(F413=1,B413,"")</f>
        <v/>
      </c>
      <c r="V413" s="1">
        <f>IF(F413=0,B413,"")</f>
        <v>23</v>
      </c>
      <c r="W413" s="1">
        <f>'Part B'!$B$150+SUMPRODUCT('Part B'!$B$164:$N$164,C413:O413)</f>
        <v>42.5209620859235</v>
      </c>
      <c r="X413" s="1">
        <f>B413-W413</f>
        <v>-19.5209620859235</v>
      </c>
      <c r="Y413" s="1">
        <f>'Part B'!$B$179+SUMPRODUCT('Part B'!$B$193:$N$193,C413:O413)</f>
        <v>3.45274005886358</v>
      </c>
      <c r="Z413" s="1">
        <f>P413-Y413</f>
        <v>-0.31724584293443</v>
      </c>
      <c r="AB413" s="1">
        <f>C413</f>
        <v>0.21</v>
      </c>
      <c r="AC413" s="1">
        <f>D413</f>
        <v>87</v>
      </c>
      <c r="AD413" s="1">
        <f>E413</f>
        <v>4</v>
      </c>
      <c r="AE413" s="1">
        <f>F413</f>
        <v>0</v>
      </c>
      <c r="AF413" s="1">
        <f>G413</f>
        <v>1</v>
      </c>
      <c r="AG413" s="1">
        <f>I413</f>
        <v>0</v>
      </c>
      <c r="AH413" s="1">
        <f>J413</f>
        <v>0</v>
      </c>
      <c r="AI413" s="1">
        <f>Q413</f>
        <v>0</v>
      </c>
      <c r="AJ413" s="1">
        <f>K413</f>
        <v>0</v>
      </c>
      <c r="AK413" s="1">
        <f>L413</f>
        <v>0</v>
      </c>
      <c r="AL413" s="1">
        <f>M413</f>
        <v>1</v>
      </c>
      <c r="AM413" s="1">
        <f>N413</f>
        <v>0</v>
      </c>
      <c r="AN413" s="1">
        <f>O413</f>
        <v>0</v>
      </c>
    </row>
    <row r="414">
      <c r="A414" s="1">
        <v>565</v>
      </c>
      <c r="B414" s="1">
        <v>23</v>
      </c>
      <c r="C414" s="1">
        <v>4.2</v>
      </c>
      <c r="D414" s="1">
        <v>83</v>
      </c>
      <c r="E414" s="1">
        <v>4</v>
      </c>
      <c r="F414" s="1">
        <v>0</v>
      </c>
      <c r="G414" s="1">
        <v>0</v>
      </c>
      <c r="H414" s="1">
        <v>0</v>
      </c>
      <c r="I414" s="1">
        <v>0</v>
      </c>
      <c r="J414" s="1">
        <v>0</v>
      </c>
      <c r="K414" s="1">
        <v>0</v>
      </c>
      <c r="L414" s="1">
        <v>0</v>
      </c>
      <c r="M414" s="1">
        <v>0</v>
      </c>
      <c r="N414" s="1">
        <v>1</v>
      </c>
      <c r="O414" s="1">
        <v>0</v>
      </c>
      <c r="P414" s="1">
        <f>LN(B414)</f>
        <v>3.13549421592915</v>
      </c>
      <c r="Q414" s="1">
        <f>1-SUM(F414:J414)</f>
        <v>1</v>
      </c>
      <c r="R414" s="1" t="str">
        <f>IF(F414=1,"Napa valley",IF(G414=1,"Bay area",IF(H414=1,"Sonoma",IF(I414=1,"Sierra/foothills",IF(J414=1,"Mendocino/lake","Generic California")))))</f>
        <v>Generic California</v>
      </c>
      <c r="S414" s="1" t="str">
        <f>IF(F414=1,"Napa valley",IF(H414=1,"Sonoma","Other"))</f>
        <v>Other</v>
      </c>
      <c r="T414" s="1" t="str">
        <f>IF(M414=1,"Cabernet",IF(N414=1,"Merlot",IF(L414=1,"Pinot noir","Other")))</f>
        <v>Merlot</v>
      </c>
      <c r="U414" s="1" t="str">
        <f>IF(F414=1,B414,"")</f>
        <v/>
      </c>
      <c r="V414" s="1">
        <f>IF(F414=0,B414,"")</f>
        <v>23</v>
      </c>
      <c r="W414" s="1">
        <f>'Part B'!$B$150+SUMPRODUCT('Part B'!$B$164:$N$164,C414:O414)</f>
        <v>22.315945960903</v>
      </c>
      <c r="X414" s="1">
        <f>B414-W414</f>
        <v>0.68405403909702</v>
      </c>
      <c r="Y414" s="1">
        <f>'Part B'!$B$179+SUMPRODUCT('Part B'!$B$193:$N$193,C414:O414)</f>
        <v>2.86435320245798</v>
      </c>
      <c r="Z414" s="1">
        <f>P414-Y414</f>
        <v>0.271141013471174</v>
      </c>
      <c r="AB414" s="1">
        <f>C414</f>
        <v>4.2</v>
      </c>
      <c r="AC414" s="1">
        <f>D414</f>
        <v>83</v>
      </c>
      <c r="AD414" s="1">
        <f>E414</f>
        <v>4</v>
      </c>
      <c r="AE414" s="1">
        <f>F414</f>
        <v>0</v>
      </c>
      <c r="AF414" s="1">
        <f>G414</f>
        <v>0</v>
      </c>
      <c r="AG414" s="1">
        <f>I414</f>
        <v>0</v>
      </c>
      <c r="AH414" s="1">
        <f>J414</f>
        <v>0</v>
      </c>
      <c r="AI414" s="1">
        <f>Q414</f>
        <v>1</v>
      </c>
      <c r="AJ414" s="1">
        <f>K414</f>
        <v>0</v>
      </c>
      <c r="AK414" s="1">
        <f>L414</f>
        <v>0</v>
      </c>
      <c r="AL414" s="1">
        <f>M414</f>
        <v>0</v>
      </c>
      <c r="AM414" s="1">
        <f>N414</f>
        <v>1</v>
      </c>
      <c r="AN414" s="1">
        <f>O414</f>
        <v>0</v>
      </c>
    </row>
    <row r="415">
      <c r="A415" s="1">
        <v>567</v>
      </c>
      <c r="B415" s="1">
        <v>23</v>
      </c>
      <c r="C415" s="1">
        <v>20</v>
      </c>
      <c r="D415" s="1">
        <v>92</v>
      </c>
      <c r="E415" s="1">
        <v>4</v>
      </c>
      <c r="F415" s="1">
        <v>1</v>
      </c>
      <c r="G415" s="1">
        <v>0</v>
      </c>
      <c r="H415" s="1">
        <v>0</v>
      </c>
      <c r="I415" s="1">
        <v>0</v>
      </c>
      <c r="J415" s="1">
        <v>0</v>
      </c>
      <c r="K415" s="1">
        <v>0</v>
      </c>
      <c r="L415" s="1">
        <v>0</v>
      </c>
      <c r="M415" s="1">
        <v>1</v>
      </c>
      <c r="N415" s="1">
        <v>0</v>
      </c>
      <c r="O415" s="1">
        <v>0</v>
      </c>
      <c r="P415" s="1">
        <f>LN(B415)</f>
        <v>3.13549421592915</v>
      </c>
      <c r="Q415" s="1">
        <f>1-SUM(F415:J415)</f>
        <v>0</v>
      </c>
      <c r="R415" s="1" t="str">
        <f>IF(F415=1,"Napa valley",IF(G415=1,"Bay area",IF(H415=1,"Sonoma",IF(I415=1,"Sierra/foothills",IF(J415=1,"Mendocino/lake","Generic California")))))</f>
        <v>Napa valley</v>
      </c>
      <c r="S415" s="1" t="str">
        <f>IF(F415=1,"Napa valley",IF(H415=1,"Sonoma","Other"))</f>
        <v>Napa valley</v>
      </c>
      <c r="T415" s="1" t="str">
        <f>IF(M415=1,"Cabernet",IF(N415=1,"Merlot",IF(L415=1,"Pinot noir","Other")))</f>
        <v>Cabernet</v>
      </c>
      <c r="U415" s="1">
        <f>IF(F415=1,B415,"")</f>
        <v>23</v>
      </c>
      <c r="V415" s="1" t="str">
        <f>IF(F415=0,B415,"")</f>
        <v/>
      </c>
      <c r="W415" s="1">
        <f>'Part B'!$B$150+SUMPRODUCT('Part B'!$B$164:$N$164,C415:O415)</f>
        <v>61.1502307531503</v>
      </c>
      <c r="X415" s="1">
        <f>B415-W415</f>
        <v>-38.1502307531503</v>
      </c>
      <c r="Y415" s="1">
        <f>'Part B'!$B$179+SUMPRODUCT('Part B'!$B$193:$N$193,C415:O415)</f>
        <v>3.89259660413514</v>
      </c>
      <c r="Z415" s="1">
        <f>P415-Y415</f>
        <v>-0.757102388205989</v>
      </c>
      <c r="AB415" s="1">
        <f>C415</f>
        <v>20</v>
      </c>
      <c r="AC415" s="1">
        <f>D415</f>
        <v>92</v>
      </c>
      <c r="AD415" s="1">
        <f>E415</f>
        <v>4</v>
      </c>
      <c r="AE415" s="1">
        <f>F415</f>
        <v>1</v>
      </c>
      <c r="AF415" s="1">
        <f>G415</f>
        <v>0</v>
      </c>
      <c r="AG415" s="1">
        <f>I415</f>
        <v>0</v>
      </c>
      <c r="AH415" s="1">
        <f>J415</f>
        <v>0</v>
      </c>
      <c r="AI415" s="1">
        <f>Q415</f>
        <v>0</v>
      </c>
      <c r="AJ415" s="1">
        <f>K415</f>
        <v>0</v>
      </c>
      <c r="AK415" s="1">
        <f>L415</f>
        <v>0</v>
      </c>
      <c r="AL415" s="1">
        <f>M415</f>
        <v>1</v>
      </c>
      <c r="AM415" s="1">
        <f>N415</f>
        <v>0</v>
      </c>
      <c r="AN415" s="1">
        <f>O415</f>
        <v>0</v>
      </c>
    </row>
    <row r="416">
      <c r="A416" s="1">
        <v>568</v>
      </c>
      <c r="B416" s="1">
        <v>23</v>
      </c>
      <c r="C416" s="1">
        <v>0.9</v>
      </c>
      <c r="D416" s="1">
        <v>87</v>
      </c>
      <c r="E416" s="1">
        <v>4</v>
      </c>
      <c r="F416" s="1">
        <v>1</v>
      </c>
      <c r="G416" s="1">
        <v>0</v>
      </c>
      <c r="H416" s="1">
        <v>0</v>
      </c>
      <c r="I416" s="1">
        <v>0</v>
      </c>
      <c r="J416" s="1">
        <v>0</v>
      </c>
      <c r="K416" s="1">
        <v>0</v>
      </c>
      <c r="L416" s="1">
        <v>0</v>
      </c>
      <c r="M416" s="1">
        <v>0</v>
      </c>
      <c r="N416" s="1">
        <v>1</v>
      </c>
      <c r="O416" s="1">
        <v>0</v>
      </c>
      <c r="P416" s="1">
        <f>LN(B416)</f>
        <v>3.13549421592915</v>
      </c>
      <c r="Q416" s="1">
        <f>1-SUM(F416:J416)</f>
        <v>0</v>
      </c>
      <c r="R416" s="1" t="str">
        <f>IF(F416=1,"Napa valley",IF(G416=1,"Bay area",IF(H416=1,"Sonoma",IF(I416=1,"Sierra/foothills",IF(J416=1,"Mendocino/lake","Generic California")))))</f>
        <v>Napa valley</v>
      </c>
      <c r="S416" s="1" t="str">
        <f>IF(F416=1,"Napa valley",IF(H416=1,"Sonoma","Other"))</f>
        <v>Napa valley</v>
      </c>
      <c r="T416" s="1" t="str">
        <f>IF(M416=1,"Cabernet",IF(N416=1,"Merlot",IF(L416=1,"Pinot noir","Other")))</f>
        <v>Merlot</v>
      </c>
      <c r="U416" s="1">
        <f>IF(F416=1,B416,"")</f>
        <v>23</v>
      </c>
      <c r="V416" s="1" t="str">
        <f>IF(F416=0,B416,"")</f>
        <v/>
      </c>
      <c r="W416" s="1">
        <f>'Part B'!$B$150+SUMPRODUCT('Part B'!$B$164:$N$164,C416:O416)</f>
        <v>42.2705542034544</v>
      </c>
      <c r="X416" s="1">
        <f>B416-W416</f>
        <v>-19.2705542034544</v>
      </c>
      <c r="Y416" s="1">
        <f>'Part B'!$B$179+SUMPRODUCT('Part B'!$B$193:$N$193,C416:O416)</f>
        <v>3.58803901210006</v>
      </c>
      <c r="Z416" s="1">
        <f>P416-Y416</f>
        <v>-0.452544796170908</v>
      </c>
      <c r="AB416" s="1">
        <f>C416</f>
        <v>0.9</v>
      </c>
      <c r="AC416" s="1">
        <f>D416</f>
        <v>87</v>
      </c>
      <c r="AD416" s="1">
        <f>E416</f>
        <v>4</v>
      </c>
      <c r="AE416" s="1">
        <f>F416</f>
        <v>1</v>
      </c>
      <c r="AF416" s="1">
        <f>G416</f>
        <v>0</v>
      </c>
      <c r="AG416" s="1">
        <f>I416</f>
        <v>0</v>
      </c>
      <c r="AH416" s="1">
        <f>J416</f>
        <v>0</v>
      </c>
      <c r="AI416" s="1">
        <f>Q416</f>
        <v>0</v>
      </c>
      <c r="AJ416" s="1">
        <f>K416</f>
        <v>0</v>
      </c>
      <c r="AK416" s="1">
        <f>L416</f>
        <v>0</v>
      </c>
      <c r="AL416" s="1">
        <f>M416</f>
        <v>0</v>
      </c>
      <c r="AM416" s="1">
        <f>N416</f>
        <v>1</v>
      </c>
      <c r="AN416" s="1">
        <f>O416</f>
        <v>0</v>
      </c>
    </row>
    <row r="417">
      <c r="A417" s="1">
        <v>570</v>
      </c>
      <c r="B417" s="1">
        <v>23</v>
      </c>
      <c r="C417" s="1">
        <v>21</v>
      </c>
      <c r="D417" s="1">
        <v>84</v>
      </c>
      <c r="E417" s="1">
        <v>3</v>
      </c>
      <c r="F417" s="1">
        <v>0</v>
      </c>
      <c r="G417" s="1">
        <v>0</v>
      </c>
      <c r="H417" s="1">
        <v>1</v>
      </c>
      <c r="I417" s="1">
        <v>0</v>
      </c>
      <c r="J417" s="1">
        <v>0</v>
      </c>
      <c r="K417" s="1">
        <v>0</v>
      </c>
      <c r="L417" s="1">
        <v>0</v>
      </c>
      <c r="M417" s="1">
        <v>0</v>
      </c>
      <c r="N417" s="1">
        <v>1</v>
      </c>
      <c r="O417" s="1">
        <v>0</v>
      </c>
      <c r="P417" s="1">
        <f>LN(B417)</f>
        <v>3.13549421592915</v>
      </c>
      <c r="Q417" s="1">
        <f>1-SUM(F417:J417)</f>
        <v>0</v>
      </c>
      <c r="R417" s="1" t="str">
        <f>IF(F417=1,"Napa valley",IF(G417=1,"Bay area",IF(H417=1,"Sonoma",IF(I417=1,"Sierra/foothills",IF(J417=1,"Mendocino/lake","Generic California")))))</f>
        <v>Sonoma</v>
      </c>
      <c r="S417" s="1" t="str">
        <f>IF(F417=1,"Napa valley",IF(H417=1,"Sonoma","Other"))</f>
        <v>Sonoma</v>
      </c>
      <c r="T417" s="1" t="str">
        <f>IF(M417=1,"Cabernet",IF(N417=1,"Merlot",IF(L417=1,"Pinot noir","Other")))</f>
        <v>Merlot</v>
      </c>
      <c r="U417" s="1" t="str">
        <f>IF(F417=1,B417,"")</f>
        <v/>
      </c>
      <c r="V417" s="1">
        <f>IF(F417=0,B417,"")</f>
        <v>23</v>
      </c>
      <c r="W417" s="1">
        <f>'Part B'!$B$150+SUMPRODUCT('Part B'!$B$164:$N$164,C417:O417)</f>
        <v>16.4114435786332</v>
      </c>
      <c r="X417" s="1">
        <f>B417-W417</f>
        <v>6.58855642136683</v>
      </c>
      <c r="Y417" s="1">
        <f>'Part B'!$B$179+SUMPRODUCT('Part B'!$B$193:$N$193,C417:O417)</f>
        <v>2.96127280874982</v>
      </c>
      <c r="Z417" s="1">
        <f>P417-Y417</f>
        <v>0.17422140717933</v>
      </c>
      <c r="AB417" s="1">
        <f>C417</f>
        <v>21</v>
      </c>
      <c r="AC417" s="1">
        <f>D417</f>
        <v>84</v>
      </c>
      <c r="AD417" s="1">
        <f>E417</f>
        <v>3</v>
      </c>
      <c r="AE417" s="1">
        <f>F417</f>
        <v>0</v>
      </c>
      <c r="AF417" s="1">
        <f>G417</f>
        <v>0</v>
      </c>
      <c r="AG417" s="1">
        <f>I417</f>
        <v>0</v>
      </c>
      <c r="AH417" s="1">
        <f>J417</f>
        <v>0</v>
      </c>
      <c r="AI417" s="1">
        <f>Q417</f>
        <v>0</v>
      </c>
      <c r="AJ417" s="1">
        <f>K417</f>
        <v>0</v>
      </c>
      <c r="AK417" s="1">
        <f>L417</f>
        <v>0</v>
      </c>
      <c r="AL417" s="1">
        <f>M417</f>
        <v>0</v>
      </c>
      <c r="AM417" s="1">
        <f>N417</f>
        <v>1</v>
      </c>
      <c r="AN417" s="1">
        <f>O417</f>
        <v>0</v>
      </c>
    </row>
    <row r="418">
      <c r="A418" s="1">
        <v>571</v>
      </c>
      <c r="B418" s="1">
        <v>23</v>
      </c>
      <c r="C418" s="1">
        <v>0.625</v>
      </c>
      <c r="D418" s="1">
        <v>88</v>
      </c>
      <c r="E418" s="1">
        <v>3</v>
      </c>
      <c r="F418" s="1">
        <v>0</v>
      </c>
      <c r="G418" s="1">
        <v>0</v>
      </c>
      <c r="H418" s="1">
        <v>1</v>
      </c>
      <c r="I418" s="1">
        <v>0</v>
      </c>
      <c r="J418" s="1">
        <v>0</v>
      </c>
      <c r="K418" s="1">
        <v>0</v>
      </c>
      <c r="L418" s="1">
        <v>0</v>
      </c>
      <c r="M418" s="1">
        <v>0</v>
      </c>
      <c r="N418" s="1">
        <v>1</v>
      </c>
      <c r="O418" s="1">
        <v>0</v>
      </c>
      <c r="P418" s="1">
        <f>LN(B418)</f>
        <v>3.13549421592915</v>
      </c>
      <c r="Q418" s="1">
        <f>1-SUM(F418:J418)</f>
        <v>0</v>
      </c>
      <c r="R418" s="1" t="str">
        <f>IF(F418=1,"Napa valley",IF(G418=1,"Bay area",IF(H418=1,"Sonoma",IF(I418=1,"Sierra/foothills",IF(J418=1,"Mendocino/lake","Generic California")))))</f>
        <v>Sonoma</v>
      </c>
      <c r="S418" s="1" t="str">
        <f>IF(F418=1,"Napa valley",IF(H418=1,"Sonoma","Other"))</f>
        <v>Sonoma</v>
      </c>
      <c r="T418" s="1" t="str">
        <f>IF(M418=1,"Cabernet",IF(N418=1,"Merlot",IF(L418=1,"Pinot noir","Other")))</f>
        <v>Merlot</v>
      </c>
      <c r="U418" s="1" t="str">
        <f>IF(F418=1,B418,"")</f>
        <v/>
      </c>
      <c r="V418" s="1">
        <f>IF(F418=0,B418,"")</f>
        <v>23</v>
      </c>
      <c r="W418" s="1">
        <f>'Part B'!$B$150+SUMPRODUCT('Part B'!$B$164:$N$164,C418:O418)</f>
        <v>30.925700004288</v>
      </c>
      <c r="X418" s="1">
        <f>B418-W418</f>
        <v>-7.92570000428799</v>
      </c>
      <c r="Y418" s="1">
        <f>'Part B'!$B$179+SUMPRODUCT('Part B'!$B$193:$N$193,C418:O418)</f>
        <v>3.3283042770206</v>
      </c>
      <c r="Z418" s="1">
        <f>P418-Y418</f>
        <v>-0.192810061091453</v>
      </c>
      <c r="AB418" s="1">
        <f>C418</f>
        <v>0.625</v>
      </c>
      <c r="AC418" s="1">
        <f>D418</f>
        <v>88</v>
      </c>
      <c r="AD418" s="1">
        <f>E418</f>
        <v>3</v>
      </c>
      <c r="AE418" s="1">
        <f>F418</f>
        <v>0</v>
      </c>
      <c r="AF418" s="1">
        <f>G418</f>
        <v>0</v>
      </c>
      <c r="AG418" s="1">
        <f>I418</f>
        <v>0</v>
      </c>
      <c r="AH418" s="1">
        <f>J418</f>
        <v>0</v>
      </c>
      <c r="AI418" s="1">
        <f>Q418</f>
        <v>0</v>
      </c>
      <c r="AJ418" s="1">
        <f>K418</f>
        <v>0</v>
      </c>
      <c r="AK418" s="1">
        <f>L418</f>
        <v>0</v>
      </c>
      <c r="AL418" s="1">
        <f>M418</f>
        <v>0</v>
      </c>
      <c r="AM418" s="1">
        <f>N418</f>
        <v>1</v>
      </c>
      <c r="AN418" s="1">
        <f>O418</f>
        <v>0</v>
      </c>
    </row>
    <row r="419">
      <c r="A419" s="1">
        <v>573</v>
      </c>
      <c r="B419" s="1">
        <v>23</v>
      </c>
      <c r="C419" s="1">
        <v>0.9</v>
      </c>
      <c r="D419" s="1">
        <v>86</v>
      </c>
      <c r="E419" s="1">
        <v>3</v>
      </c>
      <c r="F419" s="1">
        <v>1</v>
      </c>
      <c r="G419" s="1">
        <v>0</v>
      </c>
      <c r="H419" s="1">
        <v>0</v>
      </c>
      <c r="I419" s="1">
        <v>0</v>
      </c>
      <c r="J419" s="1">
        <v>0</v>
      </c>
      <c r="K419" s="1">
        <v>0</v>
      </c>
      <c r="L419" s="1">
        <v>0</v>
      </c>
      <c r="M419" s="1">
        <v>0</v>
      </c>
      <c r="N419" s="1">
        <v>1</v>
      </c>
      <c r="O419" s="1">
        <v>0</v>
      </c>
      <c r="P419" s="1">
        <f>LN(B419)</f>
        <v>3.13549421592915</v>
      </c>
      <c r="Q419" s="1">
        <f>1-SUM(F419:J419)</f>
        <v>0</v>
      </c>
      <c r="R419" s="1" t="str">
        <f>IF(F419=1,"Napa valley",IF(G419=1,"Bay area",IF(H419=1,"Sonoma",IF(I419=1,"Sierra/foothills",IF(J419=1,"Mendocino/lake","Generic California")))))</f>
        <v>Napa valley</v>
      </c>
      <c r="S419" s="1" t="str">
        <f>IF(F419=1,"Napa valley",IF(H419=1,"Sonoma","Other"))</f>
        <v>Napa valley</v>
      </c>
      <c r="T419" s="1" t="str">
        <f>IF(M419=1,"Cabernet",IF(N419=1,"Merlot",IF(L419=1,"Pinot noir","Other")))</f>
        <v>Merlot</v>
      </c>
      <c r="U419" s="1">
        <f>IF(F419=1,B419,"")</f>
        <v>23</v>
      </c>
      <c r="V419" s="1" t="str">
        <f>IF(F419=0,B419,"")</f>
        <v/>
      </c>
      <c r="W419" s="1">
        <f>'Part B'!$B$150+SUMPRODUCT('Part B'!$B$164:$N$164,C419:O419)</f>
        <v>32.5058523527157</v>
      </c>
      <c r="X419" s="1">
        <f>B419-W419</f>
        <v>-9.50585235271575</v>
      </c>
      <c r="Y419" s="1">
        <f>'Part B'!$B$179+SUMPRODUCT('Part B'!$B$193:$N$193,C419:O419)</f>
        <v>3.33499236086102</v>
      </c>
      <c r="Z419" s="1">
        <f>P419-Y419</f>
        <v>-0.199498144931873</v>
      </c>
      <c r="AB419" s="1">
        <f>C419</f>
        <v>0.9</v>
      </c>
      <c r="AC419" s="1">
        <f>D419</f>
        <v>86</v>
      </c>
      <c r="AD419" s="1">
        <f>E419</f>
        <v>3</v>
      </c>
      <c r="AE419" s="1">
        <f>F419</f>
        <v>1</v>
      </c>
      <c r="AF419" s="1">
        <f>G419</f>
        <v>0</v>
      </c>
      <c r="AG419" s="1">
        <f>I419</f>
        <v>0</v>
      </c>
      <c r="AH419" s="1">
        <f>J419</f>
        <v>0</v>
      </c>
      <c r="AI419" s="1">
        <f>Q419</f>
        <v>0</v>
      </c>
      <c r="AJ419" s="1">
        <f>K419</f>
        <v>0</v>
      </c>
      <c r="AK419" s="1">
        <f>L419</f>
        <v>0</v>
      </c>
      <c r="AL419" s="1">
        <f>M419</f>
        <v>0</v>
      </c>
      <c r="AM419" s="1">
        <f>N419</f>
        <v>1</v>
      </c>
      <c r="AN419" s="1">
        <f>O419</f>
        <v>0</v>
      </c>
    </row>
    <row r="420">
      <c r="A420" s="1">
        <v>574</v>
      </c>
      <c r="B420" s="1">
        <v>23</v>
      </c>
      <c r="C420" s="1">
        <v>1</v>
      </c>
      <c r="D420" s="1">
        <v>85</v>
      </c>
      <c r="E420" s="1">
        <v>3</v>
      </c>
      <c r="F420" s="1">
        <v>0</v>
      </c>
      <c r="G420" s="1">
        <v>1</v>
      </c>
      <c r="H420" s="1">
        <v>0</v>
      </c>
      <c r="I420" s="1">
        <v>0</v>
      </c>
      <c r="J420" s="1">
        <v>0</v>
      </c>
      <c r="K420" s="1">
        <v>0</v>
      </c>
      <c r="L420" s="1">
        <v>1</v>
      </c>
      <c r="M420" s="1">
        <v>0</v>
      </c>
      <c r="N420" s="1">
        <v>0</v>
      </c>
      <c r="O420" s="1">
        <v>0</v>
      </c>
      <c r="P420" s="1">
        <f>LN(B420)</f>
        <v>3.13549421592915</v>
      </c>
      <c r="Q420" s="1">
        <f>1-SUM(F420:J420)</f>
        <v>0</v>
      </c>
      <c r="R420" s="1" t="str">
        <f>IF(F420=1,"Napa valley",IF(G420=1,"Bay area",IF(H420=1,"Sonoma",IF(I420=1,"Sierra/foothills",IF(J420=1,"Mendocino/lake","Generic California")))))</f>
        <v>Bay area</v>
      </c>
      <c r="S420" s="1" t="str">
        <f>IF(F420=1,"Napa valley",IF(H420=1,"Sonoma","Other"))</f>
        <v>Other</v>
      </c>
      <c r="T420" s="1" t="str">
        <f>IF(M420=1,"Cabernet",IF(N420=1,"Merlot",IF(L420=1,"Pinot noir","Other")))</f>
        <v>Pinot noir</v>
      </c>
      <c r="U420" s="1" t="str">
        <f>IF(F420=1,B420,"")</f>
        <v/>
      </c>
      <c r="V420" s="1">
        <f>IF(F420=0,B420,"")</f>
        <v>23</v>
      </c>
      <c r="W420" s="1">
        <f>'Part B'!$B$150+SUMPRODUCT('Part B'!$B$164:$N$164,C420:O420)</f>
        <v>26.3631871493041</v>
      </c>
      <c r="X420" s="1">
        <f>B420-W420</f>
        <v>-3.36318714930405</v>
      </c>
      <c r="Y420" s="1">
        <f>'Part B'!$B$179+SUMPRODUCT('Part B'!$B$193:$N$193,C420:O420)</f>
        <v>3.15187819345944</v>
      </c>
      <c r="Z420" s="1">
        <f>P420-Y420</f>
        <v>-0.0163839775302934</v>
      </c>
      <c r="AB420" s="1">
        <f>C420</f>
        <v>1</v>
      </c>
      <c r="AC420" s="1">
        <f>D420</f>
        <v>85</v>
      </c>
      <c r="AD420" s="1">
        <f>E420</f>
        <v>3</v>
      </c>
      <c r="AE420" s="1">
        <f>F420</f>
        <v>0</v>
      </c>
      <c r="AF420" s="1">
        <f>G420</f>
        <v>1</v>
      </c>
      <c r="AG420" s="1">
        <f>I420</f>
        <v>0</v>
      </c>
      <c r="AH420" s="1">
        <f>J420</f>
        <v>0</v>
      </c>
      <c r="AI420" s="1">
        <f>Q420</f>
        <v>0</v>
      </c>
      <c r="AJ420" s="1">
        <f>K420</f>
        <v>0</v>
      </c>
      <c r="AK420" s="1">
        <f>L420</f>
        <v>1</v>
      </c>
      <c r="AL420" s="1">
        <f>M420</f>
        <v>0</v>
      </c>
      <c r="AM420" s="1">
        <f>N420</f>
        <v>0</v>
      </c>
      <c r="AN420" s="1">
        <f>O420</f>
        <v>0</v>
      </c>
    </row>
    <row r="421">
      <c r="A421" s="1">
        <v>577</v>
      </c>
      <c r="B421" s="1">
        <v>23</v>
      </c>
      <c r="C421" s="1">
        <v>25</v>
      </c>
      <c r="D421" s="1">
        <v>87</v>
      </c>
      <c r="E421" s="1">
        <v>3</v>
      </c>
      <c r="F421" s="1">
        <v>0</v>
      </c>
      <c r="G421" s="1">
        <v>0</v>
      </c>
      <c r="H421" s="1">
        <v>1</v>
      </c>
      <c r="I421" s="1">
        <v>0</v>
      </c>
      <c r="J421" s="1">
        <v>0</v>
      </c>
      <c r="K421" s="1">
        <v>0</v>
      </c>
      <c r="L421" s="1">
        <v>0</v>
      </c>
      <c r="M421" s="1">
        <v>0</v>
      </c>
      <c r="N421" s="1">
        <v>1</v>
      </c>
      <c r="O421" s="1">
        <v>0</v>
      </c>
      <c r="P421" s="1">
        <f>LN(B421)</f>
        <v>3.13549421592915</v>
      </c>
      <c r="Q421" s="1">
        <f>1-SUM(F421:J421)</f>
        <v>0</v>
      </c>
      <c r="R421" s="1" t="str">
        <f>IF(F421=1,"Napa valley",IF(G421=1,"Bay area",IF(H421=1,"Sonoma",IF(I421=1,"Sierra/foothills",IF(J421=1,"Mendocino/lake","Generic California")))))</f>
        <v>Sonoma</v>
      </c>
      <c r="S421" s="1" t="str">
        <f>IF(F421=1,"Napa valley",IF(H421=1,"Sonoma","Other"))</f>
        <v>Sonoma</v>
      </c>
      <c r="T421" s="1" t="str">
        <f>IF(M421=1,"Cabernet",IF(N421=1,"Merlot",IF(L421=1,"Pinot noir","Other")))</f>
        <v>Merlot</v>
      </c>
      <c r="U421" s="1" t="str">
        <f>IF(F421=1,B421,"")</f>
        <v/>
      </c>
      <c r="V421" s="1">
        <f>IF(F421=0,B421,"")</f>
        <v>23</v>
      </c>
      <c r="W421" s="1">
        <f>'Part B'!$B$150+SUMPRODUCT('Part B'!$B$164:$N$164,C421:O421)</f>
        <v>25.4670797771949</v>
      </c>
      <c r="X421" s="1">
        <f>B421-W421</f>
        <v>-2.4670797771949</v>
      </c>
      <c r="Y421" s="1">
        <f>'Part B'!$B$179+SUMPRODUCT('Part B'!$B$193:$N$193,C421:O421)</f>
        <v>3.15404064656177</v>
      </c>
      <c r="Z421" s="1">
        <f>P421-Y421</f>
        <v>-0.0185464306326155</v>
      </c>
      <c r="AB421" s="1">
        <f>C421</f>
        <v>25</v>
      </c>
      <c r="AC421" s="1">
        <f>D421</f>
        <v>87</v>
      </c>
      <c r="AD421" s="1">
        <f>E421</f>
        <v>3</v>
      </c>
      <c r="AE421" s="1">
        <f>F421</f>
        <v>0</v>
      </c>
      <c r="AF421" s="1">
        <f>G421</f>
        <v>0</v>
      </c>
      <c r="AG421" s="1">
        <f>I421</f>
        <v>0</v>
      </c>
      <c r="AH421" s="1">
        <f>J421</f>
        <v>0</v>
      </c>
      <c r="AI421" s="1">
        <f>Q421</f>
        <v>0</v>
      </c>
      <c r="AJ421" s="1">
        <f>K421</f>
        <v>0</v>
      </c>
      <c r="AK421" s="1">
        <f>L421</f>
        <v>0</v>
      </c>
      <c r="AL421" s="1">
        <f>M421</f>
        <v>0</v>
      </c>
      <c r="AM421" s="1">
        <f>N421</f>
        <v>1</v>
      </c>
      <c r="AN421" s="1">
        <f>O421</f>
        <v>0</v>
      </c>
    </row>
    <row r="422">
      <c r="A422" s="1">
        <v>578</v>
      </c>
      <c r="B422" s="1">
        <v>23</v>
      </c>
      <c r="C422" s="1">
        <v>0.245</v>
      </c>
      <c r="D422" s="1">
        <v>88</v>
      </c>
      <c r="E422" s="1">
        <v>2</v>
      </c>
      <c r="F422" s="1">
        <v>0</v>
      </c>
      <c r="G422" s="1">
        <v>0</v>
      </c>
      <c r="H422" s="1">
        <v>1</v>
      </c>
      <c r="I422" s="1">
        <v>0</v>
      </c>
      <c r="J422" s="1">
        <v>0</v>
      </c>
      <c r="K422" s="1">
        <v>0</v>
      </c>
      <c r="L422" s="1">
        <v>1</v>
      </c>
      <c r="M422" s="1">
        <v>0</v>
      </c>
      <c r="N422" s="1">
        <v>0</v>
      </c>
      <c r="O422" s="1">
        <v>0</v>
      </c>
      <c r="P422" s="1">
        <f>LN(B422)</f>
        <v>3.13549421592915</v>
      </c>
      <c r="Q422" s="1">
        <f>1-SUM(F422:J422)</f>
        <v>0</v>
      </c>
      <c r="R422" s="1" t="str">
        <f>IF(F422=1,"Napa valley",IF(G422=1,"Bay area",IF(H422=1,"Sonoma",IF(I422=1,"Sierra/foothills",IF(J422=1,"Mendocino/lake","Generic California")))))</f>
        <v>Sonoma</v>
      </c>
      <c r="S422" s="1" t="str">
        <f>IF(F422=1,"Napa valley",IF(H422=1,"Sonoma","Other"))</f>
        <v>Sonoma</v>
      </c>
      <c r="T422" s="1" t="str">
        <f>IF(M422=1,"Cabernet",IF(N422=1,"Merlot",IF(L422=1,"Pinot noir","Other")))</f>
        <v>Pinot noir</v>
      </c>
      <c r="U422" s="1" t="str">
        <f>IF(F422=1,B422,"")</f>
        <v/>
      </c>
      <c r="V422" s="1">
        <f>IF(F422=0,B422,"")</f>
        <v>23</v>
      </c>
      <c r="W422" s="1">
        <f>'Part B'!$B$150+SUMPRODUCT('Part B'!$B$164:$N$164,C422:O422)</f>
        <v>26.1362124506836</v>
      </c>
      <c r="X422" s="1">
        <f>B422-W422</f>
        <v>-3.13621245068362</v>
      </c>
      <c r="Y422" s="1">
        <f>'Part B'!$B$179+SUMPRODUCT('Part B'!$B$193:$N$193,C422:O422)</f>
        <v>3.20885258829011</v>
      </c>
      <c r="Z422" s="1">
        <f>P422-Y422</f>
        <v>-0.0733583723609605</v>
      </c>
      <c r="AB422" s="1">
        <f>C422</f>
        <v>0.245</v>
      </c>
      <c r="AC422" s="1">
        <f>D422</f>
        <v>88</v>
      </c>
      <c r="AD422" s="1">
        <f>E422</f>
        <v>2</v>
      </c>
      <c r="AE422" s="1">
        <f>F422</f>
        <v>0</v>
      </c>
      <c r="AF422" s="1">
        <f>G422</f>
        <v>0</v>
      </c>
      <c r="AG422" s="1">
        <f>I422</f>
        <v>0</v>
      </c>
      <c r="AH422" s="1">
        <f>J422</f>
        <v>0</v>
      </c>
      <c r="AI422" s="1">
        <f>Q422</f>
        <v>0</v>
      </c>
      <c r="AJ422" s="1">
        <f>K422</f>
        <v>0</v>
      </c>
      <c r="AK422" s="1">
        <f>L422</f>
        <v>1</v>
      </c>
      <c r="AL422" s="1">
        <f>M422</f>
        <v>0</v>
      </c>
      <c r="AM422" s="1">
        <f>N422</f>
        <v>0</v>
      </c>
      <c r="AN422" s="1">
        <f>O422</f>
        <v>0</v>
      </c>
    </row>
    <row r="423">
      <c r="A423" s="1">
        <v>580</v>
      </c>
      <c r="B423" s="1">
        <v>23</v>
      </c>
      <c r="C423" s="1">
        <v>1.8</v>
      </c>
      <c r="D423" s="1">
        <v>88</v>
      </c>
      <c r="E423" s="1">
        <v>2</v>
      </c>
      <c r="F423" s="1">
        <v>0</v>
      </c>
      <c r="G423" s="1">
        <v>0</v>
      </c>
      <c r="H423" s="1">
        <v>0</v>
      </c>
      <c r="I423" s="1">
        <v>0</v>
      </c>
      <c r="J423" s="1">
        <v>0</v>
      </c>
      <c r="K423" s="1">
        <v>0</v>
      </c>
      <c r="L423" s="1">
        <v>0</v>
      </c>
      <c r="M423" s="1">
        <v>0</v>
      </c>
      <c r="N423" s="1">
        <v>0</v>
      </c>
      <c r="O423" s="1">
        <v>0</v>
      </c>
      <c r="P423" s="1">
        <f>LN(B423)</f>
        <v>3.13549421592915</v>
      </c>
      <c r="Q423" s="1">
        <f>1-SUM(F423:J423)</f>
        <v>1</v>
      </c>
      <c r="R423" s="1" t="str">
        <f>IF(F423=1,"Napa valley",IF(G423=1,"Bay area",IF(H423=1,"Sonoma",IF(I423=1,"Sierra/foothills",IF(J423=1,"Mendocino/lake","Generic California")))))</f>
        <v>Generic California</v>
      </c>
      <c r="S423" s="1" t="str">
        <f>IF(F423=1,"Napa valley",IF(H423=1,"Sonoma","Other"))</f>
        <v>Other</v>
      </c>
      <c r="T423" s="1" t="str">
        <f>IF(M423=1,"Cabernet",IF(N423=1,"Merlot",IF(L423=1,"Pinot noir","Other")))</f>
        <v>Other</v>
      </c>
      <c r="U423" s="1" t="str">
        <f>IF(F423=1,B423,"")</f>
        <v/>
      </c>
      <c r="V423" s="1">
        <f>IF(F423=0,B423,"")</f>
        <v>23</v>
      </c>
      <c r="W423" s="1">
        <f>'Part B'!$B$150+SUMPRODUCT('Part B'!$B$164:$N$164,C423:O423)</f>
        <v>17.3698053986987</v>
      </c>
      <c r="X423" s="1">
        <f>B423-W423</f>
        <v>5.6301946013013</v>
      </c>
      <c r="Y423" s="1">
        <f>'Part B'!$B$179+SUMPRODUCT('Part B'!$B$193:$N$193,C423:O423)</f>
        <v>2.57374451284176</v>
      </c>
      <c r="Z423" s="1">
        <f>P423-Y423</f>
        <v>0.56174970308739</v>
      </c>
      <c r="AB423" s="1">
        <f>C423</f>
        <v>1.8</v>
      </c>
      <c r="AC423" s="1">
        <f>D423</f>
        <v>88</v>
      </c>
      <c r="AD423" s="1">
        <f>E423</f>
        <v>2</v>
      </c>
      <c r="AE423" s="1">
        <f>F423</f>
        <v>0</v>
      </c>
      <c r="AF423" s="1">
        <f>G423</f>
        <v>0</v>
      </c>
      <c r="AG423" s="1">
        <f>I423</f>
        <v>0</v>
      </c>
      <c r="AH423" s="1">
        <f>J423</f>
        <v>0</v>
      </c>
      <c r="AI423" s="1">
        <f>Q423</f>
        <v>1</v>
      </c>
      <c r="AJ423" s="1">
        <f>K423</f>
        <v>0</v>
      </c>
      <c r="AK423" s="1">
        <f>L423</f>
        <v>0</v>
      </c>
      <c r="AL423" s="1">
        <f>M423</f>
        <v>0</v>
      </c>
      <c r="AM423" s="1">
        <f>N423</f>
        <v>0</v>
      </c>
      <c r="AN423" s="1">
        <f>O423</f>
        <v>0</v>
      </c>
    </row>
    <row r="424">
      <c r="A424" s="1">
        <v>581</v>
      </c>
      <c r="B424" s="1">
        <v>23</v>
      </c>
      <c r="C424" s="1">
        <v>1.5</v>
      </c>
      <c r="D424" s="1">
        <v>91</v>
      </c>
      <c r="E424" s="1">
        <v>2</v>
      </c>
      <c r="F424" s="1">
        <v>0</v>
      </c>
      <c r="G424" s="1">
        <v>0</v>
      </c>
      <c r="H424" s="1">
        <v>1</v>
      </c>
      <c r="I424" s="1">
        <v>0</v>
      </c>
      <c r="J424" s="1">
        <v>0</v>
      </c>
      <c r="K424" s="1">
        <v>0</v>
      </c>
      <c r="L424" s="1">
        <v>1</v>
      </c>
      <c r="M424" s="1">
        <v>0</v>
      </c>
      <c r="N424" s="1">
        <v>0</v>
      </c>
      <c r="O424" s="1">
        <v>0</v>
      </c>
      <c r="P424" s="1">
        <f>LN(B424)</f>
        <v>3.13549421592915</v>
      </c>
      <c r="Q424" s="1">
        <f>1-SUM(F424:J424)</f>
        <v>0</v>
      </c>
      <c r="R424" s="1" t="str">
        <f>IF(F424=1,"Napa valley",IF(G424=1,"Bay area",IF(H424=1,"Sonoma",IF(I424=1,"Sierra/foothills",IF(J424=1,"Mendocino/lake","Generic California")))))</f>
        <v>Sonoma</v>
      </c>
      <c r="S424" s="1" t="str">
        <f>IF(F424=1,"Napa valley",IF(H424=1,"Sonoma","Other"))</f>
        <v>Sonoma</v>
      </c>
      <c r="T424" s="1" t="str">
        <f>IF(M424=1,"Cabernet",IF(N424=1,"Merlot",IF(L424=1,"Pinot noir","Other")))</f>
        <v>Pinot noir</v>
      </c>
      <c r="U424" s="1" t="str">
        <f>IF(F424=1,B424,"")</f>
        <v/>
      </c>
      <c r="V424" s="1">
        <f>IF(F424=0,B424,"")</f>
        <v>23</v>
      </c>
      <c r="W424" s="1">
        <f>'Part B'!$B$150+SUMPRODUCT('Part B'!$B$164:$N$164,C424:O424)</f>
        <v>35.4523869468799</v>
      </c>
      <c r="X424" s="1">
        <f>B424-W424</f>
        <v>-12.4523869468799</v>
      </c>
      <c r="Y424" s="1">
        <f>'Part B'!$B$179+SUMPRODUCT('Part B'!$B$193:$N$193,C424:O424)</f>
        <v>3.41336646541531</v>
      </c>
      <c r="Z424" s="1">
        <f>P424-Y424</f>
        <v>-0.277872249486161</v>
      </c>
      <c r="AB424" s="1">
        <f>C424</f>
        <v>1.5</v>
      </c>
      <c r="AC424" s="1">
        <f>D424</f>
        <v>91</v>
      </c>
      <c r="AD424" s="1">
        <f>E424</f>
        <v>2</v>
      </c>
      <c r="AE424" s="1">
        <f>F424</f>
        <v>0</v>
      </c>
      <c r="AF424" s="1">
        <f>G424</f>
        <v>0</v>
      </c>
      <c r="AG424" s="1">
        <f>I424</f>
        <v>0</v>
      </c>
      <c r="AH424" s="1">
        <f>J424</f>
        <v>0</v>
      </c>
      <c r="AI424" s="1">
        <f>Q424</f>
        <v>0</v>
      </c>
      <c r="AJ424" s="1">
        <f>K424</f>
        <v>0</v>
      </c>
      <c r="AK424" s="1">
        <f>L424</f>
        <v>1</v>
      </c>
      <c r="AL424" s="1">
        <f>M424</f>
        <v>0</v>
      </c>
      <c r="AM424" s="1">
        <f>N424</f>
        <v>0</v>
      </c>
      <c r="AN424" s="1">
        <f>O424</f>
        <v>0</v>
      </c>
    </row>
    <row r="425">
      <c r="A425" s="1">
        <v>586</v>
      </c>
      <c r="B425" s="1">
        <v>23</v>
      </c>
      <c r="C425" s="1">
        <v>1.225</v>
      </c>
      <c r="D425" s="1">
        <v>88</v>
      </c>
      <c r="E425" s="1">
        <v>2</v>
      </c>
      <c r="F425" s="1">
        <v>0</v>
      </c>
      <c r="G425" s="1">
        <v>0</v>
      </c>
      <c r="H425" s="1">
        <v>0</v>
      </c>
      <c r="I425" s="1">
        <v>1</v>
      </c>
      <c r="J425" s="1">
        <v>0</v>
      </c>
      <c r="K425" s="1">
        <v>0</v>
      </c>
      <c r="L425" s="1">
        <v>0</v>
      </c>
      <c r="M425" s="1">
        <v>0</v>
      </c>
      <c r="N425" s="1">
        <v>0</v>
      </c>
      <c r="O425" s="1">
        <v>0</v>
      </c>
      <c r="P425" s="1">
        <f>LN(B425)</f>
        <v>3.13549421592915</v>
      </c>
      <c r="Q425" s="1">
        <f>1-SUM(F425:J425)</f>
        <v>0</v>
      </c>
      <c r="R425" s="1" t="str">
        <f>IF(F425=1,"Napa valley",IF(G425=1,"Bay area",IF(H425=1,"Sonoma",IF(I425=1,"Sierra/foothills",IF(J425=1,"Mendocino/lake","Generic California")))))</f>
        <v>Sierra/foothills</v>
      </c>
      <c r="S425" s="1" t="str">
        <f>IF(F425=1,"Napa valley",IF(H425=1,"Sonoma","Other"))</f>
        <v>Other</v>
      </c>
      <c r="T425" s="1" t="str">
        <f>IF(M425=1,"Cabernet",IF(N425=1,"Merlot",IF(L425=1,"Pinot noir","Other")))</f>
        <v>Other</v>
      </c>
      <c r="U425" s="1" t="str">
        <f>IF(F425=1,B425,"")</f>
        <v/>
      </c>
      <c r="V425" s="1">
        <f>IF(F425=0,B425,"")</f>
        <v>23</v>
      </c>
      <c r="W425" s="1">
        <f>'Part B'!$B$150+SUMPRODUCT('Part B'!$B$164:$N$164,C425:O425)</f>
        <v>22.4483535921175</v>
      </c>
      <c r="X425" s="1">
        <f>B425-W425</f>
        <v>0.551646407882458</v>
      </c>
      <c r="Y425" s="1">
        <f>'Part B'!$B$179+SUMPRODUCT('Part B'!$B$193:$N$193,C425:O425)</f>
        <v>2.82743949343597</v>
      </c>
      <c r="Z425" s="1">
        <f>P425-Y425</f>
        <v>0.308054722493178</v>
      </c>
      <c r="AB425" s="1">
        <f>C425</f>
        <v>1.225</v>
      </c>
      <c r="AC425" s="1">
        <f>D425</f>
        <v>88</v>
      </c>
      <c r="AD425" s="1">
        <f>E425</f>
        <v>2</v>
      </c>
      <c r="AE425" s="1">
        <f>F425</f>
        <v>0</v>
      </c>
      <c r="AF425" s="1">
        <f>G425</f>
        <v>0</v>
      </c>
      <c r="AG425" s="1">
        <f>I425</f>
        <v>1</v>
      </c>
      <c r="AH425" s="1">
        <f>J425</f>
        <v>0</v>
      </c>
      <c r="AI425" s="1">
        <f>Q425</f>
        <v>0</v>
      </c>
      <c r="AJ425" s="1">
        <f>K425</f>
        <v>0</v>
      </c>
      <c r="AK425" s="1">
        <f>L425</f>
        <v>0</v>
      </c>
      <c r="AL425" s="1">
        <f>M425</f>
        <v>0</v>
      </c>
      <c r="AM425" s="1">
        <f>N425</f>
        <v>0</v>
      </c>
      <c r="AN425" s="1">
        <f>O425</f>
        <v>0</v>
      </c>
    </row>
    <row r="426">
      <c r="A426" s="1">
        <v>587</v>
      </c>
      <c r="B426" s="1">
        <v>23</v>
      </c>
      <c r="C426" s="1">
        <v>11</v>
      </c>
      <c r="D426" s="1">
        <v>89</v>
      </c>
      <c r="E426" s="1">
        <v>2</v>
      </c>
      <c r="F426" s="1">
        <v>0</v>
      </c>
      <c r="G426" s="1">
        <v>0</v>
      </c>
      <c r="H426" s="1">
        <v>1</v>
      </c>
      <c r="I426" s="1">
        <v>0</v>
      </c>
      <c r="J426" s="1">
        <v>0</v>
      </c>
      <c r="K426" s="1">
        <v>1</v>
      </c>
      <c r="L426" s="1">
        <v>0</v>
      </c>
      <c r="M426" s="1">
        <v>0</v>
      </c>
      <c r="N426" s="1">
        <v>0</v>
      </c>
      <c r="O426" s="1">
        <v>0</v>
      </c>
      <c r="P426" s="1">
        <f>LN(B426)</f>
        <v>3.13549421592915</v>
      </c>
      <c r="Q426" s="1">
        <f>1-SUM(F426:J426)</f>
        <v>0</v>
      </c>
      <c r="R426" s="1" t="str">
        <f>IF(F426=1,"Napa valley",IF(G426=1,"Bay area",IF(H426=1,"Sonoma",IF(I426=1,"Sierra/foothills",IF(J426=1,"Mendocino/lake","Generic California")))))</f>
        <v>Sonoma</v>
      </c>
      <c r="S426" s="1" t="str">
        <f>IF(F426=1,"Napa valley",IF(H426=1,"Sonoma","Other"))</f>
        <v>Sonoma</v>
      </c>
      <c r="T426" s="1" t="str">
        <f>IF(M426=1,"Cabernet",IF(N426=1,"Merlot",IF(L426=1,"Pinot noir","Other")))</f>
        <v>Other</v>
      </c>
      <c r="U426" s="1" t="str">
        <f>IF(F426=1,B426,"")</f>
        <v/>
      </c>
      <c r="V426" s="1">
        <f>IF(F426=0,B426,"")</f>
        <v>23</v>
      </c>
      <c r="W426" s="1">
        <f>'Part B'!$B$150+SUMPRODUCT('Part B'!$B$164:$N$164,C426:O426)</f>
        <v>39.0940458313355</v>
      </c>
      <c r="X426" s="1">
        <f>B426-W426</f>
        <v>-16.0940458313355</v>
      </c>
      <c r="Y426" s="1">
        <f>'Part B'!$B$179+SUMPRODUCT('Part B'!$B$193:$N$193,C426:O426)</f>
        <v>3.36485777589903</v>
      </c>
      <c r="Z426" s="1">
        <f>P426-Y426</f>
        <v>-0.229363559969877</v>
      </c>
      <c r="AB426" s="1">
        <f>C426</f>
        <v>11</v>
      </c>
      <c r="AC426" s="1">
        <f>D426</f>
        <v>89</v>
      </c>
      <c r="AD426" s="1">
        <f>E426</f>
        <v>2</v>
      </c>
      <c r="AE426" s="1">
        <f>F426</f>
        <v>0</v>
      </c>
      <c r="AF426" s="1">
        <f>G426</f>
        <v>0</v>
      </c>
      <c r="AG426" s="1">
        <f>I426</f>
        <v>0</v>
      </c>
      <c r="AH426" s="1">
        <f>J426</f>
        <v>0</v>
      </c>
      <c r="AI426" s="1">
        <f>Q426</f>
        <v>0</v>
      </c>
      <c r="AJ426" s="1">
        <f>K426</f>
        <v>1</v>
      </c>
      <c r="AK426" s="1">
        <f>L426</f>
        <v>0</v>
      </c>
      <c r="AL426" s="1">
        <f>M426</f>
        <v>0</v>
      </c>
      <c r="AM426" s="1">
        <f>N426</f>
        <v>0</v>
      </c>
      <c r="AN426" s="1">
        <f>O426</f>
        <v>0</v>
      </c>
    </row>
    <row r="427">
      <c r="A427" s="1">
        <v>588</v>
      </c>
      <c r="B427" s="1">
        <v>23</v>
      </c>
      <c r="C427" s="1">
        <v>0.9</v>
      </c>
      <c r="D427" s="1">
        <v>92</v>
      </c>
      <c r="E427" s="1">
        <v>2</v>
      </c>
      <c r="F427" s="1">
        <v>0</v>
      </c>
      <c r="G427" s="1">
        <v>0</v>
      </c>
      <c r="H427" s="1">
        <v>1</v>
      </c>
      <c r="I427" s="1">
        <v>0</v>
      </c>
      <c r="J427" s="1">
        <v>0</v>
      </c>
      <c r="K427" s="1">
        <v>1</v>
      </c>
      <c r="L427" s="1">
        <v>0</v>
      </c>
      <c r="M427" s="1">
        <v>0</v>
      </c>
      <c r="N427" s="1">
        <v>0</v>
      </c>
      <c r="O427" s="1">
        <v>0</v>
      </c>
      <c r="P427" s="1">
        <f>LN(B427)</f>
        <v>3.13549421592915</v>
      </c>
      <c r="Q427" s="1">
        <f>1-SUM(F427:J427)</f>
        <v>0</v>
      </c>
      <c r="R427" s="1" t="str">
        <f>IF(F427=1,"Napa valley",IF(G427=1,"Bay area",IF(H427=1,"Sonoma",IF(I427=1,"Sierra/foothills",IF(J427=1,"Mendocino/lake","Generic California")))))</f>
        <v>Sonoma</v>
      </c>
      <c r="S427" s="1" t="str">
        <f>IF(F427=1,"Napa valley",IF(H427=1,"Sonoma","Other"))</f>
        <v>Sonoma</v>
      </c>
      <c r="T427" s="1" t="str">
        <f>IF(M427=1,"Cabernet",IF(N427=1,"Merlot",IF(L427=1,"Pinot noir","Other")))</f>
        <v>Other</v>
      </c>
      <c r="U427" s="1" t="str">
        <f>IF(F427=1,B427,"")</f>
        <v/>
      </c>
      <c r="V427" s="1">
        <f>IF(F427=0,B427,"")</f>
        <v>23</v>
      </c>
      <c r="W427" s="1">
        <f>'Part B'!$B$150+SUMPRODUCT('Part B'!$B$164:$N$164,C427:O427)</f>
        <v>49.487966181681</v>
      </c>
      <c r="X427" s="1">
        <f>B427-W427</f>
        <v>-26.487966181681</v>
      </c>
      <c r="Y427" s="1">
        <f>'Part B'!$B$179+SUMPRODUCT('Part B'!$B$193:$N$193,C427:O427)</f>
        <v>3.61796046045665</v>
      </c>
      <c r="Z427" s="1">
        <f>P427-Y427</f>
        <v>-0.4824662445275</v>
      </c>
      <c r="AB427" s="1">
        <f>C427</f>
        <v>0.9</v>
      </c>
      <c r="AC427" s="1">
        <f>D427</f>
        <v>92</v>
      </c>
      <c r="AD427" s="1">
        <f>E427</f>
        <v>2</v>
      </c>
      <c r="AE427" s="1">
        <f>F427</f>
        <v>0</v>
      </c>
      <c r="AF427" s="1">
        <f>G427</f>
        <v>0</v>
      </c>
      <c r="AG427" s="1">
        <f>I427</f>
        <v>0</v>
      </c>
      <c r="AH427" s="1">
        <f>J427</f>
        <v>0</v>
      </c>
      <c r="AI427" s="1">
        <f>Q427</f>
        <v>0</v>
      </c>
      <c r="AJ427" s="1">
        <f>K427</f>
        <v>1</v>
      </c>
      <c r="AK427" s="1">
        <f>L427</f>
        <v>0</v>
      </c>
      <c r="AL427" s="1">
        <f>M427</f>
        <v>0</v>
      </c>
      <c r="AM427" s="1">
        <f>N427</f>
        <v>0</v>
      </c>
      <c r="AN427" s="1">
        <f>O427</f>
        <v>0</v>
      </c>
    </row>
    <row r="428">
      <c r="A428" s="1">
        <v>589</v>
      </c>
      <c r="B428" s="1">
        <v>23</v>
      </c>
      <c r="C428" s="1">
        <v>2.9</v>
      </c>
      <c r="D428" s="1">
        <v>88</v>
      </c>
      <c r="E428" s="1">
        <v>2</v>
      </c>
      <c r="F428" s="1">
        <v>1</v>
      </c>
      <c r="G428" s="1">
        <v>0</v>
      </c>
      <c r="H428" s="1">
        <v>0</v>
      </c>
      <c r="I428" s="1">
        <v>0</v>
      </c>
      <c r="J428" s="1">
        <v>0</v>
      </c>
      <c r="K428" s="1">
        <v>0</v>
      </c>
      <c r="L428" s="1">
        <v>0</v>
      </c>
      <c r="M428" s="1">
        <v>0</v>
      </c>
      <c r="N428" s="1">
        <v>0</v>
      </c>
      <c r="O428" s="1">
        <v>0</v>
      </c>
      <c r="P428" s="1">
        <f>LN(B428)</f>
        <v>3.13549421592915</v>
      </c>
      <c r="Q428" s="1">
        <f>1-SUM(F428:J428)</f>
        <v>0</v>
      </c>
      <c r="R428" s="1" t="str">
        <f>IF(F428=1,"Napa valley",IF(G428=1,"Bay area",IF(H428=1,"Sonoma",IF(I428=1,"Sierra/foothills",IF(J428=1,"Mendocino/lake","Generic California")))))</f>
        <v>Napa valley</v>
      </c>
      <c r="S428" s="1" t="str">
        <f>IF(F428=1,"Napa valley",IF(H428=1,"Sonoma","Other"))</f>
        <v>Napa valley</v>
      </c>
      <c r="T428" s="1" t="str">
        <f>IF(M428=1,"Cabernet",IF(N428=1,"Merlot",IF(L428=1,"Pinot noir","Other")))</f>
        <v>Other</v>
      </c>
      <c r="U428" s="1">
        <f>IF(F428=1,B428,"")</f>
        <v>23</v>
      </c>
      <c r="V428" s="1" t="str">
        <f>IF(F428=0,B428,"")</f>
        <v/>
      </c>
      <c r="W428" s="1">
        <f>'Part B'!$B$150+SUMPRODUCT('Part B'!$B$164:$N$164,C428:O428)</f>
        <v>24.3264046854352</v>
      </c>
      <c r="X428" s="1">
        <f>B428-W428</f>
        <v>-1.32640468543525</v>
      </c>
      <c r="Y428" s="1">
        <f>'Part B'!$B$179+SUMPRODUCT('Part B'!$B$193:$N$193,C428:O428)</f>
        <v>2.99875695185577</v>
      </c>
      <c r="Z428" s="1">
        <f>P428-Y428</f>
        <v>0.13673726407338</v>
      </c>
      <c r="AB428" s="1">
        <f>C428</f>
        <v>2.9</v>
      </c>
      <c r="AC428" s="1">
        <f>D428</f>
        <v>88</v>
      </c>
      <c r="AD428" s="1">
        <f>E428</f>
        <v>2</v>
      </c>
      <c r="AE428" s="1">
        <f>F428</f>
        <v>1</v>
      </c>
      <c r="AF428" s="1">
        <f>G428</f>
        <v>0</v>
      </c>
      <c r="AG428" s="1">
        <f>I428</f>
        <v>0</v>
      </c>
      <c r="AH428" s="1">
        <f>J428</f>
        <v>0</v>
      </c>
      <c r="AI428" s="1">
        <f>Q428</f>
        <v>0</v>
      </c>
      <c r="AJ428" s="1">
        <f>K428</f>
        <v>0</v>
      </c>
      <c r="AK428" s="1">
        <f>L428</f>
        <v>0</v>
      </c>
      <c r="AL428" s="1">
        <f>M428</f>
        <v>0</v>
      </c>
      <c r="AM428" s="1">
        <f>N428</f>
        <v>0</v>
      </c>
      <c r="AN428" s="1">
        <f>O428</f>
        <v>0</v>
      </c>
    </row>
    <row r="429">
      <c r="A429" s="1">
        <v>590</v>
      </c>
      <c r="B429" s="1">
        <v>23</v>
      </c>
      <c r="C429" s="1">
        <v>0.56</v>
      </c>
      <c r="D429" s="1">
        <v>89</v>
      </c>
      <c r="E429" s="1">
        <v>2</v>
      </c>
      <c r="F429" s="1">
        <v>1</v>
      </c>
      <c r="G429" s="1">
        <v>0</v>
      </c>
      <c r="H429" s="1">
        <v>0</v>
      </c>
      <c r="I429" s="1">
        <v>0</v>
      </c>
      <c r="J429" s="1">
        <v>0</v>
      </c>
      <c r="K429" s="1">
        <v>0</v>
      </c>
      <c r="L429" s="1">
        <v>0</v>
      </c>
      <c r="M429" s="1">
        <v>0</v>
      </c>
      <c r="N429" s="1">
        <v>0</v>
      </c>
      <c r="O429" s="1">
        <v>0</v>
      </c>
      <c r="P429" s="1">
        <f>LN(B429)</f>
        <v>3.13549421592915</v>
      </c>
      <c r="Q429" s="1">
        <f>1-SUM(F429:J429)</f>
        <v>0</v>
      </c>
      <c r="R429" s="1" t="str">
        <f>IF(F429=1,"Napa valley",IF(G429=1,"Bay area",IF(H429=1,"Sonoma",IF(I429=1,"Sierra/foothills",IF(J429=1,"Mendocino/lake","Generic California")))))</f>
        <v>Napa valley</v>
      </c>
      <c r="S429" s="1" t="str">
        <f>IF(F429=1,"Napa valley",IF(H429=1,"Sonoma","Other"))</f>
        <v>Napa valley</v>
      </c>
      <c r="T429" s="1" t="str">
        <f>IF(M429=1,"Cabernet",IF(N429=1,"Merlot",IF(L429=1,"Pinot noir","Other")))</f>
        <v>Other</v>
      </c>
      <c r="U429" s="1">
        <f>IF(F429=1,B429,"")</f>
        <v>23</v>
      </c>
      <c r="V429" s="1" t="str">
        <f>IF(F429=0,B429,"")</f>
        <v/>
      </c>
      <c r="W429" s="1">
        <f>'Part B'!$B$150+SUMPRODUCT('Part B'!$B$164:$N$164,C429:O429)</f>
        <v>27.6935999987302</v>
      </c>
      <c r="X429" s="1">
        <f>B429-W429</f>
        <v>-4.69359999873024</v>
      </c>
      <c r="Y429" s="1">
        <f>'Part B'!$B$179+SUMPRODUCT('Part B'!$B$193:$N$193,C429:O429)</f>
        <v>3.07873133777269</v>
      </c>
      <c r="Z429" s="1">
        <f>P429-Y429</f>
        <v>0.0567628781564569</v>
      </c>
      <c r="AB429" s="1">
        <f>C429</f>
        <v>0.56</v>
      </c>
      <c r="AC429" s="1">
        <f>D429</f>
        <v>89</v>
      </c>
      <c r="AD429" s="1">
        <f>E429</f>
        <v>2</v>
      </c>
      <c r="AE429" s="1">
        <f>F429</f>
        <v>1</v>
      </c>
      <c r="AF429" s="1">
        <f>G429</f>
        <v>0</v>
      </c>
      <c r="AG429" s="1">
        <f>I429</f>
        <v>0</v>
      </c>
      <c r="AH429" s="1">
        <f>J429</f>
        <v>0</v>
      </c>
      <c r="AI429" s="1">
        <f>Q429</f>
        <v>0</v>
      </c>
      <c r="AJ429" s="1">
        <f>K429</f>
        <v>0</v>
      </c>
      <c r="AK429" s="1">
        <f>L429</f>
        <v>0</v>
      </c>
      <c r="AL429" s="1">
        <f>M429</f>
        <v>0</v>
      </c>
      <c r="AM429" s="1">
        <f>N429</f>
        <v>0</v>
      </c>
      <c r="AN429" s="1">
        <f>O429</f>
        <v>0</v>
      </c>
    </row>
    <row r="430">
      <c r="A430" s="1">
        <v>592</v>
      </c>
      <c r="B430" s="1">
        <v>24</v>
      </c>
      <c r="C430" s="1">
        <v>5.5</v>
      </c>
      <c r="D430" s="1">
        <v>87</v>
      </c>
      <c r="E430" s="1">
        <v>4</v>
      </c>
      <c r="F430" s="1">
        <v>1</v>
      </c>
      <c r="G430" s="1">
        <v>0</v>
      </c>
      <c r="H430" s="1">
        <v>0</v>
      </c>
      <c r="I430" s="1">
        <v>0</v>
      </c>
      <c r="J430" s="1">
        <v>0</v>
      </c>
      <c r="K430" s="1">
        <v>0</v>
      </c>
      <c r="L430" s="1">
        <v>0</v>
      </c>
      <c r="M430" s="1">
        <v>1</v>
      </c>
      <c r="N430" s="1">
        <v>0</v>
      </c>
      <c r="O430" s="1">
        <v>0</v>
      </c>
      <c r="P430" s="1">
        <f>LN(B430)</f>
        <v>3.17805383034795</v>
      </c>
      <c r="Q430" s="1">
        <f>1-SUM(F430:J430)</f>
        <v>0</v>
      </c>
      <c r="R430" s="1" t="str">
        <f>IF(F430=1,"Napa valley",IF(G430=1,"Bay area",IF(H430=1,"Sonoma",IF(I430=1,"Sierra/foothills",IF(J430=1,"Mendocino/lake","Generic California")))))</f>
        <v>Napa valley</v>
      </c>
      <c r="S430" s="1" t="str">
        <f>IF(F430=1,"Napa valley",IF(H430=1,"Sonoma","Other"))</f>
        <v>Napa valley</v>
      </c>
      <c r="T430" s="1" t="str">
        <f>IF(M430=1,"Cabernet",IF(N430=1,"Merlot",IF(L430=1,"Pinot noir","Other")))</f>
        <v>Cabernet</v>
      </c>
      <c r="U430" s="1">
        <f>IF(F430=1,B430,"")</f>
        <v>24</v>
      </c>
      <c r="V430" s="1" t="str">
        <f>IF(F430=0,B430,"")</f>
        <v/>
      </c>
      <c r="W430" s="1">
        <f>'Part B'!$B$150+SUMPRODUCT('Part B'!$B$164:$N$164,C430:O430)</f>
        <v>46.8009949509828</v>
      </c>
      <c r="X430" s="1">
        <f>B430-W430</f>
        <v>-22.8009949509828</v>
      </c>
      <c r="Y430" s="1">
        <f>'Part B'!$B$179+SUMPRODUCT('Part B'!$B$193:$N$193,C430:O430)</f>
        <v>3.60483623375172</v>
      </c>
      <c r="Z430" s="1">
        <f>P430-Y430</f>
        <v>-0.426782403403771</v>
      </c>
      <c r="AB430" s="1">
        <f>C430</f>
        <v>5.5</v>
      </c>
      <c r="AC430" s="1">
        <f>D430</f>
        <v>87</v>
      </c>
      <c r="AD430" s="1">
        <f>E430</f>
        <v>4</v>
      </c>
      <c r="AE430" s="1">
        <f>F430</f>
        <v>1</v>
      </c>
      <c r="AF430" s="1">
        <f>G430</f>
        <v>0</v>
      </c>
      <c r="AG430" s="1">
        <f>I430</f>
        <v>0</v>
      </c>
      <c r="AH430" s="1">
        <f>J430</f>
        <v>0</v>
      </c>
      <c r="AI430" s="1">
        <f>Q430</f>
        <v>0</v>
      </c>
      <c r="AJ430" s="1">
        <f>K430</f>
        <v>0</v>
      </c>
      <c r="AK430" s="1">
        <f>L430</f>
        <v>0</v>
      </c>
      <c r="AL430" s="1">
        <f>M430</f>
        <v>1</v>
      </c>
      <c r="AM430" s="1">
        <f>N430</f>
        <v>0</v>
      </c>
      <c r="AN430" s="1">
        <f>O430</f>
        <v>0</v>
      </c>
    </row>
    <row r="431">
      <c r="A431" s="1">
        <v>593</v>
      </c>
      <c r="B431" s="1">
        <v>24</v>
      </c>
      <c r="C431" s="1">
        <v>10</v>
      </c>
      <c r="D431" s="1">
        <v>88</v>
      </c>
      <c r="E431" s="1">
        <v>4</v>
      </c>
      <c r="F431" s="1">
        <v>0</v>
      </c>
      <c r="G431" s="1">
        <v>0</v>
      </c>
      <c r="H431" s="1">
        <v>1</v>
      </c>
      <c r="I431" s="1">
        <v>0</v>
      </c>
      <c r="J431" s="1">
        <v>0</v>
      </c>
      <c r="K431" s="1">
        <v>0</v>
      </c>
      <c r="L431" s="1">
        <v>0</v>
      </c>
      <c r="M431" s="1">
        <v>1</v>
      </c>
      <c r="N431" s="1">
        <v>0</v>
      </c>
      <c r="O431" s="1">
        <v>0</v>
      </c>
      <c r="P431" s="1">
        <f>LN(B431)</f>
        <v>3.17805383034795</v>
      </c>
      <c r="Q431" s="1">
        <f>1-SUM(F431:J431)</f>
        <v>0</v>
      </c>
      <c r="R431" s="1" t="str">
        <f>IF(F431=1,"Napa valley",IF(G431=1,"Bay area",IF(H431=1,"Sonoma",IF(I431=1,"Sierra/foothills",IF(J431=1,"Mendocino/lake","Generic California")))))</f>
        <v>Sonoma</v>
      </c>
      <c r="S431" s="1" t="str">
        <f>IF(F431=1,"Napa valley",IF(H431=1,"Sonoma","Other"))</f>
        <v>Sonoma</v>
      </c>
      <c r="T431" s="1" t="str">
        <f>IF(M431=1,"Cabernet",IF(N431=1,"Merlot",IF(L431=1,"Pinot noir","Other")))</f>
        <v>Cabernet</v>
      </c>
      <c r="U431" s="1" t="str">
        <f>IF(F431=1,B431,"")</f>
        <v/>
      </c>
      <c r="V431" s="1">
        <f>IF(F431=0,B431,"")</f>
        <v>24</v>
      </c>
      <c r="W431" s="1">
        <f>'Part B'!$B$150+SUMPRODUCT('Part B'!$B$164:$N$164,C431:O431)</f>
        <v>41.622532260211</v>
      </c>
      <c r="X431" s="1">
        <f>B431-W431</f>
        <v>-17.622532260211</v>
      </c>
      <c r="Y431" s="1">
        <f>'Part B'!$B$179+SUMPRODUCT('Part B'!$B$193:$N$193,C431:O431)</f>
        <v>3.5077542354961</v>
      </c>
      <c r="Z431" s="1">
        <f>P431-Y431</f>
        <v>-0.329700405148151</v>
      </c>
      <c r="AB431" s="1">
        <f>C431</f>
        <v>10</v>
      </c>
      <c r="AC431" s="1">
        <f>D431</f>
        <v>88</v>
      </c>
      <c r="AD431" s="1">
        <f>E431</f>
        <v>4</v>
      </c>
      <c r="AE431" s="1">
        <f>F431</f>
        <v>0</v>
      </c>
      <c r="AF431" s="1">
        <f>G431</f>
        <v>0</v>
      </c>
      <c r="AG431" s="1">
        <f>I431</f>
        <v>0</v>
      </c>
      <c r="AH431" s="1">
        <f>J431</f>
        <v>0</v>
      </c>
      <c r="AI431" s="1">
        <f>Q431</f>
        <v>0</v>
      </c>
      <c r="AJ431" s="1">
        <f>K431</f>
        <v>0</v>
      </c>
      <c r="AK431" s="1">
        <f>L431</f>
        <v>0</v>
      </c>
      <c r="AL431" s="1">
        <f>M431</f>
        <v>1</v>
      </c>
      <c r="AM431" s="1">
        <f>N431</f>
        <v>0</v>
      </c>
      <c r="AN431" s="1">
        <f>O431</f>
        <v>0</v>
      </c>
    </row>
    <row r="432">
      <c r="A432" s="1">
        <v>594</v>
      </c>
      <c r="B432" s="1">
        <v>24</v>
      </c>
      <c r="C432" s="1">
        <v>3.3</v>
      </c>
      <c r="D432" s="1">
        <v>88</v>
      </c>
      <c r="E432" s="1">
        <v>4</v>
      </c>
      <c r="F432" s="1">
        <v>0</v>
      </c>
      <c r="G432" s="1">
        <v>0</v>
      </c>
      <c r="H432" s="1">
        <v>1</v>
      </c>
      <c r="I432" s="1">
        <v>0</v>
      </c>
      <c r="J432" s="1">
        <v>0</v>
      </c>
      <c r="K432" s="1">
        <v>0</v>
      </c>
      <c r="L432" s="1">
        <v>0</v>
      </c>
      <c r="M432" s="1">
        <v>1</v>
      </c>
      <c r="N432" s="1">
        <v>0</v>
      </c>
      <c r="O432" s="1">
        <v>0</v>
      </c>
      <c r="P432" s="1">
        <f>LN(B432)</f>
        <v>3.17805383034795</v>
      </c>
      <c r="Q432" s="1">
        <f>1-SUM(F432:J432)</f>
        <v>0</v>
      </c>
      <c r="R432" s="1" t="str">
        <f>IF(F432=1,"Napa valley",IF(G432=1,"Bay area",IF(H432=1,"Sonoma",IF(I432=1,"Sierra/foothills",IF(J432=1,"Mendocino/lake","Generic California")))))</f>
        <v>Sonoma</v>
      </c>
      <c r="S432" s="1" t="str">
        <f>IF(F432=1,"Napa valley",IF(H432=1,"Sonoma","Other"))</f>
        <v>Sonoma</v>
      </c>
      <c r="T432" s="1" t="str">
        <f>IF(M432=1,"Cabernet",IF(N432=1,"Merlot",IF(L432=1,"Pinot noir","Other")))</f>
        <v>Cabernet</v>
      </c>
      <c r="U432" s="1" t="str">
        <f>IF(F432=1,B432,"")</f>
        <v/>
      </c>
      <c r="V432" s="1">
        <f>IF(F432=0,B432,"")</f>
        <v>24</v>
      </c>
      <c r="W432" s="1">
        <f>'Part B'!$B$150+SUMPRODUCT('Part B'!$B$164:$N$164,C432:O432)</f>
        <v>42.2584545167323</v>
      </c>
      <c r="X432" s="1">
        <f>B432-W432</f>
        <v>-18.2584545167323</v>
      </c>
      <c r="Y432" s="1">
        <f>'Part B'!$B$179+SUMPRODUCT('Part B'!$B$193:$N$193,C432:O432)</f>
        <v>3.53642398536816</v>
      </c>
      <c r="Z432" s="1">
        <f>P432-Y432</f>
        <v>-0.35837015502021</v>
      </c>
      <c r="AB432" s="1">
        <f>C432</f>
        <v>3.3</v>
      </c>
      <c r="AC432" s="1">
        <f>D432</f>
        <v>88</v>
      </c>
      <c r="AD432" s="1">
        <f>E432</f>
        <v>4</v>
      </c>
      <c r="AE432" s="1">
        <f>F432</f>
        <v>0</v>
      </c>
      <c r="AF432" s="1">
        <f>G432</f>
        <v>0</v>
      </c>
      <c r="AG432" s="1">
        <f>I432</f>
        <v>0</v>
      </c>
      <c r="AH432" s="1">
        <f>J432</f>
        <v>0</v>
      </c>
      <c r="AI432" s="1">
        <f>Q432</f>
        <v>0</v>
      </c>
      <c r="AJ432" s="1">
        <f>K432</f>
        <v>0</v>
      </c>
      <c r="AK432" s="1">
        <f>L432</f>
        <v>0</v>
      </c>
      <c r="AL432" s="1">
        <f>M432</f>
        <v>1</v>
      </c>
      <c r="AM432" s="1">
        <f>N432</f>
        <v>0</v>
      </c>
      <c r="AN432" s="1">
        <f>O432</f>
        <v>0</v>
      </c>
    </row>
    <row r="433">
      <c r="A433" s="1">
        <v>595</v>
      </c>
      <c r="B433" s="1">
        <v>24</v>
      </c>
      <c r="C433" s="1">
        <v>1</v>
      </c>
      <c r="D433" s="1">
        <v>85</v>
      </c>
      <c r="E433" s="1">
        <v>4</v>
      </c>
      <c r="F433" s="1">
        <v>0</v>
      </c>
      <c r="G433" s="1">
        <v>0</v>
      </c>
      <c r="H433" s="1">
        <v>1</v>
      </c>
      <c r="I433" s="1">
        <v>0</v>
      </c>
      <c r="J433" s="1">
        <v>0</v>
      </c>
      <c r="K433" s="1">
        <v>0</v>
      </c>
      <c r="L433" s="1">
        <v>0</v>
      </c>
      <c r="M433" s="1">
        <v>1</v>
      </c>
      <c r="N433" s="1">
        <v>0</v>
      </c>
      <c r="O433" s="1">
        <v>0</v>
      </c>
      <c r="P433" s="1">
        <f>LN(B433)</f>
        <v>3.17805383034795</v>
      </c>
      <c r="Q433" s="1">
        <f>1-SUM(F433:J433)</f>
        <v>0</v>
      </c>
      <c r="R433" s="1" t="str">
        <f>IF(F433=1,"Napa valley",IF(G433=1,"Bay area",IF(H433=1,"Sonoma",IF(I433=1,"Sierra/foothills",IF(J433=1,"Mendocino/lake","Generic California")))))</f>
        <v>Sonoma</v>
      </c>
      <c r="S433" s="1" t="str">
        <f>IF(F433=1,"Napa valley",IF(H433=1,"Sonoma","Other"))</f>
        <v>Sonoma</v>
      </c>
      <c r="T433" s="1" t="str">
        <f>IF(M433=1,"Cabernet",IF(N433=1,"Merlot",IF(L433=1,"Pinot noir","Other")))</f>
        <v>Cabernet</v>
      </c>
      <c r="U433" s="1" t="str">
        <f>IF(F433=1,B433,"")</f>
        <v/>
      </c>
      <c r="V433" s="1">
        <f>IF(F433=0,B433,"")</f>
        <v>24</v>
      </c>
      <c r="W433" s="1">
        <f>'Part B'!$B$150+SUMPRODUCT('Part B'!$B$164:$N$164,C433:O433)</f>
        <v>33.0414649097995</v>
      </c>
      <c r="X433" s="1">
        <f>B433-W433</f>
        <v>-9.04146490979946</v>
      </c>
      <c r="Y433" s="1">
        <f>'Part B'!$B$179+SUMPRODUCT('Part B'!$B$193:$N$193,C433:O433)</f>
        <v>3.33638173340957</v>
      </c>
      <c r="Z433" s="1">
        <f>P433-Y433</f>
        <v>-0.158327903061622</v>
      </c>
      <c r="AB433" s="1">
        <f>C433</f>
        <v>1</v>
      </c>
      <c r="AC433" s="1">
        <f>D433</f>
        <v>85</v>
      </c>
      <c r="AD433" s="1">
        <f>E433</f>
        <v>4</v>
      </c>
      <c r="AE433" s="1">
        <f>F433</f>
        <v>0</v>
      </c>
      <c r="AF433" s="1">
        <f>G433</f>
        <v>0</v>
      </c>
      <c r="AG433" s="1">
        <f>I433</f>
        <v>0</v>
      </c>
      <c r="AH433" s="1">
        <f>J433</f>
        <v>0</v>
      </c>
      <c r="AI433" s="1">
        <f>Q433</f>
        <v>0</v>
      </c>
      <c r="AJ433" s="1">
        <f>K433</f>
        <v>0</v>
      </c>
      <c r="AK433" s="1">
        <f>L433</f>
        <v>0</v>
      </c>
      <c r="AL433" s="1">
        <f>M433</f>
        <v>1</v>
      </c>
      <c r="AM433" s="1">
        <f>N433</f>
        <v>0</v>
      </c>
      <c r="AN433" s="1">
        <f>O433</f>
        <v>0</v>
      </c>
    </row>
    <row r="434">
      <c r="A434" s="1">
        <v>596</v>
      </c>
      <c r="B434" s="1">
        <v>24</v>
      </c>
      <c r="C434" s="1">
        <v>0.125</v>
      </c>
      <c r="D434" s="1">
        <v>86</v>
      </c>
      <c r="E434" s="1">
        <v>4</v>
      </c>
      <c r="F434" s="1">
        <v>0</v>
      </c>
      <c r="G434" s="1">
        <v>0</v>
      </c>
      <c r="H434" s="1">
        <v>1</v>
      </c>
      <c r="I434" s="1">
        <v>0</v>
      </c>
      <c r="J434" s="1">
        <v>0</v>
      </c>
      <c r="K434" s="1">
        <v>0</v>
      </c>
      <c r="L434" s="1">
        <v>0</v>
      </c>
      <c r="M434" s="1">
        <v>1</v>
      </c>
      <c r="N434" s="1">
        <v>0</v>
      </c>
      <c r="O434" s="1">
        <v>0</v>
      </c>
      <c r="P434" s="1">
        <f>LN(B434)</f>
        <v>3.17805383034795</v>
      </c>
      <c r="Q434" s="1">
        <f>1-SUM(F434:J434)</f>
        <v>0</v>
      </c>
      <c r="R434" s="1" t="str">
        <f>IF(F434=1,"Napa valley",IF(G434=1,"Bay area",IF(H434=1,"Sonoma",IF(I434=1,"Sierra/foothills",IF(J434=1,"Mendocino/lake","Generic California")))))</f>
        <v>Sonoma</v>
      </c>
      <c r="S434" s="1" t="str">
        <f>IF(F434=1,"Napa valley",IF(H434=1,"Sonoma","Other"))</f>
        <v>Sonoma</v>
      </c>
      <c r="T434" s="1" t="str">
        <f>IF(M434=1,"Cabernet",IF(N434=1,"Merlot",IF(L434=1,"Pinot noir","Other")))</f>
        <v>Cabernet</v>
      </c>
      <c r="U434" s="1" t="str">
        <f>IF(F434=1,B434,"")</f>
        <v/>
      </c>
      <c r="V434" s="1">
        <f>IF(F434=0,B434,"")</f>
        <v>24</v>
      </c>
      <c r="W434" s="1">
        <f>'Part B'!$B$150+SUMPRODUCT('Part B'!$B$164:$N$164,C434:O434)</f>
        <v>36.2696115505864</v>
      </c>
      <c r="X434" s="1">
        <f>B434-W434</f>
        <v>-12.2696115505864</v>
      </c>
      <c r="Y434" s="1">
        <f>'Part B'!$B$179+SUMPRODUCT('Part B'!$B$193:$N$193,C434:O434)</f>
        <v>3.41008728595894</v>
      </c>
      <c r="Z434" s="1">
        <f>P434-Y434</f>
        <v>-0.232033455610998</v>
      </c>
      <c r="AB434" s="1">
        <f>C434</f>
        <v>0.125</v>
      </c>
      <c r="AC434" s="1">
        <f>D434</f>
        <v>86</v>
      </c>
      <c r="AD434" s="1">
        <f>E434</f>
        <v>4</v>
      </c>
      <c r="AE434" s="1">
        <f>F434</f>
        <v>0</v>
      </c>
      <c r="AF434" s="1">
        <f>G434</f>
        <v>0</v>
      </c>
      <c r="AG434" s="1">
        <f>I434</f>
        <v>0</v>
      </c>
      <c r="AH434" s="1">
        <f>J434</f>
        <v>0</v>
      </c>
      <c r="AI434" s="1">
        <f>Q434</f>
        <v>0</v>
      </c>
      <c r="AJ434" s="1">
        <f>K434</f>
        <v>0</v>
      </c>
      <c r="AK434" s="1">
        <f>L434</f>
        <v>0</v>
      </c>
      <c r="AL434" s="1">
        <f>M434</f>
        <v>1</v>
      </c>
      <c r="AM434" s="1">
        <f>N434</f>
        <v>0</v>
      </c>
      <c r="AN434" s="1">
        <f>O434</f>
        <v>0</v>
      </c>
    </row>
    <row r="435">
      <c r="A435" s="1">
        <v>597</v>
      </c>
      <c r="B435" s="1">
        <v>24</v>
      </c>
      <c r="C435" s="1">
        <v>0.7</v>
      </c>
      <c r="D435" s="1">
        <v>87</v>
      </c>
      <c r="E435" s="1">
        <v>4</v>
      </c>
      <c r="F435" s="1">
        <v>0</v>
      </c>
      <c r="G435" s="1">
        <v>0</v>
      </c>
      <c r="H435" s="1">
        <v>0</v>
      </c>
      <c r="I435" s="1">
        <v>0</v>
      </c>
      <c r="J435" s="1">
        <v>0</v>
      </c>
      <c r="K435" s="1">
        <v>0</v>
      </c>
      <c r="L435" s="1">
        <v>0</v>
      </c>
      <c r="M435" s="1">
        <v>1</v>
      </c>
      <c r="N435" s="1">
        <v>0</v>
      </c>
      <c r="O435" s="1">
        <v>0</v>
      </c>
      <c r="P435" s="1">
        <f>LN(B435)</f>
        <v>3.17805383034795</v>
      </c>
      <c r="Q435" s="1">
        <f>1-SUM(F435:J435)</f>
        <v>1</v>
      </c>
      <c r="R435" s="1" t="str">
        <f>IF(F435=1,"Napa valley",IF(G435=1,"Bay area",IF(H435=1,"Sonoma",IF(I435=1,"Sierra/foothills",IF(J435=1,"Mendocino/lake","Generic California")))))</f>
        <v>Generic California</v>
      </c>
      <c r="S435" s="1" t="str">
        <f>IF(F435=1,"Napa valley",IF(H435=1,"Sonoma","Other"))</f>
        <v>Other</v>
      </c>
      <c r="T435" s="1" t="str">
        <f>IF(M435=1,"Cabernet",IF(N435=1,"Merlot",IF(L435=1,"Pinot noir","Other")))</f>
        <v>Cabernet</v>
      </c>
      <c r="U435" s="1" t="str">
        <f>IF(F435=1,B435,"")</f>
        <v/>
      </c>
      <c r="V435" s="1">
        <f>IF(F435=0,B435,"")</f>
        <v>24</v>
      </c>
      <c r="W435" s="1">
        <f>'Part B'!$B$150+SUMPRODUCT('Part B'!$B$164:$N$164,C435:O435)</f>
        <v>40.1955766118774</v>
      </c>
      <c r="X435" s="1">
        <f>B435-W435</f>
        <v>-16.1955766118774</v>
      </c>
      <c r="Y435" s="1">
        <f>'Part B'!$B$179+SUMPRODUCT('Part B'!$B$193:$N$193,C435:O435)</f>
        <v>3.19565634317452</v>
      </c>
      <c r="Z435" s="1">
        <f>P435-Y435</f>
        <v>-0.0176025128265702</v>
      </c>
      <c r="AB435" s="1">
        <f>C435</f>
        <v>0.7</v>
      </c>
      <c r="AC435" s="1">
        <f>D435</f>
        <v>87</v>
      </c>
      <c r="AD435" s="1">
        <f>E435</f>
        <v>4</v>
      </c>
      <c r="AE435" s="1">
        <f>F435</f>
        <v>0</v>
      </c>
      <c r="AF435" s="1">
        <f>G435</f>
        <v>0</v>
      </c>
      <c r="AG435" s="1">
        <f>I435</f>
        <v>0</v>
      </c>
      <c r="AH435" s="1">
        <f>J435</f>
        <v>0</v>
      </c>
      <c r="AI435" s="1">
        <f>Q435</f>
        <v>1</v>
      </c>
      <c r="AJ435" s="1">
        <f>K435</f>
        <v>0</v>
      </c>
      <c r="AK435" s="1">
        <f>L435</f>
        <v>0</v>
      </c>
      <c r="AL435" s="1">
        <f>M435</f>
        <v>1</v>
      </c>
      <c r="AM435" s="1">
        <f>N435</f>
        <v>0</v>
      </c>
      <c r="AN435" s="1">
        <f>O435</f>
        <v>0</v>
      </c>
    </row>
    <row r="436">
      <c r="A436" s="1">
        <v>598</v>
      </c>
      <c r="B436" s="1">
        <v>24</v>
      </c>
      <c r="C436" s="1">
        <v>0.9</v>
      </c>
      <c r="D436" s="1">
        <v>82</v>
      </c>
      <c r="E436" s="1">
        <v>3</v>
      </c>
      <c r="F436" s="1">
        <v>1</v>
      </c>
      <c r="G436" s="1">
        <v>0</v>
      </c>
      <c r="H436" s="1">
        <v>0</v>
      </c>
      <c r="I436" s="1">
        <v>0</v>
      </c>
      <c r="J436" s="1">
        <v>0</v>
      </c>
      <c r="K436" s="1">
        <v>0</v>
      </c>
      <c r="L436" s="1">
        <v>0</v>
      </c>
      <c r="M436" s="1">
        <v>1</v>
      </c>
      <c r="N436" s="1">
        <v>0</v>
      </c>
      <c r="O436" s="1">
        <v>0</v>
      </c>
      <c r="P436" s="1">
        <f>LN(B436)</f>
        <v>3.17805383034795</v>
      </c>
      <c r="Q436" s="1">
        <f>1-SUM(F436:J436)</f>
        <v>0</v>
      </c>
      <c r="R436" s="1" t="str">
        <f>IF(F436=1,"Napa valley",IF(G436=1,"Bay area",IF(H436=1,"Sonoma",IF(I436=1,"Sierra/foothills",IF(J436=1,"Mendocino/lake","Generic California")))))</f>
        <v>Napa valley</v>
      </c>
      <c r="S436" s="1" t="str">
        <f>IF(F436=1,"Napa valley",IF(H436=1,"Sonoma","Other"))</f>
        <v>Napa valley</v>
      </c>
      <c r="T436" s="1" t="str">
        <f>IF(M436=1,"Cabernet",IF(N436=1,"Merlot",IF(L436=1,"Pinot noir","Other")))</f>
        <v>Cabernet</v>
      </c>
      <c r="U436" s="1">
        <f>IF(F436=1,B436,"")</f>
        <v>24</v>
      </c>
      <c r="V436" s="1" t="str">
        <f>IF(F436=0,B436,"")</f>
        <v/>
      </c>
      <c r="W436" s="1">
        <f>'Part B'!$B$150+SUMPRODUCT('Part B'!$B$164:$N$164,C436:O436)</f>
        <v>24.8925080710997</v>
      </c>
      <c r="X436" s="1">
        <f>B436-W436</f>
        <v>-0.892508071099712</v>
      </c>
      <c r="Y436" s="1">
        <f>'Part B'!$B$179+SUMPRODUCT('Part B'!$B$193:$N$193,C436:O436)</f>
        <v>3.09162781619036</v>
      </c>
      <c r="Z436" s="1">
        <f>P436-Y436</f>
        <v>0.086426014157587</v>
      </c>
      <c r="AB436" s="1">
        <f>C436</f>
        <v>0.9</v>
      </c>
      <c r="AC436" s="1">
        <f>D436</f>
        <v>82</v>
      </c>
      <c r="AD436" s="1">
        <f>E436</f>
        <v>3</v>
      </c>
      <c r="AE436" s="1">
        <f>F436</f>
        <v>1</v>
      </c>
      <c r="AF436" s="1">
        <f>G436</f>
        <v>0</v>
      </c>
      <c r="AG436" s="1">
        <f>I436</f>
        <v>0</v>
      </c>
      <c r="AH436" s="1">
        <f>J436</f>
        <v>0</v>
      </c>
      <c r="AI436" s="1">
        <f>Q436</f>
        <v>0</v>
      </c>
      <c r="AJ436" s="1">
        <f>K436</f>
        <v>0</v>
      </c>
      <c r="AK436" s="1">
        <f>L436</f>
        <v>0</v>
      </c>
      <c r="AL436" s="1">
        <f>M436</f>
        <v>1</v>
      </c>
      <c r="AM436" s="1">
        <f>N436</f>
        <v>0</v>
      </c>
      <c r="AN436" s="1">
        <f>O436</f>
        <v>0</v>
      </c>
    </row>
    <row r="437">
      <c r="A437" s="1">
        <v>599</v>
      </c>
      <c r="B437" s="1">
        <v>24</v>
      </c>
      <c r="C437" s="1">
        <v>0.95</v>
      </c>
      <c r="D437" s="1">
        <v>88</v>
      </c>
      <c r="E437" s="1">
        <v>3</v>
      </c>
      <c r="F437" s="1">
        <v>0</v>
      </c>
      <c r="G437" s="1">
        <v>0</v>
      </c>
      <c r="H437" s="1">
        <v>1</v>
      </c>
      <c r="I437" s="1">
        <v>0</v>
      </c>
      <c r="J437" s="1">
        <v>0</v>
      </c>
      <c r="K437" s="1">
        <v>0</v>
      </c>
      <c r="L437" s="1">
        <v>0</v>
      </c>
      <c r="M437" s="1">
        <v>0</v>
      </c>
      <c r="N437" s="1">
        <v>1</v>
      </c>
      <c r="O437" s="1">
        <v>0</v>
      </c>
      <c r="P437" s="1">
        <f>LN(B437)</f>
        <v>3.17805383034795</v>
      </c>
      <c r="Q437" s="1">
        <f>1-SUM(F437:J437)</f>
        <v>0</v>
      </c>
      <c r="R437" s="1" t="str">
        <f>IF(F437=1,"Napa valley",IF(G437=1,"Bay area",IF(H437=1,"Sonoma",IF(I437=1,"Sierra/foothills",IF(J437=1,"Mendocino/lake","Generic California")))))</f>
        <v>Sonoma</v>
      </c>
      <c r="S437" s="1" t="str">
        <f>IF(F437=1,"Napa valley",IF(H437=1,"Sonoma","Other"))</f>
        <v>Sonoma</v>
      </c>
      <c r="T437" s="1" t="str">
        <f>IF(M437=1,"Cabernet",IF(N437=1,"Merlot",IF(L437=1,"Pinot noir","Other")))</f>
        <v>Merlot</v>
      </c>
      <c r="U437" s="1" t="str">
        <f>IF(F437=1,B437,"")</f>
        <v/>
      </c>
      <c r="V437" s="1">
        <f>IF(F437=0,B437,"")</f>
        <v>24</v>
      </c>
      <c r="W437" s="1">
        <f>'Part B'!$B$150+SUMPRODUCT('Part B'!$B$164:$N$164,C437:O437)</f>
        <v>30.8948530291582</v>
      </c>
      <c r="X437" s="1">
        <f>B437-W437</f>
        <v>-6.89485302915824</v>
      </c>
      <c r="Y437" s="1">
        <f>'Part B'!$B$179+SUMPRODUCT('Part B'!$B$193:$N$193,C437:O437)</f>
        <v>3.32691358019845</v>
      </c>
      <c r="Z437" s="1">
        <f>P437-Y437</f>
        <v>-0.148859749850506</v>
      </c>
      <c r="AB437" s="1">
        <f>C437</f>
        <v>0.95</v>
      </c>
      <c r="AC437" s="1">
        <f>D437</f>
        <v>88</v>
      </c>
      <c r="AD437" s="1">
        <f>E437</f>
        <v>3</v>
      </c>
      <c r="AE437" s="1">
        <f>F437</f>
        <v>0</v>
      </c>
      <c r="AF437" s="1">
        <f>G437</f>
        <v>0</v>
      </c>
      <c r="AG437" s="1">
        <f>I437</f>
        <v>0</v>
      </c>
      <c r="AH437" s="1">
        <f>J437</f>
        <v>0</v>
      </c>
      <c r="AI437" s="1">
        <f>Q437</f>
        <v>0</v>
      </c>
      <c r="AJ437" s="1">
        <f>K437</f>
        <v>0</v>
      </c>
      <c r="AK437" s="1">
        <f>L437</f>
        <v>0</v>
      </c>
      <c r="AL437" s="1">
        <f>M437</f>
        <v>0</v>
      </c>
      <c r="AM437" s="1">
        <f>N437</f>
        <v>1</v>
      </c>
      <c r="AN437" s="1">
        <f>O437</f>
        <v>0</v>
      </c>
    </row>
    <row r="438">
      <c r="A438" s="1">
        <v>600</v>
      </c>
      <c r="B438" s="1">
        <v>24</v>
      </c>
      <c r="C438" s="1">
        <v>0.5</v>
      </c>
      <c r="D438" s="1">
        <v>80</v>
      </c>
      <c r="E438" s="1">
        <v>3</v>
      </c>
      <c r="F438" s="1">
        <v>0</v>
      </c>
      <c r="G438" s="1">
        <v>0</v>
      </c>
      <c r="H438" s="1">
        <v>0</v>
      </c>
      <c r="I438" s="1">
        <v>0</v>
      </c>
      <c r="J438" s="1">
        <v>1</v>
      </c>
      <c r="K438" s="1">
        <v>0</v>
      </c>
      <c r="L438" s="1">
        <v>0</v>
      </c>
      <c r="M438" s="1">
        <v>1</v>
      </c>
      <c r="N438" s="1">
        <v>0</v>
      </c>
      <c r="O438" s="1">
        <v>0</v>
      </c>
      <c r="P438" s="1">
        <f>LN(B438)</f>
        <v>3.17805383034795</v>
      </c>
      <c r="Q438" s="1">
        <f>1-SUM(F438:J438)</f>
        <v>0</v>
      </c>
      <c r="R438" s="1" t="str">
        <f>IF(F438=1,"Napa valley",IF(G438=1,"Bay area",IF(H438=1,"Sonoma",IF(I438=1,"Sierra/foothills",IF(J438=1,"Mendocino/lake","Generic California")))))</f>
        <v>Mendocino/lake</v>
      </c>
      <c r="S438" s="1" t="str">
        <f>IF(F438=1,"Napa valley",IF(H438=1,"Sonoma","Other"))</f>
        <v>Other</v>
      </c>
      <c r="T438" s="1" t="str">
        <f>IF(M438=1,"Cabernet",IF(N438=1,"Merlot",IF(L438=1,"Pinot noir","Other")))</f>
        <v>Cabernet</v>
      </c>
      <c r="U438" s="1" t="str">
        <f>IF(F438=1,B438,"")</f>
        <v/>
      </c>
      <c r="V438" s="1">
        <f>IF(F438=0,B438,"")</f>
        <v>24</v>
      </c>
      <c r="W438" s="1">
        <f>'Part B'!$B$150+SUMPRODUCT('Part B'!$B$164:$N$164,C438:O438)</f>
        <v>12.4608145199034</v>
      </c>
      <c r="X438" s="1">
        <f>B438-W438</f>
        <v>11.5391854800966</v>
      </c>
      <c r="Y438" s="1">
        <f>'Part B'!$B$179+SUMPRODUCT('Part B'!$B$193:$N$193,C438:O438)</f>
        <v>2.76092420150499</v>
      </c>
      <c r="Z438" s="1">
        <f>P438-Y438</f>
        <v>0.417129628842951</v>
      </c>
      <c r="AB438" s="1">
        <f>C438</f>
        <v>0.5</v>
      </c>
      <c r="AC438" s="1">
        <f>D438</f>
        <v>80</v>
      </c>
      <c r="AD438" s="1">
        <f>E438</f>
        <v>3</v>
      </c>
      <c r="AE438" s="1">
        <f>F438</f>
        <v>0</v>
      </c>
      <c r="AF438" s="1">
        <f>G438</f>
        <v>0</v>
      </c>
      <c r="AG438" s="1">
        <f>I438</f>
        <v>0</v>
      </c>
      <c r="AH438" s="1">
        <f>J438</f>
        <v>1</v>
      </c>
      <c r="AI438" s="1">
        <f>Q438</f>
        <v>0</v>
      </c>
      <c r="AJ438" s="1">
        <f>K438</f>
        <v>0</v>
      </c>
      <c r="AK438" s="1">
        <f>L438</f>
        <v>0</v>
      </c>
      <c r="AL438" s="1">
        <f>M438</f>
        <v>1</v>
      </c>
      <c r="AM438" s="1">
        <f>N438</f>
        <v>0</v>
      </c>
      <c r="AN438" s="1">
        <f>O438</f>
        <v>0</v>
      </c>
    </row>
    <row r="439">
      <c r="A439" s="1">
        <v>601</v>
      </c>
      <c r="B439" s="1">
        <v>24</v>
      </c>
      <c r="C439" s="1">
        <v>8.2</v>
      </c>
      <c r="D439" s="1">
        <v>85</v>
      </c>
      <c r="E439" s="1">
        <v>3</v>
      </c>
      <c r="F439" s="1">
        <v>1</v>
      </c>
      <c r="G439" s="1">
        <v>0</v>
      </c>
      <c r="H439" s="1">
        <v>0</v>
      </c>
      <c r="I439" s="1">
        <v>0</v>
      </c>
      <c r="J439" s="1">
        <v>0</v>
      </c>
      <c r="K439" s="1">
        <v>0</v>
      </c>
      <c r="L439" s="1">
        <v>0</v>
      </c>
      <c r="M439" s="1">
        <v>1</v>
      </c>
      <c r="N439" s="1">
        <v>0</v>
      </c>
      <c r="O439" s="1">
        <v>0</v>
      </c>
      <c r="P439" s="1">
        <f>LN(B439)</f>
        <v>3.17805383034795</v>
      </c>
      <c r="Q439" s="1">
        <f>1-SUM(F439:J439)</f>
        <v>0</v>
      </c>
      <c r="R439" s="1" t="str">
        <f>IF(F439=1,"Napa valley",IF(G439=1,"Bay area",IF(H439=1,"Sonoma",IF(I439=1,"Sierra/foothills",IF(J439=1,"Mendocino/lake","Generic California")))))</f>
        <v>Napa valley</v>
      </c>
      <c r="S439" s="1" t="str">
        <f>IF(F439=1,"Napa valley",IF(H439=1,"Sonoma","Other"))</f>
        <v>Napa valley</v>
      </c>
      <c r="T439" s="1" t="str">
        <f>IF(M439=1,"Cabernet",IF(N439=1,"Merlot",IF(L439=1,"Pinot noir","Other")))</f>
        <v>Cabernet</v>
      </c>
      <c r="U439" s="1">
        <f>IF(F439=1,B439,"")</f>
        <v>24</v>
      </c>
      <c r="V439" s="1" t="str">
        <f>IF(F439=0,B439,"")</f>
        <v/>
      </c>
      <c r="W439" s="1">
        <f>'Part B'!$B$150+SUMPRODUCT('Part B'!$B$164:$N$164,C439:O439)</f>
        <v>33.6349288298823</v>
      </c>
      <c r="X439" s="1">
        <f>B439-W439</f>
        <v>-9.63492882988231</v>
      </c>
      <c r="Y439" s="1">
        <f>'Part B'!$B$179+SUMPRODUCT('Part B'!$B$193:$N$193,C439:O439)</f>
        <v>3.27027473242353</v>
      </c>
      <c r="Z439" s="1">
        <f>P439-Y439</f>
        <v>-0.0922209020755829</v>
      </c>
      <c r="AB439" s="1">
        <f>C439</f>
        <v>8.2</v>
      </c>
      <c r="AC439" s="1">
        <f>D439</f>
        <v>85</v>
      </c>
      <c r="AD439" s="1">
        <f>E439</f>
        <v>3</v>
      </c>
      <c r="AE439" s="1">
        <f>F439</f>
        <v>1</v>
      </c>
      <c r="AF439" s="1">
        <f>G439</f>
        <v>0</v>
      </c>
      <c r="AG439" s="1">
        <f>I439</f>
        <v>0</v>
      </c>
      <c r="AH439" s="1">
        <f>J439</f>
        <v>0</v>
      </c>
      <c r="AI439" s="1">
        <f>Q439</f>
        <v>0</v>
      </c>
      <c r="AJ439" s="1">
        <f>K439</f>
        <v>0</v>
      </c>
      <c r="AK439" s="1">
        <f>L439</f>
        <v>0</v>
      </c>
      <c r="AL439" s="1">
        <f>M439</f>
        <v>1</v>
      </c>
      <c r="AM439" s="1">
        <f>N439</f>
        <v>0</v>
      </c>
      <c r="AN439" s="1">
        <f>O439</f>
        <v>0</v>
      </c>
    </row>
    <row r="440">
      <c r="A440" s="1">
        <v>602</v>
      </c>
      <c r="B440" s="1">
        <v>24</v>
      </c>
      <c r="C440" s="1">
        <v>29.256</v>
      </c>
      <c r="D440" s="1">
        <v>88</v>
      </c>
      <c r="E440" s="1">
        <v>3</v>
      </c>
      <c r="F440" s="1">
        <v>1</v>
      </c>
      <c r="G440" s="1">
        <v>0</v>
      </c>
      <c r="H440" s="1">
        <v>0</v>
      </c>
      <c r="I440" s="1">
        <v>0</v>
      </c>
      <c r="J440" s="1">
        <v>0</v>
      </c>
      <c r="K440" s="1">
        <v>0</v>
      </c>
      <c r="L440" s="1">
        <v>0</v>
      </c>
      <c r="M440" s="1">
        <v>1</v>
      </c>
      <c r="N440" s="1">
        <v>0</v>
      </c>
      <c r="O440" s="1">
        <v>0</v>
      </c>
      <c r="P440" s="1">
        <f>LN(B440)</f>
        <v>3.17805383034795</v>
      </c>
      <c r="Q440" s="1">
        <f>1-SUM(F440:J440)</f>
        <v>0</v>
      </c>
      <c r="R440" s="1" t="str">
        <f>IF(F440=1,"Napa valley",IF(G440=1,"Bay area",IF(H440=1,"Sonoma",IF(I440=1,"Sierra/foothills",IF(J440=1,"Mendocino/lake","Generic California")))))</f>
        <v>Napa valley</v>
      </c>
      <c r="S440" s="1" t="str">
        <f>IF(F440=1,"Napa valley",IF(H440=1,"Sonoma","Other"))</f>
        <v>Napa valley</v>
      </c>
      <c r="T440" s="1" t="str">
        <f>IF(M440=1,"Cabernet",IF(N440=1,"Merlot",IF(L440=1,"Pinot noir","Other")))</f>
        <v>Cabernet</v>
      </c>
      <c r="U440" s="1">
        <f>IF(F440=1,B440,"")</f>
        <v>24</v>
      </c>
      <c r="V440" s="1" t="str">
        <f>IF(F440=0,B440,"")</f>
        <v/>
      </c>
      <c r="W440" s="1">
        <f>'Part B'!$B$150+SUMPRODUCT('Part B'!$B$164:$N$164,C440:O440)</f>
        <v>41.0717157736339</v>
      </c>
      <c r="X440" s="1">
        <f>B440-W440</f>
        <v>-17.0717157736339</v>
      </c>
      <c r="Y440" s="1">
        <f>'Part B'!$B$179+SUMPRODUCT('Part B'!$B$193:$N$193,C440:O440)</f>
        <v>3.39005880100893</v>
      </c>
      <c r="Z440" s="1">
        <f>P440-Y440</f>
        <v>-0.212004970660983</v>
      </c>
      <c r="AB440" s="1">
        <f>C440</f>
        <v>29.256</v>
      </c>
      <c r="AC440" s="1">
        <f>D440</f>
        <v>88</v>
      </c>
      <c r="AD440" s="1">
        <f>E440</f>
        <v>3</v>
      </c>
      <c r="AE440" s="1">
        <f>F440</f>
        <v>1</v>
      </c>
      <c r="AF440" s="1">
        <f>G440</f>
        <v>0</v>
      </c>
      <c r="AG440" s="1">
        <f>I440</f>
        <v>0</v>
      </c>
      <c r="AH440" s="1">
        <f>J440</f>
        <v>0</v>
      </c>
      <c r="AI440" s="1">
        <f>Q440</f>
        <v>0</v>
      </c>
      <c r="AJ440" s="1">
        <f>K440</f>
        <v>0</v>
      </c>
      <c r="AK440" s="1">
        <f>L440</f>
        <v>0</v>
      </c>
      <c r="AL440" s="1">
        <f>M440</f>
        <v>1</v>
      </c>
      <c r="AM440" s="1">
        <f>N440</f>
        <v>0</v>
      </c>
      <c r="AN440" s="1">
        <f>O440</f>
        <v>0</v>
      </c>
    </row>
    <row r="441">
      <c r="A441" s="1">
        <v>604</v>
      </c>
      <c r="B441" s="1">
        <v>24</v>
      </c>
      <c r="C441" s="1">
        <v>0.957</v>
      </c>
      <c r="D441" s="1">
        <v>85</v>
      </c>
      <c r="E441" s="1">
        <v>3</v>
      </c>
      <c r="F441" s="1">
        <v>0</v>
      </c>
      <c r="G441" s="1">
        <v>0</v>
      </c>
      <c r="H441" s="1">
        <v>1</v>
      </c>
      <c r="I441" s="1">
        <v>0</v>
      </c>
      <c r="J441" s="1">
        <v>0</v>
      </c>
      <c r="K441" s="1">
        <v>0</v>
      </c>
      <c r="L441" s="1">
        <v>0</v>
      </c>
      <c r="M441" s="1">
        <v>0</v>
      </c>
      <c r="N441" s="1">
        <v>1</v>
      </c>
      <c r="O441" s="1">
        <v>0</v>
      </c>
      <c r="P441" s="1">
        <f>LN(B441)</f>
        <v>3.17805383034795</v>
      </c>
      <c r="Q441" s="1">
        <f>1-SUM(F441:J441)</f>
        <v>0</v>
      </c>
      <c r="R441" s="1" t="str">
        <f>IF(F441=1,"Napa valley",IF(G441=1,"Bay area",IF(H441=1,"Sonoma",IF(I441=1,"Sierra/foothills",IF(J441=1,"Mendocino/lake","Generic California")))))</f>
        <v>Sonoma</v>
      </c>
      <c r="S441" s="1" t="str">
        <f>IF(F441=1,"Napa valley",IF(H441=1,"Sonoma","Other"))</f>
        <v>Sonoma</v>
      </c>
      <c r="T441" s="1" t="str">
        <f>IF(M441=1,"Cabernet",IF(N441=1,"Merlot",IF(L441=1,"Pinot noir","Other")))</f>
        <v>Merlot</v>
      </c>
      <c r="U441" s="1" t="str">
        <f>IF(F441=1,B441,"")</f>
        <v/>
      </c>
      <c r="V441" s="1">
        <f>IF(F441=0,B441,"")</f>
        <v>24</v>
      </c>
      <c r="W441" s="1">
        <f>'Part B'!$B$150+SUMPRODUCT('Part B'!$B$164:$N$164,C441:O441)</f>
        <v>21.4588973556889</v>
      </c>
      <c r="X441" s="1">
        <f>B441-W441</f>
        <v>2.54110264431108</v>
      </c>
      <c r="Y441" s="1">
        <f>'Part B'!$B$179+SUMPRODUCT('Part B'!$B$193:$N$193,C441:O441)</f>
        <v>3.11699952033616</v>
      </c>
      <c r="Z441" s="1">
        <f>P441-Y441</f>
        <v>0.0610543100117904</v>
      </c>
      <c r="AB441" s="1">
        <f>C441</f>
        <v>0.957</v>
      </c>
      <c r="AC441" s="1">
        <f>D441</f>
        <v>85</v>
      </c>
      <c r="AD441" s="1">
        <f>E441</f>
        <v>3</v>
      </c>
      <c r="AE441" s="1">
        <f>F441</f>
        <v>0</v>
      </c>
      <c r="AF441" s="1">
        <f>G441</f>
        <v>0</v>
      </c>
      <c r="AG441" s="1">
        <f>I441</f>
        <v>0</v>
      </c>
      <c r="AH441" s="1">
        <f>J441</f>
        <v>0</v>
      </c>
      <c r="AI441" s="1">
        <f>Q441</f>
        <v>0</v>
      </c>
      <c r="AJ441" s="1">
        <f>K441</f>
        <v>0</v>
      </c>
      <c r="AK441" s="1">
        <f>L441</f>
        <v>0</v>
      </c>
      <c r="AL441" s="1">
        <f>M441</f>
        <v>0</v>
      </c>
      <c r="AM441" s="1">
        <f>N441</f>
        <v>1</v>
      </c>
      <c r="AN441" s="1">
        <f>O441</f>
        <v>0</v>
      </c>
    </row>
    <row r="442">
      <c r="A442" s="1">
        <v>605</v>
      </c>
      <c r="B442" s="1">
        <v>24</v>
      </c>
      <c r="C442" s="1">
        <v>1.25</v>
      </c>
      <c r="D442" s="1">
        <v>85</v>
      </c>
      <c r="E442" s="1">
        <v>3</v>
      </c>
      <c r="F442" s="1">
        <v>0</v>
      </c>
      <c r="G442" s="1">
        <v>0</v>
      </c>
      <c r="H442" s="1">
        <v>1</v>
      </c>
      <c r="I442" s="1">
        <v>0</v>
      </c>
      <c r="J442" s="1">
        <v>0</v>
      </c>
      <c r="K442" s="1">
        <v>1</v>
      </c>
      <c r="L442" s="1">
        <v>0</v>
      </c>
      <c r="M442" s="1">
        <v>0</v>
      </c>
      <c r="N442" s="1">
        <v>0</v>
      </c>
      <c r="O442" s="1">
        <v>0</v>
      </c>
      <c r="P442" s="1">
        <f>LN(B442)</f>
        <v>3.17805383034795</v>
      </c>
      <c r="Q442" s="1">
        <f>1-SUM(F442:J442)</f>
        <v>0</v>
      </c>
      <c r="R442" s="1" t="str">
        <f>IF(F442=1,"Napa valley",IF(G442=1,"Bay area",IF(H442=1,"Sonoma",IF(I442=1,"Sierra/foothills",IF(J442=1,"Mendocino/lake","Generic California")))))</f>
        <v>Sonoma</v>
      </c>
      <c r="S442" s="1" t="str">
        <f>IF(F442=1,"Napa valley",IF(H442=1,"Sonoma","Other"))</f>
        <v>Sonoma</v>
      </c>
      <c r="T442" s="1" t="str">
        <f>IF(M442=1,"Cabernet",IF(N442=1,"Merlot",IF(L442=1,"Pinot noir","Other")))</f>
        <v>Other</v>
      </c>
      <c r="U442" s="1" t="str">
        <f>IF(F442=1,B442,"")</f>
        <v/>
      </c>
      <c r="V442" s="1">
        <f>IF(F442=0,B442,"")</f>
        <v>24</v>
      </c>
      <c r="W442" s="1">
        <f>'Part B'!$B$150+SUMPRODUCT('Part B'!$B$164:$N$164,C442:O442)</f>
        <v>34.0586714741639</v>
      </c>
      <c r="X442" s="1">
        <f>B442-W442</f>
        <v>-10.0586714741639</v>
      </c>
      <c r="Y442" s="1">
        <f>'Part B'!$B$179+SUMPRODUCT('Part B'!$B$193:$N$193,C442:O442)</f>
        <v>3.30981848781549</v>
      </c>
      <c r="Z442" s="1">
        <f>P442-Y442</f>
        <v>-0.131764657467548</v>
      </c>
      <c r="AB442" s="1">
        <f>C442</f>
        <v>1.25</v>
      </c>
      <c r="AC442" s="1">
        <f>D442</f>
        <v>85</v>
      </c>
      <c r="AD442" s="1">
        <f>E442</f>
        <v>3</v>
      </c>
      <c r="AE442" s="1">
        <f>F442</f>
        <v>0</v>
      </c>
      <c r="AF442" s="1">
        <f>G442</f>
        <v>0</v>
      </c>
      <c r="AG442" s="1">
        <f>I442</f>
        <v>0</v>
      </c>
      <c r="AH442" s="1">
        <f>J442</f>
        <v>0</v>
      </c>
      <c r="AI442" s="1">
        <f>Q442</f>
        <v>0</v>
      </c>
      <c r="AJ442" s="1">
        <f>K442</f>
        <v>1</v>
      </c>
      <c r="AK442" s="1">
        <f>L442</f>
        <v>0</v>
      </c>
      <c r="AL442" s="1">
        <f>M442</f>
        <v>0</v>
      </c>
      <c r="AM442" s="1">
        <f>N442</f>
        <v>0</v>
      </c>
      <c r="AN442" s="1">
        <f>O442</f>
        <v>0</v>
      </c>
    </row>
    <row r="443">
      <c r="A443" s="1">
        <v>606</v>
      </c>
      <c r="B443" s="1">
        <v>24</v>
      </c>
      <c r="C443" s="1">
        <v>0.5</v>
      </c>
      <c r="D443" s="1">
        <v>87</v>
      </c>
      <c r="E443" s="1">
        <v>3</v>
      </c>
      <c r="F443" s="1">
        <v>1</v>
      </c>
      <c r="G443" s="1">
        <v>0</v>
      </c>
      <c r="H443" s="1">
        <v>0</v>
      </c>
      <c r="I443" s="1">
        <v>0</v>
      </c>
      <c r="J443" s="1">
        <v>0</v>
      </c>
      <c r="K443" s="1">
        <v>0</v>
      </c>
      <c r="L443" s="1">
        <v>0</v>
      </c>
      <c r="M443" s="1">
        <v>0</v>
      </c>
      <c r="N443" s="1">
        <v>1</v>
      </c>
      <c r="O443" s="1">
        <v>0</v>
      </c>
      <c r="P443" s="1">
        <f>LN(B443)</f>
        <v>3.17805383034795</v>
      </c>
      <c r="Q443" s="1">
        <f>1-SUM(F443:J443)</f>
        <v>0</v>
      </c>
      <c r="R443" s="1" t="str">
        <f>IF(F443=1,"Napa valley",IF(G443=1,"Bay area",IF(H443=1,"Sonoma",IF(I443=1,"Sierra/foothills",IF(J443=1,"Mendocino/lake","Generic California")))))</f>
        <v>Napa valley</v>
      </c>
      <c r="S443" s="1" t="str">
        <f>IF(F443=1,"Napa valley",IF(H443=1,"Sonoma","Other"))</f>
        <v>Napa valley</v>
      </c>
      <c r="T443" s="1" t="str">
        <f>IF(M443=1,"Cabernet",IF(N443=1,"Merlot",IF(L443=1,"Pinot noir","Other")))</f>
        <v>Merlot</v>
      </c>
      <c r="U443" s="1">
        <f>IF(F443=1,B443,"")</f>
        <v>24</v>
      </c>
      <c r="V443" s="1" t="str">
        <f>IF(F443=0,B443,"")</f>
        <v/>
      </c>
      <c r="W443" s="1">
        <f>'Part B'!$B$150+SUMPRODUCT('Part B'!$B$164:$N$164,C443:O443)</f>
        <v>35.6889149529284</v>
      </c>
      <c r="X443" s="1">
        <f>B443-W443</f>
        <v>-11.6889149529284</v>
      </c>
      <c r="Y443" s="1">
        <f>'Part B'!$B$179+SUMPRODUCT('Part B'!$B$193:$N$193,C443:O443)</f>
        <v>3.40666535651648</v>
      </c>
      <c r="Z443" s="1">
        <f>P443-Y443</f>
        <v>-0.228611526168537</v>
      </c>
      <c r="AB443" s="1">
        <f>C443</f>
        <v>0.5</v>
      </c>
      <c r="AC443" s="1">
        <f>D443</f>
        <v>87</v>
      </c>
      <c r="AD443" s="1">
        <f>E443</f>
        <v>3</v>
      </c>
      <c r="AE443" s="1">
        <f>F443</f>
        <v>1</v>
      </c>
      <c r="AF443" s="1">
        <f>G443</f>
        <v>0</v>
      </c>
      <c r="AG443" s="1">
        <f>I443</f>
        <v>0</v>
      </c>
      <c r="AH443" s="1">
        <f>J443</f>
        <v>0</v>
      </c>
      <c r="AI443" s="1">
        <f>Q443</f>
        <v>0</v>
      </c>
      <c r="AJ443" s="1">
        <f>K443</f>
        <v>0</v>
      </c>
      <c r="AK443" s="1">
        <f>L443</f>
        <v>0</v>
      </c>
      <c r="AL443" s="1">
        <f>M443</f>
        <v>0</v>
      </c>
      <c r="AM443" s="1">
        <f>N443</f>
        <v>1</v>
      </c>
      <c r="AN443" s="1">
        <f>O443</f>
        <v>0</v>
      </c>
    </row>
    <row r="444">
      <c r="A444" s="1">
        <v>607</v>
      </c>
      <c r="B444" s="1">
        <v>24</v>
      </c>
      <c r="C444" s="1">
        <v>0.231</v>
      </c>
      <c r="D444" s="1">
        <v>90</v>
      </c>
      <c r="E444" s="1">
        <v>3</v>
      </c>
      <c r="F444" s="1">
        <v>1</v>
      </c>
      <c r="G444" s="1">
        <v>0</v>
      </c>
      <c r="H444" s="1">
        <v>0</v>
      </c>
      <c r="I444" s="1">
        <v>0</v>
      </c>
      <c r="J444" s="1">
        <v>0</v>
      </c>
      <c r="K444" s="1">
        <v>0</v>
      </c>
      <c r="L444" s="1">
        <v>0</v>
      </c>
      <c r="M444" s="1">
        <v>1</v>
      </c>
      <c r="N444" s="1">
        <v>0</v>
      </c>
      <c r="O444" s="1">
        <v>0</v>
      </c>
      <c r="P444" s="1">
        <f>LN(B444)</f>
        <v>3.17805383034795</v>
      </c>
      <c r="Q444" s="1">
        <f>1-SUM(F444:J444)</f>
        <v>0</v>
      </c>
      <c r="R444" s="1" t="str">
        <f>IF(F444=1,"Napa valley",IF(G444=1,"Bay area",IF(H444=1,"Sonoma",IF(I444=1,"Sierra/foothills",IF(J444=1,"Mendocino/lake","Generic California")))))</f>
        <v>Napa valley</v>
      </c>
      <c r="S444" s="1" t="str">
        <f>IF(F444=1,"Napa valley",IF(H444=1,"Sonoma","Other"))</f>
        <v>Napa valley</v>
      </c>
      <c r="T444" s="1" t="str">
        <f>IF(M444=1,"Cabernet",IF(N444=1,"Merlot",IF(L444=1,"Pinot noir","Other")))</f>
        <v>Cabernet</v>
      </c>
      <c r="U444" s="1">
        <f>IF(F444=1,B444,"")</f>
        <v>24</v>
      </c>
      <c r="V444" s="1" t="str">
        <f>IF(F444=0,B444,"")</f>
        <v/>
      </c>
      <c r="W444" s="1">
        <f>'Part B'!$B$150+SUMPRODUCT('Part B'!$B$164:$N$164,C444:O444)</f>
        <v>50.1167821218674</v>
      </c>
      <c r="X444" s="1">
        <f>B444-W444</f>
        <v>-26.1167821218674</v>
      </c>
      <c r="Y444" s="1">
        <f>'Part B'!$B$179+SUMPRODUCT('Part B'!$B$193:$N$193,C444:O444)</f>
        <v>3.65418146248983</v>
      </c>
      <c r="Z444" s="1">
        <f>P444-Y444</f>
        <v>-0.476127632141887</v>
      </c>
      <c r="AB444" s="1">
        <f>C444</f>
        <v>0.231</v>
      </c>
      <c r="AC444" s="1">
        <f>D444</f>
        <v>90</v>
      </c>
      <c r="AD444" s="1">
        <f>E444</f>
        <v>3</v>
      </c>
      <c r="AE444" s="1">
        <f>F444</f>
        <v>1</v>
      </c>
      <c r="AF444" s="1">
        <f>G444</f>
        <v>0</v>
      </c>
      <c r="AG444" s="1">
        <f>I444</f>
        <v>0</v>
      </c>
      <c r="AH444" s="1">
        <f>J444</f>
        <v>0</v>
      </c>
      <c r="AI444" s="1">
        <f>Q444</f>
        <v>0</v>
      </c>
      <c r="AJ444" s="1">
        <f>K444</f>
        <v>0</v>
      </c>
      <c r="AK444" s="1">
        <f>L444</f>
        <v>0</v>
      </c>
      <c r="AL444" s="1">
        <f>M444</f>
        <v>1</v>
      </c>
      <c r="AM444" s="1">
        <f>N444</f>
        <v>0</v>
      </c>
      <c r="AN444" s="1">
        <f>O444</f>
        <v>0</v>
      </c>
    </row>
    <row r="445">
      <c r="A445" s="1">
        <v>609</v>
      </c>
      <c r="B445" s="1">
        <v>24</v>
      </c>
      <c r="C445" s="1">
        <v>11.847</v>
      </c>
      <c r="D445" s="1">
        <v>89</v>
      </c>
      <c r="E445" s="1">
        <v>3</v>
      </c>
      <c r="F445" s="1">
        <v>1</v>
      </c>
      <c r="G445" s="1">
        <v>0</v>
      </c>
      <c r="H445" s="1">
        <v>0</v>
      </c>
      <c r="I445" s="1">
        <v>0</v>
      </c>
      <c r="J445" s="1">
        <v>0</v>
      </c>
      <c r="K445" s="1">
        <v>0</v>
      </c>
      <c r="L445" s="1">
        <v>0</v>
      </c>
      <c r="M445" s="1">
        <v>1</v>
      </c>
      <c r="N445" s="1">
        <v>0</v>
      </c>
      <c r="O445" s="1">
        <v>0</v>
      </c>
      <c r="P445" s="1">
        <f>LN(B445)</f>
        <v>3.17805383034795</v>
      </c>
      <c r="Q445" s="1">
        <f>1-SUM(F445:J445)</f>
        <v>0</v>
      </c>
      <c r="R445" s="1" t="str">
        <f>IF(F445=1,"Napa valley",IF(G445=1,"Bay area",IF(H445=1,"Sonoma",IF(I445=1,"Sierra/foothills",IF(J445=1,"Mendocino/lake","Generic California")))))</f>
        <v>Napa valley</v>
      </c>
      <c r="S445" s="1" t="str">
        <f>IF(F445=1,"Napa valley",IF(H445=1,"Sonoma","Other"))</f>
        <v>Napa valley</v>
      </c>
      <c r="T445" s="1" t="str">
        <f>IF(M445=1,"Cabernet",IF(N445=1,"Merlot",IF(L445=1,"Pinot noir","Other")))</f>
        <v>Cabernet</v>
      </c>
      <c r="U445" s="1">
        <f>IF(F445=1,B445,"")</f>
        <v>24</v>
      </c>
      <c r="V445" s="1" t="str">
        <f>IF(F445=0,B445,"")</f>
        <v/>
      </c>
      <c r="W445" s="1">
        <f>'Part B'!$B$150+SUMPRODUCT('Part B'!$B$164:$N$164,C445:O445)</f>
        <v>45.8691666814841</v>
      </c>
      <c r="X445" s="1">
        <f>B445-W445</f>
        <v>-21.8691666814841</v>
      </c>
      <c r="Y445" s="1">
        <f>'Part B'!$B$179+SUMPRODUCT('Part B'!$B$193:$N$193,C445:O445)</f>
        <v>3.53451444973512</v>
      </c>
      <c r="Z445" s="1">
        <f>P445-Y445</f>
        <v>-0.356460619387171</v>
      </c>
      <c r="AB445" s="1">
        <f>C445</f>
        <v>11.847</v>
      </c>
      <c r="AC445" s="1">
        <f>D445</f>
        <v>89</v>
      </c>
      <c r="AD445" s="1">
        <f>E445</f>
        <v>3</v>
      </c>
      <c r="AE445" s="1">
        <f>F445</f>
        <v>1</v>
      </c>
      <c r="AF445" s="1">
        <f>G445</f>
        <v>0</v>
      </c>
      <c r="AG445" s="1">
        <f>I445</f>
        <v>0</v>
      </c>
      <c r="AH445" s="1">
        <f>J445</f>
        <v>0</v>
      </c>
      <c r="AI445" s="1">
        <f>Q445</f>
        <v>0</v>
      </c>
      <c r="AJ445" s="1">
        <f>K445</f>
        <v>0</v>
      </c>
      <c r="AK445" s="1">
        <f>L445</f>
        <v>0</v>
      </c>
      <c r="AL445" s="1">
        <f>M445</f>
        <v>1</v>
      </c>
      <c r="AM445" s="1">
        <f>N445</f>
        <v>0</v>
      </c>
      <c r="AN445" s="1">
        <f>O445</f>
        <v>0</v>
      </c>
    </row>
    <row r="446">
      <c r="A446" s="1">
        <v>610</v>
      </c>
      <c r="B446" s="1">
        <v>24</v>
      </c>
      <c r="C446" s="1">
        <v>0.242</v>
      </c>
      <c r="D446" s="1">
        <v>91</v>
      </c>
      <c r="E446" s="1">
        <v>3</v>
      </c>
      <c r="F446" s="1">
        <v>0</v>
      </c>
      <c r="G446" s="1">
        <v>0</v>
      </c>
      <c r="H446" s="1">
        <v>1</v>
      </c>
      <c r="I446" s="1">
        <v>0</v>
      </c>
      <c r="J446" s="1">
        <v>0</v>
      </c>
      <c r="K446" s="1">
        <v>0</v>
      </c>
      <c r="L446" s="1">
        <v>0</v>
      </c>
      <c r="M446" s="1">
        <v>0</v>
      </c>
      <c r="N446" s="1">
        <v>0</v>
      </c>
      <c r="O446" s="1">
        <v>0</v>
      </c>
      <c r="P446" s="1">
        <f>LN(B446)</f>
        <v>3.17805383034795</v>
      </c>
      <c r="Q446" s="1">
        <f>1-SUM(F446:J446)</f>
        <v>0</v>
      </c>
      <c r="R446" s="1" t="str">
        <f>IF(F446=1,"Napa valley",IF(G446=1,"Bay area",IF(H446=1,"Sonoma",IF(I446=1,"Sierra/foothills",IF(J446=1,"Mendocino/lake","Generic California")))))</f>
        <v>Sonoma</v>
      </c>
      <c r="S446" s="1" t="str">
        <f>IF(F446=1,"Napa valley",IF(H446=1,"Sonoma","Other"))</f>
        <v>Sonoma</v>
      </c>
      <c r="T446" s="1" t="str">
        <f>IF(M446=1,"Cabernet",IF(N446=1,"Merlot",IF(L446=1,"Pinot noir","Other")))</f>
        <v>Other</v>
      </c>
      <c r="U446" s="1" t="str">
        <f>IF(F446=1,B446,"")</f>
        <v/>
      </c>
      <c r="V446" s="1">
        <f>IF(F446=0,B446,"")</f>
        <v>24</v>
      </c>
      <c r="W446" s="1">
        <f>'Part B'!$B$150+SUMPRODUCT('Part B'!$B$164:$N$164,C446:O446)</f>
        <v>32.7371337007747</v>
      </c>
      <c r="X446" s="1">
        <f>B446-W446</f>
        <v>-8.73713370077473</v>
      </c>
      <c r="Y446" s="1">
        <f>'Part B'!$B$179+SUMPRODUCT('Part B'!$B$193:$N$193,C446:O446)</f>
        <v>3.25531253626112</v>
      </c>
      <c r="Z446" s="1">
        <f>P446-Y446</f>
        <v>-0.0772587059131751</v>
      </c>
      <c r="AB446" s="1">
        <f>C446</f>
        <v>0.242</v>
      </c>
      <c r="AC446" s="1">
        <f>D446</f>
        <v>91</v>
      </c>
      <c r="AD446" s="1">
        <f>E446</f>
        <v>3</v>
      </c>
      <c r="AE446" s="1">
        <f>F446</f>
        <v>0</v>
      </c>
      <c r="AF446" s="1">
        <f>G446</f>
        <v>0</v>
      </c>
      <c r="AG446" s="1">
        <f>I446</f>
        <v>0</v>
      </c>
      <c r="AH446" s="1">
        <f>J446</f>
        <v>0</v>
      </c>
      <c r="AI446" s="1">
        <f>Q446</f>
        <v>0</v>
      </c>
      <c r="AJ446" s="1">
        <f>K446</f>
        <v>0</v>
      </c>
      <c r="AK446" s="1">
        <f>L446</f>
        <v>0</v>
      </c>
      <c r="AL446" s="1">
        <f>M446</f>
        <v>0</v>
      </c>
      <c r="AM446" s="1">
        <f>N446</f>
        <v>0</v>
      </c>
      <c r="AN446" s="1">
        <f>O446</f>
        <v>0</v>
      </c>
    </row>
    <row r="447">
      <c r="A447" s="1">
        <v>611</v>
      </c>
      <c r="B447" s="1">
        <v>24</v>
      </c>
      <c r="C447" s="1">
        <v>0.11</v>
      </c>
      <c r="D447" s="1">
        <v>85</v>
      </c>
      <c r="E447" s="1">
        <v>3</v>
      </c>
      <c r="F447" s="1">
        <v>0</v>
      </c>
      <c r="G447" s="1">
        <v>0</v>
      </c>
      <c r="H447" s="1">
        <v>1</v>
      </c>
      <c r="I447" s="1">
        <v>0</v>
      </c>
      <c r="J447" s="1">
        <v>0</v>
      </c>
      <c r="K447" s="1">
        <v>0</v>
      </c>
      <c r="L447" s="1">
        <v>0</v>
      </c>
      <c r="M447" s="1">
        <v>1</v>
      </c>
      <c r="N447" s="1">
        <v>0</v>
      </c>
      <c r="O447" s="1">
        <v>0</v>
      </c>
      <c r="P447" s="1">
        <f>LN(B447)</f>
        <v>3.17805383034795</v>
      </c>
      <c r="Q447" s="1">
        <f>1-SUM(F447:J447)</f>
        <v>0</v>
      </c>
      <c r="R447" s="1" t="str">
        <f>IF(F447=1,"Napa valley",IF(G447=1,"Bay area",IF(H447=1,"Sonoma",IF(I447=1,"Sierra/foothills",IF(J447=1,"Mendocino/lake","Generic California")))))</f>
        <v>Sonoma</v>
      </c>
      <c r="S447" s="1" t="str">
        <f>IF(F447=1,"Napa valley",IF(H447=1,"Sonoma","Other"))</f>
        <v>Sonoma</v>
      </c>
      <c r="T447" s="1" t="str">
        <f>IF(M447=1,"Cabernet",IF(N447=1,"Merlot",IF(L447=1,"Pinot noir","Other")))</f>
        <v>Cabernet</v>
      </c>
      <c r="U447" s="1" t="str">
        <f>IF(F447=1,B447,"")</f>
        <v/>
      </c>
      <c r="V447" s="1">
        <f>IF(F447=0,B447,"")</f>
        <v>24</v>
      </c>
      <c r="W447" s="1">
        <f>'Part B'!$B$150+SUMPRODUCT('Part B'!$B$164:$N$164,C447:O447)</f>
        <v>26.5063334063922</v>
      </c>
      <c r="X447" s="1">
        <f>B447-W447</f>
        <v>-2.50633340639217</v>
      </c>
      <c r="Y447" s="1">
        <f>'Part B'!$B$179+SUMPRODUCT('Part B'!$B$193:$N$193,C447:O447)</f>
        <v>3.15710482072708</v>
      </c>
      <c r="Z447" s="1">
        <f>P447-Y447</f>
        <v>0.0209490096208618</v>
      </c>
      <c r="AB447" s="1">
        <f>C447</f>
        <v>0.11</v>
      </c>
      <c r="AC447" s="1">
        <f>D447</f>
        <v>85</v>
      </c>
      <c r="AD447" s="1">
        <f>E447</f>
        <v>3</v>
      </c>
      <c r="AE447" s="1">
        <f>F447</f>
        <v>0</v>
      </c>
      <c r="AF447" s="1">
        <f>G447</f>
        <v>0</v>
      </c>
      <c r="AG447" s="1">
        <f>I447</f>
        <v>0</v>
      </c>
      <c r="AH447" s="1">
        <f>J447</f>
        <v>0</v>
      </c>
      <c r="AI447" s="1">
        <f>Q447</f>
        <v>0</v>
      </c>
      <c r="AJ447" s="1">
        <f>K447</f>
        <v>0</v>
      </c>
      <c r="AK447" s="1">
        <f>L447</f>
        <v>0</v>
      </c>
      <c r="AL447" s="1">
        <f>M447</f>
        <v>1</v>
      </c>
      <c r="AM447" s="1">
        <f>N447</f>
        <v>0</v>
      </c>
      <c r="AN447" s="1">
        <f>O447</f>
        <v>0</v>
      </c>
    </row>
    <row r="448">
      <c r="A448" s="1">
        <v>612</v>
      </c>
      <c r="B448" s="1">
        <v>24</v>
      </c>
      <c r="C448" s="1">
        <v>0.515</v>
      </c>
      <c r="D448" s="1">
        <v>88</v>
      </c>
      <c r="E448" s="1">
        <v>3</v>
      </c>
      <c r="F448" s="1">
        <v>0</v>
      </c>
      <c r="G448" s="1">
        <v>0</v>
      </c>
      <c r="H448" s="1">
        <v>1</v>
      </c>
      <c r="I448" s="1">
        <v>0</v>
      </c>
      <c r="J448" s="1">
        <v>0</v>
      </c>
      <c r="K448" s="1">
        <v>0</v>
      </c>
      <c r="L448" s="1">
        <v>1</v>
      </c>
      <c r="M448" s="1">
        <v>0</v>
      </c>
      <c r="N448" s="1">
        <v>0</v>
      </c>
      <c r="O448" s="1">
        <v>0</v>
      </c>
      <c r="P448" s="1">
        <f>LN(B448)</f>
        <v>3.17805383034795</v>
      </c>
      <c r="Q448" s="1">
        <f>1-SUM(F448:J448)</f>
        <v>0</v>
      </c>
      <c r="R448" s="1" t="str">
        <f>IF(F448=1,"Napa valley",IF(G448=1,"Bay area",IF(H448=1,"Sonoma",IF(I448=1,"Sierra/foothills",IF(J448=1,"Mendocino/lake","Generic California")))))</f>
        <v>Sonoma</v>
      </c>
      <c r="S448" s="1" t="str">
        <f>IF(F448=1,"Napa valley",IF(H448=1,"Sonoma","Other"))</f>
        <v>Sonoma</v>
      </c>
      <c r="T448" s="1" t="str">
        <f>IF(M448=1,"Cabernet",IF(N448=1,"Merlot",IF(L448=1,"Pinot noir","Other")))</f>
        <v>Pinot noir</v>
      </c>
      <c r="U448" s="1" t="str">
        <f>IF(F448=1,B448,"")</f>
        <v/>
      </c>
      <c r="V448" s="1">
        <f>IF(F448=0,B448,"")</f>
        <v>24</v>
      </c>
      <c r="W448" s="1">
        <f>'Part B'!$B$150+SUMPRODUCT('Part B'!$B$164:$N$164,C448:O448)</f>
        <v>32.7301904912616</v>
      </c>
      <c r="X448" s="1">
        <f>B448-W448</f>
        <v>-8.73019049126157</v>
      </c>
      <c r="Y448" s="1">
        <f>'Part B'!$B$179+SUMPRODUCT('Part B'!$B$193:$N$193,C448:O448)</f>
        <v>3.39078252260255</v>
      </c>
      <c r="Z448" s="1">
        <f>P448-Y448</f>
        <v>-0.212728692254601</v>
      </c>
      <c r="AB448" s="1">
        <f>C448</f>
        <v>0.515</v>
      </c>
      <c r="AC448" s="1">
        <f>D448</f>
        <v>88</v>
      </c>
      <c r="AD448" s="1">
        <f>E448</f>
        <v>3</v>
      </c>
      <c r="AE448" s="1">
        <f>F448</f>
        <v>0</v>
      </c>
      <c r="AF448" s="1">
        <f>G448</f>
        <v>0</v>
      </c>
      <c r="AG448" s="1">
        <f>I448</f>
        <v>0</v>
      </c>
      <c r="AH448" s="1">
        <f>J448</f>
        <v>0</v>
      </c>
      <c r="AI448" s="1">
        <f>Q448</f>
        <v>0</v>
      </c>
      <c r="AJ448" s="1">
        <f>K448</f>
        <v>0</v>
      </c>
      <c r="AK448" s="1">
        <f>L448</f>
        <v>1</v>
      </c>
      <c r="AL448" s="1">
        <f>M448</f>
        <v>0</v>
      </c>
      <c r="AM448" s="1">
        <f>N448</f>
        <v>0</v>
      </c>
      <c r="AN448" s="1">
        <f>O448</f>
        <v>0</v>
      </c>
    </row>
    <row r="449">
      <c r="A449" s="1">
        <v>613</v>
      </c>
      <c r="B449" s="1">
        <v>24</v>
      </c>
      <c r="C449" s="1">
        <v>2.8</v>
      </c>
      <c r="D449" s="1">
        <v>91</v>
      </c>
      <c r="E449" s="1">
        <v>3</v>
      </c>
      <c r="F449" s="1">
        <v>1</v>
      </c>
      <c r="G449" s="1">
        <v>0</v>
      </c>
      <c r="H449" s="1">
        <v>0</v>
      </c>
      <c r="I449" s="1">
        <v>0</v>
      </c>
      <c r="J449" s="1">
        <v>0</v>
      </c>
      <c r="K449" s="1">
        <v>0</v>
      </c>
      <c r="L449" s="1">
        <v>0</v>
      </c>
      <c r="M449" s="1">
        <v>0</v>
      </c>
      <c r="N449" s="1">
        <v>0</v>
      </c>
      <c r="O449" s="1">
        <v>0</v>
      </c>
      <c r="P449" s="1">
        <f>LN(B449)</f>
        <v>3.17805383034795</v>
      </c>
      <c r="Q449" s="1">
        <f>1-SUM(F449:J449)</f>
        <v>0</v>
      </c>
      <c r="R449" s="1" t="str">
        <f>IF(F449=1,"Napa valley",IF(G449=1,"Bay area",IF(H449=1,"Sonoma",IF(I449=1,"Sierra/foothills",IF(J449=1,"Mendocino/lake","Generic California")))))</f>
        <v>Napa valley</v>
      </c>
      <c r="S449" s="1" t="str">
        <f>IF(F449=1,"Napa valley",IF(H449=1,"Sonoma","Other"))</f>
        <v>Napa valley</v>
      </c>
      <c r="T449" s="1" t="str">
        <f>IF(M449=1,"Cabernet",IF(N449=1,"Merlot",IF(L449=1,"Pinot noir","Other")))</f>
        <v>Other</v>
      </c>
      <c r="U449" s="1">
        <f>IF(F449=1,B449,"")</f>
        <v>24</v>
      </c>
      <c r="V449" s="1" t="str">
        <f>IF(F449=0,B449,"")</f>
        <v/>
      </c>
      <c r="W449" s="1">
        <f>'Part B'!$B$150+SUMPRODUCT('Part B'!$B$164:$N$164,C449:O449)</f>
        <v>40.3907920978583</v>
      </c>
      <c r="X449" s="1">
        <f>B449-W449</f>
        <v>-16.3907920978583</v>
      </c>
      <c r="Y449" s="1">
        <f>'Part B'!$B$179+SUMPRODUCT('Part B'!$B$193:$N$193,C449:O449)</f>
        <v>3.39215424740417</v>
      </c>
      <c r="Z449" s="1">
        <f>P449-Y449</f>
        <v>-0.214100417056222</v>
      </c>
      <c r="AB449" s="1">
        <f>C449</f>
        <v>2.8</v>
      </c>
      <c r="AC449" s="1">
        <f>D449</f>
        <v>91</v>
      </c>
      <c r="AD449" s="1">
        <f>E449</f>
        <v>3</v>
      </c>
      <c r="AE449" s="1">
        <f>F449</f>
        <v>1</v>
      </c>
      <c r="AF449" s="1">
        <f>G449</f>
        <v>0</v>
      </c>
      <c r="AG449" s="1">
        <f>I449</f>
        <v>0</v>
      </c>
      <c r="AH449" s="1">
        <f>J449</f>
        <v>0</v>
      </c>
      <c r="AI449" s="1">
        <f>Q449</f>
        <v>0</v>
      </c>
      <c r="AJ449" s="1">
        <f>K449</f>
        <v>0</v>
      </c>
      <c r="AK449" s="1">
        <f>L449</f>
        <v>0</v>
      </c>
      <c r="AL449" s="1">
        <f>M449</f>
        <v>0</v>
      </c>
      <c r="AM449" s="1">
        <f>N449</f>
        <v>0</v>
      </c>
      <c r="AN449" s="1">
        <f>O449</f>
        <v>0</v>
      </c>
    </row>
    <row r="450">
      <c r="A450" s="1">
        <v>614</v>
      </c>
      <c r="B450" s="1">
        <v>24</v>
      </c>
      <c r="C450" s="1">
        <v>10</v>
      </c>
      <c r="D450" s="1">
        <v>82</v>
      </c>
      <c r="E450" s="1">
        <v>3</v>
      </c>
      <c r="F450" s="1">
        <v>0</v>
      </c>
      <c r="G450" s="1">
        <v>0</v>
      </c>
      <c r="H450" s="1">
        <v>1</v>
      </c>
      <c r="I450" s="1">
        <v>0</v>
      </c>
      <c r="J450" s="1">
        <v>0</v>
      </c>
      <c r="K450" s="1">
        <v>0</v>
      </c>
      <c r="L450" s="1">
        <v>0</v>
      </c>
      <c r="M450" s="1">
        <v>1</v>
      </c>
      <c r="N450" s="1">
        <v>0</v>
      </c>
      <c r="O450" s="1">
        <v>0</v>
      </c>
      <c r="P450" s="1">
        <f>LN(B450)</f>
        <v>3.17805383034795</v>
      </c>
      <c r="Q450" s="1">
        <f>1-SUM(F450:J450)</f>
        <v>0</v>
      </c>
      <c r="R450" s="1" t="str">
        <f>IF(F450=1,"Napa valley",IF(G450=1,"Bay area",IF(H450=1,"Sonoma",IF(I450=1,"Sierra/foothills",IF(J450=1,"Mendocino/lake","Generic California")))))</f>
        <v>Sonoma</v>
      </c>
      <c r="S450" s="1" t="str">
        <f>IF(F450=1,"Napa valley",IF(H450=1,"Sonoma","Other"))</f>
        <v>Sonoma</v>
      </c>
      <c r="T450" s="1" t="str">
        <f>IF(M450=1,"Cabernet",IF(N450=1,"Merlot",IF(L450=1,"Pinot noir","Other")))</f>
        <v>Cabernet</v>
      </c>
      <c r="U450" s="1" t="str">
        <f>IF(F450=1,B450,"")</f>
        <v/>
      </c>
      <c r="V450" s="1">
        <f>IF(F450=0,B450,"")</f>
        <v>24</v>
      </c>
      <c r="W450" s="1">
        <f>'Part B'!$B$150+SUMPRODUCT('Part B'!$B$164:$N$164,C450:O450)</f>
        <v>16.132344947669</v>
      </c>
      <c r="X450" s="1">
        <f>B450-W450</f>
        <v>7.86765505233097</v>
      </c>
      <c r="Y450" s="1">
        <f>'Part B'!$B$179+SUMPRODUCT('Part B'!$B$193:$N$193,C450:O450)</f>
        <v>2.90490074026993</v>
      </c>
      <c r="Z450" s="1">
        <f>P450-Y450</f>
        <v>0.273153090078018</v>
      </c>
      <c r="AB450" s="1">
        <f>C450</f>
        <v>10</v>
      </c>
      <c r="AC450" s="1">
        <f>D450</f>
        <v>82</v>
      </c>
      <c r="AD450" s="1">
        <f>E450</f>
        <v>3</v>
      </c>
      <c r="AE450" s="1">
        <f>F450</f>
        <v>0</v>
      </c>
      <c r="AF450" s="1">
        <f>G450</f>
        <v>0</v>
      </c>
      <c r="AG450" s="1">
        <f>I450</f>
        <v>0</v>
      </c>
      <c r="AH450" s="1">
        <f>J450</f>
        <v>0</v>
      </c>
      <c r="AI450" s="1">
        <f>Q450</f>
        <v>0</v>
      </c>
      <c r="AJ450" s="1">
        <f>K450</f>
        <v>0</v>
      </c>
      <c r="AK450" s="1">
        <f>L450</f>
        <v>0</v>
      </c>
      <c r="AL450" s="1">
        <f>M450</f>
        <v>1</v>
      </c>
      <c r="AM450" s="1">
        <f>N450</f>
        <v>0</v>
      </c>
      <c r="AN450" s="1">
        <f>O450</f>
        <v>0</v>
      </c>
    </row>
    <row r="451">
      <c r="A451" s="1">
        <v>615</v>
      </c>
      <c r="B451" s="1">
        <v>24</v>
      </c>
      <c r="C451" s="1">
        <v>0.3</v>
      </c>
      <c r="D451" s="1">
        <v>86</v>
      </c>
      <c r="E451" s="1">
        <v>3</v>
      </c>
      <c r="F451" s="1">
        <v>0</v>
      </c>
      <c r="G451" s="1">
        <v>0</v>
      </c>
      <c r="H451" s="1">
        <v>1</v>
      </c>
      <c r="I451" s="1">
        <v>0</v>
      </c>
      <c r="J451" s="1">
        <v>0</v>
      </c>
      <c r="K451" s="1">
        <v>0</v>
      </c>
      <c r="L451" s="1">
        <v>1</v>
      </c>
      <c r="M451" s="1">
        <v>0</v>
      </c>
      <c r="N451" s="1">
        <v>0</v>
      </c>
      <c r="O451" s="1">
        <v>0</v>
      </c>
      <c r="P451" s="1">
        <f>LN(B451)</f>
        <v>3.17805383034795</v>
      </c>
      <c r="Q451" s="1">
        <f>1-SUM(F451:J451)</f>
        <v>0</v>
      </c>
      <c r="R451" s="1" t="str">
        <f>IF(F451=1,"Napa valley",IF(G451=1,"Bay area",IF(H451=1,"Sonoma",IF(I451=1,"Sierra/foothills",IF(J451=1,"Mendocino/lake","Generic California")))))</f>
        <v>Sonoma</v>
      </c>
      <c r="S451" s="1" t="str">
        <f>IF(F451=1,"Napa valley",IF(H451=1,"Sonoma","Other"))</f>
        <v>Sonoma</v>
      </c>
      <c r="T451" s="1" t="str">
        <f>IF(M451=1,"Cabernet",IF(N451=1,"Merlot",IF(L451=1,"Pinot noir","Other")))</f>
        <v>Pinot noir</v>
      </c>
      <c r="U451" s="1" t="str">
        <f>IF(F451=1,B451,"")</f>
        <v/>
      </c>
      <c r="V451" s="1">
        <f>IF(F451=0,B451,"")</f>
        <v>24</v>
      </c>
      <c r="W451" s="1">
        <f>'Part B'!$B$150+SUMPRODUCT('Part B'!$B$164:$N$164,C451:O451)</f>
        <v>26.4604027670107</v>
      </c>
      <c r="X451" s="1">
        <f>B451-W451</f>
        <v>-2.46040276701075</v>
      </c>
      <c r="Y451" s="1">
        <f>'Part B'!$B$179+SUMPRODUCT('Part B'!$B$193:$N$193,C451:O451)</f>
        <v>3.25177978444389</v>
      </c>
      <c r="Z451" s="1">
        <f>P451-Y451</f>
        <v>-0.073725954095941</v>
      </c>
      <c r="AB451" s="1">
        <f>C451</f>
        <v>0.3</v>
      </c>
      <c r="AC451" s="1">
        <f>D451</f>
        <v>86</v>
      </c>
      <c r="AD451" s="1">
        <f>E451</f>
        <v>3</v>
      </c>
      <c r="AE451" s="1">
        <f>F451</f>
        <v>0</v>
      </c>
      <c r="AF451" s="1">
        <f>G451</f>
        <v>0</v>
      </c>
      <c r="AG451" s="1">
        <f>I451</f>
        <v>0</v>
      </c>
      <c r="AH451" s="1">
        <f>J451</f>
        <v>0</v>
      </c>
      <c r="AI451" s="1">
        <f>Q451</f>
        <v>0</v>
      </c>
      <c r="AJ451" s="1">
        <f>K451</f>
        <v>0</v>
      </c>
      <c r="AK451" s="1">
        <f>L451</f>
        <v>1</v>
      </c>
      <c r="AL451" s="1">
        <f>M451</f>
        <v>0</v>
      </c>
      <c r="AM451" s="1">
        <f>N451</f>
        <v>0</v>
      </c>
      <c r="AN451" s="1">
        <f>O451</f>
        <v>0</v>
      </c>
    </row>
    <row r="452">
      <c r="A452" s="1">
        <v>616</v>
      </c>
      <c r="B452" s="1">
        <v>24</v>
      </c>
      <c r="C452" s="1">
        <v>3.93</v>
      </c>
      <c r="D452" s="1">
        <v>88</v>
      </c>
      <c r="E452" s="1">
        <v>3</v>
      </c>
      <c r="F452" s="1">
        <v>1</v>
      </c>
      <c r="G452" s="1">
        <v>0</v>
      </c>
      <c r="H452" s="1">
        <v>0</v>
      </c>
      <c r="I452" s="1">
        <v>0</v>
      </c>
      <c r="J452" s="1">
        <v>0</v>
      </c>
      <c r="K452" s="1">
        <v>0</v>
      </c>
      <c r="L452" s="1">
        <v>0</v>
      </c>
      <c r="M452" s="1">
        <v>0</v>
      </c>
      <c r="N452" s="1">
        <v>1</v>
      </c>
      <c r="O452" s="1">
        <v>0</v>
      </c>
      <c r="P452" s="1">
        <f>LN(B452)</f>
        <v>3.17805383034795</v>
      </c>
      <c r="Q452" s="1">
        <f>1-SUM(F452:J452)</f>
        <v>0</v>
      </c>
      <c r="R452" s="1" t="str">
        <f>IF(F452=1,"Napa valley",IF(G452=1,"Bay area",IF(H452=1,"Sonoma",IF(I452=1,"Sierra/foothills",IF(J452=1,"Mendocino/lake","Generic California")))))</f>
        <v>Napa valley</v>
      </c>
      <c r="S452" s="1" t="str">
        <f>IF(F452=1,"Napa valley",IF(H452=1,"Sonoma","Other"))</f>
        <v>Napa valley</v>
      </c>
      <c r="T452" s="1" t="str">
        <f>IF(M452=1,"Cabernet",IF(N452=1,"Merlot",IF(L452=1,"Pinot noir","Other")))</f>
        <v>Merlot</v>
      </c>
      <c r="U452" s="1">
        <f>IF(F452=1,B452,"")</f>
        <v>24</v>
      </c>
      <c r="V452" s="1" t="str">
        <f>IF(F452=0,B452,"")</f>
        <v/>
      </c>
      <c r="W452" s="1">
        <f>'Part B'!$B$150+SUMPRODUCT('Part B'!$B$164:$N$164,C452:O452)</f>
        <v>38.5084578154579</v>
      </c>
      <c r="X452" s="1">
        <f>B452-W452</f>
        <v>-14.5084578154579</v>
      </c>
      <c r="Y452" s="1">
        <f>'Part B'!$B$179+SUMPRODUCT('Part B'!$B$193:$N$193,C452:O452)</f>
        <v>3.46194952500627</v>
      </c>
      <c r="Z452" s="1">
        <f>P452-Y452</f>
        <v>-0.283895694658327</v>
      </c>
      <c r="AB452" s="1">
        <f>C452</f>
        <v>3.93</v>
      </c>
      <c r="AC452" s="1">
        <f>D452</f>
        <v>88</v>
      </c>
      <c r="AD452" s="1">
        <f>E452</f>
        <v>3</v>
      </c>
      <c r="AE452" s="1">
        <f>F452</f>
        <v>1</v>
      </c>
      <c r="AF452" s="1">
        <f>G452</f>
        <v>0</v>
      </c>
      <c r="AG452" s="1">
        <f>I452</f>
        <v>0</v>
      </c>
      <c r="AH452" s="1">
        <f>J452</f>
        <v>0</v>
      </c>
      <c r="AI452" s="1">
        <f>Q452</f>
        <v>0</v>
      </c>
      <c r="AJ452" s="1">
        <f>K452</f>
        <v>0</v>
      </c>
      <c r="AK452" s="1">
        <f>L452</f>
        <v>0</v>
      </c>
      <c r="AL452" s="1">
        <f>M452</f>
        <v>0</v>
      </c>
      <c r="AM452" s="1">
        <f>N452</f>
        <v>1</v>
      </c>
      <c r="AN452" s="1">
        <f>O452</f>
        <v>0</v>
      </c>
    </row>
    <row r="453">
      <c r="A453" s="1">
        <v>618</v>
      </c>
      <c r="B453" s="1">
        <v>24</v>
      </c>
      <c r="C453" s="1">
        <v>0.36</v>
      </c>
      <c r="D453" s="1">
        <v>87</v>
      </c>
      <c r="E453" s="1">
        <v>3</v>
      </c>
      <c r="F453" s="1">
        <v>0</v>
      </c>
      <c r="G453" s="1">
        <v>0</v>
      </c>
      <c r="H453" s="1">
        <v>1</v>
      </c>
      <c r="I453" s="1">
        <v>0</v>
      </c>
      <c r="J453" s="1">
        <v>0</v>
      </c>
      <c r="K453" s="1">
        <v>0</v>
      </c>
      <c r="L453" s="1">
        <v>0</v>
      </c>
      <c r="M453" s="1">
        <v>0</v>
      </c>
      <c r="N453" s="1">
        <v>0</v>
      </c>
      <c r="O453" s="1">
        <v>1</v>
      </c>
      <c r="P453" s="1">
        <f>LN(B453)</f>
        <v>3.17805383034795</v>
      </c>
      <c r="Q453" s="1">
        <f>1-SUM(F453:J453)</f>
        <v>0</v>
      </c>
      <c r="R453" s="1" t="str">
        <f>IF(F453=1,"Napa valley",IF(G453=1,"Bay area",IF(H453=1,"Sonoma",IF(I453=1,"Sierra/foothills",IF(J453=1,"Mendocino/lake","Generic California")))))</f>
        <v>Sonoma</v>
      </c>
      <c r="S453" s="1" t="str">
        <f>IF(F453=1,"Napa valley",IF(H453=1,"Sonoma","Other"))</f>
        <v>Sonoma</v>
      </c>
      <c r="T453" s="1" t="str">
        <f>IF(M453=1,"Cabernet",IF(N453=1,"Merlot",IF(L453=1,"Pinot noir","Other")))</f>
        <v>Other</v>
      </c>
      <c r="U453" s="1" t="str">
        <f>IF(F453=1,B453,"")</f>
        <v/>
      </c>
      <c r="V453" s="1">
        <f>IF(F453=0,B453,"")</f>
        <v>24</v>
      </c>
      <c r="W453" s="1">
        <f>'Part B'!$B$150+SUMPRODUCT('Part B'!$B$164:$N$164,C453:O453)</f>
        <v>19.7392583059498</v>
      </c>
      <c r="X453" s="1">
        <f>B453-W453</f>
        <v>4.26074169405024</v>
      </c>
      <c r="Y453" s="1">
        <f>'Part B'!$B$179+SUMPRODUCT('Part B'!$B$193:$N$193,C453:O453)</f>
        <v>3.01819608238846</v>
      </c>
      <c r="Z453" s="1">
        <f>P453-Y453</f>
        <v>0.159857747959488</v>
      </c>
      <c r="AB453" s="1">
        <f>C453</f>
        <v>0.36</v>
      </c>
      <c r="AC453" s="1">
        <f>D453</f>
        <v>87</v>
      </c>
      <c r="AD453" s="1">
        <f>E453</f>
        <v>3</v>
      </c>
      <c r="AE453" s="1">
        <f>F453</f>
        <v>0</v>
      </c>
      <c r="AF453" s="1">
        <f>G453</f>
        <v>0</v>
      </c>
      <c r="AG453" s="1">
        <f>I453</f>
        <v>0</v>
      </c>
      <c r="AH453" s="1">
        <f>J453</f>
        <v>0</v>
      </c>
      <c r="AI453" s="1">
        <f>Q453</f>
        <v>0</v>
      </c>
      <c r="AJ453" s="1">
        <f>K453</f>
        <v>0</v>
      </c>
      <c r="AK453" s="1">
        <f>L453</f>
        <v>0</v>
      </c>
      <c r="AL453" s="1">
        <f>M453</f>
        <v>0</v>
      </c>
      <c r="AM453" s="1">
        <f>N453</f>
        <v>0</v>
      </c>
      <c r="AN453" s="1">
        <f>O453</f>
        <v>1</v>
      </c>
    </row>
    <row r="454">
      <c r="A454" s="1">
        <v>619</v>
      </c>
      <c r="B454" s="1">
        <v>24</v>
      </c>
      <c r="C454" s="1">
        <v>4</v>
      </c>
      <c r="D454" s="1">
        <v>84</v>
      </c>
      <c r="E454" s="1">
        <v>3</v>
      </c>
      <c r="F454" s="1">
        <v>0</v>
      </c>
      <c r="G454" s="1">
        <v>0</v>
      </c>
      <c r="H454" s="1">
        <v>1</v>
      </c>
      <c r="I454" s="1">
        <v>0</v>
      </c>
      <c r="J454" s="1">
        <v>0</v>
      </c>
      <c r="K454" s="1">
        <v>0</v>
      </c>
      <c r="L454" s="1">
        <v>0</v>
      </c>
      <c r="M454" s="1">
        <v>0</v>
      </c>
      <c r="N454" s="1">
        <v>1</v>
      </c>
      <c r="O454" s="1">
        <v>0</v>
      </c>
      <c r="P454" s="1">
        <f>LN(B454)</f>
        <v>3.17805383034795</v>
      </c>
      <c r="Q454" s="1">
        <f>1-SUM(F454:J454)</f>
        <v>0</v>
      </c>
      <c r="R454" s="1" t="str">
        <f>IF(F454=1,"Napa valley",IF(G454=1,"Bay area",IF(H454=1,"Sonoma",IF(I454=1,"Sierra/foothills",IF(J454=1,"Mendocino/lake","Generic California")))))</f>
        <v>Sonoma</v>
      </c>
      <c r="S454" s="1" t="str">
        <f>IF(F454=1,"Napa valley",IF(H454=1,"Sonoma","Other"))</f>
        <v>Sonoma</v>
      </c>
      <c r="T454" s="1" t="str">
        <f>IF(M454=1,"Cabernet",IF(N454=1,"Merlot",IF(L454=1,"Pinot noir","Other")))</f>
        <v>Merlot</v>
      </c>
      <c r="U454" s="1" t="str">
        <f>IF(F454=1,B454,"")</f>
        <v/>
      </c>
      <c r="V454" s="1">
        <f>IF(F454=0,B454,"")</f>
        <v>24</v>
      </c>
      <c r="W454" s="1">
        <f>'Part B'!$B$150+SUMPRODUCT('Part B'!$B$164:$N$164,C454:O454)</f>
        <v>18.024977662344</v>
      </c>
      <c r="X454" s="1">
        <f>B454-W454</f>
        <v>5.97502233765596</v>
      </c>
      <c r="Y454" s="1">
        <f>'Part B'!$B$179+SUMPRODUCT('Part B'!$B$193:$N$193,C454:O454)</f>
        <v>3.03401695021624</v>
      </c>
      <c r="Z454" s="1">
        <f>P454-Y454</f>
        <v>0.144036880131706</v>
      </c>
      <c r="AB454" s="1">
        <f>C454</f>
        <v>4</v>
      </c>
      <c r="AC454" s="1">
        <f>D454</f>
        <v>84</v>
      </c>
      <c r="AD454" s="1">
        <f>E454</f>
        <v>3</v>
      </c>
      <c r="AE454" s="1">
        <f>F454</f>
        <v>0</v>
      </c>
      <c r="AF454" s="1">
        <f>G454</f>
        <v>0</v>
      </c>
      <c r="AG454" s="1">
        <f>I454</f>
        <v>0</v>
      </c>
      <c r="AH454" s="1">
        <f>J454</f>
        <v>0</v>
      </c>
      <c r="AI454" s="1">
        <f>Q454</f>
        <v>0</v>
      </c>
      <c r="AJ454" s="1">
        <f>K454</f>
        <v>0</v>
      </c>
      <c r="AK454" s="1">
        <f>L454</f>
        <v>0</v>
      </c>
      <c r="AL454" s="1">
        <f>M454</f>
        <v>0</v>
      </c>
      <c r="AM454" s="1">
        <f>N454</f>
        <v>1</v>
      </c>
      <c r="AN454" s="1">
        <f>O454</f>
        <v>0</v>
      </c>
    </row>
    <row r="455">
      <c r="A455" s="1">
        <v>620</v>
      </c>
      <c r="B455" s="1">
        <v>24</v>
      </c>
      <c r="C455" s="1">
        <v>0.145</v>
      </c>
      <c r="D455" s="1">
        <v>84</v>
      </c>
      <c r="E455" s="1">
        <v>2</v>
      </c>
      <c r="F455" s="1">
        <v>0</v>
      </c>
      <c r="G455" s="1">
        <v>0</v>
      </c>
      <c r="H455" s="1">
        <v>1</v>
      </c>
      <c r="I455" s="1">
        <v>0</v>
      </c>
      <c r="J455" s="1">
        <v>0</v>
      </c>
      <c r="K455" s="1">
        <v>0</v>
      </c>
      <c r="L455" s="1">
        <v>1</v>
      </c>
      <c r="M455" s="1">
        <v>0</v>
      </c>
      <c r="N455" s="1">
        <v>0</v>
      </c>
      <c r="O455" s="1">
        <v>0</v>
      </c>
      <c r="P455" s="1">
        <f>LN(B455)</f>
        <v>3.17805383034795</v>
      </c>
      <c r="Q455" s="1">
        <f>1-SUM(F455:J455)</f>
        <v>0</v>
      </c>
      <c r="R455" s="1" t="str">
        <f>IF(F455=1,"Napa valley",IF(G455=1,"Bay area",IF(H455=1,"Sonoma",IF(I455=1,"Sierra/foothills",IF(J455=1,"Mendocino/lake","Generic California")))))</f>
        <v>Sonoma</v>
      </c>
      <c r="S455" s="1" t="str">
        <f>IF(F455=1,"Napa valley",IF(H455=1,"Sonoma","Other"))</f>
        <v>Sonoma</v>
      </c>
      <c r="T455" s="1" t="str">
        <f>IF(M455=1,"Cabernet",IF(N455=1,"Merlot",IF(L455=1,"Pinot noir","Other")))</f>
        <v>Pinot noir</v>
      </c>
      <c r="U455" s="1" t="str">
        <f>IF(F455=1,B455,"")</f>
        <v/>
      </c>
      <c r="V455" s="1">
        <f>IF(F455=0,B455,"")</f>
        <v>24</v>
      </c>
      <c r="W455" s="1">
        <f>'Part B'!$B$150+SUMPRODUCT('Part B'!$B$164:$N$164,C455:O455)</f>
        <v>13.5653154582041</v>
      </c>
      <c r="X455" s="1">
        <f>B455-W455</f>
        <v>10.4346845417959</v>
      </c>
      <c r="Y455" s="1">
        <f>'Part B'!$B$179+SUMPRODUCT('Part B'!$B$193:$N$193,C455:O455)</f>
        <v>2.92943501981491</v>
      </c>
      <c r="Z455" s="1">
        <f>P455-Y455</f>
        <v>0.248618810533034</v>
      </c>
      <c r="AB455" s="1">
        <f>C455</f>
        <v>0.145</v>
      </c>
      <c r="AC455" s="1">
        <f>D455</f>
        <v>84</v>
      </c>
      <c r="AD455" s="1">
        <f>E455</f>
        <v>2</v>
      </c>
      <c r="AE455" s="1">
        <f>F455</f>
        <v>0</v>
      </c>
      <c r="AF455" s="1">
        <f>G455</f>
        <v>0</v>
      </c>
      <c r="AG455" s="1">
        <f>I455</f>
        <v>0</v>
      </c>
      <c r="AH455" s="1">
        <f>J455</f>
        <v>0</v>
      </c>
      <c r="AI455" s="1">
        <f>Q455</f>
        <v>0</v>
      </c>
      <c r="AJ455" s="1">
        <f>K455</f>
        <v>0</v>
      </c>
      <c r="AK455" s="1">
        <f>L455</f>
        <v>1</v>
      </c>
      <c r="AL455" s="1">
        <f>M455</f>
        <v>0</v>
      </c>
      <c r="AM455" s="1">
        <f>N455</f>
        <v>0</v>
      </c>
      <c r="AN455" s="1">
        <f>O455</f>
        <v>0</v>
      </c>
    </row>
    <row r="456">
      <c r="A456" s="1">
        <v>621</v>
      </c>
      <c r="B456" s="1">
        <v>24</v>
      </c>
      <c r="C456" s="1">
        <v>1.467</v>
      </c>
      <c r="D456" s="1">
        <v>84</v>
      </c>
      <c r="E456" s="1">
        <v>2</v>
      </c>
      <c r="F456" s="1">
        <v>0</v>
      </c>
      <c r="G456" s="1">
        <v>1</v>
      </c>
      <c r="H456" s="1">
        <v>0</v>
      </c>
      <c r="I456" s="1">
        <v>0</v>
      </c>
      <c r="J456" s="1">
        <v>0</v>
      </c>
      <c r="K456" s="1">
        <v>0</v>
      </c>
      <c r="L456" s="1">
        <v>0</v>
      </c>
      <c r="M456" s="1">
        <v>0</v>
      </c>
      <c r="N456" s="1">
        <v>0</v>
      </c>
      <c r="O456" s="1">
        <v>0</v>
      </c>
      <c r="P456" s="1">
        <f>LN(B456)</f>
        <v>3.17805383034795</v>
      </c>
      <c r="Q456" s="1">
        <f>1-SUM(F456:J456)</f>
        <v>0</v>
      </c>
      <c r="R456" s="1" t="str">
        <f>IF(F456=1,"Napa valley",IF(G456=1,"Bay area",IF(H456=1,"Sonoma",IF(I456=1,"Sierra/foothills",IF(J456=1,"Mendocino/lake","Generic California")))))</f>
        <v>Bay area</v>
      </c>
      <c r="S456" s="1" t="str">
        <f>IF(F456=1,"Napa valley",IF(H456=1,"Sonoma","Other"))</f>
        <v>Other</v>
      </c>
      <c r="T456" s="1" t="str">
        <f>IF(M456=1,"Cabernet",IF(N456=1,"Merlot",IF(L456=1,"Pinot noir","Other")))</f>
        <v>Other</v>
      </c>
      <c r="U456" s="1" t="str">
        <f>IF(F456=1,B456,"")</f>
        <v/>
      </c>
      <c r="V456" s="1">
        <f>IF(F456=0,B456,"")</f>
        <v>24</v>
      </c>
      <c r="W456" s="1">
        <f>'Part B'!$B$150+SUMPRODUCT('Part B'!$B$164:$N$164,C456:O456)</f>
        <v>7.09990104147028</v>
      </c>
      <c r="X456" s="1">
        <f>B456-W456</f>
        <v>16.9000989585297</v>
      </c>
      <c r="Y456" s="1">
        <f>'Part B'!$B$179+SUMPRODUCT('Part B'!$B$193:$N$193,C456:O456)</f>
        <v>2.55031093979934</v>
      </c>
      <c r="Z456" s="1">
        <f>P456-Y456</f>
        <v>0.627742890548606</v>
      </c>
      <c r="AB456" s="1">
        <f>C456</f>
        <v>1.467</v>
      </c>
      <c r="AC456" s="1">
        <f>D456</f>
        <v>84</v>
      </c>
      <c r="AD456" s="1">
        <f>E456</f>
        <v>2</v>
      </c>
      <c r="AE456" s="1">
        <f>F456</f>
        <v>0</v>
      </c>
      <c r="AF456" s="1">
        <f>G456</f>
        <v>1</v>
      </c>
      <c r="AG456" s="1">
        <f>I456</f>
        <v>0</v>
      </c>
      <c r="AH456" s="1">
        <f>J456</f>
        <v>0</v>
      </c>
      <c r="AI456" s="1">
        <f>Q456</f>
        <v>0</v>
      </c>
      <c r="AJ456" s="1">
        <f>K456</f>
        <v>0</v>
      </c>
      <c r="AK456" s="1">
        <f>L456</f>
        <v>0</v>
      </c>
      <c r="AL456" s="1">
        <f>M456</f>
        <v>0</v>
      </c>
      <c r="AM456" s="1">
        <f>N456</f>
        <v>0</v>
      </c>
      <c r="AN456" s="1">
        <f>O456</f>
        <v>0</v>
      </c>
    </row>
    <row r="457">
      <c r="A457" s="1">
        <v>622</v>
      </c>
      <c r="B457" s="1">
        <v>24</v>
      </c>
      <c r="C457" s="1">
        <v>1.467</v>
      </c>
      <c r="D457" s="1">
        <v>84</v>
      </c>
      <c r="E457" s="1">
        <v>2</v>
      </c>
      <c r="F457" s="1">
        <v>0</v>
      </c>
      <c r="G457" s="1">
        <v>1</v>
      </c>
      <c r="H457" s="1">
        <v>0</v>
      </c>
      <c r="I457" s="1">
        <v>0</v>
      </c>
      <c r="J457" s="1">
        <v>0</v>
      </c>
      <c r="K457" s="1">
        <v>0</v>
      </c>
      <c r="L457" s="1">
        <v>0</v>
      </c>
      <c r="M457" s="1">
        <v>0</v>
      </c>
      <c r="N457" s="1">
        <v>0</v>
      </c>
      <c r="O457" s="1">
        <v>0</v>
      </c>
      <c r="P457" s="1">
        <f>LN(B457)</f>
        <v>3.17805383034795</v>
      </c>
      <c r="Q457" s="1">
        <f>1-SUM(F457:J457)</f>
        <v>0</v>
      </c>
      <c r="R457" s="1" t="str">
        <f>IF(F457=1,"Napa valley",IF(G457=1,"Bay area",IF(H457=1,"Sonoma",IF(I457=1,"Sierra/foothills",IF(J457=1,"Mendocino/lake","Generic California")))))</f>
        <v>Bay area</v>
      </c>
      <c r="S457" s="1" t="str">
        <f>IF(F457=1,"Napa valley",IF(H457=1,"Sonoma","Other"))</f>
        <v>Other</v>
      </c>
      <c r="T457" s="1" t="str">
        <f>IF(M457=1,"Cabernet",IF(N457=1,"Merlot",IF(L457=1,"Pinot noir","Other")))</f>
        <v>Other</v>
      </c>
      <c r="U457" s="1" t="str">
        <f>IF(F457=1,B457,"")</f>
        <v/>
      </c>
      <c r="V457" s="1">
        <f>IF(F457=0,B457,"")</f>
        <v>24</v>
      </c>
      <c r="W457" s="1">
        <f>'Part B'!$B$150+SUMPRODUCT('Part B'!$B$164:$N$164,C457:O457)</f>
        <v>7.09990104147028</v>
      </c>
      <c r="X457" s="1">
        <f>B457-W457</f>
        <v>16.9000989585297</v>
      </c>
      <c r="Y457" s="1">
        <f>'Part B'!$B$179+SUMPRODUCT('Part B'!$B$193:$N$193,C457:O457)</f>
        <v>2.55031093979934</v>
      </c>
      <c r="Z457" s="1">
        <f>P457-Y457</f>
        <v>0.627742890548606</v>
      </c>
      <c r="AB457" s="1">
        <f>C457</f>
        <v>1.467</v>
      </c>
      <c r="AC457" s="1">
        <f>D457</f>
        <v>84</v>
      </c>
      <c r="AD457" s="1">
        <f>E457</f>
        <v>2</v>
      </c>
      <c r="AE457" s="1">
        <f>F457</f>
        <v>0</v>
      </c>
      <c r="AF457" s="1">
        <f>G457</f>
        <v>1</v>
      </c>
      <c r="AG457" s="1">
        <f>I457</f>
        <v>0</v>
      </c>
      <c r="AH457" s="1">
        <f>J457</f>
        <v>0</v>
      </c>
      <c r="AI457" s="1">
        <f>Q457</f>
        <v>0</v>
      </c>
      <c r="AJ457" s="1">
        <f>K457</f>
        <v>0</v>
      </c>
      <c r="AK457" s="1">
        <f>L457</f>
        <v>0</v>
      </c>
      <c r="AL457" s="1">
        <f>M457</f>
        <v>0</v>
      </c>
      <c r="AM457" s="1">
        <f>N457</f>
        <v>0</v>
      </c>
      <c r="AN457" s="1">
        <f>O457</f>
        <v>0</v>
      </c>
    </row>
    <row r="458">
      <c r="A458" s="1">
        <v>623</v>
      </c>
      <c r="B458" s="1">
        <v>24</v>
      </c>
      <c r="C458" s="1">
        <v>1.288</v>
      </c>
      <c r="D458" s="1">
        <v>89</v>
      </c>
      <c r="E458" s="1">
        <v>2</v>
      </c>
      <c r="F458" s="1">
        <v>0</v>
      </c>
      <c r="G458" s="1">
        <v>1</v>
      </c>
      <c r="H458" s="1">
        <v>0</v>
      </c>
      <c r="I458" s="1">
        <v>0</v>
      </c>
      <c r="J458" s="1">
        <v>0</v>
      </c>
      <c r="K458" s="1">
        <v>0</v>
      </c>
      <c r="L458" s="1">
        <v>0</v>
      </c>
      <c r="M458" s="1">
        <v>0</v>
      </c>
      <c r="N458" s="1">
        <v>0</v>
      </c>
      <c r="O458" s="1">
        <v>0</v>
      </c>
      <c r="P458" s="1">
        <f>LN(B458)</f>
        <v>3.17805383034795</v>
      </c>
      <c r="Q458" s="1">
        <f>1-SUM(F458:J458)</f>
        <v>0</v>
      </c>
      <c r="R458" s="1" t="str">
        <f>IF(F458=1,"Napa valley",IF(G458=1,"Bay area",IF(H458=1,"Sonoma",IF(I458=1,"Sierra/foothills",IF(J458=1,"Mendocino/lake","Generic California")))))</f>
        <v>Bay area</v>
      </c>
      <c r="S458" s="1" t="str">
        <f>IF(F458=1,"Napa valley",IF(H458=1,"Sonoma","Other"))</f>
        <v>Other</v>
      </c>
      <c r="T458" s="1" t="str">
        <f>IF(M458=1,"Cabernet",IF(N458=1,"Merlot",IF(L458=1,"Pinot noir","Other")))</f>
        <v>Other</v>
      </c>
      <c r="U458" s="1" t="str">
        <f>IF(F458=1,B458,"")</f>
        <v/>
      </c>
      <c r="V458" s="1">
        <f>IF(F458=0,B458,"")</f>
        <v>24</v>
      </c>
      <c r="W458" s="1">
        <f>'Part B'!$B$150+SUMPRODUCT('Part B'!$B$164:$N$164,C458:O458)</f>
        <v>22.8423760680373</v>
      </c>
      <c r="X458" s="1">
        <f>B458-W458</f>
        <v>1.15762393196269</v>
      </c>
      <c r="Y458" s="1">
        <f>'Part B'!$B$179+SUMPRODUCT('Part B'!$B$193:$N$193,C458:O458)</f>
        <v>2.90088373680544</v>
      </c>
      <c r="Z458" s="1">
        <f>P458-Y458</f>
        <v>0.277170093542503</v>
      </c>
      <c r="AB458" s="1">
        <f>C458</f>
        <v>1.288</v>
      </c>
      <c r="AC458" s="1">
        <f>D458</f>
        <v>89</v>
      </c>
      <c r="AD458" s="1">
        <f>E458</f>
        <v>2</v>
      </c>
      <c r="AE458" s="1">
        <f>F458</f>
        <v>0</v>
      </c>
      <c r="AF458" s="1">
        <f>G458</f>
        <v>1</v>
      </c>
      <c r="AG458" s="1">
        <f>I458</f>
        <v>0</v>
      </c>
      <c r="AH458" s="1">
        <f>J458</f>
        <v>0</v>
      </c>
      <c r="AI458" s="1">
        <f>Q458</f>
        <v>0</v>
      </c>
      <c r="AJ458" s="1">
        <f>K458</f>
        <v>0</v>
      </c>
      <c r="AK458" s="1">
        <f>L458</f>
        <v>0</v>
      </c>
      <c r="AL458" s="1">
        <f>M458</f>
        <v>0</v>
      </c>
      <c r="AM458" s="1">
        <f>N458</f>
        <v>0</v>
      </c>
      <c r="AN458" s="1">
        <f>O458</f>
        <v>0</v>
      </c>
    </row>
    <row r="459">
      <c r="A459" s="1">
        <v>625</v>
      </c>
      <c r="B459" s="1">
        <v>24</v>
      </c>
      <c r="C459" s="1">
        <v>0.415</v>
      </c>
      <c r="D459" s="1">
        <v>92</v>
      </c>
      <c r="E459" s="1">
        <v>2</v>
      </c>
      <c r="F459" s="1">
        <v>0</v>
      </c>
      <c r="G459" s="1">
        <v>0</v>
      </c>
      <c r="H459" s="1">
        <v>1</v>
      </c>
      <c r="I459" s="1">
        <v>0</v>
      </c>
      <c r="J459" s="1">
        <v>0</v>
      </c>
      <c r="K459" s="1">
        <v>0</v>
      </c>
      <c r="L459" s="1">
        <v>0</v>
      </c>
      <c r="M459" s="1">
        <v>0</v>
      </c>
      <c r="N459" s="1">
        <v>0</v>
      </c>
      <c r="O459" s="1">
        <v>1</v>
      </c>
      <c r="P459" s="1">
        <f>LN(B459)</f>
        <v>3.17805383034795</v>
      </c>
      <c r="Q459" s="1">
        <f>1-SUM(F459:J459)</f>
        <v>0</v>
      </c>
      <c r="R459" s="1" t="str">
        <f>IF(F459=1,"Napa valley",IF(G459=1,"Bay area",IF(H459=1,"Sonoma",IF(I459=1,"Sierra/foothills",IF(J459=1,"Mendocino/lake","Generic California")))))</f>
        <v>Sonoma</v>
      </c>
      <c r="S459" s="1" t="str">
        <f>IF(F459=1,"Napa valley",IF(H459=1,"Sonoma","Other"))</f>
        <v>Sonoma</v>
      </c>
      <c r="T459" s="1" t="str">
        <f>IF(M459=1,"Cabernet",IF(N459=1,"Merlot",IF(L459=1,"Pinot noir","Other")))</f>
        <v>Other</v>
      </c>
      <c r="U459" s="1" t="str">
        <f>IF(F459=1,B459,"")</f>
        <v/>
      </c>
      <c r="V459" s="1">
        <f>IF(F459=0,B459,"")</f>
        <v>24</v>
      </c>
      <c r="W459" s="1">
        <f>'Part B'!$B$150+SUMPRODUCT('Part B'!$B$164:$N$164,C459:O459)</f>
        <v>28.8399187520453</v>
      </c>
      <c r="X459" s="1">
        <f>B459-W459</f>
        <v>-4.83991875204526</v>
      </c>
      <c r="Y459" s="1">
        <f>'Part B'!$B$179+SUMPRODUCT('Part B'!$B$193:$N$193,C459:O459)</f>
        <v>3.184682295241</v>
      </c>
      <c r="Z459" s="1">
        <f>P459-Y459</f>
        <v>-0.00662846489305613</v>
      </c>
      <c r="AB459" s="1">
        <f>C459</f>
        <v>0.415</v>
      </c>
      <c r="AC459" s="1">
        <f>D459</f>
        <v>92</v>
      </c>
      <c r="AD459" s="1">
        <f>E459</f>
        <v>2</v>
      </c>
      <c r="AE459" s="1">
        <f>F459</f>
        <v>0</v>
      </c>
      <c r="AF459" s="1">
        <f>G459</f>
        <v>0</v>
      </c>
      <c r="AG459" s="1">
        <f>I459</f>
        <v>0</v>
      </c>
      <c r="AH459" s="1">
        <f>J459</f>
        <v>0</v>
      </c>
      <c r="AI459" s="1">
        <f>Q459</f>
        <v>0</v>
      </c>
      <c r="AJ459" s="1">
        <f>K459</f>
        <v>0</v>
      </c>
      <c r="AK459" s="1">
        <f>L459</f>
        <v>0</v>
      </c>
      <c r="AL459" s="1">
        <f>M459</f>
        <v>0</v>
      </c>
      <c r="AM459" s="1">
        <f>N459</f>
        <v>0</v>
      </c>
      <c r="AN459" s="1">
        <f>O459</f>
        <v>1</v>
      </c>
    </row>
    <row r="460">
      <c r="A460" s="1">
        <v>626</v>
      </c>
      <c r="B460" s="1">
        <v>24</v>
      </c>
      <c r="C460" s="1">
        <v>0.497</v>
      </c>
      <c r="D460" s="1">
        <v>94</v>
      </c>
      <c r="E460" s="1">
        <v>2</v>
      </c>
      <c r="F460" s="1">
        <v>0</v>
      </c>
      <c r="G460" s="1">
        <v>0</v>
      </c>
      <c r="H460" s="1">
        <v>1</v>
      </c>
      <c r="I460" s="1">
        <v>0</v>
      </c>
      <c r="J460" s="1">
        <v>0</v>
      </c>
      <c r="K460" s="1">
        <v>0</v>
      </c>
      <c r="L460" s="1">
        <v>0</v>
      </c>
      <c r="M460" s="1">
        <v>0</v>
      </c>
      <c r="N460" s="1">
        <v>0</v>
      </c>
      <c r="O460" s="1">
        <v>0</v>
      </c>
      <c r="P460" s="1">
        <f>LN(B460)</f>
        <v>3.17805383034795</v>
      </c>
      <c r="Q460" s="1">
        <f>1-SUM(F460:J460)</f>
        <v>0</v>
      </c>
      <c r="R460" s="1" t="str">
        <f>IF(F460=1,"Napa valley",IF(G460=1,"Bay area",IF(H460=1,"Sonoma",IF(I460=1,"Sierra/foothills",IF(J460=1,"Mendocino/lake","Generic California")))))</f>
        <v>Sonoma</v>
      </c>
      <c r="S460" s="1" t="str">
        <f>IF(F460=1,"Napa valley",IF(H460=1,"Sonoma","Other"))</f>
        <v>Sonoma</v>
      </c>
      <c r="T460" s="1" t="str">
        <f>IF(M460=1,"Cabernet",IF(N460=1,"Merlot",IF(L460=1,"Pinot noir","Other")))</f>
        <v>Other</v>
      </c>
      <c r="U460" s="1" t="str">
        <f>IF(F460=1,B460,"")</f>
        <v/>
      </c>
      <c r="V460" s="1">
        <f>IF(F460=0,B460,"")</f>
        <v>24</v>
      </c>
      <c r="W460" s="1">
        <f>'Part B'!$B$150+SUMPRODUCT('Part B'!$B$164:$N$164,C460:O460)</f>
        <v>35.528617208223</v>
      </c>
      <c r="X460" s="1">
        <f>B460-W460</f>
        <v>-11.528617208223</v>
      </c>
      <c r="Y460" s="1">
        <f>'Part B'!$B$179+SUMPRODUCT('Part B'!$B$193:$N$193,C460:O460)</f>
        <v>3.28102019808979</v>
      </c>
      <c r="Z460" s="1">
        <f>P460-Y460</f>
        <v>-0.102966367741849</v>
      </c>
      <c r="AB460" s="1">
        <f>C460</f>
        <v>0.497</v>
      </c>
      <c r="AC460" s="1">
        <f>D460</f>
        <v>94</v>
      </c>
      <c r="AD460" s="1">
        <f>E460</f>
        <v>2</v>
      </c>
      <c r="AE460" s="1">
        <f>F460</f>
        <v>0</v>
      </c>
      <c r="AF460" s="1">
        <f>G460</f>
        <v>0</v>
      </c>
      <c r="AG460" s="1">
        <f>I460</f>
        <v>0</v>
      </c>
      <c r="AH460" s="1">
        <f>J460</f>
        <v>0</v>
      </c>
      <c r="AI460" s="1">
        <f>Q460</f>
        <v>0</v>
      </c>
      <c r="AJ460" s="1">
        <f>K460</f>
        <v>0</v>
      </c>
      <c r="AK460" s="1">
        <f>L460</f>
        <v>0</v>
      </c>
      <c r="AL460" s="1">
        <f>M460</f>
        <v>0</v>
      </c>
      <c r="AM460" s="1">
        <f>N460</f>
        <v>0</v>
      </c>
      <c r="AN460" s="1">
        <f>O460</f>
        <v>0</v>
      </c>
    </row>
    <row r="461">
      <c r="A461" s="1">
        <v>627</v>
      </c>
      <c r="B461" s="1">
        <v>24</v>
      </c>
      <c r="C461" s="1">
        <v>1.2</v>
      </c>
      <c r="D461" s="1">
        <v>87</v>
      </c>
      <c r="E461" s="1">
        <v>2</v>
      </c>
      <c r="F461" s="1">
        <v>0</v>
      </c>
      <c r="G461" s="1">
        <v>0</v>
      </c>
      <c r="H461" s="1">
        <v>1</v>
      </c>
      <c r="I461" s="1">
        <v>0</v>
      </c>
      <c r="J461" s="1">
        <v>0</v>
      </c>
      <c r="K461" s="1">
        <v>0</v>
      </c>
      <c r="L461" s="1">
        <v>0</v>
      </c>
      <c r="M461" s="1">
        <v>0</v>
      </c>
      <c r="N461" s="1">
        <v>0</v>
      </c>
      <c r="O461" s="1">
        <v>0</v>
      </c>
      <c r="P461" s="1">
        <f>LN(B461)</f>
        <v>3.17805383034795</v>
      </c>
      <c r="Q461" s="1">
        <f>1-SUM(F461:J461)</f>
        <v>0</v>
      </c>
      <c r="R461" s="1" t="str">
        <f>IF(F461=1,"Napa valley",IF(G461=1,"Bay area",IF(H461=1,"Sonoma",IF(I461=1,"Sierra/foothills",IF(J461=1,"Mendocino/lake","Generic California")))))</f>
        <v>Sonoma</v>
      </c>
      <c r="S461" s="1" t="str">
        <f>IF(F461=1,"Napa valley",IF(H461=1,"Sonoma","Other"))</f>
        <v>Sonoma</v>
      </c>
      <c r="T461" s="1" t="str">
        <f>IF(M461=1,"Cabernet",IF(N461=1,"Merlot",IF(L461=1,"Pinot noir","Other")))</f>
        <v>Other</v>
      </c>
      <c r="U461" s="1" t="str">
        <f>IF(F461=1,B461,"")</f>
        <v/>
      </c>
      <c r="V461" s="1">
        <f>IF(F461=0,B461,"")</f>
        <v>24</v>
      </c>
      <c r="W461" s="1">
        <f>'Part B'!$B$150+SUMPRODUCT('Part B'!$B$164:$N$164,C461:O461)</f>
        <v>13.4462131816484</v>
      </c>
      <c r="X461" s="1">
        <f>B461-W461</f>
        <v>10.5537868183516</v>
      </c>
      <c r="Y461" s="1">
        <f>'Part B'!$B$179+SUMPRODUCT('Part B'!$B$193:$N$193,C461:O461)</f>
        <v>2.78828243230481</v>
      </c>
      <c r="Z461" s="1">
        <f>P461-Y461</f>
        <v>0.389771398043132</v>
      </c>
      <c r="AB461" s="1">
        <f>C461</f>
        <v>1.2</v>
      </c>
      <c r="AC461" s="1">
        <f>D461</f>
        <v>87</v>
      </c>
      <c r="AD461" s="1">
        <f>E461</f>
        <v>2</v>
      </c>
      <c r="AE461" s="1">
        <f>F461</f>
        <v>0</v>
      </c>
      <c r="AF461" s="1">
        <f>G461</f>
        <v>0</v>
      </c>
      <c r="AG461" s="1">
        <f>I461</f>
        <v>0</v>
      </c>
      <c r="AH461" s="1">
        <f>J461</f>
        <v>0</v>
      </c>
      <c r="AI461" s="1">
        <f>Q461</f>
        <v>0</v>
      </c>
      <c r="AJ461" s="1">
        <f>K461</f>
        <v>0</v>
      </c>
      <c r="AK461" s="1">
        <f>L461</f>
        <v>0</v>
      </c>
      <c r="AL461" s="1">
        <f>M461</f>
        <v>0</v>
      </c>
      <c r="AM461" s="1">
        <f>N461</f>
        <v>0</v>
      </c>
      <c r="AN461" s="1">
        <f>O461</f>
        <v>0</v>
      </c>
    </row>
    <row r="462">
      <c r="A462" s="1">
        <v>628</v>
      </c>
      <c r="B462" s="1">
        <v>24</v>
      </c>
      <c r="C462" s="1">
        <v>2.252</v>
      </c>
      <c r="D462" s="1">
        <v>91</v>
      </c>
      <c r="E462" s="1">
        <v>2</v>
      </c>
      <c r="F462" s="1">
        <v>1</v>
      </c>
      <c r="G462" s="1">
        <v>0</v>
      </c>
      <c r="H462" s="1">
        <v>0</v>
      </c>
      <c r="I462" s="1">
        <v>0</v>
      </c>
      <c r="J462" s="1">
        <v>0</v>
      </c>
      <c r="K462" s="1">
        <v>0</v>
      </c>
      <c r="L462" s="1">
        <v>0</v>
      </c>
      <c r="M462" s="1">
        <v>1</v>
      </c>
      <c r="N462" s="1">
        <v>0</v>
      </c>
      <c r="O462" s="1">
        <v>0</v>
      </c>
      <c r="P462" s="1">
        <f>LN(B462)</f>
        <v>3.17805383034795</v>
      </c>
      <c r="Q462" s="1">
        <f>1-SUM(F462:J462)</f>
        <v>0</v>
      </c>
      <c r="R462" s="1" t="str">
        <f>IF(F462=1,"Napa valley",IF(G462=1,"Bay area",IF(H462=1,"Sonoma",IF(I462=1,"Sierra/foothills",IF(J462=1,"Mendocino/lake","Generic California")))))</f>
        <v>Napa valley</v>
      </c>
      <c r="S462" s="1" t="str">
        <f>IF(F462=1,"Napa valley",IF(H462=1,"Sonoma","Other"))</f>
        <v>Napa valley</v>
      </c>
      <c r="T462" s="1" t="str">
        <f>IF(M462=1,"Cabernet",IF(N462=1,"Merlot",IF(L462=1,"Pinot noir","Other")))</f>
        <v>Cabernet</v>
      </c>
      <c r="U462" s="1">
        <f>IF(F462=1,B462,"")</f>
        <v>24</v>
      </c>
      <c r="V462" s="1" t="str">
        <f>IF(F462=0,B462,"")</f>
        <v/>
      </c>
      <c r="W462" s="1">
        <f>'Part B'!$B$150+SUMPRODUCT('Part B'!$B$164:$N$164,C462:O462)</f>
        <v>46.4504537274277</v>
      </c>
      <c r="X462" s="1">
        <f>B462-W462</f>
        <v>-22.4504537274277</v>
      </c>
      <c r="Y462" s="1">
        <f>'Part B'!$B$179+SUMPRODUCT('Part B'!$B$193:$N$193,C462:O462)</f>
        <v>3.53240955414544</v>
      </c>
      <c r="Z462" s="1">
        <f>P462-Y462</f>
        <v>-0.354355723797491</v>
      </c>
      <c r="AB462" s="1">
        <f>C462</f>
        <v>2.252</v>
      </c>
      <c r="AC462" s="1">
        <f>D462</f>
        <v>91</v>
      </c>
      <c r="AD462" s="1">
        <f>E462</f>
        <v>2</v>
      </c>
      <c r="AE462" s="1">
        <f>F462</f>
        <v>1</v>
      </c>
      <c r="AF462" s="1">
        <f>G462</f>
        <v>0</v>
      </c>
      <c r="AG462" s="1">
        <f>I462</f>
        <v>0</v>
      </c>
      <c r="AH462" s="1">
        <f>J462</f>
        <v>0</v>
      </c>
      <c r="AI462" s="1">
        <f>Q462</f>
        <v>0</v>
      </c>
      <c r="AJ462" s="1">
        <f>K462</f>
        <v>0</v>
      </c>
      <c r="AK462" s="1">
        <f>L462</f>
        <v>0</v>
      </c>
      <c r="AL462" s="1">
        <f>M462</f>
        <v>1</v>
      </c>
      <c r="AM462" s="1">
        <f>N462</f>
        <v>0</v>
      </c>
      <c r="AN462" s="1">
        <f>O462</f>
        <v>0</v>
      </c>
    </row>
    <row r="463">
      <c r="A463" s="1">
        <v>629</v>
      </c>
      <c r="B463" s="1">
        <v>24</v>
      </c>
      <c r="C463" s="1">
        <v>3.9</v>
      </c>
      <c r="D463" s="1">
        <v>89</v>
      </c>
      <c r="E463" s="1">
        <v>2</v>
      </c>
      <c r="F463" s="1">
        <v>1</v>
      </c>
      <c r="G463" s="1">
        <v>0</v>
      </c>
      <c r="H463" s="1">
        <v>0</v>
      </c>
      <c r="I463" s="1">
        <v>0</v>
      </c>
      <c r="J463" s="1">
        <v>0</v>
      </c>
      <c r="K463" s="1">
        <v>0</v>
      </c>
      <c r="L463" s="1">
        <v>0</v>
      </c>
      <c r="M463" s="1">
        <v>0</v>
      </c>
      <c r="N463" s="1">
        <v>1</v>
      </c>
      <c r="O463" s="1">
        <v>0</v>
      </c>
      <c r="P463" s="1">
        <f>LN(B463)</f>
        <v>3.17805383034795</v>
      </c>
      <c r="Q463" s="1">
        <f>1-SUM(F463:J463)</f>
        <v>0</v>
      </c>
      <c r="R463" s="1" t="str">
        <f>IF(F463=1,"Napa valley",IF(G463=1,"Bay area",IF(H463=1,"Sonoma",IF(I463=1,"Sierra/foothills",IF(J463=1,"Mendocino/lake","Generic California")))))</f>
        <v>Napa valley</v>
      </c>
      <c r="S463" s="1" t="str">
        <f>IF(F463=1,"Napa valley",IF(H463=1,"Sonoma","Other"))</f>
        <v>Napa valley</v>
      </c>
      <c r="T463" s="1" t="str">
        <f>IF(M463=1,"Cabernet",IF(N463=1,"Merlot",IF(L463=1,"Pinot noir","Other")))</f>
        <v>Merlot</v>
      </c>
      <c r="U463" s="1">
        <f>IF(F463=1,B463,"")</f>
        <v>24</v>
      </c>
      <c r="V463" s="1" t="str">
        <f>IF(F463=0,B463,"")</f>
        <v/>
      </c>
      <c r="W463" s="1">
        <f>'Part B'!$B$150+SUMPRODUCT('Part B'!$B$164:$N$164,C463:O463)</f>
        <v>35.0367975625294</v>
      </c>
      <c r="X463" s="1">
        <f>B463-W463</f>
        <v>-11.0367975625294</v>
      </c>
      <c r="Y463" s="1">
        <f>'Part B'!$B$179+SUMPRODUCT('Part B'!$B$193:$N$193,C463:O463)</f>
        <v>3.34895398337644</v>
      </c>
      <c r="Z463" s="1">
        <f>P463-Y463</f>
        <v>-0.170900153028497</v>
      </c>
      <c r="AB463" s="1">
        <f>C463</f>
        <v>3.9</v>
      </c>
      <c r="AC463" s="1">
        <f>D463</f>
        <v>89</v>
      </c>
      <c r="AD463" s="1">
        <f>E463</f>
        <v>2</v>
      </c>
      <c r="AE463" s="1">
        <f>F463</f>
        <v>1</v>
      </c>
      <c r="AF463" s="1">
        <f>G463</f>
        <v>0</v>
      </c>
      <c r="AG463" s="1">
        <f>I463</f>
        <v>0</v>
      </c>
      <c r="AH463" s="1">
        <f>J463</f>
        <v>0</v>
      </c>
      <c r="AI463" s="1">
        <f>Q463</f>
        <v>0</v>
      </c>
      <c r="AJ463" s="1">
        <f>K463</f>
        <v>0</v>
      </c>
      <c r="AK463" s="1">
        <f>L463</f>
        <v>0</v>
      </c>
      <c r="AL463" s="1">
        <f>M463</f>
        <v>0</v>
      </c>
      <c r="AM463" s="1">
        <f>N463</f>
        <v>1</v>
      </c>
      <c r="AN463" s="1">
        <f>O463</f>
        <v>0</v>
      </c>
    </row>
    <row r="464">
      <c r="A464" s="1">
        <v>630</v>
      </c>
      <c r="B464" s="1">
        <v>24</v>
      </c>
      <c r="C464" s="1">
        <v>1.722</v>
      </c>
      <c r="D464" s="1">
        <v>92</v>
      </c>
      <c r="E464" s="1">
        <v>2</v>
      </c>
      <c r="F464" s="1">
        <v>0</v>
      </c>
      <c r="G464" s="1">
        <v>0</v>
      </c>
      <c r="H464" s="1">
        <v>1</v>
      </c>
      <c r="I464" s="1">
        <v>0</v>
      </c>
      <c r="J464" s="1">
        <v>0</v>
      </c>
      <c r="K464" s="1">
        <v>0</v>
      </c>
      <c r="L464" s="1">
        <v>0</v>
      </c>
      <c r="M464" s="1">
        <v>0</v>
      </c>
      <c r="N464" s="1">
        <v>0</v>
      </c>
      <c r="O464" s="1">
        <v>0</v>
      </c>
      <c r="P464" s="1">
        <f>LN(B464)</f>
        <v>3.17805383034795</v>
      </c>
      <c r="Q464" s="1">
        <f>1-SUM(F464:J464)</f>
        <v>0</v>
      </c>
      <c r="R464" s="1" t="str">
        <f>IF(F464=1,"Napa valley",IF(G464=1,"Bay area",IF(H464=1,"Sonoma",IF(I464=1,"Sierra/foothills",IF(J464=1,"Mendocino/lake","Generic California")))))</f>
        <v>Sonoma</v>
      </c>
      <c r="S464" s="1" t="str">
        <f>IF(F464=1,"Napa valley",IF(H464=1,"Sonoma","Other"))</f>
        <v>Sonoma</v>
      </c>
      <c r="T464" s="1" t="str">
        <f>IF(M464=1,"Cabernet",IF(N464=1,"Merlot",IF(L464=1,"Pinot noir","Other")))</f>
        <v>Other</v>
      </c>
      <c r="U464" s="1" t="str">
        <f>IF(F464=1,B464,"")</f>
        <v/>
      </c>
      <c r="V464" s="1">
        <f>IF(F464=0,B464,"")</f>
        <v>24</v>
      </c>
      <c r="W464" s="1">
        <f>'Part B'!$B$150+SUMPRODUCT('Part B'!$B$164:$N$164,C464:O464)</f>
        <v>29.1221536557048</v>
      </c>
      <c r="X464" s="1">
        <f>B464-W464</f>
        <v>-5.12215365570484</v>
      </c>
      <c r="Y464" s="1">
        <f>'Part B'!$B$179+SUMPRODUCT('Part B'!$B$193:$N$193,C464:O464)</f>
        <v>3.13585560324221</v>
      </c>
      <c r="Z464" s="1">
        <f>P464-Y464</f>
        <v>0.042198227105732</v>
      </c>
      <c r="AB464" s="1">
        <f>C464</f>
        <v>1.722</v>
      </c>
      <c r="AC464" s="1">
        <f>D464</f>
        <v>92</v>
      </c>
      <c r="AD464" s="1">
        <f>E464</f>
        <v>2</v>
      </c>
      <c r="AE464" s="1">
        <f>F464</f>
        <v>0</v>
      </c>
      <c r="AF464" s="1">
        <f>G464</f>
        <v>0</v>
      </c>
      <c r="AG464" s="1">
        <f>I464</f>
        <v>0</v>
      </c>
      <c r="AH464" s="1">
        <f>J464</f>
        <v>0</v>
      </c>
      <c r="AI464" s="1">
        <f>Q464</f>
        <v>0</v>
      </c>
      <c r="AJ464" s="1">
        <f>K464</f>
        <v>0</v>
      </c>
      <c r="AK464" s="1">
        <f>L464</f>
        <v>0</v>
      </c>
      <c r="AL464" s="1">
        <f>M464</f>
        <v>0</v>
      </c>
      <c r="AM464" s="1">
        <f>N464</f>
        <v>0</v>
      </c>
      <c r="AN464" s="1">
        <f>O464</f>
        <v>0</v>
      </c>
    </row>
    <row r="465">
      <c r="A465" s="1">
        <v>631</v>
      </c>
      <c r="B465" s="1">
        <v>24</v>
      </c>
      <c r="C465" s="1">
        <v>0.71</v>
      </c>
      <c r="D465" s="1">
        <v>85</v>
      </c>
      <c r="E465" s="1">
        <v>2</v>
      </c>
      <c r="F465" s="1">
        <v>1</v>
      </c>
      <c r="G465" s="1">
        <v>0</v>
      </c>
      <c r="H465" s="1">
        <v>0</v>
      </c>
      <c r="I465" s="1">
        <v>0</v>
      </c>
      <c r="J465" s="1">
        <v>0</v>
      </c>
      <c r="K465" s="1">
        <v>0</v>
      </c>
      <c r="L465" s="1">
        <v>0</v>
      </c>
      <c r="M465" s="1">
        <v>0</v>
      </c>
      <c r="N465" s="1">
        <v>0</v>
      </c>
      <c r="O465" s="1">
        <v>0</v>
      </c>
      <c r="P465" s="1">
        <f>LN(B465)</f>
        <v>3.17805383034795</v>
      </c>
      <c r="Q465" s="1">
        <f>1-SUM(F465:J465)</f>
        <v>0</v>
      </c>
      <c r="R465" s="1" t="str">
        <f>IF(F465=1,"Napa valley",IF(G465=1,"Bay area",IF(H465=1,"Sonoma",IF(I465=1,"Sierra/foothills",IF(J465=1,"Mendocino/lake","Generic California")))))</f>
        <v>Napa valley</v>
      </c>
      <c r="S465" s="1" t="str">
        <f>IF(F465=1,"Napa valley",IF(H465=1,"Sonoma","Other"))</f>
        <v>Napa valley</v>
      </c>
      <c r="T465" s="1" t="str">
        <f>IF(M465=1,"Cabernet",IF(N465=1,"Merlot",IF(L465=1,"Pinot noir","Other")))</f>
        <v>Other</v>
      </c>
      <c r="U465" s="1">
        <f>IF(F465=1,B465,"")</f>
        <v>24</v>
      </c>
      <c r="V465" s="1" t="str">
        <f>IF(F465=0,B465,"")</f>
        <v/>
      </c>
      <c r="W465" s="1">
        <f>'Part B'!$B$150+SUMPRODUCT('Part B'!$B$164:$N$164,C465:O465)</f>
        <v>15.0989745638431</v>
      </c>
      <c r="X465" s="1">
        <f>B465-W465</f>
        <v>8.90102543615689</v>
      </c>
      <c r="Y465" s="1">
        <f>'Part B'!$B$179+SUMPRODUCT('Part B'!$B$193:$N$193,C465:O465)</f>
        <v>2.79824400251122</v>
      </c>
      <c r="Z465" s="1">
        <f>P465-Y465</f>
        <v>0.379809827836723</v>
      </c>
      <c r="AB465" s="1">
        <f>C465</f>
        <v>0.71</v>
      </c>
      <c r="AC465" s="1">
        <f>D465</f>
        <v>85</v>
      </c>
      <c r="AD465" s="1">
        <f>E465</f>
        <v>2</v>
      </c>
      <c r="AE465" s="1">
        <f>F465</f>
        <v>1</v>
      </c>
      <c r="AF465" s="1">
        <f>G465</f>
        <v>0</v>
      </c>
      <c r="AG465" s="1">
        <f>I465</f>
        <v>0</v>
      </c>
      <c r="AH465" s="1">
        <f>J465</f>
        <v>0</v>
      </c>
      <c r="AI465" s="1">
        <f>Q465</f>
        <v>0</v>
      </c>
      <c r="AJ465" s="1">
        <f>K465</f>
        <v>0</v>
      </c>
      <c r="AK465" s="1">
        <f>L465</f>
        <v>0</v>
      </c>
      <c r="AL465" s="1">
        <f>M465</f>
        <v>0</v>
      </c>
      <c r="AM465" s="1">
        <f>N465</f>
        <v>0</v>
      </c>
      <c r="AN465" s="1">
        <f>O465</f>
        <v>0</v>
      </c>
    </row>
    <row r="466">
      <c r="A466" s="1">
        <v>635</v>
      </c>
      <c r="B466" s="1">
        <v>24</v>
      </c>
      <c r="C466" s="1">
        <v>7.559</v>
      </c>
      <c r="D466" s="1">
        <v>89</v>
      </c>
      <c r="E466" s="1">
        <v>2</v>
      </c>
      <c r="F466" s="1">
        <v>1</v>
      </c>
      <c r="G466" s="1">
        <v>0</v>
      </c>
      <c r="H466" s="1">
        <v>0</v>
      </c>
      <c r="I466" s="1">
        <v>0</v>
      </c>
      <c r="J466" s="1">
        <v>0</v>
      </c>
      <c r="K466" s="1">
        <v>0</v>
      </c>
      <c r="L466" s="1">
        <v>0</v>
      </c>
      <c r="M466" s="1">
        <v>0</v>
      </c>
      <c r="N466" s="1">
        <v>1</v>
      </c>
      <c r="O466" s="1">
        <v>0</v>
      </c>
      <c r="P466" s="1">
        <f>LN(B466)</f>
        <v>3.17805383034795</v>
      </c>
      <c r="Q466" s="1">
        <f>1-SUM(F466:J466)</f>
        <v>0</v>
      </c>
      <c r="R466" s="1" t="str">
        <f>IF(F466=1,"Napa valley",IF(G466=1,"Bay area",IF(H466=1,"Sonoma",IF(I466=1,"Sierra/foothills",IF(J466=1,"Mendocino/lake","Generic California")))))</f>
        <v>Napa valley</v>
      </c>
      <c r="S466" s="1" t="str">
        <f>IF(F466=1,"Napa valley",IF(H466=1,"Sonoma","Other"))</f>
        <v>Napa valley</v>
      </c>
      <c r="T466" s="1" t="str">
        <f>IF(M466=1,"Cabernet",IF(N466=1,"Merlot",IF(L466=1,"Pinot noir","Other")))</f>
        <v>Merlot</v>
      </c>
      <c r="U466" s="1">
        <f>IF(F466=1,B466,"")</f>
        <v>24</v>
      </c>
      <c r="V466" s="1" t="str">
        <f>IF(F466=0,B466,"")</f>
        <v/>
      </c>
      <c r="W466" s="1">
        <f>'Part B'!$B$150+SUMPRODUCT('Part B'!$B$164:$N$164,C466:O466)</f>
        <v>34.6895080794531</v>
      </c>
      <c r="X466" s="1">
        <f>B466-W466</f>
        <v>-10.6895080794531</v>
      </c>
      <c r="Y466" s="1">
        <f>'Part B'!$B$179+SUMPRODUCT('Part B'!$B$193:$N$193,C466:O466)</f>
        <v>3.33329687669258</v>
      </c>
      <c r="Z466" s="1">
        <f>P466-Y466</f>
        <v>-0.155243046344637</v>
      </c>
      <c r="AB466" s="1">
        <f>C466</f>
        <v>7.559</v>
      </c>
      <c r="AC466" s="1">
        <f>D466</f>
        <v>89</v>
      </c>
      <c r="AD466" s="1">
        <f>E466</f>
        <v>2</v>
      </c>
      <c r="AE466" s="1">
        <f>F466</f>
        <v>1</v>
      </c>
      <c r="AF466" s="1">
        <f>G466</f>
        <v>0</v>
      </c>
      <c r="AG466" s="1">
        <f>I466</f>
        <v>0</v>
      </c>
      <c r="AH466" s="1">
        <f>J466</f>
        <v>0</v>
      </c>
      <c r="AI466" s="1">
        <f>Q466</f>
        <v>0</v>
      </c>
      <c r="AJ466" s="1">
        <f>K466</f>
        <v>0</v>
      </c>
      <c r="AK466" s="1">
        <f>L466</f>
        <v>0</v>
      </c>
      <c r="AL466" s="1">
        <f>M466</f>
        <v>0</v>
      </c>
      <c r="AM466" s="1">
        <f>N466</f>
        <v>1</v>
      </c>
      <c r="AN466" s="1">
        <f>O466</f>
        <v>0</v>
      </c>
    </row>
    <row r="467">
      <c r="A467" s="1">
        <v>638</v>
      </c>
      <c r="B467" s="1">
        <v>25</v>
      </c>
      <c r="C467" s="1">
        <v>0.194</v>
      </c>
      <c r="D467" s="1">
        <v>88</v>
      </c>
      <c r="E467" s="1">
        <v>4</v>
      </c>
      <c r="F467" s="1">
        <v>1</v>
      </c>
      <c r="G467" s="1">
        <v>0</v>
      </c>
      <c r="H467" s="1">
        <v>0</v>
      </c>
      <c r="I467" s="1">
        <v>0</v>
      </c>
      <c r="J467" s="1">
        <v>0</v>
      </c>
      <c r="K467" s="1">
        <v>1</v>
      </c>
      <c r="L467" s="1">
        <v>0</v>
      </c>
      <c r="M467" s="1">
        <v>0</v>
      </c>
      <c r="N467" s="1">
        <v>0</v>
      </c>
      <c r="O467" s="1">
        <v>0</v>
      </c>
      <c r="P467" s="1">
        <f>LN(B467)</f>
        <v>3.2188758248682</v>
      </c>
      <c r="Q467" s="1">
        <f>1-SUM(F467:J467)</f>
        <v>0</v>
      </c>
      <c r="R467" s="1" t="str">
        <f>IF(F467=1,"Napa valley",IF(G467=1,"Bay area",IF(H467=1,"Sonoma",IF(I467=1,"Sierra/foothills",IF(J467=1,"Mendocino/lake","Generic California")))))</f>
        <v>Napa valley</v>
      </c>
      <c r="S467" s="1" t="str">
        <f>IF(F467=1,"Napa valley",IF(H467=1,"Sonoma","Other"))</f>
        <v>Napa valley</v>
      </c>
      <c r="T467" s="1" t="str">
        <f>IF(M467=1,"Cabernet",IF(N467=1,"Merlot",IF(L467=1,"Pinot noir","Other")))</f>
        <v>Other</v>
      </c>
      <c r="U467" s="1">
        <f>IF(F467=1,B467,"")</f>
        <v>25</v>
      </c>
      <c r="V467" s="1" t="str">
        <f>IF(F467=0,B467,"")</f>
        <v/>
      </c>
      <c r="W467" s="1">
        <f>'Part B'!$B$150+SUMPRODUCT('Part B'!$B$164:$N$164,C467:O467)</f>
        <v>58.1102442701505</v>
      </c>
      <c r="X467" s="1">
        <f>B467-W467</f>
        <v>-33.1102442701505</v>
      </c>
      <c r="Y467" s="1">
        <f>'Part B'!$B$179+SUMPRODUCT('Part B'!$B$193:$N$193,C467:O467)</f>
        <v>3.85509413645476</v>
      </c>
      <c r="Z467" s="1">
        <f>P467-Y467</f>
        <v>-0.636218311586561</v>
      </c>
      <c r="AB467" s="1">
        <f>C467</f>
        <v>0.194</v>
      </c>
      <c r="AC467" s="1">
        <f>D467</f>
        <v>88</v>
      </c>
      <c r="AD467" s="1">
        <f>E467</f>
        <v>4</v>
      </c>
      <c r="AE467" s="1">
        <f>F467</f>
        <v>1</v>
      </c>
      <c r="AF467" s="1">
        <f>G467</f>
        <v>0</v>
      </c>
      <c r="AG467" s="1">
        <f>I467</f>
        <v>0</v>
      </c>
      <c r="AH467" s="1">
        <f>J467</f>
        <v>0</v>
      </c>
      <c r="AI467" s="1">
        <f>Q467</f>
        <v>0</v>
      </c>
      <c r="AJ467" s="1">
        <f>K467</f>
        <v>1</v>
      </c>
      <c r="AK467" s="1">
        <f>L467</f>
        <v>0</v>
      </c>
      <c r="AL467" s="1">
        <f>M467</f>
        <v>0</v>
      </c>
      <c r="AM467" s="1">
        <f>N467</f>
        <v>0</v>
      </c>
      <c r="AN467" s="1">
        <f>O467</f>
        <v>0</v>
      </c>
    </row>
    <row r="468">
      <c r="A468" s="1">
        <v>640</v>
      </c>
      <c r="B468" s="1">
        <v>25</v>
      </c>
      <c r="C468" s="1">
        <v>2.59</v>
      </c>
      <c r="D468" s="1">
        <v>87</v>
      </c>
      <c r="E468" s="1">
        <v>4</v>
      </c>
      <c r="F468" s="1">
        <v>1</v>
      </c>
      <c r="G468" s="1">
        <v>0</v>
      </c>
      <c r="H468" s="1">
        <v>0</v>
      </c>
      <c r="I468" s="1">
        <v>0</v>
      </c>
      <c r="J468" s="1">
        <v>0</v>
      </c>
      <c r="K468" s="1">
        <v>0</v>
      </c>
      <c r="L468" s="1">
        <v>0</v>
      </c>
      <c r="M468" s="1">
        <v>1</v>
      </c>
      <c r="N468" s="1">
        <v>0</v>
      </c>
      <c r="O468" s="1">
        <v>0</v>
      </c>
      <c r="P468" s="1">
        <f>LN(B468)</f>
        <v>3.2188758248682</v>
      </c>
      <c r="Q468" s="1">
        <f>1-SUM(F468:J468)</f>
        <v>0</v>
      </c>
      <c r="R468" s="1" t="str">
        <f>IF(F468=1,"Napa valley",IF(G468=1,"Bay area",IF(H468=1,"Sonoma",IF(I468=1,"Sierra/foothills",IF(J468=1,"Mendocino/lake","Generic California")))))</f>
        <v>Napa valley</v>
      </c>
      <c r="S468" s="1" t="str">
        <f>IF(F468=1,"Napa valley",IF(H468=1,"Sonoma","Other"))</f>
        <v>Napa valley</v>
      </c>
      <c r="T468" s="1" t="str">
        <f>IF(M468=1,"Cabernet",IF(N468=1,"Merlot",IF(L468=1,"Pinot noir","Other")))</f>
        <v>Cabernet</v>
      </c>
      <c r="U468" s="1">
        <f>IF(F468=1,B468,"")</f>
        <v>25</v>
      </c>
      <c r="V468" s="1" t="str">
        <f>IF(F468=0,B468,"")</f>
        <v/>
      </c>
      <c r="W468" s="1">
        <f>'Part B'!$B$150+SUMPRODUCT('Part B'!$B$164:$N$164,C468:O468)</f>
        <v>47.0771940206062</v>
      </c>
      <c r="X468" s="1">
        <f>B468-W468</f>
        <v>-22.0771940206062</v>
      </c>
      <c r="Y468" s="1">
        <f>'Part B'!$B$179+SUMPRODUCT('Part B'!$B$193:$N$193,C468:O468)</f>
        <v>3.61728831914391</v>
      </c>
      <c r="Z468" s="1">
        <f>P468-Y468</f>
        <v>-0.398412494275709</v>
      </c>
      <c r="AB468" s="1">
        <f>C468</f>
        <v>2.59</v>
      </c>
      <c r="AC468" s="1">
        <f>D468</f>
        <v>87</v>
      </c>
      <c r="AD468" s="1">
        <f>E468</f>
        <v>4</v>
      </c>
      <c r="AE468" s="1">
        <f>F468</f>
        <v>1</v>
      </c>
      <c r="AF468" s="1">
        <f>G468</f>
        <v>0</v>
      </c>
      <c r="AG468" s="1">
        <f>I468</f>
        <v>0</v>
      </c>
      <c r="AH468" s="1">
        <f>J468</f>
        <v>0</v>
      </c>
      <c r="AI468" s="1">
        <f>Q468</f>
        <v>0</v>
      </c>
      <c r="AJ468" s="1">
        <f>K468</f>
        <v>0</v>
      </c>
      <c r="AK468" s="1">
        <f>L468</f>
        <v>0</v>
      </c>
      <c r="AL468" s="1">
        <f>M468</f>
        <v>1</v>
      </c>
      <c r="AM468" s="1">
        <f>N468</f>
        <v>0</v>
      </c>
      <c r="AN468" s="1">
        <f>O468</f>
        <v>0</v>
      </c>
    </row>
    <row r="469">
      <c r="A469" s="1">
        <v>642</v>
      </c>
      <c r="B469" s="1">
        <v>25</v>
      </c>
      <c r="C469" s="1">
        <v>0.25</v>
      </c>
      <c r="D469" s="1">
        <v>85</v>
      </c>
      <c r="E469" s="1">
        <v>4</v>
      </c>
      <c r="F469" s="1">
        <v>1</v>
      </c>
      <c r="G469" s="1">
        <v>0</v>
      </c>
      <c r="H469" s="1">
        <v>0</v>
      </c>
      <c r="I469" s="1">
        <v>0</v>
      </c>
      <c r="J469" s="1">
        <v>0</v>
      </c>
      <c r="K469" s="1">
        <v>0</v>
      </c>
      <c r="L469" s="1">
        <v>1</v>
      </c>
      <c r="M469" s="1">
        <v>0</v>
      </c>
      <c r="N469" s="1">
        <v>0</v>
      </c>
      <c r="O469" s="1">
        <v>0</v>
      </c>
      <c r="P469" s="1">
        <f>LN(B469)</f>
        <v>3.2188758248682</v>
      </c>
      <c r="Q469" s="1">
        <f>1-SUM(F469:J469)</f>
        <v>0</v>
      </c>
      <c r="R469" s="1" t="str">
        <f>IF(F469=1,"Napa valley",IF(G469=1,"Bay area",IF(H469=1,"Sonoma",IF(I469=1,"Sierra/foothills",IF(J469=1,"Mendocino/lake","Generic California")))))</f>
        <v>Napa valley</v>
      </c>
      <c r="S469" s="1" t="str">
        <f>IF(F469=1,"Napa valley",IF(H469=1,"Sonoma","Other"))</f>
        <v>Napa valley</v>
      </c>
      <c r="T469" s="1" t="str">
        <f>IF(M469=1,"Cabernet",IF(N469=1,"Merlot",IF(L469=1,"Pinot noir","Other")))</f>
        <v>Pinot noir</v>
      </c>
      <c r="U469" s="1">
        <f>IF(F469=1,B469,"")</f>
        <v>25</v>
      </c>
      <c r="V469" s="1" t="str">
        <f>IF(F469=0,B469,"")</f>
        <v/>
      </c>
      <c r="W469" s="1">
        <f>'Part B'!$B$150+SUMPRODUCT('Part B'!$B$164:$N$164,C469:O469)</f>
        <v>37.8361039413069</v>
      </c>
      <c r="X469" s="1">
        <f>B469-W469</f>
        <v>-12.8361039413069</v>
      </c>
      <c r="Y469" s="1">
        <f>'Part B'!$B$179+SUMPRODUCT('Part B'!$B$193:$N$193,C469:O469)</f>
        <v>3.51290521634549</v>
      </c>
      <c r="Z469" s="1">
        <f>P469-Y469</f>
        <v>-0.294029391477294</v>
      </c>
      <c r="AB469" s="1">
        <f>C469</f>
        <v>0.25</v>
      </c>
      <c r="AC469" s="1">
        <f>D469</f>
        <v>85</v>
      </c>
      <c r="AD469" s="1">
        <f>E469</f>
        <v>4</v>
      </c>
      <c r="AE469" s="1">
        <f>F469</f>
        <v>1</v>
      </c>
      <c r="AF469" s="1">
        <f>G469</f>
        <v>0</v>
      </c>
      <c r="AG469" s="1">
        <f>I469</f>
        <v>0</v>
      </c>
      <c r="AH469" s="1">
        <f>J469</f>
        <v>0</v>
      </c>
      <c r="AI469" s="1">
        <f>Q469</f>
        <v>0</v>
      </c>
      <c r="AJ469" s="1">
        <f>K469</f>
        <v>0</v>
      </c>
      <c r="AK469" s="1">
        <f>L469</f>
        <v>1</v>
      </c>
      <c r="AL469" s="1">
        <f>M469</f>
        <v>0</v>
      </c>
      <c r="AM469" s="1">
        <f>N469</f>
        <v>0</v>
      </c>
      <c r="AN469" s="1">
        <f>O469</f>
        <v>0</v>
      </c>
    </row>
    <row r="470">
      <c r="A470" s="1">
        <v>643</v>
      </c>
      <c r="B470" s="1">
        <v>25</v>
      </c>
      <c r="C470" s="1">
        <v>1.3</v>
      </c>
      <c r="D470" s="1">
        <v>86</v>
      </c>
      <c r="E470" s="1">
        <v>4</v>
      </c>
      <c r="F470" s="1">
        <v>1</v>
      </c>
      <c r="G470" s="1">
        <v>0</v>
      </c>
      <c r="H470" s="1">
        <v>0</v>
      </c>
      <c r="I470" s="1">
        <v>0</v>
      </c>
      <c r="J470" s="1">
        <v>0</v>
      </c>
      <c r="K470" s="1">
        <v>0</v>
      </c>
      <c r="L470" s="1">
        <v>0</v>
      </c>
      <c r="M470" s="1">
        <v>1</v>
      </c>
      <c r="N470" s="1">
        <v>0</v>
      </c>
      <c r="O470" s="1">
        <v>0</v>
      </c>
      <c r="P470" s="1">
        <f>LN(B470)</f>
        <v>3.2188758248682</v>
      </c>
      <c r="Q470" s="1">
        <f>1-SUM(F470:J470)</f>
        <v>0</v>
      </c>
      <c r="R470" s="1" t="str">
        <f>IF(F470=1,"Napa valley",IF(G470=1,"Bay area",IF(H470=1,"Sonoma",IF(I470=1,"Sierra/foothills",IF(J470=1,"Mendocino/lake","Generic California")))))</f>
        <v>Napa valley</v>
      </c>
      <c r="S470" s="1" t="str">
        <f>IF(F470=1,"Napa valley",IF(H470=1,"Sonoma","Other"))</f>
        <v>Napa valley</v>
      </c>
      <c r="T470" s="1" t="str">
        <f>IF(M470=1,"Cabernet",IF(N470=1,"Merlot",IF(L470=1,"Pinot noir","Other")))</f>
        <v>Cabernet</v>
      </c>
      <c r="U470" s="1">
        <f>IF(F470=1,B470,"")</f>
        <v>25</v>
      </c>
      <c r="V470" s="1" t="str">
        <f>IF(F470=0,B470,"")</f>
        <v/>
      </c>
      <c r="W470" s="1">
        <f>'Part B'!$B$150+SUMPRODUCT('Part B'!$B$164:$N$164,C470:O470)</f>
        <v>44.0545356910684</v>
      </c>
      <c r="X470" s="1">
        <f>B470-W470</f>
        <v>-19.0545356910684</v>
      </c>
      <c r="Y470" s="1">
        <f>'Part B'!$B$179+SUMPRODUCT('Part B'!$B$193:$N$193,C470:O470)</f>
        <v>3.55284694696364</v>
      </c>
      <c r="Z470" s="1">
        <f>P470-Y470</f>
        <v>-0.33397112209544</v>
      </c>
      <c r="AB470" s="1">
        <f>C470</f>
        <v>1.3</v>
      </c>
      <c r="AC470" s="1">
        <f>D470</f>
        <v>86</v>
      </c>
      <c r="AD470" s="1">
        <f>E470</f>
        <v>4</v>
      </c>
      <c r="AE470" s="1">
        <f>F470</f>
        <v>1</v>
      </c>
      <c r="AF470" s="1">
        <f>G470</f>
        <v>0</v>
      </c>
      <c r="AG470" s="1">
        <f>I470</f>
        <v>0</v>
      </c>
      <c r="AH470" s="1">
        <f>J470</f>
        <v>0</v>
      </c>
      <c r="AI470" s="1">
        <f>Q470</f>
        <v>0</v>
      </c>
      <c r="AJ470" s="1">
        <f>K470</f>
        <v>0</v>
      </c>
      <c r="AK470" s="1">
        <f>L470</f>
        <v>0</v>
      </c>
      <c r="AL470" s="1">
        <f>M470</f>
        <v>1</v>
      </c>
      <c r="AM470" s="1">
        <f>N470</f>
        <v>0</v>
      </c>
      <c r="AN470" s="1">
        <f>O470</f>
        <v>0</v>
      </c>
    </row>
    <row r="471">
      <c r="A471" s="1">
        <v>644</v>
      </c>
      <c r="B471" s="1">
        <v>25</v>
      </c>
      <c r="C471" s="1">
        <v>0.236</v>
      </c>
      <c r="D471" s="1">
        <v>87</v>
      </c>
      <c r="E471" s="1">
        <v>4</v>
      </c>
      <c r="F471" s="1">
        <v>0</v>
      </c>
      <c r="G471" s="1">
        <v>0</v>
      </c>
      <c r="H471" s="1">
        <v>0</v>
      </c>
      <c r="I471" s="1">
        <v>0</v>
      </c>
      <c r="J471" s="1">
        <v>1</v>
      </c>
      <c r="K471" s="1">
        <v>0</v>
      </c>
      <c r="L471" s="1">
        <v>1</v>
      </c>
      <c r="M471" s="1">
        <v>0</v>
      </c>
      <c r="N471" s="1">
        <v>0</v>
      </c>
      <c r="O471" s="1">
        <v>0</v>
      </c>
      <c r="P471" s="1">
        <f>LN(B471)</f>
        <v>3.2188758248682</v>
      </c>
      <c r="Q471" s="1">
        <f>1-SUM(F471:J471)</f>
        <v>0</v>
      </c>
      <c r="R471" s="1" t="str">
        <f>IF(F471=1,"Napa valley",IF(G471=1,"Bay area",IF(H471=1,"Sonoma",IF(I471=1,"Sierra/foothills",IF(J471=1,"Mendocino/lake","Generic California")))))</f>
        <v>Mendocino/lake</v>
      </c>
      <c r="S471" s="1" t="str">
        <f>IF(F471=1,"Napa valley",IF(H471=1,"Sonoma","Other"))</f>
        <v>Other</v>
      </c>
      <c r="T471" s="1" t="str">
        <f>IF(M471=1,"Cabernet",IF(N471=1,"Merlot",IF(L471=1,"Pinot noir","Other")))</f>
        <v>Pinot noir</v>
      </c>
      <c r="U471" s="1" t="str">
        <f>IF(F471=1,B471,"")</f>
        <v/>
      </c>
      <c r="V471" s="1">
        <f>IF(F471=0,B471,"")</f>
        <v>25</v>
      </c>
      <c r="W471" s="1">
        <f>'Part B'!$B$150+SUMPRODUCT('Part B'!$B$164:$N$164,C471:O471)</f>
        <v>37.948162044476</v>
      </c>
      <c r="X471" s="1">
        <f>B471-W471</f>
        <v>-12.948162044476</v>
      </c>
      <c r="Y471" s="1">
        <f>'Part B'!$B$179+SUMPRODUCT('Part B'!$B$193:$N$193,C471:O471)</f>
        <v>3.46039535693184</v>
      </c>
      <c r="Z471" s="1">
        <f>P471-Y471</f>
        <v>-0.241519532063635</v>
      </c>
      <c r="AB471" s="1">
        <f>C471</f>
        <v>0.236</v>
      </c>
      <c r="AC471" s="1">
        <f>D471</f>
        <v>87</v>
      </c>
      <c r="AD471" s="1">
        <f>E471</f>
        <v>4</v>
      </c>
      <c r="AE471" s="1">
        <f>F471</f>
        <v>0</v>
      </c>
      <c r="AF471" s="1">
        <f>G471</f>
        <v>0</v>
      </c>
      <c r="AG471" s="1">
        <f>I471</f>
        <v>0</v>
      </c>
      <c r="AH471" s="1">
        <f>J471</f>
        <v>1</v>
      </c>
      <c r="AI471" s="1">
        <f>Q471</f>
        <v>0</v>
      </c>
      <c r="AJ471" s="1">
        <f>K471</f>
        <v>0</v>
      </c>
      <c r="AK471" s="1">
        <f>L471</f>
        <v>1</v>
      </c>
      <c r="AL471" s="1">
        <f>M471</f>
        <v>0</v>
      </c>
      <c r="AM471" s="1">
        <f>N471</f>
        <v>0</v>
      </c>
      <c r="AN471" s="1">
        <f>O471</f>
        <v>0</v>
      </c>
    </row>
    <row r="472">
      <c r="A472" s="1">
        <v>645</v>
      </c>
      <c r="B472" s="1">
        <v>25</v>
      </c>
      <c r="C472" s="1">
        <v>0.619</v>
      </c>
      <c r="D472" s="1">
        <v>89</v>
      </c>
      <c r="E472" s="1">
        <v>4</v>
      </c>
      <c r="F472" s="1">
        <v>1</v>
      </c>
      <c r="G472" s="1">
        <v>0</v>
      </c>
      <c r="H472" s="1">
        <v>0</v>
      </c>
      <c r="I472" s="1">
        <v>0</v>
      </c>
      <c r="J472" s="1">
        <v>0</v>
      </c>
      <c r="K472" s="1">
        <v>0</v>
      </c>
      <c r="L472" s="1">
        <v>0</v>
      </c>
      <c r="M472" s="1">
        <v>0</v>
      </c>
      <c r="N472" s="1">
        <v>0</v>
      </c>
      <c r="O472" s="1">
        <v>1</v>
      </c>
      <c r="P472" s="1">
        <f>LN(B472)</f>
        <v>3.2188758248682</v>
      </c>
      <c r="Q472" s="1">
        <f>1-SUM(F472:J472)</f>
        <v>0</v>
      </c>
      <c r="R472" s="1" t="str">
        <f>IF(F472=1,"Napa valley",IF(G472=1,"Bay area",IF(H472=1,"Sonoma",IF(I472=1,"Sierra/foothills",IF(J472=1,"Mendocino/lake","Generic California")))))</f>
        <v>Napa valley</v>
      </c>
      <c r="S472" s="1" t="str">
        <f>IF(F472=1,"Napa valley",IF(H472=1,"Sonoma","Other"))</f>
        <v>Napa valley</v>
      </c>
      <c r="T472" s="1" t="str">
        <f>IF(M472=1,"Cabernet",IF(N472=1,"Merlot",IF(L472=1,"Pinot noir","Other")))</f>
        <v>Other</v>
      </c>
      <c r="U472" s="1">
        <f>IF(F472=1,B472,"")</f>
        <v>25</v>
      </c>
      <c r="V472" s="1" t="str">
        <f>IF(F472=0,B472,"")</f>
        <v/>
      </c>
      <c r="W472" s="1">
        <f>'Part B'!$B$150+SUMPRODUCT('Part B'!$B$164:$N$164,C472:O472)</f>
        <v>40.5209224025122</v>
      </c>
      <c r="X472" s="1">
        <f>B472-W472</f>
        <v>-15.5209224025122</v>
      </c>
      <c r="Y472" s="1">
        <f>'Part B'!$B$179+SUMPRODUCT('Part B'!$B$193:$N$193,C472:O472)</f>
        <v>3.48788338893451</v>
      </c>
      <c r="Z472" s="1">
        <f>P472-Y472</f>
        <v>-0.269007564066314</v>
      </c>
      <c r="AB472" s="1">
        <f>C472</f>
        <v>0.619</v>
      </c>
      <c r="AC472" s="1">
        <f>D472</f>
        <v>89</v>
      </c>
      <c r="AD472" s="1">
        <f>E472</f>
        <v>4</v>
      </c>
      <c r="AE472" s="1">
        <f>F472</f>
        <v>1</v>
      </c>
      <c r="AF472" s="1">
        <f>G472</f>
        <v>0</v>
      </c>
      <c r="AG472" s="1">
        <f>I472</f>
        <v>0</v>
      </c>
      <c r="AH472" s="1">
        <f>J472</f>
        <v>0</v>
      </c>
      <c r="AI472" s="1">
        <f>Q472</f>
        <v>0</v>
      </c>
      <c r="AJ472" s="1">
        <f>K472</f>
        <v>0</v>
      </c>
      <c r="AK472" s="1">
        <f>L472</f>
        <v>0</v>
      </c>
      <c r="AL472" s="1">
        <f>M472</f>
        <v>0</v>
      </c>
      <c r="AM472" s="1">
        <f>N472</f>
        <v>0</v>
      </c>
      <c r="AN472" s="1">
        <f>O472</f>
        <v>1</v>
      </c>
    </row>
    <row r="473">
      <c r="A473" s="1">
        <v>646</v>
      </c>
      <c r="B473" s="1">
        <v>25</v>
      </c>
      <c r="C473" s="1">
        <v>0.275</v>
      </c>
      <c r="D473" s="1">
        <v>77</v>
      </c>
      <c r="E473" s="1">
        <v>3</v>
      </c>
      <c r="F473" s="1">
        <v>0</v>
      </c>
      <c r="G473" s="1">
        <v>0</v>
      </c>
      <c r="H473" s="1">
        <v>1</v>
      </c>
      <c r="I473" s="1">
        <v>0</v>
      </c>
      <c r="J473" s="1">
        <v>0</v>
      </c>
      <c r="K473" s="1">
        <v>0</v>
      </c>
      <c r="L473" s="1">
        <v>0</v>
      </c>
      <c r="M473" s="1">
        <v>0</v>
      </c>
      <c r="N473" s="1">
        <v>1</v>
      </c>
      <c r="O473" s="1">
        <v>0</v>
      </c>
      <c r="P473" s="1">
        <f>LN(B473)</f>
        <v>3.2188758248682</v>
      </c>
      <c r="Q473" s="1">
        <f>1-SUM(F473:J473)</f>
        <v>0</v>
      </c>
      <c r="R473" s="1" t="str">
        <f>IF(F473=1,"Napa valley",IF(G473=1,"Bay area",IF(H473=1,"Sonoma",IF(I473=1,"Sierra/foothills",IF(J473=1,"Mendocino/lake","Generic California")))))</f>
        <v>Sonoma</v>
      </c>
      <c r="S473" s="1" t="str">
        <f>IF(F473=1,"Napa valley",IF(H473=1,"Sonoma","Other"))</f>
        <v>Sonoma</v>
      </c>
      <c r="T473" s="1" t="str">
        <f>IF(M473=1,"Cabernet",IF(N473=1,"Merlot",IF(L473=1,"Pinot noir","Other")))</f>
        <v>Merlot</v>
      </c>
      <c r="U473" s="1" t="str">
        <f>IF(F473=1,B473,"")</f>
        <v/>
      </c>
      <c r="V473" s="1">
        <f>IF(F473=0,B473,"")</f>
        <v>25</v>
      </c>
      <c r="W473" s="1">
        <f>'Part B'!$B$150+SUMPRODUCT('Part B'!$B$164:$N$164,C473:O473)</f>
        <v>-3.63714819230864</v>
      </c>
      <c r="X473" s="1">
        <f>B473-W473</f>
        <v>28.6371481923086</v>
      </c>
      <c r="Y473" s="1">
        <f>'Part B'!$B$179+SUMPRODUCT('Part B'!$B$193:$N$193,C473:O473)</f>
        <v>2.56022689374969</v>
      </c>
      <c r="Z473" s="1">
        <f>P473-Y473</f>
        <v>0.658648931118511</v>
      </c>
      <c r="AB473" s="1">
        <f>C473</f>
        <v>0.275</v>
      </c>
      <c r="AC473" s="1">
        <f>D473</f>
        <v>77</v>
      </c>
      <c r="AD473" s="1">
        <f>E473</f>
        <v>3</v>
      </c>
      <c r="AE473" s="1">
        <f>F473</f>
        <v>0</v>
      </c>
      <c r="AF473" s="1">
        <f>G473</f>
        <v>0</v>
      </c>
      <c r="AG473" s="1">
        <f>I473</f>
        <v>0</v>
      </c>
      <c r="AH473" s="1">
        <f>J473</f>
        <v>0</v>
      </c>
      <c r="AI473" s="1">
        <f>Q473</f>
        <v>0</v>
      </c>
      <c r="AJ473" s="1">
        <f>K473</f>
        <v>0</v>
      </c>
      <c r="AK473" s="1">
        <f>L473</f>
        <v>0</v>
      </c>
      <c r="AL473" s="1">
        <f>M473</f>
        <v>0</v>
      </c>
      <c r="AM473" s="1">
        <f>N473</f>
        <v>1</v>
      </c>
      <c r="AN473" s="1">
        <f>O473</f>
        <v>0</v>
      </c>
    </row>
    <row r="474">
      <c r="A474" s="1">
        <v>647</v>
      </c>
      <c r="B474" s="1">
        <v>25</v>
      </c>
      <c r="C474" s="1">
        <v>1.5</v>
      </c>
      <c r="D474" s="1">
        <v>84</v>
      </c>
      <c r="E474" s="1">
        <v>3</v>
      </c>
      <c r="F474" s="1">
        <v>0</v>
      </c>
      <c r="G474" s="1">
        <v>0</v>
      </c>
      <c r="H474" s="1">
        <v>1</v>
      </c>
      <c r="I474" s="1">
        <v>0</v>
      </c>
      <c r="J474" s="1">
        <v>0</v>
      </c>
      <c r="K474" s="1">
        <v>0</v>
      </c>
      <c r="L474" s="1">
        <v>1</v>
      </c>
      <c r="M474" s="1">
        <v>0</v>
      </c>
      <c r="N474" s="1">
        <v>0</v>
      </c>
      <c r="O474" s="1">
        <v>0</v>
      </c>
      <c r="P474" s="1">
        <f>LN(B474)</f>
        <v>3.2188758248682</v>
      </c>
      <c r="Q474" s="1">
        <f>1-SUM(F474:J474)</f>
        <v>0</v>
      </c>
      <c r="R474" s="1" t="str">
        <f>IF(F474=1,"Napa valley",IF(G474=1,"Bay area",IF(H474=1,"Sonoma",IF(I474=1,"Sierra/foothills",IF(J474=1,"Mendocino/lake","Generic California")))))</f>
        <v>Sonoma</v>
      </c>
      <c r="S474" s="1" t="str">
        <f>IF(F474=1,"Napa valley",IF(H474=1,"Sonoma","Other"))</f>
        <v>Sonoma</v>
      </c>
      <c r="T474" s="1" t="str">
        <f>IF(M474=1,"Cabernet",IF(N474=1,"Merlot",IF(L474=1,"Pinot noir","Other")))</f>
        <v>Pinot noir</v>
      </c>
      <c r="U474" s="1" t="str">
        <f>IF(F474=1,B474,"")</f>
        <v/>
      </c>
      <c r="V474" s="1">
        <f>IF(F474=0,B474,"")</f>
        <v>25</v>
      </c>
      <c r="W474" s="1">
        <f>'Part B'!$B$150+SUMPRODUCT('Part B'!$B$164:$N$164,C474:O474)</f>
        <v>20.0563120587334</v>
      </c>
      <c r="X474" s="1">
        <f>B474-W474</f>
        <v>4.9436879412666</v>
      </c>
      <c r="Y474" s="1">
        <f>'Part B'!$B$179+SUMPRODUCT('Part B'!$B$193:$N$193,C474:O474)</f>
        <v>3.10672216627493</v>
      </c>
      <c r="Z474" s="1">
        <f>P474-Y474</f>
        <v>0.112153658593268</v>
      </c>
      <c r="AB474" s="1">
        <f>C474</f>
        <v>1.5</v>
      </c>
      <c r="AC474" s="1">
        <f>D474</f>
        <v>84</v>
      </c>
      <c r="AD474" s="1">
        <f>E474</f>
        <v>3</v>
      </c>
      <c r="AE474" s="1">
        <f>F474</f>
        <v>0</v>
      </c>
      <c r="AF474" s="1">
        <f>G474</f>
        <v>0</v>
      </c>
      <c r="AG474" s="1">
        <f>I474</f>
        <v>0</v>
      </c>
      <c r="AH474" s="1">
        <f>J474</f>
        <v>0</v>
      </c>
      <c r="AI474" s="1">
        <f>Q474</f>
        <v>0</v>
      </c>
      <c r="AJ474" s="1">
        <f>K474</f>
        <v>0</v>
      </c>
      <c r="AK474" s="1">
        <f>L474</f>
        <v>1</v>
      </c>
      <c r="AL474" s="1">
        <f>M474</f>
        <v>0</v>
      </c>
      <c r="AM474" s="1">
        <f>N474</f>
        <v>0</v>
      </c>
      <c r="AN474" s="1">
        <f>O474</f>
        <v>0</v>
      </c>
    </row>
    <row r="475">
      <c r="A475" s="1">
        <v>648</v>
      </c>
      <c r="B475" s="1">
        <v>25</v>
      </c>
      <c r="C475" s="1">
        <v>0.353</v>
      </c>
      <c r="D475" s="1">
        <v>89</v>
      </c>
      <c r="E475" s="1">
        <v>3</v>
      </c>
      <c r="F475" s="1">
        <v>0</v>
      </c>
      <c r="G475" s="1">
        <v>0</v>
      </c>
      <c r="H475" s="1">
        <v>1</v>
      </c>
      <c r="I475" s="1">
        <v>0</v>
      </c>
      <c r="J475" s="1">
        <v>0</v>
      </c>
      <c r="K475" s="1">
        <v>1</v>
      </c>
      <c r="L475" s="1">
        <v>0</v>
      </c>
      <c r="M475" s="1">
        <v>0</v>
      </c>
      <c r="N475" s="1">
        <v>0</v>
      </c>
      <c r="O475" s="1">
        <v>0</v>
      </c>
      <c r="P475" s="1">
        <f>LN(B475)</f>
        <v>3.2188758248682</v>
      </c>
      <c r="Q475" s="1">
        <f>1-SUM(F475:J475)</f>
        <v>0</v>
      </c>
      <c r="R475" s="1" t="str">
        <f>IF(F475=1,"Napa valley",IF(G475=1,"Bay area",IF(H475=1,"Sonoma",IF(I475=1,"Sierra/foothills",IF(J475=1,"Mendocino/lake","Generic California")))))</f>
        <v>Sonoma</v>
      </c>
      <c r="S475" s="1" t="str">
        <f>IF(F475=1,"Napa valley",IF(H475=1,"Sonoma","Other"))</f>
        <v>Sonoma</v>
      </c>
      <c r="T475" s="1" t="str">
        <f>IF(M475=1,"Cabernet",IF(N475=1,"Merlot",IF(L475=1,"Pinot noir","Other")))</f>
        <v>Other</v>
      </c>
      <c r="U475" s="1" t="str">
        <f>IF(F475=1,B475,"")</f>
        <v/>
      </c>
      <c r="V475" s="1">
        <f>IF(F475=0,B475,"")</f>
        <v>25</v>
      </c>
      <c r="W475" s="1">
        <f>'Part B'!$B$150+SUMPRODUCT('Part B'!$B$164:$N$164,C475:O475)</f>
        <v>46.7241974949647</v>
      </c>
      <c r="X475" s="1">
        <f>B475-W475</f>
        <v>-21.7241974949647</v>
      </c>
      <c r="Y475" s="1">
        <f>'Part B'!$B$179+SUMPRODUCT('Part B'!$B$193:$N$193,C475:O475)</f>
        <v>3.59350228623434</v>
      </c>
      <c r="Z475" s="1">
        <f>P475-Y475</f>
        <v>-0.37462646136614</v>
      </c>
      <c r="AB475" s="1">
        <f>C475</f>
        <v>0.353</v>
      </c>
      <c r="AC475" s="1">
        <f>D475</f>
        <v>89</v>
      </c>
      <c r="AD475" s="1">
        <f>E475</f>
        <v>3</v>
      </c>
      <c r="AE475" s="1">
        <f>F475</f>
        <v>0</v>
      </c>
      <c r="AF475" s="1">
        <f>G475</f>
        <v>0</v>
      </c>
      <c r="AG475" s="1">
        <f>I475</f>
        <v>0</v>
      </c>
      <c r="AH475" s="1">
        <f>J475</f>
        <v>0</v>
      </c>
      <c r="AI475" s="1">
        <f>Q475</f>
        <v>0</v>
      </c>
      <c r="AJ475" s="1">
        <f>K475</f>
        <v>1</v>
      </c>
      <c r="AK475" s="1">
        <f>L475</f>
        <v>0</v>
      </c>
      <c r="AL475" s="1">
        <f>M475</f>
        <v>0</v>
      </c>
      <c r="AM475" s="1">
        <f>N475</f>
        <v>0</v>
      </c>
      <c r="AN475" s="1">
        <f>O475</f>
        <v>0</v>
      </c>
    </row>
    <row r="476">
      <c r="A476" s="1">
        <v>650</v>
      </c>
      <c r="B476" s="1">
        <v>25</v>
      </c>
      <c r="C476" s="1">
        <v>0.1</v>
      </c>
      <c r="D476" s="1">
        <v>84</v>
      </c>
      <c r="E476" s="1">
        <v>3</v>
      </c>
      <c r="F476" s="1">
        <v>0</v>
      </c>
      <c r="G476" s="1">
        <v>0</v>
      </c>
      <c r="H476" s="1">
        <v>1</v>
      </c>
      <c r="I476" s="1">
        <v>0</v>
      </c>
      <c r="J476" s="1">
        <v>0</v>
      </c>
      <c r="K476" s="1">
        <v>0</v>
      </c>
      <c r="L476" s="1">
        <v>1</v>
      </c>
      <c r="M476" s="1">
        <v>0</v>
      </c>
      <c r="N476" s="1">
        <v>0</v>
      </c>
      <c r="O476" s="1">
        <v>0</v>
      </c>
      <c r="P476" s="1">
        <f>LN(B476)</f>
        <v>3.2188758248682</v>
      </c>
      <c r="Q476" s="1">
        <f>1-SUM(F476:J476)</f>
        <v>0</v>
      </c>
      <c r="R476" s="1" t="str">
        <f>IF(F476=1,"Napa valley",IF(G476=1,"Bay area",IF(H476=1,"Sonoma",IF(I476=1,"Sierra/foothills",IF(J476=1,"Mendocino/lake","Generic California")))))</f>
        <v>Sonoma</v>
      </c>
      <c r="S476" s="1" t="str">
        <f>IF(F476=1,"Napa valley",IF(H476=1,"Sonoma","Other"))</f>
        <v>Sonoma</v>
      </c>
      <c r="T476" s="1" t="str">
        <f>IF(M476=1,"Cabernet",IF(N476=1,"Merlot",IF(L476=1,"Pinot noir","Other")))</f>
        <v>Pinot noir</v>
      </c>
      <c r="U476" s="1" t="str">
        <f>IF(F476=1,B476,"")</f>
        <v/>
      </c>
      <c r="V476" s="1">
        <f>IF(F476=0,B476,"")</f>
        <v>25</v>
      </c>
      <c r="W476" s="1">
        <f>'Part B'!$B$150+SUMPRODUCT('Part B'!$B$164:$N$164,C476:O476)</f>
        <v>20.1891913362155</v>
      </c>
      <c r="X476" s="1">
        <f>B476-W476</f>
        <v>4.81080866378454</v>
      </c>
      <c r="Y476" s="1">
        <f>'Part B'!$B$179+SUMPRODUCT('Part B'!$B$193:$N$193,C476:O476)</f>
        <v>3.11271286027805</v>
      </c>
      <c r="Z476" s="1">
        <f>P476-Y476</f>
        <v>0.106162964590151</v>
      </c>
      <c r="AB476" s="1">
        <f>C476</f>
        <v>0.1</v>
      </c>
      <c r="AC476" s="1">
        <f>D476</f>
        <v>84</v>
      </c>
      <c r="AD476" s="1">
        <f>E476</f>
        <v>3</v>
      </c>
      <c r="AE476" s="1">
        <f>F476</f>
        <v>0</v>
      </c>
      <c r="AF476" s="1">
        <f>G476</f>
        <v>0</v>
      </c>
      <c r="AG476" s="1">
        <f>I476</f>
        <v>0</v>
      </c>
      <c r="AH476" s="1">
        <f>J476</f>
        <v>0</v>
      </c>
      <c r="AI476" s="1">
        <f>Q476</f>
        <v>0</v>
      </c>
      <c r="AJ476" s="1">
        <f>K476</f>
        <v>0</v>
      </c>
      <c r="AK476" s="1">
        <f>L476</f>
        <v>1</v>
      </c>
      <c r="AL476" s="1">
        <f>M476</f>
        <v>0</v>
      </c>
      <c r="AM476" s="1">
        <f>N476</f>
        <v>0</v>
      </c>
      <c r="AN476" s="1">
        <f>O476</f>
        <v>0</v>
      </c>
    </row>
    <row r="477">
      <c r="A477" s="1">
        <v>653</v>
      </c>
      <c r="B477" s="1">
        <v>25</v>
      </c>
      <c r="C477" s="1">
        <v>5</v>
      </c>
      <c r="D477" s="1">
        <v>89</v>
      </c>
      <c r="E477" s="1">
        <v>3</v>
      </c>
      <c r="F477" s="1">
        <v>0</v>
      </c>
      <c r="G477" s="1">
        <v>0</v>
      </c>
      <c r="H477" s="1">
        <v>1</v>
      </c>
      <c r="I477" s="1">
        <v>0</v>
      </c>
      <c r="J477" s="1">
        <v>0</v>
      </c>
      <c r="K477" s="1">
        <v>1</v>
      </c>
      <c r="L477" s="1">
        <v>0</v>
      </c>
      <c r="M477" s="1">
        <v>0</v>
      </c>
      <c r="N477" s="1">
        <v>0</v>
      </c>
      <c r="O477" s="1">
        <v>0</v>
      </c>
      <c r="P477" s="1">
        <f>LN(B477)</f>
        <v>3.2188758248682</v>
      </c>
      <c r="Q477" s="1">
        <f>1-SUM(F477:J477)</f>
        <v>0</v>
      </c>
      <c r="R477" s="1" t="str">
        <f>IF(F477=1,"Napa valley",IF(G477=1,"Bay area",IF(H477=1,"Sonoma",IF(I477=1,"Sierra/foothills",IF(J477=1,"Mendocino/lake","Generic California")))))</f>
        <v>Sonoma</v>
      </c>
      <c r="S477" s="1" t="str">
        <f>IF(F477=1,"Napa valley",IF(H477=1,"Sonoma","Other"))</f>
        <v>Sonoma</v>
      </c>
      <c r="T477" s="1" t="str">
        <f>IF(M477=1,"Cabernet",IF(N477=1,"Merlot",IF(L477=1,"Pinot noir","Other")))</f>
        <v>Other</v>
      </c>
      <c r="U477" s="1" t="str">
        <f>IF(F477=1,B477,"")</f>
        <v/>
      </c>
      <c r="V477" s="1">
        <f>IF(F477=0,B477,"")</f>
        <v>25</v>
      </c>
      <c r="W477" s="1">
        <f>'Part B'!$B$150+SUMPRODUCT('Part B'!$B$164:$N$164,C477:O477)</f>
        <v>46.2831332074939</v>
      </c>
      <c r="X477" s="1">
        <f>B477-W477</f>
        <v>-21.2831332074938</v>
      </c>
      <c r="Y477" s="1">
        <f>'Part B'!$B$179+SUMPRODUCT('Part B'!$B$193:$N$193,C477:O477)</f>
        <v>3.57361746121114</v>
      </c>
      <c r="Z477" s="1">
        <f>P477-Y477</f>
        <v>-0.354741636342937</v>
      </c>
      <c r="AB477" s="1">
        <f>C477</f>
        <v>5</v>
      </c>
      <c r="AC477" s="1">
        <f>D477</f>
        <v>89</v>
      </c>
      <c r="AD477" s="1">
        <f>E477</f>
        <v>3</v>
      </c>
      <c r="AE477" s="1">
        <f>F477</f>
        <v>0</v>
      </c>
      <c r="AF477" s="1">
        <f>G477</f>
        <v>0</v>
      </c>
      <c r="AG477" s="1">
        <f>I477</f>
        <v>0</v>
      </c>
      <c r="AH477" s="1">
        <f>J477</f>
        <v>0</v>
      </c>
      <c r="AI477" s="1">
        <f>Q477</f>
        <v>0</v>
      </c>
      <c r="AJ477" s="1">
        <f>K477</f>
        <v>1</v>
      </c>
      <c r="AK477" s="1">
        <f>L477</f>
        <v>0</v>
      </c>
      <c r="AL477" s="1">
        <f>M477</f>
        <v>0</v>
      </c>
      <c r="AM477" s="1">
        <f>N477</f>
        <v>0</v>
      </c>
      <c r="AN477" s="1">
        <f>O477</f>
        <v>0</v>
      </c>
    </row>
    <row r="478">
      <c r="A478" s="1">
        <v>654</v>
      </c>
      <c r="B478" s="1">
        <v>25</v>
      </c>
      <c r="C478" s="1">
        <v>1.4</v>
      </c>
      <c r="D478" s="1">
        <v>88</v>
      </c>
      <c r="E478" s="1">
        <v>3</v>
      </c>
      <c r="F478" s="1">
        <v>0</v>
      </c>
      <c r="G478" s="1">
        <v>0</v>
      </c>
      <c r="H478" s="1">
        <v>1</v>
      </c>
      <c r="I478" s="1">
        <v>0</v>
      </c>
      <c r="J478" s="1">
        <v>0</v>
      </c>
      <c r="K478" s="1">
        <v>0</v>
      </c>
      <c r="L478" s="1">
        <v>0</v>
      </c>
      <c r="M478" s="1">
        <v>0</v>
      </c>
      <c r="N478" s="1">
        <v>0</v>
      </c>
      <c r="O478" s="1">
        <v>0</v>
      </c>
      <c r="P478" s="1">
        <f>LN(B478)</f>
        <v>3.2188758248682</v>
      </c>
      <c r="Q478" s="1">
        <f>1-SUM(F478:J478)</f>
        <v>0</v>
      </c>
      <c r="R478" s="1" t="str">
        <f>IF(F478=1,"Napa valley",IF(G478=1,"Bay area",IF(H478=1,"Sonoma",IF(I478=1,"Sierra/foothills",IF(J478=1,"Mendocino/lake","Generic California")))))</f>
        <v>Sonoma</v>
      </c>
      <c r="S478" s="1" t="str">
        <f>IF(F478=1,"Napa valley",IF(H478=1,"Sonoma","Other"))</f>
        <v>Sonoma</v>
      </c>
      <c r="T478" s="1" t="str">
        <f>IF(M478=1,"Cabernet",IF(N478=1,"Merlot",IF(L478=1,"Pinot noir","Other")))</f>
        <v>Other</v>
      </c>
      <c r="U478" s="1" t="str">
        <f>IF(F478=1,B478,"")</f>
        <v/>
      </c>
      <c r="V478" s="1">
        <f>IF(F478=0,B478,"")</f>
        <v>25</v>
      </c>
      <c r="W478" s="1">
        <f>'Part B'!$B$150+SUMPRODUCT('Part B'!$B$164:$N$164,C478:O478)</f>
        <v>23.1919322784611</v>
      </c>
      <c r="X478" s="1">
        <f>B478-W478</f>
        <v>1.80806772153886</v>
      </c>
      <c r="Y478" s="1">
        <f>'Part B'!$B$179+SUMPRODUCT('Part B'!$B$193:$N$193,C478:O478)</f>
        <v>3.04047327011483</v>
      </c>
      <c r="Z478" s="1">
        <f>P478-Y478</f>
        <v>0.178402554753367</v>
      </c>
      <c r="AB478" s="1">
        <f>C478</f>
        <v>1.4</v>
      </c>
      <c r="AC478" s="1">
        <f>D478</f>
        <v>88</v>
      </c>
      <c r="AD478" s="1">
        <f>E478</f>
        <v>3</v>
      </c>
      <c r="AE478" s="1">
        <f>F478</f>
        <v>0</v>
      </c>
      <c r="AF478" s="1">
        <f>G478</f>
        <v>0</v>
      </c>
      <c r="AG478" s="1">
        <f>I478</f>
        <v>0</v>
      </c>
      <c r="AH478" s="1">
        <f>J478</f>
        <v>0</v>
      </c>
      <c r="AI478" s="1">
        <f>Q478</f>
        <v>0</v>
      </c>
      <c r="AJ478" s="1">
        <f>K478</f>
        <v>0</v>
      </c>
      <c r="AK478" s="1">
        <f>L478</f>
        <v>0</v>
      </c>
      <c r="AL478" s="1">
        <f>M478</f>
        <v>0</v>
      </c>
      <c r="AM478" s="1">
        <f>N478</f>
        <v>0</v>
      </c>
      <c r="AN478" s="1">
        <f>O478</f>
        <v>0</v>
      </c>
    </row>
    <row r="479">
      <c r="A479" s="1">
        <v>656</v>
      </c>
      <c r="B479" s="1">
        <v>25</v>
      </c>
      <c r="C479" s="1">
        <v>2.3</v>
      </c>
      <c r="D479" s="1">
        <v>88</v>
      </c>
      <c r="E479" s="1">
        <v>3</v>
      </c>
      <c r="F479" s="1">
        <v>1</v>
      </c>
      <c r="G479" s="1">
        <v>0</v>
      </c>
      <c r="H479" s="1">
        <v>0</v>
      </c>
      <c r="I479" s="1">
        <v>0</v>
      </c>
      <c r="J479" s="1">
        <v>0</v>
      </c>
      <c r="K479" s="1">
        <v>0</v>
      </c>
      <c r="L479" s="1">
        <v>0</v>
      </c>
      <c r="M479" s="1">
        <v>1</v>
      </c>
      <c r="N479" s="1">
        <v>0</v>
      </c>
      <c r="O479" s="1">
        <v>0</v>
      </c>
      <c r="P479" s="1">
        <f>LN(B479)</f>
        <v>3.2188758248682</v>
      </c>
      <c r="Q479" s="1">
        <f>1-SUM(F479:J479)</f>
        <v>0</v>
      </c>
      <c r="R479" s="1" t="str">
        <f>IF(F479=1,"Napa valley",IF(G479=1,"Bay area",IF(H479=1,"Sonoma",IF(I479=1,"Sierra/foothills",IF(J479=1,"Mendocino/lake","Generic California")))))</f>
        <v>Napa valley</v>
      </c>
      <c r="S479" s="1" t="str">
        <f>IF(F479=1,"Napa valley",IF(H479=1,"Sonoma","Other"))</f>
        <v>Napa valley</v>
      </c>
      <c r="T479" s="1" t="str">
        <f>IF(M479=1,"Cabernet",IF(N479=1,"Merlot",IF(L479=1,"Pinot noir","Other")))</f>
        <v>Cabernet</v>
      </c>
      <c r="U479" s="1">
        <f>IF(F479=1,B479,"")</f>
        <v>25</v>
      </c>
      <c r="V479" s="1" t="str">
        <f>IF(F479=0,B479,"")</f>
        <v/>
      </c>
      <c r="W479" s="1">
        <f>'Part B'!$B$150+SUMPRODUCT('Part B'!$B$164:$N$164,C479:O479)</f>
        <v>43.6302113477815</v>
      </c>
      <c r="X479" s="1">
        <f>B479-W479</f>
        <v>-18.6302113477815</v>
      </c>
      <c r="Y479" s="1">
        <f>'Part B'!$B$179+SUMPRODUCT('Part B'!$B$193:$N$193,C479:O479)</f>
        <v>3.5054053349718</v>
      </c>
      <c r="Z479" s="1">
        <f>P479-Y479</f>
        <v>-0.2865295101036</v>
      </c>
      <c r="AB479" s="1">
        <f>C479</f>
        <v>2.3</v>
      </c>
      <c r="AC479" s="1">
        <f>D479</f>
        <v>88</v>
      </c>
      <c r="AD479" s="1">
        <f>E479</f>
        <v>3</v>
      </c>
      <c r="AE479" s="1">
        <f>F479</f>
        <v>1</v>
      </c>
      <c r="AF479" s="1">
        <f>G479</f>
        <v>0</v>
      </c>
      <c r="AG479" s="1">
        <f>I479</f>
        <v>0</v>
      </c>
      <c r="AH479" s="1">
        <f>J479</f>
        <v>0</v>
      </c>
      <c r="AI479" s="1">
        <f>Q479</f>
        <v>0</v>
      </c>
      <c r="AJ479" s="1">
        <f>K479</f>
        <v>0</v>
      </c>
      <c r="AK479" s="1">
        <f>L479</f>
        <v>0</v>
      </c>
      <c r="AL479" s="1">
        <f>M479</f>
        <v>1</v>
      </c>
      <c r="AM479" s="1">
        <f>N479</f>
        <v>0</v>
      </c>
      <c r="AN479" s="1">
        <f>O479</f>
        <v>0</v>
      </c>
    </row>
    <row r="480">
      <c r="A480" s="1">
        <v>657</v>
      </c>
      <c r="B480" s="1">
        <v>25</v>
      </c>
      <c r="C480" s="1">
        <v>0.84</v>
      </c>
      <c r="D480" s="1">
        <v>86</v>
      </c>
      <c r="E480" s="1">
        <v>3</v>
      </c>
      <c r="F480" s="1">
        <v>0</v>
      </c>
      <c r="G480" s="1">
        <v>0</v>
      </c>
      <c r="H480" s="1">
        <v>1</v>
      </c>
      <c r="I480" s="1">
        <v>0</v>
      </c>
      <c r="J480" s="1">
        <v>0</v>
      </c>
      <c r="K480" s="1">
        <v>0</v>
      </c>
      <c r="L480" s="1">
        <v>0</v>
      </c>
      <c r="M480" s="1">
        <v>1</v>
      </c>
      <c r="N480" s="1">
        <v>0</v>
      </c>
      <c r="O480" s="1">
        <v>0</v>
      </c>
      <c r="P480" s="1">
        <f>LN(B480)</f>
        <v>3.2188758248682</v>
      </c>
      <c r="Q480" s="1">
        <f>1-SUM(F480:J480)</f>
        <v>0</v>
      </c>
      <c r="R480" s="1" t="str">
        <f>IF(F480=1,"Napa valley",IF(G480=1,"Bay area",IF(H480=1,"Sonoma",IF(I480=1,"Sierra/foothills",IF(J480=1,"Mendocino/lake","Generic California")))))</f>
        <v>Sonoma</v>
      </c>
      <c r="S480" s="1" t="str">
        <f>IF(F480=1,"Napa valley",IF(H480=1,"Sonoma","Other"))</f>
        <v>Sonoma</v>
      </c>
      <c r="T480" s="1" t="str">
        <f>IF(M480=1,"Cabernet",IF(N480=1,"Merlot",IF(L480=1,"Pinot noir","Other")))</f>
        <v>Cabernet</v>
      </c>
      <c r="U480" s="1" t="str">
        <f>IF(F480=1,B480,"")</f>
        <v/>
      </c>
      <c r="V480" s="1">
        <f>IF(F480=0,B480,"")</f>
        <v>25</v>
      </c>
      <c r="W480" s="1">
        <f>'Part B'!$B$150+SUMPRODUCT('Part B'!$B$164:$N$164,C480:O480)</f>
        <v>29.5821434469229</v>
      </c>
      <c r="X480" s="1">
        <f>B480-W480</f>
        <v>-4.58214344692289</v>
      </c>
      <c r="Y480" s="1">
        <f>'Part B'!$B$179+SUMPRODUCT('Part B'!$B$193:$N$193,C480:O480)</f>
        <v>3.2239424705086</v>
      </c>
      <c r="Z480" s="1">
        <f>P480-Y480</f>
        <v>-0.00506664564039872</v>
      </c>
      <c r="AB480" s="1">
        <f>C480</f>
        <v>0.84</v>
      </c>
      <c r="AC480" s="1">
        <f>D480</f>
        <v>86</v>
      </c>
      <c r="AD480" s="1">
        <f>E480</f>
        <v>3</v>
      </c>
      <c r="AE480" s="1">
        <f>F480</f>
        <v>0</v>
      </c>
      <c r="AF480" s="1">
        <f>G480</f>
        <v>0</v>
      </c>
      <c r="AG480" s="1">
        <f>I480</f>
        <v>0</v>
      </c>
      <c r="AH480" s="1">
        <f>J480</f>
        <v>0</v>
      </c>
      <c r="AI480" s="1">
        <f>Q480</f>
        <v>0</v>
      </c>
      <c r="AJ480" s="1">
        <f>K480</f>
        <v>0</v>
      </c>
      <c r="AK480" s="1">
        <f>L480</f>
        <v>0</v>
      </c>
      <c r="AL480" s="1">
        <f>M480</f>
        <v>1</v>
      </c>
      <c r="AM480" s="1">
        <f>N480</f>
        <v>0</v>
      </c>
      <c r="AN480" s="1">
        <f>O480</f>
        <v>0</v>
      </c>
    </row>
    <row r="481">
      <c r="A481" s="1">
        <v>658</v>
      </c>
      <c r="B481" s="1">
        <v>25</v>
      </c>
      <c r="C481" s="1">
        <v>0.165</v>
      </c>
      <c r="D481" s="1">
        <v>88</v>
      </c>
      <c r="E481" s="1">
        <v>3</v>
      </c>
      <c r="F481" s="1">
        <v>0</v>
      </c>
      <c r="G481" s="1">
        <v>0</v>
      </c>
      <c r="H481" s="1">
        <v>0</v>
      </c>
      <c r="I481" s="1">
        <v>0</v>
      </c>
      <c r="J481" s="1">
        <v>1</v>
      </c>
      <c r="K481" s="1">
        <v>0</v>
      </c>
      <c r="L481" s="1">
        <v>0</v>
      </c>
      <c r="M481" s="1">
        <v>0</v>
      </c>
      <c r="N481" s="1">
        <v>0</v>
      </c>
      <c r="O481" s="1">
        <v>0</v>
      </c>
      <c r="P481" s="1">
        <f>LN(B481)</f>
        <v>3.2188758248682</v>
      </c>
      <c r="Q481" s="1">
        <f>1-SUM(F481:J481)</f>
        <v>0</v>
      </c>
      <c r="R481" s="1" t="str">
        <f>IF(F481=1,"Napa valley",IF(G481=1,"Bay area",IF(H481=1,"Sonoma",IF(I481=1,"Sierra/foothills",IF(J481=1,"Mendocino/lake","Generic California")))))</f>
        <v>Mendocino/lake</v>
      </c>
      <c r="S481" s="1" t="str">
        <f>IF(F481=1,"Napa valley",IF(H481=1,"Sonoma","Other"))</f>
        <v>Other</v>
      </c>
      <c r="T481" s="1" t="str">
        <f>IF(M481=1,"Cabernet",IF(N481=1,"Merlot",IF(L481=1,"Pinot noir","Other")))</f>
        <v>Other</v>
      </c>
      <c r="U481" s="1" t="str">
        <f>IF(F481=1,B481,"")</f>
        <v/>
      </c>
      <c r="V481" s="1">
        <f>IF(F481=0,B481,"")</f>
        <v>25</v>
      </c>
      <c r="W481" s="1">
        <f>'Part B'!$B$150+SUMPRODUCT('Part B'!$B$164:$N$164,C481:O481)</f>
        <v>25.0261337294244</v>
      </c>
      <c r="X481" s="1">
        <f>B481-W481</f>
        <v>-0.0261337294244299</v>
      </c>
      <c r="Y481" s="1">
        <f>'Part B'!$B$179+SUMPRODUCT('Part B'!$B$193:$N$193,C481:O481)</f>
        <v>3.00105297899064</v>
      </c>
      <c r="Z481" s="1">
        <f>P481-Y481</f>
        <v>0.217822845877561</v>
      </c>
      <c r="AB481" s="1">
        <f>C481</f>
        <v>0.165</v>
      </c>
      <c r="AC481" s="1">
        <f>D481</f>
        <v>88</v>
      </c>
      <c r="AD481" s="1">
        <f>E481</f>
        <v>3</v>
      </c>
      <c r="AE481" s="1">
        <f>F481</f>
        <v>0</v>
      </c>
      <c r="AF481" s="1">
        <f>G481</f>
        <v>0</v>
      </c>
      <c r="AG481" s="1">
        <f>I481</f>
        <v>0</v>
      </c>
      <c r="AH481" s="1">
        <f>J481</f>
        <v>1</v>
      </c>
      <c r="AI481" s="1">
        <f>Q481</f>
        <v>0</v>
      </c>
      <c r="AJ481" s="1">
        <f>K481</f>
        <v>0</v>
      </c>
      <c r="AK481" s="1">
        <f>L481</f>
        <v>0</v>
      </c>
      <c r="AL481" s="1">
        <f>M481</f>
        <v>0</v>
      </c>
      <c r="AM481" s="1">
        <f>N481</f>
        <v>0</v>
      </c>
      <c r="AN481" s="1">
        <f>O481</f>
        <v>0</v>
      </c>
    </row>
    <row r="482">
      <c r="A482" s="1">
        <v>659</v>
      </c>
      <c r="B482" s="1">
        <v>25</v>
      </c>
      <c r="C482" s="1">
        <v>11</v>
      </c>
      <c r="D482" s="1">
        <v>89</v>
      </c>
      <c r="E482" s="1">
        <v>3</v>
      </c>
      <c r="F482" s="1">
        <v>0</v>
      </c>
      <c r="G482" s="1">
        <v>0</v>
      </c>
      <c r="H482" s="1">
        <v>1</v>
      </c>
      <c r="I482" s="1">
        <v>0</v>
      </c>
      <c r="J482" s="1">
        <v>0</v>
      </c>
      <c r="K482" s="1">
        <v>0</v>
      </c>
      <c r="L482" s="1">
        <v>0</v>
      </c>
      <c r="M482" s="1">
        <v>1</v>
      </c>
      <c r="N482" s="1">
        <v>0</v>
      </c>
      <c r="O482" s="1">
        <v>0</v>
      </c>
      <c r="P482" s="1">
        <f>LN(B482)</f>
        <v>3.2188758248682</v>
      </c>
      <c r="Q482" s="1">
        <f>1-SUM(F482:J482)</f>
        <v>0</v>
      </c>
      <c r="R482" s="1" t="str">
        <f>IF(F482=1,"Napa valley",IF(G482=1,"Bay area",IF(H482=1,"Sonoma",IF(I482=1,"Sierra/foothills",IF(J482=1,"Mendocino/lake","Generic California")))))</f>
        <v>Sonoma</v>
      </c>
      <c r="S482" s="1" t="str">
        <f>IF(F482=1,"Napa valley",IF(H482=1,"Sonoma","Other"))</f>
        <v>Sonoma</v>
      </c>
      <c r="T482" s="1" t="str">
        <f>IF(M482=1,"Cabernet",IF(N482=1,"Merlot",IF(L482=1,"Pinot noir","Other")))</f>
        <v>Cabernet</v>
      </c>
      <c r="U482" s="1" t="str">
        <f>IF(F482=1,B482,"")</f>
        <v/>
      </c>
      <c r="V482" s="1">
        <f>IF(F482=0,B482,"")</f>
        <v>25</v>
      </c>
      <c r="W482" s="1">
        <f>'Part B'!$B$150+SUMPRODUCT('Part B'!$B$164:$N$164,C482:O482)</f>
        <v>38.0531108245635</v>
      </c>
      <c r="X482" s="1">
        <f>B482-W482</f>
        <v>-13.0531108245635</v>
      </c>
      <c r="Y482" s="1">
        <f>'Part B'!$B$179+SUMPRODUCT('Part B'!$B$193:$N$193,C482:O482)</f>
        <v>3.39035125470683</v>
      </c>
      <c r="Z482" s="1">
        <f>P482-Y482</f>
        <v>-0.17147542983863</v>
      </c>
      <c r="AB482" s="1">
        <f>C482</f>
        <v>11</v>
      </c>
      <c r="AC482" s="1">
        <f>D482</f>
        <v>89</v>
      </c>
      <c r="AD482" s="1">
        <f>E482</f>
        <v>3</v>
      </c>
      <c r="AE482" s="1">
        <f>F482</f>
        <v>0</v>
      </c>
      <c r="AF482" s="1">
        <f>G482</f>
        <v>0</v>
      </c>
      <c r="AG482" s="1">
        <f>I482</f>
        <v>0</v>
      </c>
      <c r="AH482" s="1">
        <f>J482</f>
        <v>0</v>
      </c>
      <c r="AI482" s="1">
        <f>Q482</f>
        <v>0</v>
      </c>
      <c r="AJ482" s="1">
        <f>K482</f>
        <v>0</v>
      </c>
      <c r="AK482" s="1">
        <f>L482</f>
        <v>0</v>
      </c>
      <c r="AL482" s="1">
        <f>M482</f>
        <v>1</v>
      </c>
      <c r="AM482" s="1">
        <f>N482</f>
        <v>0</v>
      </c>
      <c r="AN482" s="1">
        <f>O482</f>
        <v>0</v>
      </c>
    </row>
    <row r="483">
      <c r="A483" s="1">
        <v>661</v>
      </c>
      <c r="B483" s="1">
        <v>25</v>
      </c>
      <c r="C483" s="1">
        <v>0.589</v>
      </c>
      <c r="D483" s="1">
        <v>87</v>
      </c>
      <c r="E483" s="1">
        <v>3</v>
      </c>
      <c r="F483" s="1">
        <v>0</v>
      </c>
      <c r="G483" s="1">
        <v>0</v>
      </c>
      <c r="H483" s="1">
        <v>1</v>
      </c>
      <c r="I483" s="1">
        <v>0</v>
      </c>
      <c r="J483" s="1">
        <v>0</v>
      </c>
      <c r="K483" s="1">
        <v>0</v>
      </c>
      <c r="L483" s="1">
        <v>0</v>
      </c>
      <c r="M483" s="1">
        <v>0</v>
      </c>
      <c r="N483" s="1">
        <v>1</v>
      </c>
      <c r="O483" s="1">
        <v>0</v>
      </c>
      <c r="P483" s="1">
        <f>LN(B483)</f>
        <v>3.2188758248682</v>
      </c>
      <c r="Q483" s="1">
        <f>1-SUM(F483:J483)</f>
        <v>0</v>
      </c>
      <c r="R483" s="1" t="str">
        <f>IF(F483=1,"Napa valley",IF(G483=1,"Bay area",IF(H483=1,"Sonoma",IF(I483=1,"Sierra/foothills",IF(J483=1,"Mendocino/lake","Generic California")))))</f>
        <v>Sonoma</v>
      </c>
      <c r="S483" s="1" t="str">
        <f>IF(F483=1,"Napa valley",IF(H483=1,"Sonoma","Other"))</f>
        <v>Sonoma</v>
      </c>
      <c r="T483" s="1" t="str">
        <f>IF(M483=1,"Cabernet",IF(N483=1,"Merlot",IF(L483=1,"Pinot noir","Other")))</f>
        <v>Merlot</v>
      </c>
      <c r="U483" s="1" t="str">
        <f>IF(F483=1,B483,"")</f>
        <v/>
      </c>
      <c r="V483" s="1">
        <f>IF(F483=0,B483,"")</f>
        <v>25</v>
      </c>
      <c r="W483" s="1">
        <f>'Part B'!$B$150+SUMPRODUCT('Part B'!$B$164:$N$164,C483:O483)</f>
        <v>27.7840198076341</v>
      </c>
      <c r="X483" s="1">
        <f>B483-W483</f>
        <v>-2.78401980763408</v>
      </c>
      <c r="Y483" s="1">
        <f>'Part B'!$B$179+SUMPRODUCT('Part B'!$B$193:$N$193,C483:O483)</f>
        <v>3.2584969546404</v>
      </c>
      <c r="Z483" s="1">
        <f>P483-Y483</f>
        <v>-0.0396211297721991</v>
      </c>
      <c r="AB483" s="1">
        <f>C483</f>
        <v>0.589</v>
      </c>
      <c r="AC483" s="1">
        <f>D483</f>
        <v>87</v>
      </c>
      <c r="AD483" s="1">
        <f>E483</f>
        <v>3</v>
      </c>
      <c r="AE483" s="1">
        <f>F483</f>
        <v>0</v>
      </c>
      <c r="AF483" s="1">
        <f>G483</f>
        <v>0</v>
      </c>
      <c r="AG483" s="1">
        <f>I483</f>
        <v>0</v>
      </c>
      <c r="AH483" s="1">
        <f>J483</f>
        <v>0</v>
      </c>
      <c r="AI483" s="1">
        <f>Q483</f>
        <v>0</v>
      </c>
      <c r="AJ483" s="1">
        <f>K483</f>
        <v>0</v>
      </c>
      <c r="AK483" s="1">
        <f>L483</f>
        <v>0</v>
      </c>
      <c r="AL483" s="1">
        <f>M483</f>
        <v>0</v>
      </c>
      <c r="AM483" s="1">
        <f>N483</f>
        <v>1</v>
      </c>
      <c r="AN483" s="1">
        <f>O483</f>
        <v>0</v>
      </c>
    </row>
    <row r="484">
      <c r="A484" s="1">
        <v>662</v>
      </c>
      <c r="B484" s="1">
        <v>25</v>
      </c>
      <c r="C484" s="1">
        <v>0.33</v>
      </c>
      <c r="D484" s="1">
        <v>89</v>
      </c>
      <c r="E484" s="1">
        <v>3</v>
      </c>
      <c r="F484" s="1">
        <v>0</v>
      </c>
      <c r="G484" s="1">
        <v>1</v>
      </c>
      <c r="H484" s="1">
        <v>0</v>
      </c>
      <c r="I484" s="1">
        <v>0</v>
      </c>
      <c r="J484" s="1">
        <v>0</v>
      </c>
      <c r="K484" s="1">
        <v>0</v>
      </c>
      <c r="L484" s="1">
        <v>0</v>
      </c>
      <c r="M484" s="1">
        <v>0</v>
      </c>
      <c r="N484" s="1">
        <v>1</v>
      </c>
      <c r="O484" s="1">
        <v>0</v>
      </c>
      <c r="P484" s="1">
        <f>LN(B484)</f>
        <v>3.2188758248682</v>
      </c>
      <c r="Q484" s="1">
        <f>1-SUM(F484:J484)</f>
        <v>0</v>
      </c>
      <c r="R484" s="1" t="str">
        <f>IF(F484=1,"Napa valley",IF(G484=1,"Bay area",IF(H484=1,"Sonoma",IF(I484=1,"Sierra/foothills",IF(J484=1,"Mendocino/lake","Generic California")))))</f>
        <v>Bay area</v>
      </c>
      <c r="S484" s="1" t="str">
        <f>IF(F484=1,"Napa valley",IF(H484=1,"Sonoma","Other"))</f>
        <v>Other</v>
      </c>
      <c r="T484" s="1" t="str">
        <f>IF(M484=1,"Cabernet",IF(N484=1,"Merlot",IF(L484=1,"Pinot noir","Other")))</f>
        <v>Merlot</v>
      </c>
      <c r="U484" s="1" t="str">
        <f>IF(F484=1,B484,"")</f>
        <v/>
      </c>
      <c r="V484" s="1">
        <f>IF(F484=0,B484,"")</f>
        <v>25</v>
      </c>
      <c r="W484" s="1">
        <f>'Part B'!$B$150+SUMPRODUCT('Part B'!$B$164:$N$164,C484:O484)</f>
        <v>37.2131177720846</v>
      </c>
      <c r="X484" s="1">
        <f>B484-W484</f>
        <v>-12.2131177720846</v>
      </c>
      <c r="Y484" s="1">
        <f>'Part B'!$B$179+SUMPRODUCT('Part B'!$B$193:$N$193,C484:O484)</f>
        <v>3.37258309544037</v>
      </c>
      <c r="Z484" s="1">
        <f>P484-Y484</f>
        <v>-0.153707270572171</v>
      </c>
      <c r="AB484" s="1">
        <f>C484</f>
        <v>0.33</v>
      </c>
      <c r="AC484" s="1">
        <f>D484</f>
        <v>89</v>
      </c>
      <c r="AD484" s="1">
        <f>E484</f>
        <v>3</v>
      </c>
      <c r="AE484" s="1">
        <f>F484</f>
        <v>0</v>
      </c>
      <c r="AF484" s="1">
        <f>G484</f>
        <v>1</v>
      </c>
      <c r="AG484" s="1">
        <f>I484</f>
        <v>0</v>
      </c>
      <c r="AH484" s="1">
        <f>J484</f>
        <v>0</v>
      </c>
      <c r="AI484" s="1">
        <f>Q484</f>
        <v>0</v>
      </c>
      <c r="AJ484" s="1">
        <f>K484</f>
        <v>0</v>
      </c>
      <c r="AK484" s="1">
        <f>L484</f>
        <v>0</v>
      </c>
      <c r="AL484" s="1">
        <f>M484</f>
        <v>0</v>
      </c>
      <c r="AM484" s="1">
        <f>N484</f>
        <v>1</v>
      </c>
      <c r="AN484" s="1">
        <f>O484</f>
        <v>0</v>
      </c>
    </row>
    <row r="485">
      <c r="A485" s="1">
        <v>663</v>
      </c>
      <c r="B485" s="1">
        <v>25</v>
      </c>
      <c r="C485" s="1">
        <v>3.656</v>
      </c>
      <c r="D485" s="1">
        <v>91</v>
      </c>
      <c r="E485" s="1">
        <v>3</v>
      </c>
      <c r="F485" s="1">
        <v>0</v>
      </c>
      <c r="G485" s="1">
        <v>0</v>
      </c>
      <c r="H485" s="1">
        <v>1</v>
      </c>
      <c r="I485" s="1">
        <v>0</v>
      </c>
      <c r="J485" s="1">
        <v>0</v>
      </c>
      <c r="K485" s="1">
        <v>0</v>
      </c>
      <c r="L485" s="1">
        <v>1</v>
      </c>
      <c r="M485" s="1">
        <v>0</v>
      </c>
      <c r="N485" s="1">
        <v>0</v>
      </c>
      <c r="O485" s="1">
        <v>0</v>
      </c>
      <c r="P485" s="1">
        <f>LN(B485)</f>
        <v>3.2188758248682</v>
      </c>
      <c r="Q485" s="1">
        <f>1-SUM(F485:J485)</f>
        <v>0</v>
      </c>
      <c r="R485" s="1" t="str">
        <f>IF(F485=1,"Napa valley",IF(G485=1,"Bay area",IF(H485=1,"Sonoma",IF(I485=1,"Sierra/foothills",IF(J485=1,"Mendocino/lake","Generic California")))))</f>
        <v>Sonoma</v>
      </c>
      <c r="S485" s="1" t="str">
        <f>IF(F485=1,"Napa valley",IF(H485=1,"Sonoma","Other"))</f>
        <v>Sonoma</v>
      </c>
      <c r="T485" s="1" t="str">
        <f>IF(M485=1,"Cabernet",IF(N485=1,"Merlot",IF(L485=1,"Pinot noir","Other")))</f>
        <v>Pinot noir</v>
      </c>
      <c r="U485" s="1" t="str">
        <f>IF(F485=1,B485,"")</f>
        <v/>
      </c>
      <c r="V485" s="1">
        <f>IF(F485=0,B485,"")</f>
        <v>25</v>
      </c>
      <c r="W485" s="1">
        <f>'Part B'!$B$150+SUMPRODUCT('Part B'!$B$164:$N$164,C485:O485)</f>
        <v>41.8673576179356</v>
      </c>
      <c r="X485" s="1">
        <f>B485-W485</f>
        <v>-16.8673576179356</v>
      </c>
      <c r="Y485" s="1">
        <f>'Part B'!$B$179+SUMPRODUCT('Part B'!$B$193:$N$193,C485:O485)</f>
        <v>3.58722607909212</v>
      </c>
      <c r="Z485" s="1">
        <f>P485-Y485</f>
        <v>-0.368350254223919</v>
      </c>
      <c r="AB485" s="1">
        <f>C485</f>
        <v>3.656</v>
      </c>
      <c r="AC485" s="1">
        <f>D485</f>
        <v>91</v>
      </c>
      <c r="AD485" s="1">
        <f>E485</f>
        <v>3</v>
      </c>
      <c r="AE485" s="1">
        <f>F485</f>
        <v>0</v>
      </c>
      <c r="AF485" s="1">
        <f>G485</f>
        <v>0</v>
      </c>
      <c r="AG485" s="1">
        <f>I485</f>
        <v>0</v>
      </c>
      <c r="AH485" s="1">
        <f>J485</f>
        <v>0</v>
      </c>
      <c r="AI485" s="1">
        <f>Q485</f>
        <v>0</v>
      </c>
      <c r="AJ485" s="1">
        <f>K485</f>
        <v>0</v>
      </c>
      <c r="AK485" s="1">
        <f>L485</f>
        <v>1</v>
      </c>
      <c r="AL485" s="1">
        <f>M485</f>
        <v>0</v>
      </c>
      <c r="AM485" s="1">
        <f>N485</f>
        <v>0</v>
      </c>
      <c r="AN485" s="1">
        <f>O485</f>
        <v>0</v>
      </c>
    </row>
    <row r="486">
      <c r="A486" s="1">
        <v>664</v>
      </c>
      <c r="B486" s="1">
        <v>25</v>
      </c>
      <c r="C486" s="1">
        <v>1.582</v>
      </c>
      <c r="D486" s="1">
        <v>89</v>
      </c>
      <c r="E486" s="1">
        <v>3</v>
      </c>
      <c r="F486" s="1">
        <v>0</v>
      </c>
      <c r="G486" s="1">
        <v>0</v>
      </c>
      <c r="H486" s="1">
        <v>1</v>
      </c>
      <c r="I486" s="1">
        <v>0</v>
      </c>
      <c r="J486" s="1">
        <v>0</v>
      </c>
      <c r="K486" s="1">
        <v>1</v>
      </c>
      <c r="L486" s="1">
        <v>0</v>
      </c>
      <c r="M486" s="1">
        <v>0</v>
      </c>
      <c r="N486" s="1">
        <v>0</v>
      </c>
      <c r="O486" s="1">
        <v>0</v>
      </c>
      <c r="P486" s="1">
        <f>LN(B486)</f>
        <v>3.2188758248682</v>
      </c>
      <c r="Q486" s="1">
        <f>1-SUM(F486:J486)</f>
        <v>0</v>
      </c>
      <c r="R486" s="1" t="str">
        <f>IF(F486=1,"Napa valley",IF(G486=1,"Bay area",IF(H486=1,"Sonoma",IF(I486=1,"Sierra/foothills",IF(J486=1,"Mendocino/lake","Generic California")))))</f>
        <v>Sonoma</v>
      </c>
      <c r="S486" s="1" t="str">
        <f>IF(F486=1,"Napa valley",IF(H486=1,"Sonoma","Other"))</f>
        <v>Sonoma</v>
      </c>
      <c r="T486" s="1" t="str">
        <f>IF(M486=1,"Cabernet",IF(N486=1,"Merlot",IF(L486=1,"Pinot noir","Other")))</f>
        <v>Other</v>
      </c>
      <c r="U486" s="1" t="str">
        <f>IF(F486=1,B486,"")</f>
        <v/>
      </c>
      <c r="V486" s="1">
        <f>IF(F486=0,B486,"")</f>
        <v>25</v>
      </c>
      <c r="W486" s="1">
        <f>'Part B'!$B$150+SUMPRODUCT('Part B'!$B$164:$N$164,C486:O486)</f>
        <v>46.6075484720894</v>
      </c>
      <c r="X486" s="1">
        <f>B486-W486</f>
        <v>-21.6075484720894</v>
      </c>
      <c r="Y486" s="1">
        <f>'Part B'!$B$179+SUMPRODUCT('Part B'!$B$193:$N$193,C486:O486)</f>
        <v>3.58824331271303</v>
      </c>
      <c r="Z486" s="1">
        <f>P486-Y486</f>
        <v>-0.369367487844832</v>
      </c>
      <c r="AB486" s="1">
        <f>C486</f>
        <v>1.582</v>
      </c>
      <c r="AC486" s="1">
        <f>D486</f>
        <v>89</v>
      </c>
      <c r="AD486" s="1">
        <f>E486</f>
        <v>3</v>
      </c>
      <c r="AE486" s="1">
        <f>F486</f>
        <v>0</v>
      </c>
      <c r="AF486" s="1">
        <f>G486</f>
        <v>0</v>
      </c>
      <c r="AG486" s="1">
        <f>I486</f>
        <v>0</v>
      </c>
      <c r="AH486" s="1">
        <f>J486</f>
        <v>0</v>
      </c>
      <c r="AI486" s="1">
        <f>Q486</f>
        <v>0</v>
      </c>
      <c r="AJ486" s="1">
        <f>K486</f>
        <v>1</v>
      </c>
      <c r="AK486" s="1">
        <f>L486</f>
        <v>0</v>
      </c>
      <c r="AL486" s="1">
        <f>M486</f>
        <v>0</v>
      </c>
      <c r="AM486" s="1">
        <f>N486</f>
        <v>0</v>
      </c>
      <c r="AN486" s="1">
        <f>O486</f>
        <v>0</v>
      </c>
    </row>
    <row r="487">
      <c r="A487" s="1">
        <v>665</v>
      </c>
      <c r="B487" s="1">
        <v>25</v>
      </c>
      <c r="C487" s="1">
        <v>3</v>
      </c>
      <c r="D487" s="1">
        <v>87</v>
      </c>
      <c r="E487" s="1">
        <v>3</v>
      </c>
      <c r="F487" s="1">
        <v>1</v>
      </c>
      <c r="G487" s="1">
        <v>0</v>
      </c>
      <c r="H487" s="1">
        <v>0</v>
      </c>
      <c r="I487" s="1">
        <v>0</v>
      </c>
      <c r="J487" s="1">
        <v>0</v>
      </c>
      <c r="K487" s="1">
        <v>0</v>
      </c>
      <c r="L487" s="1">
        <v>0</v>
      </c>
      <c r="M487" s="1">
        <v>0</v>
      </c>
      <c r="N487" s="1">
        <v>1</v>
      </c>
      <c r="O487" s="1">
        <v>0</v>
      </c>
      <c r="P487" s="1">
        <f>LN(B487)</f>
        <v>3.2188758248682</v>
      </c>
      <c r="Q487" s="1">
        <f>1-SUM(F487:J487)</f>
        <v>0</v>
      </c>
      <c r="R487" s="1" t="str">
        <f>IF(F487=1,"Napa valley",IF(G487=1,"Bay area",IF(H487=1,"Sonoma",IF(I487=1,"Sierra/foothills",IF(J487=1,"Mendocino/lake","Generic California")))))</f>
        <v>Napa valley</v>
      </c>
      <c r="S487" s="1" t="str">
        <f>IF(F487=1,"Napa valley",IF(H487=1,"Sonoma","Other"))</f>
        <v>Napa valley</v>
      </c>
      <c r="T487" s="1" t="str">
        <f>IF(M487=1,"Cabernet",IF(N487=1,"Merlot",IF(L487=1,"Pinot noir","Other")))</f>
        <v>Merlot</v>
      </c>
      <c r="U487" s="1">
        <f>IF(F487=1,B487,"")</f>
        <v>25</v>
      </c>
      <c r="V487" s="1" t="str">
        <f>IF(F487=0,B487,"")</f>
        <v/>
      </c>
      <c r="W487" s="1">
        <f>'Part B'!$B$150+SUMPRODUCT('Part B'!$B$164:$N$164,C487:O487)</f>
        <v>35.4516305288532</v>
      </c>
      <c r="X487" s="1">
        <f>B487-W487</f>
        <v>-10.4516305288532</v>
      </c>
      <c r="Y487" s="1">
        <f>'Part B'!$B$179+SUMPRODUCT('Part B'!$B$193:$N$193,C487:O487)</f>
        <v>3.39596768865377</v>
      </c>
      <c r="Z487" s="1">
        <f>P487-Y487</f>
        <v>-0.177091863785573</v>
      </c>
      <c r="AB487" s="1">
        <f>C487</f>
        <v>3</v>
      </c>
      <c r="AC487" s="1">
        <f>D487</f>
        <v>87</v>
      </c>
      <c r="AD487" s="1">
        <f>E487</f>
        <v>3</v>
      </c>
      <c r="AE487" s="1">
        <f>F487</f>
        <v>1</v>
      </c>
      <c r="AF487" s="1">
        <f>G487</f>
        <v>0</v>
      </c>
      <c r="AG487" s="1">
        <f>I487</f>
        <v>0</v>
      </c>
      <c r="AH487" s="1">
        <f>J487</f>
        <v>0</v>
      </c>
      <c r="AI487" s="1">
        <f>Q487</f>
        <v>0</v>
      </c>
      <c r="AJ487" s="1">
        <f>K487</f>
        <v>0</v>
      </c>
      <c r="AK487" s="1">
        <f>L487</f>
        <v>0</v>
      </c>
      <c r="AL487" s="1">
        <f>M487</f>
        <v>0</v>
      </c>
      <c r="AM487" s="1">
        <f>N487</f>
        <v>1</v>
      </c>
      <c r="AN487" s="1">
        <f>O487</f>
        <v>0</v>
      </c>
    </row>
    <row r="488">
      <c r="A488" s="1">
        <v>666</v>
      </c>
      <c r="B488" s="1">
        <v>25</v>
      </c>
      <c r="C488" s="1">
        <v>0.187</v>
      </c>
      <c r="D488" s="1">
        <v>85</v>
      </c>
      <c r="E488" s="1">
        <v>3</v>
      </c>
      <c r="F488" s="1">
        <v>1</v>
      </c>
      <c r="G488" s="1">
        <v>0</v>
      </c>
      <c r="H488" s="1">
        <v>0</v>
      </c>
      <c r="I488" s="1">
        <v>0</v>
      </c>
      <c r="J488" s="1">
        <v>0</v>
      </c>
      <c r="K488" s="1">
        <v>1</v>
      </c>
      <c r="L488" s="1">
        <v>0</v>
      </c>
      <c r="M488" s="1">
        <v>0</v>
      </c>
      <c r="N488" s="1">
        <v>0</v>
      </c>
      <c r="O488" s="1">
        <v>0</v>
      </c>
      <c r="P488" s="1">
        <f>LN(B488)</f>
        <v>3.2188758248682</v>
      </c>
      <c r="Q488" s="1">
        <f>1-SUM(F488:J488)</f>
        <v>0</v>
      </c>
      <c r="R488" s="1" t="str">
        <f>IF(F488=1,"Napa valley",IF(G488=1,"Bay area",IF(H488=1,"Sonoma",IF(I488=1,"Sierra/foothills",IF(J488=1,"Mendocino/lake","Generic California")))))</f>
        <v>Napa valley</v>
      </c>
      <c r="S488" s="1" t="str">
        <f>IF(F488=1,"Napa valley",IF(H488=1,"Sonoma","Other"))</f>
        <v>Napa valley</v>
      </c>
      <c r="T488" s="1" t="str">
        <f>IF(M488=1,"Cabernet",IF(N488=1,"Merlot",IF(L488=1,"Pinot noir","Other")))</f>
        <v>Other</v>
      </c>
      <c r="U488" s="1">
        <f>IF(F488=1,B488,"")</f>
        <v>25</v>
      </c>
      <c r="V488" s="1" t="str">
        <f>IF(F488=0,B488,"")</f>
        <v/>
      </c>
      <c r="W488" s="1">
        <f>'Part B'!$B$150+SUMPRODUCT('Part B'!$B$164:$N$164,C488:O488)</f>
        <v>42.0560126310779</v>
      </c>
      <c r="X488" s="1">
        <f>B488-W488</f>
        <v>-17.0560126310779</v>
      </c>
      <c r="Y488" s="1">
        <f>'Part B'!$B$179+SUMPRODUCT('Part B'!$B$193:$N$193,C488:O488)</f>
        <v>3.46215470109089</v>
      </c>
      <c r="Z488" s="1">
        <f>P488-Y488</f>
        <v>-0.243278876222688</v>
      </c>
      <c r="AB488" s="1">
        <f>C488</f>
        <v>0.187</v>
      </c>
      <c r="AC488" s="1">
        <f>D488</f>
        <v>85</v>
      </c>
      <c r="AD488" s="1">
        <f>E488</f>
        <v>3</v>
      </c>
      <c r="AE488" s="1">
        <f>F488</f>
        <v>1</v>
      </c>
      <c r="AF488" s="1">
        <f>G488</f>
        <v>0</v>
      </c>
      <c r="AG488" s="1">
        <f>I488</f>
        <v>0</v>
      </c>
      <c r="AH488" s="1">
        <f>J488</f>
        <v>0</v>
      </c>
      <c r="AI488" s="1">
        <f>Q488</f>
        <v>0</v>
      </c>
      <c r="AJ488" s="1">
        <f>K488</f>
        <v>1</v>
      </c>
      <c r="AK488" s="1">
        <f>L488</f>
        <v>0</v>
      </c>
      <c r="AL488" s="1">
        <f>M488</f>
        <v>0</v>
      </c>
      <c r="AM488" s="1">
        <f>N488</f>
        <v>0</v>
      </c>
      <c r="AN488" s="1">
        <f>O488</f>
        <v>0</v>
      </c>
    </row>
    <row r="489">
      <c r="A489" s="1">
        <v>667</v>
      </c>
      <c r="B489" s="1">
        <v>25</v>
      </c>
      <c r="C489" s="1">
        <v>6</v>
      </c>
      <c r="D489" s="1">
        <v>88</v>
      </c>
      <c r="E489" s="1">
        <v>3</v>
      </c>
      <c r="F489" s="1">
        <v>1</v>
      </c>
      <c r="G489" s="1">
        <v>0</v>
      </c>
      <c r="H489" s="1">
        <v>0</v>
      </c>
      <c r="I489" s="1">
        <v>0</v>
      </c>
      <c r="J489" s="1">
        <v>0</v>
      </c>
      <c r="K489" s="1">
        <v>0</v>
      </c>
      <c r="L489" s="1">
        <v>0</v>
      </c>
      <c r="M489" s="1">
        <v>0</v>
      </c>
      <c r="N489" s="1">
        <v>1</v>
      </c>
      <c r="O489" s="1">
        <v>0</v>
      </c>
      <c r="P489" s="1">
        <f>LN(B489)</f>
        <v>3.2188758248682</v>
      </c>
      <c r="Q489" s="1">
        <f>1-SUM(F489:J489)</f>
        <v>0</v>
      </c>
      <c r="R489" s="1" t="str">
        <f>IF(F489=1,"Napa valley",IF(G489=1,"Bay area",IF(H489=1,"Sonoma",IF(I489=1,"Sierra/foothills",IF(J489=1,"Mendocino/lake","Generic California")))))</f>
        <v>Napa valley</v>
      </c>
      <c r="S489" s="1" t="str">
        <f>IF(F489=1,"Napa valley",IF(H489=1,"Sonoma","Other"))</f>
        <v>Napa valley</v>
      </c>
      <c r="T489" s="1" t="str">
        <f>IF(M489=1,"Cabernet",IF(N489=1,"Merlot",IF(L489=1,"Pinot noir","Other")))</f>
        <v>Merlot</v>
      </c>
      <c r="U489" s="1">
        <f>IF(F489=1,B489,"")</f>
        <v>25</v>
      </c>
      <c r="V489" s="1" t="str">
        <f>IF(F489=0,B489,"")</f>
        <v/>
      </c>
      <c r="W489" s="1">
        <f>'Part B'!$B$150+SUMPRODUCT('Part B'!$B$164:$N$164,C489:O489)</f>
        <v>38.3119863123237</v>
      </c>
      <c r="X489" s="1">
        <f>B489-W489</f>
        <v>-13.3119863123237</v>
      </c>
      <c r="Y489" s="1">
        <f>'Part B'!$B$179+SUMPRODUCT('Part B'!$B$193:$N$193,C489:O489)</f>
        <v>3.45309185601595</v>
      </c>
      <c r="Z489" s="1">
        <f>P489-Y489</f>
        <v>-0.23421603114775</v>
      </c>
      <c r="AB489" s="1">
        <f>C489</f>
        <v>6</v>
      </c>
      <c r="AC489" s="1">
        <f>D489</f>
        <v>88</v>
      </c>
      <c r="AD489" s="1">
        <f>E489</f>
        <v>3</v>
      </c>
      <c r="AE489" s="1">
        <f>F489</f>
        <v>1</v>
      </c>
      <c r="AF489" s="1">
        <f>G489</f>
        <v>0</v>
      </c>
      <c r="AG489" s="1">
        <f>I489</f>
        <v>0</v>
      </c>
      <c r="AH489" s="1">
        <f>J489</f>
        <v>0</v>
      </c>
      <c r="AI489" s="1">
        <f>Q489</f>
        <v>0</v>
      </c>
      <c r="AJ489" s="1">
        <f>K489</f>
        <v>0</v>
      </c>
      <c r="AK489" s="1">
        <f>L489</f>
        <v>0</v>
      </c>
      <c r="AL489" s="1">
        <f>M489</f>
        <v>0</v>
      </c>
      <c r="AM489" s="1">
        <f>N489</f>
        <v>1</v>
      </c>
      <c r="AN489" s="1">
        <f>O489</f>
        <v>0</v>
      </c>
    </row>
    <row r="490">
      <c r="A490" s="1">
        <v>668</v>
      </c>
      <c r="B490" s="1">
        <v>25</v>
      </c>
      <c r="C490" s="1">
        <v>0.7</v>
      </c>
      <c r="D490" s="1">
        <v>90</v>
      </c>
      <c r="E490" s="1">
        <v>3</v>
      </c>
      <c r="F490" s="1">
        <v>1</v>
      </c>
      <c r="G490" s="1">
        <v>0</v>
      </c>
      <c r="H490" s="1">
        <v>0</v>
      </c>
      <c r="I490" s="1">
        <v>0</v>
      </c>
      <c r="J490" s="1">
        <v>0</v>
      </c>
      <c r="K490" s="1">
        <v>0</v>
      </c>
      <c r="L490" s="1">
        <v>0</v>
      </c>
      <c r="M490" s="1">
        <v>0</v>
      </c>
      <c r="N490" s="1">
        <v>0</v>
      </c>
      <c r="O490" s="1">
        <v>0</v>
      </c>
      <c r="P490" s="1">
        <f>LN(B490)</f>
        <v>3.2188758248682</v>
      </c>
      <c r="Q490" s="1">
        <f>1-SUM(F490:J490)</f>
        <v>0</v>
      </c>
      <c r="R490" s="1" t="str">
        <f>IF(F490=1,"Napa valley",IF(G490=1,"Bay area",IF(H490=1,"Sonoma",IF(I490=1,"Sierra/foothills",IF(J490=1,"Mendocino/lake","Generic California")))))</f>
        <v>Napa valley</v>
      </c>
      <c r="S490" s="1" t="str">
        <f>IF(F490=1,"Napa valley",IF(H490=1,"Sonoma","Other"))</f>
        <v>Napa valley</v>
      </c>
      <c r="T490" s="1" t="str">
        <f>IF(M490=1,"Cabernet",IF(N490=1,"Merlot",IF(L490=1,"Pinot noir","Other")))</f>
        <v>Other</v>
      </c>
      <c r="U490" s="1">
        <f>IF(F490=1,B490,"")</f>
        <v>25</v>
      </c>
      <c r="V490" s="1" t="str">
        <f>IF(F490=0,B490,"")</f>
        <v/>
      </c>
      <c r="W490" s="1">
        <f>'Part B'!$B$150+SUMPRODUCT('Part B'!$B$164:$N$164,C490:O490)</f>
        <v>37.4450139217207</v>
      </c>
      <c r="X490" s="1">
        <f>B490-W490</f>
        <v>-12.4450139217207</v>
      </c>
      <c r="Y490" s="1">
        <f>'Part B'!$B$179+SUMPRODUCT('Part B'!$B$193:$N$193,C490:O490)</f>
        <v>3.33117891961142</v>
      </c>
      <c r="Z490" s="1">
        <f>P490-Y490</f>
        <v>-0.112303094743216</v>
      </c>
      <c r="AB490" s="1">
        <f>C490</f>
        <v>0.7</v>
      </c>
      <c r="AC490" s="1">
        <f>D490</f>
        <v>90</v>
      </c>
      <c r="AD490" s="1">
        <f>E490</f>
        <v>3</v>
      </c>
      <c r="AE490" s="1">
        <f>F490</f>
        <v>1</v>
      </c>
      <c r="AF490" s="1">
        <f>G490</f>
        <v>0</v>
      </c>
      <c r="AG490" s="1">
        <f>I490</f>
        <v>0</v>
      </c>
      <c r="AH490" s="1">
        <f>J490</f>
        <v>0</v>
      </c>
      <c r="AI490" s="1">
        <f>Q490</f>
        <v>0</v>
      </c>
      <c r="AJ490" s="1">
        <f>K490</f>
        <v>0</v>
      </c>
      <c r="AK490" s="1">
        <f>L490</f>
        <v>0</v>
      </c>
      <c r="AL490" s="1">
        <f>M490</f>
        <v>0</v>
      </c>
      <c r="AM490" s="1">
        <f>N490</f>
        <v>0</v>
      </c>
      <c r="AN490" s="1">
        <f>O490</f>
        <v>0</v>
      </c>
    </row>
    <row r="491">
      <c r="A491" s="1">
        <v>669</v>
      </c>
      <c r="B491" s="1">
        <v>25</v>
      </c>
      <c r="C491" s="1">
        <v>1.029</v>
      </c>
      <c r="D491" s="1">
        <v>87</v>
      </c>
      <c r="E491" s="1">
        <v>3</v>
      </c>
      <c r="F491" s="1">
        <v>1</v>
      </c>
      <c r="G491" s="1">
        <v>0</v>
      </c>
      <c r="H491" s="1">
        <v>0</v>
      </c>
      <c r="I491" s="1">
        <v>0</v>
      </c>
      <c r="J491" s="1">
        <v>0</v>
      </c>
      <c r="K491" s="1">
        <v>0</v>
      </c>
      <c r="L491" s="1">
        <v>0</v>
      </c>
      <c r="M491" s="1">
        <v>1</v>
      </c>
      <c r="N491" s="1">
        <v>0</v>
      </c>
      <c r="O491" s="1">
        <v>0</v>
      </c>
      <c r="P491" s="1">
        <f>LN(B491)</f>
        <v>3.2188758248682</v>
      </c>
      <c r="Q491" s="1">
        <f>1-SUM(F491:J491)</f>
        <v>0</v>
      </c>
      <c r="R491" s="1" t="str">
        <f>IF(F491=1,"Napa valley",IF(G491=1,"Bay area",IF(H491=1,"Sonoma",IF(I491=1,"Sierra/foothills",IF(J491=1,"Mendocino/lake","Generic California")))))</f>
        <v>Napa valley</v>
      </c>
      <c r="S491" s="1" t="str">
        <f>IF(F491=1,"Napa valley",IF(H491=1,"Sonoma","Other"))</f>
        <v>Napa valley</v>
      </c>
      <c r="T491" s="1" t="str">
        <f>IF(M491=1,"Cabernet",IF(N491=1,"Merlot",IF(L491=1,"Pinot noir","Other")))</f>
        <v>Cabernet</v>
      </c>
      <c r="U491" s="1">
        <f>IF(F491=1,B491,"")</f>
        <v>25</v>
      </c>
      <c r="V491" s="1" t="str">
        <f>IF(F491=0,B491,"")</f>
        <v/>
      </c>
      <c r="W491" s="1">
        <f>'Part B'!$B$150+SUMPRODUCT('Part B'!$B$164:$N$164,C491:O491)</f>
        <v>40.6057496566207</v>
      </c>
      <c r="X491" s="1">
        <f>B491-W491</f>
        <v>-15.6057496566207</v>
      </c>
      <c r="Y491" s="1">
        <f>'Part B'!$B$179+SUMPRODUCT('Part B'!$B$193:$N$193,C491:O491)</f>
        <v>3.44088266051578</v>
      </c>
      <c r="Z491" s="1">
        <f>P491-Y491</f>
        <v>-0.222006835647575</v>
      </c>
      <c r="AB491" s="1">
        <f>C491</f>
        <v>1.029</v>
      </c>
      <c r="AC491" s="1">
        <f>D491</f>
        <v>87</v>
      </c>
      <c r="AD491" s="1">
        <f>E491</f>
        <v>3</v>
      </c>
      <c r="AE491" s="1">
        <f>F491</f>
        <v>1</v>
      </c>
      <c r="AF491" s="1">
        <f>G491</f>
        <v>0</v>
      </c>
      <c r="AG491" s="1">
        <f>I491</f>
        <v>0</v>
      </c>
      <c r="AH491" s="1">
        <f>J491</f>
        <v>0</v>
      </c>
      <c r="AI491" s="1">
        <f>Q491</f>
        <v>0</v>
      </c>
      <c r="AJ491" s="1">
        <f>K491</f>
        <v>0</v>
      </c>
      <c r="AK491" s="1">
        <f>L491</f>
        <v>0</v>
      </c>
      <c r="AL491" s="1">
        <f>M491</f>
        <v>1</v>
      </c>
      <c r="AM491" s="1">
        <f>N491</f>
        <v>0</v>
      </c>
      <c r="AN491" s="1">
        <f>O491</f>
        <v>0</v>
      </c>
    </row>
    <row r="492">
      <c r="A492" s="1">
        <v>670</v>
      </c>
      <c r="B492" s="1">
        <v>25</v>
      </c>
      <c r="C492" s="1">
        <v>1</v>
      </c>
      <c r="D492" s="1">
        <v>86</v>
      </c>
      <c r="E492" s="1">
        <v>3</v>
      </c>
      <c r="F492" s="1">
        <v>0</v>
      </c>
      <c r="G492" s="1">
        <v>0</v>
      </c>
      <c r="H492" s="1">
        <v>1</v>
      </c>
      <c r="I492" s="1">
        <v>0</v>
      </c>
      <c r="J492" s="1">
        <v>0</v>
      </c>
      <c r="K492" s="1">
        <v>0</v>
      </c>
      <c r="L492" s="1">
        <v>0</v>
      </c>
      <c r="M492" s="1">
        <v>0</v>
      </c>
      <c r="N492" s="1">
        <v>1</v>
      </c>
      <c r="O492" s="1">
        <v>0</v>
      </c>
      <c r="P492" s="1">
        <f>LN(B492)</f>
        <v>3.2188758248682</v>
      </c>
      <c r="Q492" s="1">
        <f>1-SUM(F492:J492)</f>
        <v>0</v>
      </c>
      <c r="R492" s="1" t="str">
        <f>IF(F492=1,"Napa valley",IF(G492=1,"Bay area",IF(H492=1,"Sonoma",IF(I492=1,"Sierra/foothills",IF(J492=1,"Mendocino/lake","Generic California")))))</f>
        <v>Sonoma</v>
      </c>
      <c r="S492" s="1" t="str">
        <f>IF(F492=1,"Napa valley",IF(H492=1,"Sonoma","Other"))</f>
        <v>Sonoma</v>
      </c>
      <c r="T492" s="1" t="str">
        <f>IF(M492=1,"Cabernet",IF(N492=1,"Merlot",IF(L492=1,"Pinot noir","Other")))</f>
        <v>Merlot</v>
      </c>
      <c r="U492" s="1" t="str">
        <f>IF(F492=1,B492,"")</f>
        <v/>
      </c>
      <c r="V492" s="1">
        <f>IF(F492=0,B492,"")</f>
        <v>25</v>
      </c>
      <c r="W492" s="1">
        <f>'Part B'!$B$150+SUMPRODUCT('Part B'!$B$164:$N$164,C492:O492)</f>
        <v>24.5999131559555</v>
      </c>
      <c r="X492" s="1">
        <f>B492-W492</f>
        <v>0.400086844044495</v>
      </c>
      <c r="Y492" s="1">
        <f>'Part B'!$B$179+SUMPRODUCT('Part B'!$B$193:$N$193,C492:O492)</f>
        <v>3.18677688924634</v>
      </c>
      <c r="Z492" s="1">
        <f>P492-Y492</f>
        <v>0.0320989356218573</v>
      </c>
      <c r="AB492" s="1">
        <f>C492</f>
        <v>1</v>
      </c>
      <c r="AC492" s="1">
        <f>D492</f>
        <v>86</v>
      </c>
      <c r="AD492" s="1">
        <f>E492</f>
        <v>3</v>
      </c>
      <c r="AE492" s="1">
        <f>F492</f>
        <v>0</v>
      </c>
      <c r="AF492" s="1">
        <f>G492</f>
        <v>0</v>
      </c>
      <c r="AG492" s="1">
        <f>I492</f>
        <v>0</v>
      </c>
      <c r="AH492" s="1">
        <f>J492</f>
        <v>0</v>
      </c>
      <c r="AI492" s="1">
        <f>Q492</f>
        <v>0</v>
      </c>
      <c r="AJ492" s="1">
        <f>K492</f>
        <v>0</v>
      </c>
      <c r="AK492" s="1">
        <f>L492</f>
        <v>0</v>
      </c>
      <c r="AL492" s="1">
        <f>M492</f>
        <v>0</v>
      </c>
      <c r="AM492" s="1">
        <f>N492</f>
        <v>1</v>
      </c>
      <c r="AN492" s="1">
        <f>O492</f>
        <v>0</v>
      </c>
    </row>
    <row r="493">
      <c r="A493" s="1">
        <v>671</v>
      </c>
      <c r="B493" s="1">
        <v>25</v>
      </c>
      <c r="C493" s="1">
        <v>12.335</v>
      </c>
      <c r="D493" s="1">
        <v>87</v>
      </c>
      <c r="E493" s="1">
        <v>3</v>
      </c>
      <c r="F493" s="1">
        <v>1</v>
      </c>
      <c r="G493" s="1">
        <v>0</v>
      </c>
      <c r="H493" s="1">
        <v>0</v>
      </c>
      <c r="I493" s="1">
        <v>0</v>
      </c>
      <c r="J493" s="1">
        <v>0</v>
      </c>
      <c r="K493" s="1">
        <v>0</v>
      </c>
      <c r="L493" s="1">
        <v>0</v>
      </c>
      <c r="M493" s="1">
        <v>1</v>
      </c>
      <c r="N493" s="1">
        <v>0</v>
      </c>
      <c r="O493" s="1">
        <v>0</v>
      </c>
      <c r="P493" s="1">
        <f>LN(B493)</f>
        <v>3.2188758248682</v>
      </c>
      <c r="Q493" s="1">
        <f>1-SUM(F493:J493)</f>
        <v>0</v>
      </c>
      <c r="R493" s="1" t="str">
        <f>IF(F493=1,"Napa valley",IF(G493=1,"Bay area",IF(H493=1,"Sonoma",IF(I493=1,"Sierra/foothills",IF(J493=1,"Mendocino/lake","Generic California")))))</f>
        <v>Napa valley</v>
      </c>
      <c r="S493" s="1" t="str">
        <f>IF(F493=1,"Napa valley",IF(H493=1,"Sonoma","Other"))</f>
        <v>Napa valley</v>
      </c>
      <c r="T493" s="1" t="str">
        <f>IF(M493=1,"Cabernet",IF(N493=1,"Merlot",IF(L493=1,"Pinot noir","Other")))</f>
        <v>Cabernet</v>
      </c>
      <c r="U493" s="1">
        <f>IF(F493=1,B493,"")</f>
        <v>25</v>
      </c>
      <c r="V493" s="1" t="str">
        <f>IF(F493=0,B493,"")</f>
        <v/>
      </c>
      <c r="W493" s="1">
        <f>'Part B'!$B$150+SUMPRODUCT('Part B'!$B$164:$N$164,C493:O493)</f>
        <v>39.5326545771833</v>
      </c>
      <c r="X493" s="1">
        <f>B493-W493</f>
        <v>-14.5326545771833</v>
      </c>
      <c r="Y493" s="1">
        <f>'Part B'!$B$179+SUMPRODUCT('Part B'!$B$193:$N$193,C493:O493)</f>
        <v>3.39250352737346</v>
      </c>
      <c r="Z493" s="1">
        <f>P493-Y493</f>
        <v>-0.17362770250526</v>
      </c>
      <c r="AB493" s="1">
        <f>C493</f>
        <v>12.335</v>
      </c>
      <c r="AC493" s="1">
        <f>D493</f>
        <v>87</v>
      </c>
      <c r="AD493" s="1">
        <f>E493</f>
        <v>3</v>
      </c>
      <c r="AE493" s="1">
        <f>F493</f>
        <v>1</v>
      </c>
      <c r="AF493" s="1">
        <f>G493</f>
        <v>0</v>
      </c>
      <c r="AG493" s="1">
        <f>I493</f>
        <v>0</v>
      </c>
      <c r="AH493" s="1">
        <f>J493</f>
        <v>0</v>
      </c>
      <c r="AI493" s="1">
        <f>Q493</f>
        <v>0</v>
      </c>
      <c r="AJ493" s="1">
        <f>K493</f>
        <v>0</v>
      </c>
      <c r="AK493" s="1">
        <f>L493</f>
        <v>0</v>
      </c>
      <c r="AL493" s="1">
        <f>M493</f>
        <v>1</v>
      </c>
      <c r="AM493" s="1">
        <f>N493</f>
        <v>0</v>
      </c>
      <c r="AN493" s="1">
        <f>O493</f>
        <v>0</v>
      </c>
    </row>
    <row r="494">
      <c r="A494" s="1">
        <v>672</v>
      </c>
      <c r="B494" s="1">
        <v>25</v>
      </c>
      <c r="C494" s="1">
        <v>6.4</v>
      </c>
      <c r="D494" s="1">
        <v>88</v>
      </c>
      <c r="E494" s="1">
        <v>3</v>
      </c>
      <c r="F494" s="1">
        <v>1</v>
      </c>
      <c r="G494" s="1">
        <v>0</v>
      </c>
      <c r="H494" s="1">
        <v>0</v>
      </c>
      <c r="I494" s="1">
        <v>0</v>
      </c>
      <c r="J494" s="1">
        <v>0</v>
      </c>
      <c r="K494" s="1">
        <v>0</v>
      </c>
      <c r="L494" s="1">
        <v>0</v>
      </c>
      <c r="M494" s="1">
        <v>1</v>
      </c>
      <c r="N494" s="1">
        <v>0</v>
      </c>
      <c r="O494" s="1">
        <v>0</v>
      </c>
      <c r="P494" s="1">
        <f>LN(B494)</f>
        <v>3.2188758248682</v>
      </c>
      <c r="Q494" s="1">
        <f>1-SUM(F494:J494)</f>
        <v>0</v>
      </c>
      <c r="R494" s="1" t="str">
        <f>IF(F494=1,"Napa valley",IF(G494=1,"Bay area",IF(H494=1,"Sonoma",IF(I494=1,"Sierra/foothills",IF(J494=1,"Mendocino/lake","Generic California")))))</f>
        <v>Napa valley</v>
      </c>
      <c r="S494" s="1" t="str">
        <f>IF(F494=1,"Napa valley",IF(H494=1,"Sonoma","Other"))</f>
        <v>Napa valley</v>
      </c>
      <c r="T494" s="1" t="str">
        <f>IF(M494=1,"Cabernet",IF(N494=1,"Merlot",IF(L494=1,"Pinot noir","Other")))</f>
        <v>Cabernet</v>
      </c>
      <c r="U494" s="1">
        <f>IF(F494=1,B494,"")</f>
        <v>25</v>
      </c>
      <c r="V494" s="1" t="str">
        <f>IF(F494=0,B494,"")</f>
        <v/>
      </c>
      <c r="W494" s="1">
        <f>'Part B'!$B$150+SUMPRODUCT('Part B'!$B$164:$N$164,C494:O494)</f>
        <v>43.2410648922983</v>
      </c>
      <c r="X494" s="1">
        <f>B494-W494</f>
        <v>-18.2410648922983</v>
      </c>
      <c r="Y494" s="1">
        <f>'Part B'!$B$179+SUMPRODUCT('Part B'!$B$193:$N$193,C494:O494)</f>
        <v>3.48786115967696</v>
      </c>
      <c r="Z494" s="1">
        <f>P494-Y494</f>
        <v>-0.268985334808758</v>
      </c>
      <c r="AB494" s="1">
        <f>C494</f>
        <v>6.4</v>
      </c>
      <c r="AC494" s="1">
        <f>D494</f>
        <v>88</v>
      </c>
      <c r="AD494" s="1">
        <f>E494</f>
        <v>3</v>
      </c>
      <c r="AE494" s="1">
        <f>F494</f>
        <v>1</v>
      </c>
      <c r="AF494" s="1">
        <f>G494</f>
        <v>0</v>
      </c>
      <c r="AG494" s="1">
        <f>I494</f>
        <v>0</v>
      </c>
      <c r="AH494" s="1">
        <f>J494</f>
        <v>0</v>
      </c>
      <c r="AI494" s="1">
        <f>Q494</f>
        <v>0</v>
      </c>
      <c r="AJ494" s="1">
        <f>K494</f>
        <v>0</v>
      </c>
      <c r="AK494" s="1">
        <f>L494</f>
        <v>0</v>
      </c>
      <c r="AL494" s="1">
        <f>M494</f>
        <v>1</v>
      </c>
      <c r="AM494" s="1">
        <f>N494</f>
        <v>0</v>
      </c>
      <c r="AN494" s="1">
        <f>O494</f>
        <v>0</v>
      </c>
    </row>
    <row r="495">
      <c r="A495" s="1">
        <v>674</v>
      </c>
      <c r="B495" s="1">
        <v>25</v>
      </c>
      <c r="C495" s="1">
        <v>0.25</v>
      </c>
      <c r="D495" s="1">
        <v>88</v>
      </c>
      <c r="E495" s="1">
        <v>3</v>
      </c>
      <c r="F495" s="1">
        <v>1</v>
      </c>
      <c r="G495" s="1">
        <v>0</v>
      </c>
      <c r="H495" s="1">
        <v>0</v>
      </c>
      <c r="I495" s="1">
        <v>0</v>
      </c>
      <c r="J495" s="1">
        <v>0</v>
      </c>
      <c r="K495" s="1">
        <v>0</v>
      </c>
      <c r="L495" s="1">
        <v>0</v>
      </c>
      <c r="M495" s="1">
        <v>0</v>
      </c>
      <c r="N495" s="1">
        <v>0</v>
      </c>
      <c r="O495" s="1">
        <v>1</v>
      </c>
      <c r="P495" s="1">
        <f>LN(B495)</f>
        <v>3.2188758248682</v>
      </c>
      <c r="Q495" s="1">
        <f>1-SUM(F495:J495)</f>
        <v>0</v>
      </c>
      <c r="R495" s="1" t="str">
        <f>IF(F495=1,"Napa valley",IF(G495=1,"Bay area",IF(H495=1,"Sonoma",IF(I495=1,"Sierra/foothills",IF(J495=1,"Mendocino/lake","Generic California")))))</f>
        <v>Napa valley</v>
      </c>
      <c r="S495" s="1" t="str">
        <f>IF(F495=1,"Napa valley",IF(H495=1,"Sonoma","Other"))</f>
        <v>Napa valley</v>
      </c>
      <c r="T495" s="1" t="str">
        <f>IF(M495=1,"Cabernet",IF(N495=1,"Merlot",IF(L495=1,"Pinot noir","Other")))</f>
        <v>Other</v>
      </c>
      <c r="U495" s="1">
        <f>IF(F495=1,B495,"")</f>
        <v>25</v>
      </c>
      <c r="V495" s="1" t="str">
        <f>IF(F495=0,B495,"")</f>
        <v/>
      </c>
      <c r="W495" s="1">
        <f>'Part B'!$B$150+SUMPRODUCT('Part B'!$B$164:$N$164,C495:O495)</f>
        <v>30.7912437327669</v>
      </c>
      <c r="X495" s="1">
        <f>B495-W495</f>
        <v>-5.79124373276693</v>
      </c>
      <c r="Y495" s="1">
        <f>'Part B'!$B$179+SUMPRODUCT('Part B'!$B$193:$N$193,C495:O495)</f>
        <v>3.23641571347201</v>
      </c>
      <c r="Z495" s="1">
        <f>P495-Y495</f>
        <v>-0.0175398886038134</v>
      </c>
      <c r="AB495" s="1">
        <f>C495</f>
        <v>0.25</v>
      </c>
      <c r="AC495" s="1">
        <f>D495</f>
        <v>88</v>
      </c>
      <c r="AD495" s="1">
        <f>E495</f>
        <v>3</v>
      </c>
      <c r="AE495" s="1">
        <f>F495</f>
        <v>1</v>
      </c>
      <c r="AF495" s="1">
        <f>G495</f>
        <v>0</v>
      </c>
      <c r="AG495" s="1">
        <f>I495</f>
        <v>0</v>
      </c>
      <c r="AH495" s="1">
        <f>J495</f>
        <v>0</v>
      </c>
      <c r="AI495" s="1">
        <f>Q495</f>
        <v>0</v>
      </c>
      <c r="AJ495" s="1">
        <f>K495</f>
        <v>0</v>
      </c>
      <c r="AK495" s="1">
        <f>L495</f>
        <v>0</v>
      </c>
      <c r="AL495" s="1">
        <f>M495</f>
        <v>0</v>
      </c>
      <c r="AM495" s="1">
        <f>N495</f>
        <v>0</v>
      </c>
      <c r="AN495" s="1">
        <f>O495</f>
        <v>1</v>
      </c>
    </row>
    <row r="496">
      <c r="A496" s="1">
        <v>675</v>
      </c>
      <c r="B496" s="1">
        <v>25</v>
      </c>
      <c r="C496" s="1">
        <v>0.35</v>
      </c>
      <c r="D496" s="1">
        <v>90</v>
      </c>
      <c r="E496" s="1">
        <v>2</v>
      </c>
      <c r="F496" s="1">
        <v>0</v>
      </c>
      <c r="G496" s="1">
        <v>0</v>
      </c>
      <c r="H496" s="1">
        <v>0</v>
      </c>
      <c r="I496" s="1">
        <v>0</v>
      </c>
      <c r="J496" s="1">
        <v>0</v>
      </c>
      <c r="K496" s="1">
        <v>0</v>
      </c>
      <c r="L496" s="1">
        <v>1</v>
      </c>
      <c r="M496" s="1">
        <v>0</v>
      </c>
      <c r="N496" s="1">
        <v>0</v>
      </c>
      <c r="O496" s="1">
        <v>0</v>
      </c>
      <c r="P496" s="1">
        <f>LN(B496)</f>
        <v>3.2188758248682</v>
      </c>
      <c r="Q496" s="1">
        <f>1-SUM(F496:J496)</f>
        <v>1</v>
      </c>
      <c r="R496" s="1" t="str">
        <f>IF(F496=1,"Napa valley",IF(G496=1,"Bay area",IF(H496=1,"Sonoma",IF(I496=1,"Sierra/foothills",IF(J496=1,"Mendocino/lake","Generic California")))))</f>
        <v>Generic California</v>
      </c>
      <c r="S496" s="1" t="str">
        <f>IF(F496=1,"Napa valley",IF(H496=1,"Sonoma","Other"))</f>
        <v>Other</v>
      </c>
      <c r="T496" s="1" t="str">
        <f>IF(M496=1,"Cabernet",IF(N496=1,"Merlot",IF(L496=1,"Pinot noir","Other")))</f>
        <v>Pinot noir</v>
      </c>
      <c r="U496" s="1" t="str">
        <f>IF(F496=1,B496,"")</f>
        <v/>
      </c>
      <c r="V496" s="1">
        <f>IF(F496=0,B496,"")</f>
        <v>25</v>
      </c>
      <c r="W496" s="1">
        <f>'Part B'!$B$150+SUMPRODUCT('Part B'!$B$164:$N$164,C496:O496)</f>
        <v>33.2518840760614</v>
      </c>
      <c r="X496" s="1">
        <f>B496-W496</f>
        <v>-8.2518840760614</v>
      </c>
      <c r="Y496" s="1">
        <f>'Part B'!$B$179+SUMPRODUCT('Part B'!$B$193:$N$193,C496:O496)</f>
        <v>3.0663941758613</v>
      </c>
      <c r="Z496" s="1">
        <f>P496-Y496</f>
        <v>0.152481649006901</v>
      </c>
      <c r="AB496" s="1">
        <f>C496</f>
        <v>0.35</v>
      </c>
      <c r="AC496" s="1">
        <f>D496</f>
        <v>90</v>
      </c>
      <c r="AD496" s="1">
        <f>E496</f>
        <v>2</v>
      </c>
      <c r="AE496" s="1">
        <f>F496</f>
        <v>0</v>
      </c>
      <c r="AF496" s="1">
        <f>G496</f>
        <v>0</v>
      </c>
      <c r="AG496" s="1">
        <f>I496</f>
        <v>0</v>
      </c>
      <c r="AH496" s="1">
        <f>J496</f>
        <v>0</v>
      </c>
      <c r="AI496" s="1">
        <f>Q496</f>
        <v>1</v>
      </c>
      <c r="AJ496" s="1">
        <f>K496</f>
        <v>0</v>
      </c>
      <c r="AK496" s="1">
        <f>L496</f>
        <v>1</v>
      </c>
      <c r="AL496" s="1">
        <f>M496</f>
        <v>0</v>
      </c>
      <c r="AM496" s="1">
        <f>N496</f>
        <v>0</v>
      </c>
      <c r="AN496" s="1">
        <f>O496</f>
        <v>0</v>
      </c>
    </row>
    <row r="497">
      <c r="A497" s="1">
        <v>677</v>
      </c>
      <c r="B497" s="1">
        <v>25</v>
      </c>
      <c r="C497" s="1">
        <v>0.194</v>
      </c>
      <c r="D497" s="1">
        <v>87</v>
      </c>
      <c r="E497" s="1">
        <v>2</v>
      </c>
      <c r="F497" s="1">
        <v>0</v>
      </c>
      <c r="G497" s="1">
        <v>0</v>
      </c>
      <c r="H497" s="1">
        <v>1</v>
      </c>
      <c r="I497" s="1">
        <v>0</v>
      </c>
      <c r="J497" s="1">
        <v>0</v>
      </c>
      <c r="K497" s="1">
        <v>0</v>
      </c>
      <c r="L497" s="1">
        <v>1</v>
      </c>
      <c r="M497" s="1">
        <v>0</v>
      </c>
      <c r="N497" s="1">
        <v>0</v>
      </c>
      <c r="O497" s="1">
        <v>0</v>
      </c>
      <c r="P497" s="1">
        <f>LN(B497)</f>
        <v>3.2188758248682</v>
      </c>
      <c r="Q497" s="1">
        <f>1-SUM(F497:J497)</f>
        <v>0</v>
      </c>
      <c r="R497" s="1" t="str">
        <f>IF(F497=1,"Napa valley",IF(G497=1,"Bay area",IF(H497=1,"Sonoma",IF(I497=1,"Sierra/foothills",IF(J497=1,"Mendocino/lake","Generic California")))))</f>
        <v>Sonoma</v>
      </c>
      <c r="S497" s="1" t="str">
        <f>IF(F497=1,"Napa valley",IF(H497=1,"Sonoma","Other"))</f>
        <v>Sonoma</v>
      </c>
      <c r="T497" s="1" t="str">
        <f>IF(M497=1,"Cabernet",IF(N497=1,"Merlot",IF(L497=1,"Pinot noir","Other")))</f>
        <v>Pinot noir</v>
      </c>
      <c r="U497" s="1" t="str">
        <f>IF(F497=1,B497,"")</f>
        <v/>
      </c>
      <c r="V497" s="1">
        <f>IF(F497=0,B497,"")</f>
        <v>25</v>
      </c>
      <c r="W497" s="1">
        <f>'Part B'!$B$150+SUMPRODUCT('Part B'!$B$164:$N$164,C497:O497)</f>
        <v>22.9959559605741</v>
      </c>
      <c r="X497" s="1">
        <f>B497-W497</f>
        <v>2.00404403942588</v>
      </c>
      <c r="Y497" s="1">
        <f>'Part B'!$B$179+SUMPRODUCT('Part B'!$B$193:$N$193,C497:O497)</f>
        <v>3.13910945191708</v>
      </c>
      <c r="Z497" s="1">
        <f>P497-Y497</f>
        <v>0.0797663729511178</v>
      </c>
      <c r="AB497" s="1">
        <f>C497</f>
        <v>0.194</v>
      </c>
      <c r="AC497" s="1">
        <f>D497</f>
        <v>87</v>
      </c>
      <c r="AD497" s="1">
        <f>E497</f>
        <v>2</v>
      </c>
      <c r="AE497" s="1">
        <f>F497</f>
        <v>0</v>
      </c>
      <c r="AF497" s="1">
        <f>G497</f>
        <v>0</v>
      </c>
      <c r="AG497" s="1">
        <f>I497</f>
        <v>0</v>
      </c>
      <c r="AH497" s="1">
        <f>J497</f>
        <v>0</v>
      </c>
      <c r="AI497" s="1">
        <f>Q497</f>
        <v>0</v>
      </c>
      <c r="AJ497" s="1">
        <f>K497</f>
        <v>0</v>
      </c>
      <c r="AK497" s="1">
        <f>L497</f>
        <v>1</v>
      </c>
      <c r="AL497" s="1">
        <f>M497</f>
        <v>0</v>
      </c>
      <c r="AM497" s="1">
        <f>N497</f>
        <v>0</v>
      </c>
      <c r="AN497" s="1">
        <f>O497</f>
        <v>0</v>
      </c>
    </row>
    <row r="498">
      <c r="A498" s="1">
        <v>678</v>
      </c>
      <c r="B498" s="1">
        <v>25</v>
      </c>
      <c r="C498" s="1">
        <v>0.5</v>
      </c>
      <c r="D498" s="1">
        <v>92</v>
      </c>
      <c r="E498" s="1">
        <v>2</v>
      </c>
      <c r="F498" s="1">
        <v>0</v>
      </c>
      <c r="G498" s="1">
        <v>0</v>
      </c>
      <c r="H498" s="1">
        <v>1</v>
      </c>
      <c r="I498" s="1">
        <v>0</v>
      </c>
      <c r="J498" s="1">
        <v>0</v>
      </c>
      <c r="K498" s="1">
        <v>0</v>
      </c>
      <c r="L498" s="1">
        <v>0</v>
      </c>
      <c r="M498" s="1">
        <v>0</v>
      </c>
      <c r="N498" s="1">
        <v>0</v>
      </c>
      <c r="O498" s="1">
        <v>0</v>
      </c>
      <c r="P498" s="1">
        <f>LN(B498)</f>
        <v>3.2188758248682</v>
      </c>
      <c r="Q498" s="1">
        <f>1-SUM(F498:J498)</f>
        <v>0</v>
      </c>
      <c r="R498" s="1" t="str">
        <f>IF(F498=1,"Napa valley",IF(G498=1,"Bay area",IF(H498=1,"Sonoma",IF(I498=1,"Sierra/foothills",IF(J498=1,"Mendocino/lake","Generic California")))))</f>
        <v>Sonoma</v>
      </c>
      <c r="S498" s="1" t="str">
        <f>IF(F498=1,"Napa valley",IF(H498=1,"Sonoma","Other"))</f>
        <v>Sonoma</v>
      </c>
      <c r="T498" s="1" t="str">
        <f>IF(M498=1,"Cabernet",IF(N498=1,"Merlot",IF(L498=1,"Pinot noir","Other")))</f>
        <v>Other</v>
      </c>
      <c r="U498" s="1" t="str">
        <f>IF(F498=1,B498,"")</f>
        <v/>
      </c>
      <c r="V498" s="1">
        <f>IF(F498=0,B498,"")</f>
        <v>25</v>
      </c>
      <c r="W498" s="1">
        <f>'Part B'!$B$150+SUMPRODUCT('Part B'!$B$164:$N$164,C498:O498)</f>
        <v>29.2381382821928</v>
      </c>
      <c r="X498" s="1">
        <f>B498-W498</f>
        <v>-4.23813828219278</v>
      </c>
      <c r="Y498" s="1">
        <f>'Part B'!$B$179+SUMPRODUCT('Part B'!$B$193:$N$193,C498:O498)</f>
        <v>3.14108462329351</v>
      </c>
      <c r="Z498" s="1">
        <f>P498-Y498</f>
        <v>0.0777912015746947</v>
      </c>
      <c r="AB498" s="1">
        <f>C498</f>
        <v>0.5</v>
      </c>
      <c r="AC498" s="1">
        <f>D498</f>
        <v>92</v>
      </c>
      <c r="AD498" s="1">
        <f>E498</f>
        <v>2</v>
      </c>
      <c r="AE498" s="1">
        <f>F498</f>
        <v>0</v>
      </c>
      <c r="AF498" s="1">
        <f>G498</f>
        <v>0</v>
      </c>
      <c r="AG498" s="1">
        <f>I498</f>
        <v>0</v>
      </c>
      <c r="AH498" s="1">
        <f>J498</f>
        <v>0</v>
      </c>
      <c r="AI498" s="1">
        <f>Q498</f>
        <v>0</v>
      </c>
      <c r="AJ498" s="1">
        <f>K498</f>
        <v>0</v>
      </c>
      <c r="AK498" s="1">
        <f>L498</f>
        <v>0</v>
      </c>
      <c r="AL498" s="1">
        <f>M498</f>
        <v>0</v>
      </c>
      <c r="AM498" s="1">
        <f>N498</f>
        <v>0</v>
      </c>
      <c r="AN498" s="1">
        <f>O498</f>
        <v>0</v>
      </c>
    </row>
    <row r="499">
      <c r="A499" s="1">
        <v>681</v>
      </c>
      <c r="B499" s="1">
        <v>25</v>
      </c>
      <c r="C499" s="1">
        <v>0.9</v>
      </c>
      <c r="D499" s="1">
        <v>85</v>
      </c>
      <c r="E499" s="1">
        <v>2</v>
      </c>
      <c r="F499" s="1">
        <v>0</v>
      </c>
      <c r="G499" s="1">
        <v>0</v>
      </c>
      <c r="H499" s="1">
        <v>0</v>
      </c>
      <c r="I499" s="1">
        <v>0</v>
      </c>
      <c r="J499" s="1">
        <v>1</v>
      </c>
      <c r="K499" s="1">
        <v>0</v>
      </c>
      <c r="L499" s="1">
        <v>0</v>
      </c>
      <c r="M499" s="1">
        <v>0</v>
      </c>
      <c r="N499" s="1">
        <v>0</v>
      </c>
      <c r="O499" s="1">
        <v>1</v>
      </c>
      <c r="P499" s="1">
        <f>LN(B499)</f>
        <v>3.2188758248682</v>
      </c>
      <c r="Q499" s="1">
        <f>1-SUM(F499:J499)</f>
        <v>0</v>
      </c>
      <c r="R499" s="1" t="str">
        <f>IF(F499=1,"Napa valley",IF(G499=1,"Bay area",IF(H499=1,"Sonoma",IF(I499=1,"Sierra/foothills",IF(J499=1,"Mendocino/lake","Generic California")))))</f>
        <v>Mendocino/lake</v>
      </c>
      <c r="S499" s="1" t="str">
        <f>IF(F499=1,"Napa valley",IF(H499=1,"Sonoma","Other"))</f>
        <v>Other</v>
      </c>
      <c r="T499" s="1" t="str">
        <f>IF(M499=1,"Cabernet",IF(N499=1,"Merlot",IF(L499=1,"Pinot noir","Other")))</f>
        <v>Other</v>
      </c>
      <c r="U499" s="1" t="str">
        <f>IF(F499=1,B499,"")</f>
        <v/>
      </c>
      <c r="V499" s="1">
        <f>IF(F499=0,B499,"")</f>
        <v>25</v>
      </c>
      <c r="W499" s="1">
        <f>'Part B'!$B$150+SUMPRODUCT('Part B'!$B$164:$N$164,C499:O499)</f>
        <v>8.49518887272029</v>
      </c>
      <c r="X499" s="1">
        <f>B499-W499</f>
        <v>16.5048111272797</v>
      </c>
      <c r="Y499" s="1">
        <f>'Part B'!$B$179+SUMPRODUCT('Part B'!$B$193:$N$193,C499:O499)</f>
        <v>2.64817242704528</v>
      </c>
      <c r="Z499" s="1">
        <f>P499-Y499</f>
        <v>0.570703397822923</v>
      </c>
      <c r="AB499" s="1">
        <f>C499</f>
        <v>0.9</v>
      </c>
      <c r="AC499" s="1">
        <f>D499</f>
        <v>85</v>
      </c>
      <c r="AD499" s="1">
        <f>E499</f>
        <v>2</v>
      </c>
      <c r="AE499" s="1">
        <f>F499</f>
        <v>0</v>
      </c>
      <c r="AF499" s="1">
        <f>G499</f>
        <v>0</v>
      </c>
      <c r="AG499" s="1">
        <f>I499</f>
        <v>0</v>
      </c>
      <c r="AH499" s="1">
        <f>J499</f>
        <v>1</v>
      </c>
      <c r="AI499" s="1">
        <f>Q499</f>
        <v>0</v>
      </c>
      <c r="AJ499" s="1">
        <f>K499</f>
        <v>0</v>
      </c>
      <c r="AK499" s="1">
        <f>L499</f>
        <v>0</v>
      </c>
      <c r="AL499" s="1">
        <f>M499</f>
        <v>0</v>
      </c>
      <c r="AM499" s="1">
        <f>N499</f>
        <v>0</v>
      </c>
      <c r="AN499" s="1">
        <f>O499</f>
        <v>1</v>
      </c>
    </row>
    <row r="500">
      <c r="A500" s="1">
        <v>684</v>
      </c>
      <c r="B500" s="1">
        <v>25</v>
      </c>
      <c r="C500" s="1">
        <v>0.5</v>
      </c>
      <c r="D500" s="1">
        <v>87</v>
      </c>
      <c r="E500" s="1">
        <v>2</v>
      </c>
      <c r="F500" s="1">
        <v>0</v>
      </c>
      <c r="G500" s="1">
        <v>0</v>
      </c>
      <c r="H500" s="1">
        <v>1</v>
      </c>
      <c r="I500" s="1">
        <v>0</v>
      </c>
      <c r="J500" s="1">
        <v>0</v>
      </c>
      <c r="K500" s="1">
        <v>0</v>
      </c>
      <c r="L500" s="1">
        <v>1</v>
      </c>
      <c r="M500" s="1">
        <v>0</v>
      </c>
      <c r="N500" s="1">
        <v>0</v>
      </c>
      <c r="O500" s="1">
        <v>0</v>
      </c>
      <c r="P500" s="1">
        <f>LN(B500)</f>
        <v>3.2188758248682</v>
      </c>
      <c r="Q500" s="1">
        <f>1-SUM(F500:J500)</f>
        <v>0</v>
      </c>
      <c r="R500" s="1" t="str">
        <f>IF(F500=1,"Napa valley",IF(G500=1,"Bay area",IF(H500=1,"Sonoma",IF(I500=1,"Sierra/foothills",IF(J500=1,"Mendocino/lake","Generic California")))))</f>
        <v>Sonoma</v>
      </c>
      <c r="S500" s="1" t="str">
        <f>IF(F500=1,"Napa valley",IF(H500=1,"Sonoma","Other"))</f>
        <v>Sonoma</v>
      </c>
      <c r="T500" s="1" t="str">
        <f>IF(M500=1,"Cabernet",IF(N500=1,"Merlot",IF(L500=1,"Pinot noir","Other")))</f>
        <v>Pinot noir</v>
      </c>
      <c r="U500" s="1" t="str">
        <f>IF(F500=1,B500,"")</f>
        <v/>
      </c>
      <c r="V500" s="1">
        <f>IF(F500=0,B500,"")</f>
        <v>25</v>
      </c>
      <c r="W500" s="1">
        <f>'Part B'!$B$150+SUMPRODUCT('Part B'!$B$164:$N$164,C500:O500)</f>
        <v>22.9669123470674</v>
      </c>
      <c r="X500" s="1">
        <f>B500-W500</f>
        <v>2.03308765293264</v>
      </c>
      <c r="Y500" s="1">
        <f>'Part B'!$B$179+SUMPRODUCT('Part B'!$B$193:$N$193,C500:O500)</f>
        <v>3.13780005737069</v>
      </c>
      <c r="Z500" s="1">
        <f>P500-Y500</f>
        <v>0.0810757674975133</v>
      </c>
      <c r="AB500" s="1">
        <f>C500</f>
        <v>0.5</v>
      </c>
      <c r="AC500" s="1">
        <f>D500</f>
        <v>87</v>
      </c>
      <c r="AD500" s="1">
        <f>E500</f>
        <v>2</v>
      </c>
      <c r="AE500" s="1">
        <f>F500</f>
        <v>0</v>
      </c>
      <c r="AF500" s="1">
        <f>G500</f>
        <v>0</v>
      </c>
      <c r="AG500" s="1">
        <f>I500</f>
        <v>0</v>
      </c>
      <c r="AH500" s="1">
        <f>J500</f>
        <v>0</v>
      </c>
      <c r="AI500" s="1">
        <f>Q500</f>
        <v>0</v>
      </c>
      <c r="AJ500" s="1">
        <f>K500</f>
        <v>0</v>
      </c>
      <c r="AK500" s="1">
        <f>L500</f>
        <v>1</v>
      </c>
      <c r="AL500" s="1">
        <f>M500</f>
        <v>0</v>
      </c>
      <c r="AM500" s="1">
        <f>N500</f>
        <v>0</v>
      </c>
      <c r="AN500" s="1">
        <f>O500</f>
        <v>0</v>
      </c>
    </row>
    <row r="501">
      <c r="A501" s="1">
        <v>686</v>
      </c>
      <c r="B501" s="1">
        <v>25</v>
      </c>
      <c r="C501" s="1">
        <v>0.261</v>
      </c>
      <c r="D501" s="1">
        <v>90</v>
      </c>
      <c r="E501" s="1">
        <v>2</v>
      </c>
      <c r="F501" s="1">
        <v>0</v>
      </c>
      <c r="G501" s="1">
        <v>0</v>
      </c>
      <c r="H501" s="1">
        <v>1</v>
      </c>
      <c r="I501" s="1">
        <v>0</v>
      </c>
      <c r="J501" s="1">
        <v>0</v>
      </c>
      <c r="K501" s="1">
        <v>0</v>
      </c>
      <c r="L501" s="1">
        <v>0</v>
      </c>
      <c r="M501" s="1">
        <v>0</v>
      </c>
      <c r="N501" s="1">
        <v>0</v>
      </c>
      <c r="O501" s="1">
        <v>0</v>
      </c>
      <c r="P501" s="1">
        <f>LN(B501)</f>
        <v>3.2188758248682</v>
      </c>
      <c r="Q501" s="1">
        <f>1-SUM(F501:J501)</f>
        <v>0</v>
      </c>
      <c r="R501" s="1" t="str">
        <f>IF(F501=1,"Napa valley",IF(G501=1,"Bay area",IF(H501=1,"Sonoma",IF(I501=1,"Sierra/foothills",IF(J501=1,"Mendocino/lake","Generic California")))))</f>
        <v>Sonoma</v>
      </c>
      <c r="S501" s="1" t="str">
        <f>IF(F501=1,"Napa valley",IF(H501=1,"Sonoma","Other"))</f>
        <v>Sonoma</v>
      </c>
      <c r="T501" s="1" t="str">
        <f>IF(M501=1,"Cabernet",IF(N501=1,"Merlot",IF(L501=1,"Pinot noir","Other")))</f>
        <v>Other</v>
      </c>
      <c r="U501" s="1" t="str">
        <f>IF(F501=1,B501,"")</f>
        <v/>
      </c>
      <c r="V501" s="1">
        <f>IF(F501=0,B501,"")</f>
        <v>25</v>
      </c>
      <c r="W501" s="1">
        <f>'Part B'!$B$150+SUMPRODUCT('Part B'!$B$164:$N$164,C501:O501)</f>
        <v>22.970628488413</v>
      </c>
      <c r="X501" s="1">
        <f>B501-W501</f>
        <v>2.02937151158699</v>
      </c>
      <c r="Y501" s="1">
        <f>'Part B'!$B$179+SUMPRODUCT('Part B'!$B$193:$N$193,C501:O501)</f>
        <v>3.00218458274633</v>
      </c>
      <c r="Z501" s="1">
        <f>P501-Y501</f>
        <v>0.216691242121872</v>
      </c>
      <c r="AB501" s="1">
        <f>C501</f>
        <v>0.261</v>
      </c>
      <c r="AC501" s="1">
        <f>D501</f>
        <v>90</v>
      </c>
      <c r="AD501" s="1">
        <f>E501</f>
        <v>2</v>
      </c>
      <c r="AE501" s="1">
        <f>F501</f>
        <v>0</v>
      </c>
      <c r="AF501" s="1">
        <f>G501</f>
        <v>0</v>
      </c>
      <c r="AG501" s="1">
        <f>I501</f>
        <v>0</v>
      </c>
      <c r="AH501" s="1">
        <f>J501</f>
        <v>0</v>
      </c>
      <c r="AI501" s="1">
        <f>Q501</f>
        <v>0</v>
      </c>
      <c r="AJ501" s="1">
        <f>K501</f>
        <v>0</v>
      </c>
      <c r="AK501" s="1">
        <f>L501</f>
        <v>0</v>
      </c>
      <c r="AL501" s="1">
        <f>M501</f>
        <v>0</v>
      </c>
      <c r="AM501" s="1">
        <f>N501</f>
        <v>0</v>
      </c>
      <c r="AN501" s="1">
        <f>O501</f>
        <v>0</v>
      </c>
    </row>
    <row r="502">
      <c r="A502" s="1">
        <v>687</v>
      </c>
      <c r="B502" s="1">
        <v>25</v>
      </c>
      <c r="C502" s="1">
        <v>1.175</v>
      </c>
      <c r="D502" s="1">
        <v>89</v>
      </c>
      <c r="E502" s="1">
        <v>2</v>
      </c>
      <c r="F502" s="1">
        <v>0</v>
      </c>
      <c r="G502" s="1">
        <v>0</v>
      </c>
      <c r="H502" s="1">
        <v>0</v>
      </c>
      <c r="I502" s="1">
        <v>1</v>
      </c>
      <c r="J502" s="1">
        <v>0</v>
      </c>
      <c r="K502" s="1">
        <v>0</v>
      </c>
      <c r="L502" s="1">
        <v>0</v>
      </c>
      <c r="M502" s="1">
        <v>0</v>
      </c>
      <c r="N502" s="1">
        <v>0</v>
      </c>
      <c r="O502" s="1">
        <v>0</v>
      </c>
      <c r="P502" s="1">
        <f>LN(B502)</f>
        <v>3.2188758248682</v>
      </c>
      <c r="Q502" s="1">
        <f>1-SUM(F502:J502)</f>
        <v>0</v>
      </c>
      <c r="R502" s="1" t="str">
        <f>IF(F502=1,"Napa valley",IF(G502=1,"Bay area",IF(H502=1,"Sonoma",IF(I502=1,"Sierra/foothills",IF(J502=1,"Mendocino/lake","Generic California")))))</f>
        <v>Sierra/foothills</v>
      </c>
      <c r="S502" s="1" t="str">
        <f>IF(F502=1,"Napa valley",IF(H502=1,"Sonoma","Other"))</f>
        <v>Other</v>
      </c>
      <c r="T502" s="1" t="str">
        <f>IF(M502=1,"Cabernet",IF(N502=1,"Merlot",IF(L502=1,"Pinot noir","Other")))</f>
        <v>Other</v>
      </c>
      <c r="U502" s="1" t="str">
        <f>IF(F502=1,B502,"")</f>
        <v/>
      </c>
      <c r="V502" s="1">
        <f>IF(F502=0,B502,"")</f>
        <v>25</v>
      </c>
      <c r="W502" s="1">
        <f>'Part B'!$B$150+SUMPRODUCT('Part B'!$B$164:$N$164,C502:O502)</f>
        <v>25.5981963729598</v>
      </c>
      <c r="X502" s="1">
        <f>B502-W502</f>
        <v>-0.598196372959762</v>
      </c>
      <c r="Y502" s="1">
        <f>'Part B'!$B$179+SUMPRODUCT('Part B'!$B$193:$N$193,C502:O502)</f>
        <v>2.89761481559065</v>
      </c>
      <c r="Z502" s="1">
        <f>P502-Y502</f>
        <v>0.321261009277548</v>
      </c>
      <c r="AB502" s="1">
        <f>C502</f>
        <v>1.175</v>
      </c>
      <c r="AC502" s="1">
        <f>D502</f>
        <v>89</v>
      </c>
      <c r="AD502" s="1">
        <f>E502</f>
        <v>2</v>
      </c>
      <c r="AE502" s="1">
        <f>F502</f>
        <v>0</v>
      </c>
      <c r="AF502" s="1">
        <f>G502</f>
        <v>0</v>
      </c>
      <c r="AG502" s="1">
        <f>I502</f>
        <v>1</v>
      </c>
      <c r="AH502" s="1">
        <f>J502</f>
        <v>0</v>
      </c>
      <c r="AI502" s="1">
        <f>Q502</f>
        <v>0</v>
      </c>
      <c r="AJ502" s="1">
        <f>K502</f>
        <v>0</v>
      </c>
      <c r="AK502" s="1">
        <f>L502</f>
        <v>0</v>
      </c>
      <c r="AL502" s="1">
        <f>M502</f>
        <v>0</v>
      </c>
      <c r="AM502" s="1">
        <f>N502</f>
        <v>0</v>
      </c>
      <c r="AN502" s="1">
        <f>O502</f>
        <v>0</v>
      </c>
    </row>
    <row r="503">
      <c r="A503" s="1">
        <v>688</v>
      </c>
      <c r="B503" s="1">
        <v>25</v>
      </c>
      <c r="C503" s="1">
        <v>4</v>
      </c>
      <c r="D503" s="1">
        <v>92</v>
      </c>
      <c r="E503" s="1">
        <v>2</v>
      </c>
      <c r="F503" s="1">
        <v>0</v>
      </c>
      <c r="G503" s="1">
        <v>0</v>
      </c>
      <c r="H503" s="1">
        <v>1</v>
      </c>
      <c r="I503" s="1">
        <v>0</v>
      </c>
      <c r="J503" s="1">
        <v>0</v>
      </c>
      <c r="K503" s="1">
        <v>0</v>
      </c>
      <c r="L503" s="1">
        <v>0</v>
      </c>
      <c r="M503" s="1">
        <v>0</v>
      </c>
      <c r="N503" s="1">
        <v>0</v>
      </c>
      <c r="O503" s="1">
        <v>0</v>
      </c>
      <c r="P503" s="1">
        <f>LN(B503)</f>
        <v>3.2188758248682</v>
      </c>
      <c r="Q503" s="1">
        <f>1-SUM(F503:J503)</f>
        <v>0</v>
      </c>
      <c r="R503" s="1" t="str">
        <f>IF(F503=1,"Napa valley",IF(G503=1,"Bay area",IF(H503=1,"Sonoma",IF(I503=1,"Sierra/foothills",IF(J503=1,"Mendocino/lake","Generic California")))))</f>
        <v>Sonoma</v>
      </c>
      <c r="S503" s="1" t="str">
        <f>IF(F503=1,"Napa valley",IF(H503=1,"Sonoma","Other"))</f>
        <v>Sonoma</v>
      </c>
      <c r="T503" s="1" t="str">
        <f>IF(M503=1,"Cabernet",IF(N503=1,"Merlot",IF(L503=1,"Pinot noir","Other")))</f>
        <v>Other</v>
      </c>
      <c r="U503" s="1" t="str">
        <f>IF(F503=1,B503,"")</f>
        <v/>
      </c>
      <c r="V503" s="1">
        <f>IF(F503=0,B503,"")</f>
        <v>25</v>
      </c>
      <c r="W503" s="1">
        <f>'Part B'!$B$150+SUMPRODUCT('Part B'!$B$164:$N$164,C503:O503)</f>
        <v>28.9059400884876</v>
      </c>
      <c r="X503" s="1">
        <f>B503-W503</f>
        <v>-3.90594008848757</v>
      </c>
      <c r="Y503" s="1">
        <f>'Part B'!$B$179+SUMPRODUCT('Part B'!$B$193:$N$193,C503:O503)</f>
        <v>3.12610788828571</v>
      </c>
      <c r="Z503" s="1">
        <f>P503-Y503</f>
        <v>0.0927679365824869</v>
      </c>
      <c r="AB503" s="1">
        <f>C503</f>
        <v>4</v>
      </c>
      <c r="AC503" s="1">
        <f>D503</f>
        <v>92</v>
      </c>
      <c r="AD503" s="1">
        <f>E503</f>
        <v>2</v>
      </c>
      <c r="AE503" s="1">
        <f>F503</f>
        <v>0</v>
      </c>
      <c r="AF503" s="1">
        <f>G503</f>
        <v>0</v>
      </c>
      <c r="AG503" s="1">
        <f>I503</f>
        <v>0</v>
      </c>
      <c r="AH503" s="1">
        <f>J503</f>
        <v>0</v>
      </c>
      <c r="AI503" s="1">
        <f>Q503</f>
        <v>0</v>
      </c>
      <c r="AJ503" s="1">
        <f>K503</f>
        <v>0</v>
      </c>
      <c r="AK503" s="1">
        <f>L503</f>
        <v>0</v>
      </c>
      <c r="AL503" s="1">
        <f>M503</f>
        <v>0</v>
      </c>
      <c r="AM503" s="1">
        <f>N503</f>
        <v>0</v>
      </c>
      <c r="AN503" s="1">
        <f>O503</f>
        <v>0</v>
      </c>
    </row>
    <row r="504">
      <c r="A504" s="1">
        <v>689</v>
      </c>
      <c r="B504" s="1">
        <v>25</v>
      </c>
      <c r="C504" s="1">
        <v>0.625</v>
      </c>
      <c r="D504" s="1">
        <v>92</v>
      </c>
      <c r="E504" s="1">
        <v>2</v>
      </c>
      <c r="F504" s="1">
        <v>0</v>
      </c>
      <c r="G504" s="1">
        <v>0</v>
      </c>
      <c r="H504" s="1">
        <v>1</v>
      </c>
      <c r="I504" s="1">
        <v>0</v>
      </c>
      <c r="J504" s="1">
        <v>0</v>
      </c>
      <c r="K504" s="1">
        <v>0</v>
      </c>
      <c r="L504" s="1">
        <v>0</v>
      </c>
      <c r="M504" s="1">
        <v>0</v>
      </c>
      <c r="N504" s="1">
        <v>0</v>
      </c>
      <c r="O504" s="1">
        <v>0</v>
      </c>
      <c r="P504" s="1">
        <f>LN(B504)</f>
        <v>3.2188758248682</v>
      </c>
      <c r="Q504" s="1">
        <f>1-SUM(F504:J504)</f>
        <v>0</v>
      </c>
      <c r="R504" s="1" t="str">
        <f>IF(F504=1,"Napa valley",IF(G504=1,"Bay area",IF(H504=1,"Sonoma",IF(I504=1,"Sierra/foothills",IF(J504=1,"Mendocino/lake","Generic California")))))</f>
        <v>Sonoma</v>
      </c>
      <c r="S504" s="1" t="str">
        <f>IF(F504=1,"Napa valley",IF(H504=1,"Sonoma","Other"))</f>
        <v>Sonoma</v>
      </c>
      <c r="T504" s="1" t="str">
        <f>IF(M504=1,"Cabernet",IF(N504=1,"Merlot",IF(L504=1,"Pinot noir","Other")))</f>
        <v>Other</v>
      </c>
      <c r="U504" s="1" t="str">
        <f>IF(F504=1,B504,"")</f>
        <v/>
      </c>
      <c r="V504" s="1">
        <f>IF(F504=0,B504,"")</f>
        <v>25</v>
      </c>
      <c r="W504" s="1">
        <f>'Part B'!$B$150+SUMPRODUCT('Part B'!$B$164:$N$164,C504:O504)</f>
        <v>29.226274060989</v>
      </c>
      <c r="X504" s="1">
        <f>B504-W504</f>
        <v>-4.226274060989</v>
      </c>
      <c r="Y504" s="1">
        <f>'Part B'!$B$179+SUMPRODUCT('Part B'!$B$193:$N$193,C504:O504)</f>
        <v>3.14054973990037</v>
      </c>
      <c r="Z504" s="1">
        <f>P504-Y504</f>
        <v>0.0783260849678293</v>
      </c>
      <c r="AB504" s="1">
        <f>C504</f>
        <v>0.625</v>
      </c>
      <c r="AC504" s="1">
        <f>D504</f>
        <v>92</v>
      </c>
      <c r="AD504" s="1">
        <f>E504</f>
        <v>2</v>
      </c>
      <c r="AE504" s="1">
        <f>F504</f>
        <v>0</v>
      </c>
      <c r="AF504" s="1">
        <f>G504</f>
        <v>0</v>
      </c>
      <c r="AG504" s="1">
        <f>I504</f>
        <v>0</v>
      </c>
      <c r="AH504" s="1">
        <f>J504</f>
        <v>0</v>
      </c>
      <c r="AI504" s="1">
        <f>Q504</f>
        <v>0</v>
      </c>
      <c r="AJ504" s="1">
        <f>K504</f>
        <v>0</v>
      </c>
      <c r="AK504" s="1">
        <f>L504</f>
        <v>0</v>
      </c>
      <c r="AL504" s="1">
        <f>M504</f>
        <v>0</v>
      </c>
      <c r="AM504" s="1">
        <f>N504</f>
        <v>0</v>
      </c>
      <c r="AN504" s="1">
        <f>O504</f>
        <v>0</v>
      </c>
    </row>
    <row r="505">
      <c r="A505" s="1">
        <v>690</v>
      </c>
      <c r="B505" s="1">
        <v>25</v>
      </c>
      <c r="C505" s="1">
        <v>0.9</v>
      </c>
      <c r="D505" s="1">
        <v>90</v>
      </c>
      <c r="E505" s="1">
        <v>2</v>
      </c>
      <c r="F505" s="1">
        <v>1</v>
      </c>
      <c r="G505" s="1">
        <v>0</v>
      </c>
      <c r="H505" s="1">
        <v>0</v>
      </c>
      <c r="I505" s="1">
        <v>0</v>
      </c>
      <c r="J505" s="1">
        <v>0</v>
      </c>
      <c r="K505" s="1">
        <v>0</v>
      </c>
      <c r="L505" s="1">
        <v>0</v>
      </c>
      <c r="M505" s="1">
        <v>0</v>
      </c>
      <c r="N505" s="1">
        <v>0</v>
      </c>
      <c r="O505" s="1">
        <v>0</v>
      </c>
      <c r="P505" s="1">
        <f>LN(B505)</f>
        <v>3.2188758248682</v>
      </c>
      <c r="Q505" s="1">
        <f>1-SUM(F505:J505)</f>
        <v>0</v>
      </c>
      <c r="R505" s="1" t="str">
        <f>IF(F505=1,"Napa valley",IF(G505=1,"Bay area",IF(H505=1,"Sonoma",IF(I505=1,"Sierra/foothills",IF(J505=1,"Mendocino/lake","Generic California")))))</f>
        <v>Napa valley</v>
      </c>
      <c r="S505" s="1" t="str">
        <f>IF(F505=1,"Napa valley",IF(H505=1,"Sonoma","Other"))</f>
        <v>Napa valley</v>
      </c>
      <c r="T505" s="1" t="str">
        <f>IF(M505=1,"Cabernet",IF(N505=1,"Merlot",IF(L505=1,"Pinot noir","Other")))</f>
        <v>Other</v>
      </c>
      <c r="U505" s="1">
        <f>IF(F505=1,B505,"")</f>
        <v>25</v>
      </c>
      <c r="V505" s="1" t="str">
        <f>IF(F505=0,B505,"")</f>
        <v/>
      </c>
      <c r="W505" s="1">
        <f>'Part B'!$B$150+SUMPRODUCT('Part B'!$B$164:$N$164,C505:O505)</f>
        <v>30.8064264094166</v>
      </c>
      <c r="X505" s="1">
        <f>B505-W505</f>
        <v>-5.80642640941665</v>
      </c>
      <c r="Y505" s="1">
        <f>'Part B'!$B$179+SUMPRODUCT('Part B'!$B$193:$N$193,C505:O505)</f>
        <v>3.14723782374079</v>
      </c>
      <c r="Z505" s="1">
        <f>P505-Y505</f>
        <v>0.0716380011274098</v>
      </c>
      <c r="AB505" s="1">
        <f>C505</f>
        <v>0.9</v>
      </c>
      <c r="AC505" s="1">
        <f>D505</f>
        <v>90</v>
      </c>
      <c r="AD505" s="1">
        <f>E505</f>
        <v>2</v>
      </c>
      <c r="AE505" s="1">
        <f>F505</f>
        <v>1</v>
      </c>
      <c r="AF505" s="1">
        <f>G505</f>
        <v>0</v>
      </c>
      <c r="AG505" s="1">
        <f>I505</f>
        <v>0</v>
      </c>
      <c r="AH505" s="1">
        <f>J505</f>
        <v>0</v>
      </c>
      <c r="AI505" s="1">
        <f>Q505</f>
        <v>0</v>
      </c>
      <c r="AJ505" s="1">
        <f>K505</f>
        <v>0</v>
      </c>
      <c r="AK505" s="1">
        <f>L505</f>
        <v>0</v>
      </c>
      <c r="AL505" s="1">
        <f>M505</f>
        <v>0</v>
      </c>
      <c r="AM505" s="1">
        <f>N505</f>
        <v>0</v>
      </c>
      <c r="AN505" s="1">
        <f>O505</f>
        <v>0</v>
      </c>
    </row>
    <row r="506">
      <c r="A506" s="1">
        <v>691</v>
      </c>
      <c r="B506" s="1">
        <v>25</v>
      </c>
      <c r="C506" s="1">
        <v>0.9</v>
      </c>
      <c r="D506" s="1">
        <v>90</v>
      </c>
      <c r="E506" s="1">
        <v>2</v>
      </c>
      <c r="F506" s="1">
        <v>1</v>
      </c>
      <c r="G506" s="1">
        <v>0</v>
      </c>
      <c r="H506" s="1">
        <v>0</v>
      </c>
      <c r="I506" s="1">
        <v>0</v>
      </c>
      <c r="J506" s="1">
        <v>0</v>
      </c>
      <c r="K506" s="1">
        <v>0</v>
      </c>
      <c r="L506" s="1">
        <v>0</v>
      </c>
      <c r="M506" s="1">
        <v>0</v>
      </c>
      <c r="N506" s="1">
        <v>0</v>
      </c>
      <c r="O506" s="1">
        <v>0</v>
      </c>
      <c r="P506" s="1">
        <f>LN(B506)</f>
        <v>3.2188758248682</v>
      </c>
      <c r="Q506" s="1">
        <f>1-SUM(F506:J506)</f>
        <v>0</v>
      </c>
      <c r="R506" s="1" t="str">
        <f>IF(F506=1,"Napa valley",IF(G506=1,"Bay area",IF(H506=1,"Sonoma",IF(I506=1,"Sierra/foothills",IF(J506=1,"Mendocino/lake","Generic California")))))</f>
        <v>Napa valley</v>
      </c>
      <c r="S506" s="1" t="str">
        <f>IF(F506=1,"Napa valley",IF(H506=1,"Sonoma","Other"))</f>
        <v>Napa valley</v>
      </c>
      <c r="T506" s="1" t="str">
        <f>IF(M506=1,"Cabernet",IF(N506=1,"Merlot",IF(L506=1,"Pinot noir","Other")))</f>
        <v>Other</v>
      </c>
      <c r="U506" s="1">
        <f>IF(F506=1,B506,"")</f>
        <v>25</v>
      </c>
      <c r="V506" s="1" t="str">
        <f>IF(F506=0,B506,"")</f>
        <v/>
      </c>
      <c r="W506" s="1">
        <f>'Part B'!$B$150+SUMPRODUCT('Part B'!$B$164:$N$164,C506:O506)</f>
        <v>30.8064264094166</v>
      </c>
      <c r="X506" s="1">
        <f>B506-W506</f>
        <v>-5.80642640941665</v>
      </c>
      <c r="Y506" s="1">
        <f>'Part B'!$B$179+SUMPRODUCT('Part B'!$B$193:$N$193,C506:O506)</f>
        <v>3.14723782374079</v>
      </c>
      <c r="Z506" s="1">
        <f>P506-Y506</f>
        <v>0.0716380011274098</v>
      </c>
      <c r="AB506" s="1">
        <f>C506</f>
        <v>0.9</v>
      </c>
      <c r="AC506" s="1">
        <f>D506</f>
        <v>90</v>
      </c>
      <c r="AD506" s="1">
        <f>E506</f>
        <v>2</v>
      </c>
      <c r="AE506" s="1">
        <f>F506</f>
        <v>1</v>
      </c>
      <c r="AF506" s="1">
        <f>G506</f>
        <v>0</v>
      </c>
      <c r="AG506" s="1">
        <f>I506</f>
        <v>0</v>
      </c>
      <c r="AH506" s="1">
        <f>J506</f>
        <v>0</v>
      </c>
      <c r="AI506" s="1">
        <f>Q506</f>
        <v>0</v>
      </c>
      <c r="AJ506" s="1">
        <f>K506</f>
        <v>0</v>
      </c>
      <c r="AK506" s="1">
        <f>L506</f>
        <v>0</v>
      </c>
      <c r="AL506" s="1">
        <f>M506</f>
        <v>0</v>
      </c>
      <c r="AM506" s="1">
        <f>N506</f>
        <v>0</v>
      </c>
      <c r="AN506" s="1">
        <f>O506</f>
        <v>0</v>
      </c>
    </row>
    <row r="507">
      <c r="A507" s="1">
        <v>694</v>
      </c>
      <c r="B507" s="1">
        <v>26</v>
      </c>
      <c r="C507" s="1">
        <v>0.358</v>
      </c>
      <c r="D507" s="1">
        <v>86</v>
      </c>
      <c r="E507" s="1">
        <v>4</v>
      </c>
      <c r="F507" s="1">
        <v>0</v>
      </c>
      <c r="G507" s="1">
        <v>1</v>
      </c>
      <c r="H507" s="1">
        <v>0</v>
      </c>
      <c r="I507" s="1">
        <v>0</v>
      </c>
      <c r="J507" s="1">
        <v>0</v>
      </c>
      <c r="K507" s="1">
        <v>1</v>
      </c>
      <c r="L507" s="1">
        <v>0</v>
      </c>
      <c r="M507" s="1">
        <v>0</v>
      </c>
      <c r="N507" s="1">
        <v>0</v>
      </c>
      <c r="O507" s="1">
        <v>0</v>
      </c>
      <c r="P507" s="1">
        <f>LN(B507)</f>
        <v>3.25809653802148</v>
      </c>
      <c r="Q507" s="1">
        <f>1-SUM(F507:J507)</f>
        <v>0</v>
      </c>
      <c r="R507" s="1" t="str">
        <f>IF(F507=1,"Napa valley",IF(G507=1,"Bay area",IF(H507=1,"Sonoma",IF(I507=1,"Sierra/foothills",IF(J507=1,"Mendocino/lake","Generic California")))))</f>
        <v>Bay area</v>
      </c>
      <c r="S507" s="1" t="str">
        <f>IF(F507=1,"Napa valley",IF(H507=1,"Sonoma","Other"))</f>
        <v>Other</v>
      </c>
      <c r="T507" s="1" t="str">
        <f>IF(M507=1,"Cabernet",IF(N507=1,"Merlot",IF(L507=1,"Pinot noir","Other")))</f>
        <v>Other</v>
      </c>
      <c r="U507" s="1" t="str">
        <f>IF(F507=1,B507,"")</f>
        <v/>
      </c>
      <c r="V507" s="1">
        <f>IF(F507=0,B507,"")</f>
        <v>26</v>
      </c>
      <c r="W507" s="1">
        <f>'Part B'!$B$150+SUMPRODUCT('Part B'!$B$164:$N$164,C507:O507)</f>
        <v>47.0223575208077</v>
      </c>
      <c r="X507" s="1">
        <f>B507-W507</f>
        <v>-21.0223575208076</v>
      </c>
      <c r="Y507" s="1">
        <f>'Part B'!$B$179+SUMPRODUCT('Part B'!$B$193:$N$193,C507:O507)</f>
        <v>3.53973719176249</v>
      </c>
      <c r="Z507" s="1">
        <f>P507-Y507</f>
        <v>-0.281640653741003</v>
      </c>
      <c r="AB507" s="1">
        <f>C507</f>
        <v>0.358</v>
      </c>
      <c r="AC507" s="1">
        <f>D507</f>
        <v>86</v>
      </c>
      <c r="AD507" s="1">
        <f>E507</f>
        <v>4</v>
      </c>
      <c r="AE507" s="1">
        <f>F507</f>
        <v>0</v>
      </c>
      <c r="AF507" s="1">
        <f>G507</f>
        <v>1</v>
      </c>
      <c r="AG507" s="1">
        <f>I507</f>
        <v>0</v>
      </c>
      <c r="AH507" s="1">
        <f>J507</f>
        <v>0</v>
      </c>
      <c r="AI507" s="1">
        <f>Q507</f>
        <v>0</v>
      </c>
      <c r="AJ507" s="1">
        <f>K507</f>
        <v>1</v>
      </c>
      <c r="AK507" s="1">
        <f>L507</f>
        <v>0</v>
      </c>
      <c r="AL507" s="1">
        <f>M507</f>
        <v>0</v>
      </c>
      <c r="AM507" s="1">
        <f>N507</f>
        <v>0</v>
      </c>
      <c r="AN507" s="1">
        <f>O507</f>
        <v>0</v>
      </c>
    </row>
    <row r="508">
      <c r="A508" s="1">
        <v>695</v>
      </c>
      <c r="B508" s="1">
        <v>26</v>
      </c>
      <c r="C508" s="1">
        <v>0.55</v>
      </c>
      <c r="D508" s="1">
        <v>90</v>
      </c>
      <c r="E508" s="1">
        <v>4</v>
      </c>
      <c r="F508" s="1">
        <v>0</v>
      </c>
      <c r="G508" s="1">
        <v>0</v>
      </c>
      <c r="H508" s="1">
        <v>0</v>
      </c>
      <c r="I508" s="1">
        <v>0</v>
      </c>
      <c r="J508" s="1">
        <v>1</v>
      </c>
      <c r="K508" s="1">
        <v>0</v>
      </c>
      <c r="L508" s="1">
        <v>0</v>
      </c>
      <c r="M508" s="1">
        <v>1</v>
      </c>
      <c r="N508" s="1">
        <v>0</v>
      </c>
      <c r="O508" s="1">
        <v>0</v>
      </c>
      <c r="P508" s="1">
        <f>LN(B508)</f>
        <v>3.25809653802148</v>
      </c>
      <c r="Q508" s="1">
        <f>1-SUM(F508:J508)</f>
        <v>0</v>
      </c>
      <c r="R508" s="1" t="str">
        <f>IF(F508=1,"Napa valley",IF(G508=1,"Bay area",IF(H508=1,"Sonoma",IF(I508=1,"Sierra/foothills",IF(J508=1,"Mendocino/lake","Generic California")))))</f>
        <v>Mendocino/lake</v>
      </c>
      <c r="S508" s="1" t="str">
        <f>IF(F508=1,"Napa valley",IF(H508=1,"Sonoma","Other"))</f>
        <v>Other</v>
      </c>
      <c r="T508" s="1" t="str">
        <f>IF(M508=1,"Cabernet",IF(N508=1,"Merlot",IF(L508=1,"Pinot noir","Other")))</f>
        <v>Cabernet</v>
      </c>
      <c r="U508" s="1" t="str">
        <f>IF(F508=1,B508,"")</f>
        <v/>
      </c>
      <c r="V508" s="1">
        <f>IF(F508=0,B508,"")</f>
        <v>26</v>
      </c>
      <c r="W508" s="1">
        <f>'Part B'!$B$150+SUMPRODUCT('Part B'!$B$164:$N$164,C508:O508)</f>
        <v>50.5266445134064</v>
      </c>
      <c r="X508" s="1">
        <f>B508-W508</f>
        <v>-24.5266445134064</v>
      </c>
      <c r="Y508" s="1">
        <f>'Part B'!$B$179+SUMPRODUCT('Part B'!$B$193:$N$193,C508:O508)</f>
        <v>3.64340921856362</v>
      </c>
      <c r="Z508" s="1">
        <f>P508-Y508</f>
        <v>-0.385312680542136</v>
      </c>
      <c r="AB508" s="1">
        <f>C508</f>
        <v>0.55</v>
      </c>
      <c r="AC508" s="1">
        <f>D508</f>
        <v>90</v>
      </c>
      <c r="AD508" s="1">
        <f>E508</f>
        <v>4</v>
      </c>
      <c r="AE508" s="1">
        <f>F508</f>
        <v>0</v>
      </c>
      <c r="AF508" s="1">
        <f>G508</f>
        <v>0</v>
      </c>
      <c r="AG508" s="1">
        <f>I508</f>
        <v>0</v>
      </c>
      <c r="AH508" s="1">
        <f>J508</f>
        <v>1</v>
      </c>
      <c r="AI508" s="1">
        <f>Q508</f>
        <v>0</v>
      </c>
      <c r="AJ508" s="1">
        <f>K508</f>
        <v>0</v>
      </c>
      <c r="AK508" s="1">
        <f>L508</f>
        <v>0</v>
      </c>
      <c r="AL508" s="1">
        <f>M508</f>
        <v>1</v>
      </c>
      <c r="AM508" s="1">
        <f>N508</f>
        <v>0</v>
      </c>
      <c r="AN508" s="1">
        <f>O508</f>
        <v>0</v>
      </c>
    </row>
    <row r="509">
      <c r="A509" s="1">
        <v>696</v>
      </c>
      <c r="B509" s="1">
        <v>26</v>
      </c>
      <c r="C509" s="1">
        <v>0.4</v>
      </c>
      <c r="D509" s="1">
        <v>85</v>
      </c>
      <c r="E509" s="1">
        <v>3</v>
      </c>
      <c r="F509" s="1">
        <v>0</v>
      </c>
      <c r="G509" s="1">
        <v>1</v>
      </c>
      <c r="H509" s="1">
        <v>0</v>
      </c>
      <c r="I509" s="1">
        <v>0</v>
      </c>
      <c r="J509" s="1">
        <v>0</v>
      </c>
      <c r="K509" s="1">
        <v>0</v>
      </c>
      <c r="L509" s="1">
        <v>1</v>
      </c>
      <c r="M509" s="1">
        <v>0</v>
      </c>
      <c r="N509" s="1">
        <v>0</v>
      </c>
      <c r="O509" s="1">
        <v>0</v>
      </c>
      <c r="P509" s="1">
        <f>LN(B509)</f>
        <v>3.25809653802148</v>
      </c>
      <c r="Q509" s="1">
        <f>1-SUM(F509:J509)</f>
        <v>0</v>
      </c>
      <c r="R509" s="1" t="str">
        <f>IF(F509=1,"Napa valley",IF(G509=1,"Bay area",IF(H509=1,"Sonoma",IF(I509=1,"Sierra/foothills",IF(J509=1,"Mendocino/lake","Generic California")))))</f>
        <v>Bay area</v>
      </c>
      <c r="S509" s="1" t="str">
        <f>IF(F509=1,"Napa valley",IF(H509=1,"Sonoma","Other"))</f>
        <v>Other</v>
      </c>
      <c r="T509" s="1" t="str">
        <f>IF(M509=1,"Cabernet",IF(N509=1,"Merlot",IF(L509=1,"Pinot noir","Other")))</f>
        <v>Pinot noir</v>
      </c>
      <c r="U509" s="1" t="str">
        <f>IF(F509=1,B509,"")</f>
        <v/>
      </c>
      <c r="V509" s="1">
        <f>IF(F509=0,B509,"")</f>
        <v>26</v>
      </c>
      <c r="W509" s="1">
        <f>'Part B'!$B$150+SUMPRODUCT('Part B'!$B$164:$N$164,C509:O509)</f>
        <v>26.4201354110821</v>
      </c>
      <c r="X509" s="1">
        <f>B509-W509</f>
        <v>-0.420135411082072</v>
      </c>
      <c r="Y509" s="1">
        <f>'Part B'!$B$179+SUMPRODUCT('Part B'!$B$193:$N$193,C509:O509)</f>
        <v>3.15444563374649</v>
      </c>
      <c r="Z509" s="1">
        <f>P509-Y509</f>
        <v>0.103650904274989</v>
      </c>
      <c r="AB509" s="1">
        <f>C509</f>
        <v>0.4</v>
      </c>
      <c r="AC509" s="1">
        <f>D509</f>
        <v>85</v>
      </c>
      <c r="AD509" s="1">
        <f>E509</f>
        <v>3</v>
      </c>
      <c r="AE509" s="1">
        <f>F509</f>
        <v>0</v>
      </c>
      <c r="AF509" s="1">
        <f>G509</f>
        <v>1</v>
      </c>
      <c r="AG509" s="1">
        <f>I509</f>
        <v>0</v>
      </c>
      <c r="AH509" s="1">
        <f>J509</f>
        <v>0</v>
      </c>
      <c r="AI509" s="1">
        <f>Q509</f>
        <v>0</v>
      </c>
      <c r="AJ509" s="1">
        <f>K509</f>
        <v>0</v>
      </c>
      <c r="AK509" s="1">
        <f>L509</f>
        <v>1</v>
      </c>
      <c r="AL509" s="1">
        <f>M509</f>
        <v>0</v>
      </c>
      <c r="AM509" s="1">
        <f>N509</f>
        <v>0</v>
      </c>
      <c r="AN509" s="1">
        <f>O509</f>
        <v>0</v>
      </c>
    </row>
    <row r="510">
      <c r="A510" s="1">
        <v>697</v>
      </c>
      <c r="B510" s="1">
        <v>26</v>
      </c>
      <c r="C510" s="1">
        <v>0.286</v>
      </c>
      <c r="D510" s="1">
        <v>85</v>
      </c>
      <c r="E510" s="1">
        <v>3</v>
      </c>
      <c r="F510" s="1">
        <v>0</v>
      </c>
      <c r="G510" s="1">
        <v>0</v>
      </c>
      <c r="H510" s="1">
        <v>0</v>
      </c>
      <c r="I510" s="1">
        <v>0</v>
      </c>
      <c r="J510" s="1">
        <v>0</v>
      </c>
      <c r="K510" s="1">
        <v>0</v>
      </c>
      <c r="L510" s="1">
        <v>0</v>
      </c>
      <c r="M510" s="1">
        <v>0</v>
      </c>
      <c r="N510" s="1">
        <v>1</v>
      </c>
      <c r="O510" s="1">
        <v>0</v>
      </c>
      <c r="P510" s="1">
        <f>LN(B510)</f>
        <v>3.25809653802148</v>
      </c>
      <c r="Q510" s="1">
        <f>1-SUM(F510:J510)</f>
        <v>1</v>
      </c>
      <c r="R510" s="1" t="str">
        <f>IF(F510=1,"Napa valley",IF(G510=1,"Bay area",IF(H510=1,"Sonoma",IF(I510=1,"Sierra/foothills",IF(J510=1,"Mendocino/lake","Generic California")))))</f>
        <v>Generic California</v>
      </c>
      <c r="S510" s="1" t="str">
        <f>IF(F510=1,"Napa valley",IF(H510=1,"Sonoma","Other"))</f>
        <v>Other</v>
      </c>
      <c r="T510" s="1" t="str">
        <f>IF(M510=1,"Cabernet",IF(N510=1,"Merlot",IF(L510=1,"Pinot noir","Other")))</f>
        <v>Merlot</v>
      </c>
      <c r="U510" s="1" t="str">
        <f>IF(F510=1,B510,"")</f>
        <v/>
      </c>
      <c r="V510" s="1">
        <f>IF(F510=0,B510,"")</f>
        <v>26</v>
      </c>
      <c r="W510" s="1">
        <f>'Part B'!$B$150+SUMPRODUCT('Part B'!$B$164:$N$164,C510:O510)</f>
        <v>22.3580278815783</v>
      </c>
      <c r="X510" s="1">
        <f>B510-W510</f>
        <v>3.64197211842173</v>
      </c>
      <c r="Y510" s="1">
        <f>'Part B'!$B$179+SUMPRODUCT('Part B'!$B$193:$N$193,C510:O510)</f>
        <v>2.83793892641708</v>
      </c>
      <c r="Z510" s="1">
        <f>P510-Y510</f>
        <v>0.420157611604406</v>
      </c>
      <c r="AB510" s="1">
        <f>C510</f>
        <v>0.286</v>
      </c>
      <c r="AC510" s="1">
        <f>D510</f>
        <v>85</v>
      </c>
      <c r="AD510" s="1">
        <f>E510</f>
        <v>3</v>
      </c>
      <c r="AE510" s="1">
        <f>F510</f>
        <v>0</v>
      </c>
      <c r="AF510" s="1">
        <f>G510</f>
        <v>0</v>
      </c>
      <c r="AG510" s="1">
        <f>I510</f>
        <v>0</v>
      </c>
      <c r="AH510" s="1">
        <f>J510</f>
        <v>0</v>
      </c>
      <c r="AI510" s="1">
        <f>Q510</f>
        <v>1</v>
      </c>
      <c r="AJ510" s="1">
        <f>K510</f>
        <v>0</v>
      </c>
      <c r="AK510" s="1">
        <f>L510</f>
        <v>0</v>
      </c>
      <c r="AL510" s="1">
        <f>M510</f>
        <v>0</v>
      </c>
      <c r="AM510" s="1">
        <f>N510</f>
        <v>1</v>
      </c>
      <c r="AN510" s="1">
        <f>O510</f>
        <v>0</v>
      </c>
    </row>
    <row r="511">
      <c r="A511" s="1">
        <v>698</v>
      </c>
      <c r="B511" s="1">
        <v>26</v>
      </c>
      <c r="C511" s="1">
        <v>1.36</v>
      </c>
      <c r="D511" s="1">
        <v>84</v>
      </c>
      <c r="E511" s="1">
        <v>3</v>
      </c>
      <c r="F511" s="1">
        <v>1</v>
      </c>
      <c r="G511" s="1">
        <v>0</v>
      </c>
      <c r="H511" s="1">
        <v>0</v>
      </c>
      <c r="I511" s="1">
        <v>0</v>
      </c>
      <c r="J511" s="1">
        <v>0</v>
      </c>
      <c r="K511" s="1">
        <v>0</v>
      </c>
      <c r="L511" s="1">
        <v>0</v>
      </c>
      <c r="M511" s="1">
        <v>0</v>
      </c>
      <c r="N511" s="1">
        <v>1</v>
      </c>
      <c r="O511" s="1">
        <v>0</v>
      </c>
      <c r="P511" s="1">
        <f>LN(B511)</f>
        <v>3.25809653802148</v>
      </c>
      <c r="Q511" s="1">
        <f>1-SUM(F511:J511)</f>
        <v>0</v>
      </c>
      <c r="R511" s="1" t="str">
        <f>IF(F511=1,"Napa valley",IF(G511=1,"Bay area",IF(H511=1,"Sonoma",IF(I511=1,"Sierra/foothills",IF(J511=1,"Mendocino/lake","Generic California")))))</f>
        <v>Napa valley</v>
      </c>
      <c r="S511" s="1" t="str">
        <f>IF(F511=1,"Napa valley",IF(H511=1,"Sonoma","Other"))</f>
        <v>Napa valley</v>
      </c>
      <c r="T511" s="1" t="str">
        <f>IF(M511=1,"Cabernet",IF(N511=1,"Merlot",IF(L511=1,"Pinot noir","Other")))</f>
        <v>Merlot</v>
      </c>
      <c r="U511" s="1">
        <f>IF(F511=1,B511,"")</f>
        <v>26</v>
      </c>
      <c r="V511" s="1" t="str">
        <f>IF(F511=0,B511,"")</f>
        <v/>
      </c>
      <c r="W511" s="1">
        <f>'Part B'!$B$150+SUMPRODUCT('Part B'!$B$164:$N$164,C511:O511)</f>
        <v>26.1719978339646</v>
      </c>
      <c r="X511" s="1">
        <f>B511-W511</f>
        <v>-0.17199783396461</v>
      </c>
      <c r="Y511" s="1">
        <f>'Part B'!$B$179+SUMPRODUCT('Part B'!$B$193:$N$193,C511:O511)</f>
        <v>3.19310125237943</v>
      </c>
      <c r="Z511" s="1">
        <f>P511-Y511</f>
        <v>0.0649952856420506</v>
      </c>
      <c r="AB511" s="1">
        <f>C511</f>
        <v>1.36</v>
      </c>
      <c r="AC511" s="1">
        <f>D511</f>
        <v>84</v>
      </c>
      <c r="AD511" s="1">
        <f>E511</f>
        <v>3</v>
      </c>
      <c r="AE511" s="1">
        <f>F511</f>
        <v>1</v>
      </c>
      <c r="AF511" s="1">
        <f>G511</f>
        <v>0</v>
      </c>
      <c r="AG511" s="1">
        <f>I511</f>
        <v>0</v>
      </c>
      <c r="AH511" s="1">
        <f>J511</f>
        <v>0</v>
      </c>
      <c r="AI511" s="1">
        <f>Q511</f>
        <v>0</v>
      </c>
      <c r="AJ511" s="1">
        <f>K511</f>
        <v>0</v>
      </c>
      <c r="AK511" s="1">
        <f>L511</f>
        <v>0</v>
      </c>
      <c r="AL511" s="1">
        <f>M511</f>
        <v>0</v>
      </c>
      <c r="AM511" s="1">
        <f>N511</f>
        <v>1</v>
      </c>
      <c r="AN511" s="1">
        <f>O511</f>
        <v>0</v>
      </c>
    </row>
    <row r="512">
      <c r="A512" s="1">
        <v>699</v>
      </c>
      <c r="B512" s="1">
        <v>26</v>
      </c>
      <c r="C512" s="1">
        <v>0.7</v>
      </c>
      <c r="D512" s="1">
        <v>83</v>
      </c>
      <c r="E512" s="1">
        <v>3</v>
      </c>
      <c r="F512" s="1">
        <v>0</v>
      </c>
      <c r="G512" s="1">
        <v>0</v>
      </c>
      <c r="H512" s="1">
        <v>0</v>
      </c>
      <c r="I512" s="1">
        <v>0</v>
      </c>
      <c r="J512" s="1">
        <v>0</v>
      </c>
      <c r="K512" s="1">
        <v>1</v>
      </c>
      <c r="L512" s="1">
        <v>0</v>
      </c>
      <c r="M512" s="1">
        <v>0</v>
      </c>
      <c r="N512" s="1">
        <v>0</v>
      </c>
      <c r="O512" s="1">
        <v>0</v>
      </c>
      <c r="P512" s="1">
        <f>LN(B512)</f>
        <v>3.25809653802148</v>
      </c>
      <c r="Q512" s="1">
        <f>1-SUM(F512:J512)</f>
        <v>1</v>
      </c>
      <c r="R512" s="1" t="str">
        <f>IF(F512=1,"Napa valley",IF(G512=1,"Bay area",IF(H512=1,"Sonoma",IF(I512=1,"Sierra/foothills",IF(J512=1,"Mendocino/lake","Generic California")))))</f>
        <v>Generic California</v>
      </c>
      <c r="S512" s="1" t="str">
        <f>IF(F512=1,"Napa valley",IF(H512=1,"Sonoma","Other"))</f>
        <v>Other</v>
      </c>
      <c r="T512" s="1" t="str">
        <f>IF(M512=1,"Cabernet",IF(N512=1,"Merlot",IF(L512=1,"Pinot noir","Other")))</f>
        <v>Other</v>
      </c>
      <c r="U512" s="1" t="str">
        <f>IF(F512=1,B512,"")</f>
        <v/>
      </c>
      <c r="V512" s="1">
        <f>IF(F512=0,B512,"")</f>
        <v>26</v>
      </c>
      <c r="W512" s="1">
        <f>'Part B'!$B$150+SUMPRODUCT('Part B'!$B$164:$N$164,C512:O512)</f>
        <v>28.6561232492068</v>
      </c>
      <c r="X512" s="1">
        <f>B512-W512</f>
        <v>-2.65612324920676</v>
      </c>
      <c r="Y512" s="1">
        <f>'Part B'!$B$179+SUMPRODUCT('Part B'!$B$193:$N$193,C512:O512)</f>
        <v>2.89031738917701</v>
      </c>
      <c r="Z512" s="1">
        <f>P512-Y512</f>
        <v>0.367779148844476</v>
      </c>
      <c r="AB512" s="1">
        <f>C512</f>
        <v>0.7</v>
      </c>
      <c r="AC512" s="1">
        <f>D512</f>
        <v>83</v>
      </c>
      <c r="AD512" s="1">
        <f>E512</f>
        <v>3</v>
      </c>
      <c r="AE512" s="1">
        <f>F512</f>
        <v>0</v>
      </c>
      <c r="AF512" s="1">
        <f>G512</f>
        <v>0</v>
      </c>
      <c r="AG512" s="1">
        <f>I512</f>
        <v>0</v>
      </c>
      <c r="AH512" s="1">
        <f>J512</f>
        <v>0</v>
      </c>
      <c r="AI512" s="1">
        <f>Q512</f>
        <v>1</v>
      </c>
      <c r="AJ512" s="1">
        <f>K512</f>
        <v>1</v>
      </c>
      <c r="AK512" s="1">
        <f>L512</f>
        <v>0</v>
      </c>
      <c r="AL512" s="1">
        <f>M512</f>
        <v>0</v>
      </c>
      <c r="AM512" s="1">
        <f>N512</f>
        <v>0</v>
      </c>
      <c r="AN512" s="1">
        <f>O512</f>
        <v>0</v>
      </c>
    </row>
    <row r="513">
      <c r="A513" s="1">
        <v>701</v>
      </c>
      <c r="B513" s="1">
        <v>26</v>
      </c>
      <c r="C513" s="1">
        <v>0.6</v>
      </c>
      <c r="D513" s="1">
        <v>87</v>
      </c>
      <c r="E513" s="1">
        <v>3</v>
      </c>
      <c r="F513" s="1">
        <v>0</v>
      </c>
      <c r="G513" s="1">
        <v>0</v>
      </c>
      <c r="H513" s="1">
        <v>1</v>
      </c>
      <c r="I513" s="1">
        <v>0</v>
      </c>
      <c r="J513" s="1">
        <v>0</v>
      </c>
      <c r="K513" s="1">
        <v>0</v>
      </c>
      <c r="L513" s="1">
        <v>1</v>
      </c>
      <c r="M513" s="1">
        <v>0</v>
      </c>
      <c r="N513" s="1">
        <v>0</v>
      </c>
      <c r="O513" s="1">
        <v>0</v>
      </c>
      <c r="P513" s="1">
        <f>LN(B513)</f>
        <v>3.25809653802148</v>
      </c>
      <c r="Q513" s="1">
        <f>1-SUM(F513:J513)</f>
        <v>0</v>
      </c>
      <c r="R513" s="1" t="str">
        <f>IF(F513=1,"Napa valley",IF(G513=1,"Bay area",IF(H513=1,"Sonoma",IF(I513=1,"Sierra/foothills",IF(J513=1,"Mendocino/lake","Generic California")))))</f>
        <v>Sonoma</v>
      </c>
      <c r="S513" s="1" t="str">
        <f>IF(F513=1,"Napa valley",IF(H513=1,"Sonoma","Other"))</f>
        <v>Sonoma</v>
      </c>
      <c r="T513" s="1" t="str">
        <f>IF(M513=1,"Cabernet",IF(N513=1,"Merlot",IF(L513=1,"Pinot noir","Other")))</f>
        <v>Pinot noir</v>
      </c>
      <c r="U513" s="1" t="str">
        <f>IF(F513=1,B513,"")</f>
        <v/>
      </c>
      <c r="V513" s="1">
        <f>IF(F513=0,B513,"")</f>
        <v>26</v>
      </c>
      <c r="W513" s="1">
        <f>'Part B'!$B$150+SUMPRODUCT('Part B'!$B$164:$N$164,C513:O513)</f>
        <v>29.5770257284824</v>
      </c>
      <c r="X513" s="1">
        <f>B513-W513</f>
        <v>-3.5770257284824</v>
      </c>
      <c r="Y513" s="1">
        <f>'Part B'!$B$179+SUMPRODUCT('Part B'!$B$193:$N$193,C513:O513)</f>
        <v>3.32045743309779</v>
      </c>
      <c r="Z513" s="1">
        <f>P513-Y513</f>
        <v>-0.0623608950763059</v>
      </c>
      <c r="AB513" s="1">
        <f>C513</f>
        <v>0.6</v>
      </c>
      <c r="AC513" s="1">
        <f>D513</f>
        <v>87</v>
      </c>
      <c r="AD513" s="1">
        <f>E513</f>
        <v>3</v>
      </c>
      <c r="AE513" s="1">
        <f>F513</f>
        <v>0</v>
      </c>
      <c r="AF513" s="1">
        <f>G513</f>
        <v>0</v>
      </c>
      <c r="AG513" s="1">
        <f>I513</f>
        <v>0</v>
      </c>
      <c r="AH513" s="1">
        <f>J513</f>
        <v>0</v>
      </c>
      <c r="AI513" s="1">
        <f>Q513</f>
        <v>0</v>
      </c>
      <c r="AJ513" s="1">
        <f>K513</f>
        <v>0</v>
      </c>
      <c r="AK513" s="1">
        <f>L513</f>
        <v>1</v>
      </c>
      <c r="AL513" s="1">
        <f>M513</f>
        <v>0</v>
      </c>
      <c r="AM513" s="1">
        <f>N513</f>
        <v>0</v>
      </c>
      <c r="AN513" s="1">
        <f>O513</f>
        <v>0</v>
      </c>
    </row>
    <row r="514">
      <c r="A514" s="1">
        <v>702</v>
      </c>
      <c r="B514" s="1">
        <v>26</v>
      </c>
      <c r="C514" s="1">
        <v>2</v>
      </c>
      <c r="D514" s="1">
        <v>88</v>
      </c>
      <c r="E514" s="1">
        <v>3</v>
      </c>
      <c r="F514" s="1">
        <v>0</v>
      </c>
      <c r="G514" s="1">
        <v>0</v>
      </c>
      <c r="H514" s="1">
        <v>0</v>
      </c>
      <c r="I514" s="1">
        <v>0</v>
      </c>
      <c r="J514" s="1">
        <v>0</v>
      </c>
      <c r="K514" s="1">
        <v>0</v>
      </c>
      <c r="L514" s="1">
        <v>0</v>
      </c>
      <c r="M514" s="1">
        <v>1</v>
      </c>
      <c r="N514" s="1">
        <v>0</v>
      </c>
      <c r="O514" s="1">
        <v>0</v>
      </c>
      <c r="P514" s="1">
        <f>LN(B514)</f>
        <v>3.25809653802148</v>
      </c>
      <c r="Q514" s="1">
        <f>1-SUM(F514:J514)</f>
        <v>1</v>
      </c>
      <c r="R514" s="1" t="str">
        <f>IF(F514=1,"Napa valley",IF(G514=1,"Bay area",IF(H514=1,"Sonoma",IF(I514=1,"Sierra/foothills",IF(J514=1,"Mendocino/lake","Generic California")))))</f>
        <v>Generic California</v>
      </c>
      <c r="S514" s="1" t="str">
        <f>IF(F514=1,"Napa valley",IF(H514=1,"Sonoma","Other"))</f>
        <v>Other</v>
      </c>
      <c r="T514" s="1" t="str">
        <f>IF(M514=1,"Cabernet",IF(N514=1,"Merlot",IF(L514=1,"Pinot noir","Other")))</f>
        <v>Cabernet</v>
      </c>
      <c r="U514" s="1" t="str">
        <f>IF(F514=1,B514,"")</f>
        <v/>
      </c>
      <c r="V514" s="1">
        <f>IF(F514=0,B514,"")</f>
        <v>26</v>
      </c>
      <c r="W514" s="1">
        <f>'Part B'!$B$150+SUMPRODUCT('Part B'!$B$164:$N$164,C514:O514)</f>
        <v>36.5976810453409</v>
      </c>
      <c r="X514" s="1">
        <f>B514-W514</f>
        <v>-10.5976810453409</v>
      </c>
      <c r="Y514" s="1">
        <f>'Part B'!$B$179+SUMPRODUCT('Part B'!$B$193:$N$193,C514:O514)</f>
        <v>3.07696964224172</v>
      </c>
      <c r="Z514" s="1">
        <f>P514-Y514</f>
        <v>0.181126895779757</v>
      </c>
      <c r="AB514" s="1">
        <f>C514</f>
        <v>2</v>
      </c>
      <c r="AC514" s="1">
        <f>D514</f>
        <v>88</v>
      </c>
      <c r="AD514" s="1">
        <f>E514</f>
        <v>3</v>
      </c>
      <c r="AE514" s="1">
        <f>F514</f>
        <v>0</v>
      </c>
      <c r="AF514" s="1">
        <f>G514</f>
        <v>0</v>
      </c>
      <c r="AG514" s="1">
        <f>I514</f>
        <v>0</v>
      </c>
      <c r="AH514" s="1">
        <f>J514</f>
        <v>0</v>
      </c>
      <c r="AI514" s="1">
        <f>Q514</f>
        <v>1</v>
      </c>
      <c r="AJ514" s="1">
        <f>K514</f>
        <v>0</v>
      </c>
      <c r="AK514" s="1">
        <f>L514</f>
        <v>0</v>
      </c>
      <c r="AL514" s="1">
        <f>M514</f>
        <v>1</v>
      </c>
      <c r="AM514" s="1">
        <f>N514</f>
        <v>0</v>
      </c>
      <c r="AN514" s="1">
        <f>O514</f>
        <v>0</v>
      </c>
    </row>
    <row r="515">
      <c r="A515" s="1">
        <v>704</v>
      </c>
      <c r="B515" s="1">
        <v>26</v>
      </c>
      <c r="C515" s="1">
        <v>1</v>
      </c>
      <c r="D515" s="1">
        <v>84</v>
      </c>
      <c r="E515" s="1">
        <v>3</v>
      </c>
      <c r="F515" s="1">
        <v>0</v>
      </c>
      <c r="G515" s="1">
        <v>0</v>
      </c>
      <c r="H515" s="1">
        <v>1</v>
      </c>
      <c r="I515" s="1">
        <v>0</v>
      </c>
      <c r="J515" s="1">
        <v>0</v>
      </c>
      <c r="K515" s="1">
        <v>0</v>
      </c>
      <c r="L515" s="1">
        <v>0</v>
      </c>
      <c r="M515" s="1">
        <v>1</v>
      </c>
      <c r="N515" s="1">
        <v>0</v>
      </c>
      <c r="O515" s="1">
        <v>0</v>
      </c>
      <c r="P515" s="1">
        <f>LN(B515)</f>
        <v>3.25809653802148</v>
      </c>
      <c r="Q515" s="1">
        <f>1-SUM(F515:J515)</f>
        <v>0</v>
      </c>
      <c r="R515" s="1" t="str">
        <f>IF(F515=1,"Napa valley",IF(G515=1,"Bay area",IF(H515=1,"Sonoma",IF(I515=1,"Sierra/foothills",IF(J515=1,"Mendocino/lake","Generic California")))))</f>
        <v>Sonoma</v>
      </c>
      <c r="S515" s="1" t="str">
        <f>IF(F515=1,"Napa valley",IF(H515=1,"Sonoma","Other"))</f>
        <v>Sonoma</v>
      </c>
      <c r="T515" s="1" t="str">
        <f>IF(M515=1,"Cabernet",IF(N515=1,"Merlot",IF(L515=1,"Pinot noir","Other")))</f>
        <v>Cabernet</v>
      </c>
      <c r="U515" s="1" t="str">
        <f>IF(F515=1,B515,"")</f>
        <v/>
      </c>
      <c r="V515" s="1">
        <f>IF(F515=0,B515,"")</f>
        <v>26</v>
      </c>
      <c r="W515" s="1">
        <f>'Part B'!$B$150+SUMPRODUCT('Part B'!$B$164:$N$164,C515:O515)</f>
        <v>23.2767630590608</v>
      </c>
      <c r="X515" s="1">
        <f>B515-W515</f>
        <v>2.72323694093922</v>
      </c>
      <c r="Y515" s="1">
        <f>'Part B'!$B$179+SUMPRODUCT('Part B'!$B$193:$N$193,C515:O515)</f>
        <v>3.08333508217053</v>
      </c>
      <c r="Z515" s="1">
        <f>P515-Y515</f>
        <v>0.17476145585095</v>
      </c>
      <c r="AB515" s="1">
        <f>C515</f>
        <v>1</v>
      </c>
      <c r="AC515" s="1">
        <f>D515</f>
        <v>84</v>
      </c>
      <c r="AD515" s="1">
        <f>E515</f>
        <v>3</v>
      </c>
      <c r="AE515" s="1">
        <f>F515</f>
        <v>0</v>
      </c>
      <c r="AF515" s="1">
        <f>G515</f>
        <v>0</v>
      </c>
      <c r="AG515" s="1">
        <f>I515</f>
        <v>0</v>
      </c>
      <c r="AH515" s="1">
        <f>J515</f>
        <v>0</v>
      </c>
      <c r="AI515" s="1">
        <f>Q515</f>
        <v>0</v>
      </c>
      <c r="AJ515" s="1">
        <f>K515</f>
        <v>0</v>
      </c>
      <c r="AK515" s="1">
        <f>L515</f>
        <v>0</v>
      </c>
      <c r="AL515" s="1">
        <f>M515</f>
        <v>1</v>
      </c>
      <c r="AM515" s="1">
        <f>N515</f>
        <v>0</v>
      </c>
      <c r="AN515" s="1">
        <f>O515</f>
        <v>0</v>
      </c>
    </row>
    <row r="516">
      <c r="A516" s="1">
        <v>705</v>
      </c>
      <c r="B516" s="1">
        <v>26</v>
      </c>
      <c r="C516" s="1">
        <v>5</v>
      </c>
      <c r="D516" s="1">
        <v>90</v>
      </c>
      <c r="E516" s="1">
        <v>3</v>
      </c>
      <c r="F516" s="1">
        <v>1</v>
      </c>
      <c r="G516" s="1">
        <v>0</v>
      </c>
      <c r="H516" s="1">
        <v>0</v>
      </c>
      <c r="I516" s="1">
        <v>0</v>
      </c>
      <c r="J516" s="1">
        <v>0</v>
      </c>
      <c r="K516" s="1">
        <v>0</v>
      </c>
      <c r="L516" s="1">
        <v>0</v>
      </c>
      <c r="M516" s="1">
        <v>1</v>
      </c>
      <c r="N516" s="1">
        <v>0</v>
      </c>
      <c r="O516" s="1">
        <v>0</v>
      </c>
      <c r="P516" s="1">
        <f>LN(B516)</f>
        <v>3.25809653802148</v>
      </c>
      <c r="Q516" s="1">
        <f>1-SUM(F516:J516)</f>
        <v>0</v>
      </c>
      <c r="R516" s="1" t="str">
        <f>IF(F516=1,"Napa valley",IF(G516=1,"Bay area",IF(H516=1,"Sonoma",IF(I516=1,"Sierra/foothills",IF(J516=1,"Mendocino/lake","Generic California")))))</f>
        <v>Napa valley</v>
      </c>
      <c r="S516" s="1" t="str">
        <f>IF(F516=1,"Napa valley",IF(H516=1,"Sonoma","Other"))</f>
        <v>Napa valley</v>
      </c>
      <c r="T516" s="1" t="str">
        <f>IF(M516=1,"Cabernet",IF(N516=1,"Merlot",IF(L516=1,"Pinot noir","Other")))</f>
        <v>Cabernet</v>
      </c>
      <c r="U516" s="1">
        <f>IF(F516=1,B516,"")</f>
        <v>26</v>
      </c>
      <c r="V516" s="1" t="str">
        <f>IF(F516=0,B516,"")</f>
        <v/>
      </c>
      <c r="W516" s="1">
        <f>'Part B'!$B$150+SUMPRODUCT('Part B'!$B$164:$N$164,C516:O516)</f>
        <v>49.6641383545017</v>
      </c>
      <c r="X516" s="1">
        <f>B516-W516</f>
        <v>-23.6641383545017</v>
      </c>
      <c r="Y516" s="1">
        <f>'Part B'!$B$179+SUMPRODUCT('Part B'!$B$193:$N$193,C516:O516)</f>
        <v>3.63377459127493</v>
      </c>
      <c r="Z516" s="1">
        <f>P516-Y516</f>
        <v>-0.375678053253447</v>
      </c>
      <c r="AB516" s="1">
        <f>C516</f>
        <v>5</v>
      </c>
      <c r="AC516" s="1">
        <f>D516</f>
        <v>90</v>
      </c>
      <c r="AD516" s="1">
        <f>E516</f>
        <v>3</v>
      </c>
      <c r="AE516" s="1">
        <f>F516</f>
        <v>1</v>
      </c>
      <c r="AF516" s="1">
        <f>G516</f>
        <v>0</v>
      </c>
      <c r="AG516" s="1">
        <f>I516</f>
        <v>0</v>
      </c>
      <c r="AH516" s="1">
        <f>J516</f>
        <v>0</v>
      </c>
      <c r="AI516" s="1">
        <f>Q516</f>
        <v>0</v>
      </c>
      <c r="AJ516" s="1">
        <f>K516</f>
        <v>0</v>
      </c>
      <c r="AK516" s="1">
        <f>L516</f>
        <v>0</v>
      </c>
      <c r="AL516" s="1">
        <f>M516</f>
        <v>1</v>
      </c>
      <c r="AM516" s="1">
        <f>N516</f>
        <v>0</v>
      </c>
      <c r="AN516" s="1">
        <f>O516</f>
        <v>0</v>
      </c>
    </row>
    <row r="517">
      <c r="A517" s="1">
        <v>706</v>
      </c>
      <c r="B517" s="1">
        <v>27</v>
      </c>
      <c r="C517" s="1">
        <v>6.6</v>
      </c>
      <c r="D517" s="1">
        <v>90</v>
      </c>
      <c r="E517" s="1">
        <v>5</v>
      </c>
      <c r="F517" s="1">
        <v>1</v>
      </c>
      <c r="G517" s="1">
        <v>0</v>
      </c>
      <c r="H517" s="1">
        <v>0</v>
      </c>
      <c r="I517" s="1">
        <v>0</v>
      </c>
      <c r="J517" s="1">
        <v>0</v>
      </c>
      <c r="K517" s="1">
        <v>0</v>
      </c>
      <c r="L517" s="1">
        <v>0</v>
      </c>
      <c r="M517" s="1">
        <v>1</v>
      </c>
      <c r="N517" s="1">
        <v>0</v>
      </c>
      <c r="O517" s="1">
        <v>0</v>
      </c>
      <c r="P517" s="1">
        <f>LN(B517)</f>
        <v>3.29583686600433</v>
      </c>
      <c r="Q517" s="1">
        <f>1-SUM(F517:J517)</f>
        <v>0</v>
      </c>
      <c r="R517" s="1" t="str">
        <f>IF(F517=1,"Napa valley",IF(G517=1,"Bay area",IF(H517=1,"Sonoma",IF(I517=1,"Sierra/foothills",IF(J517=1,"Mendocino/lake","Generic California")))))</f>
        <v>Napa valley</v>
      </c>
      <c r="S517" s="1" t="str">
        <f>IF(F517=1,"Napa valley",IF(H517=1,"Sonoma","Other"))</f>
        <v>Napa valley</v>
      </c>
      <c r="T517" s="1" t="str">
        <f>IF(M517=1,"Cabernet",IF(N517=1,"Merlot",IF(L517=1,"Pinot noir","Other")))</f>
        <v>Cabernet</v>
      </c>
      <c r="U517" s="1">
        <f>IF(F517=1,B517,"")</f>
        <v>27</v>
      </c>
      <c r="V517" s="1" t="str">
        <f>IF(F517=0,B517,"")</f>
        <v/>
      </c>
      <c r="W517" s="1">
        <f>'Part B'!$B$150+SUMPRODUCT('Part B'!$B$164:$N$164,C517:O517)</f>
        <v>62.7514858398498</v>
      </c>
      <c r="X517" s="1">
        <f>B517-W517</f>
        <v>-35.7514858398497</v>
      </c>
      <c r="Y517" s="1">
        <f>'Part B'!$B$179+SUMPRODUCT('Part B'!$B$193:$N$193,C517:O517)</f>
        <v>3.99309864872601</v>
      </c>
      <c r="Z517" s="1">
        <f>P517-Y517</f>
        <v>-0.697261782721685</v>
      </c>
      <c r="AB517" s="1">
        <f>C517</f>
        <v>6.6</v>
      </c>
      <c r="AC517" s="1">
        <f>D517</f>
        <v>90</v>
      </c>
      <c r="AD517" s="1">
        <f>E517</f>
        <v>5</v>
      </c>
      <c r="AE517" s="1">
        <f>F517</f>
        <v>1</v>
      </c>
      <c r="AF517" s="1">
        <f>G517</f>
        <v>0</v>
      </c>
      <c r="AG517" s="1">
        <f>I517</f>
        <v>0</v>
      </c>
      <c r="AH517" s="1">
        <f>J517</f>
        <v>0</v>
      </c>
      <c r="AI517" s="1">
        <f>Q517</f>
        <v>0</v>
      </c>
      <c r="AJ517" s="1">
        <f>K517</f>
        <v>0</v>
      </c>
      <c r="AK517" s="1">
        <f>L517</f>
        <v>0</v>
      </c>
      <c r="AL517" s="1">
        <f>M517</f>
        <v>1</v>
      </c>
      <c r="AM517" s="1">
        <f>N517</f>
        <v>0</v>
      </c>
      <c r="AN517" s="1">
        <f>O517</f>
        <v>0</v>
      </c>
    </row>
    <row r="518">
      <c r="A518" s="1">
        <v>709</v>
      </c>
      <c r="B518" s="1">
        <v>26</v>
      </c>
      <c r="C518" s="1">
        <v>0.525</v>
      </c>
      <c r="D518" s="1">
        <v>83</v>
      </c>
      <c r="E518" s="1">
        <v>2</v>
      </c>
      <c r="F518" s="1">
        <v>1</v>
      </c>
      <c r="G518" s="1">
        <v>0</v>
      </c>
      <c r="H518" s="1">
        <v>0</v>
      </c>
      <c r="I518" s="1">
        <v>0</v>
      </c>
      <c r="J518" s="1">
        <v>0</v>
      </c>
      <c r="K518" s="1">
        <v>0</v>
      </c>
      <c r="L518" s="1">
        <v>1</v>
      </c>
      <c r="M518" s="1">
        <v>0</v>
      </c>
      <c r="N518" s="1">
        <v>0</v>
      </c>
      <c r="O518" s="1">
        <v>0</v>
      </c>
      <c r="P518" s="1">
        <f>LN(B518)</f>
        <v>3.25809653802148</v>
      </c>
      <c r="Q518" s="1">
        <f>1-SUM(F518:J518)</f>
        <v>0</v>
      </c>
      <c r="R518" s="1" t="str">
        <f>IF(F518=1,"Napa valley",IF(G518=1,"Bay area",IF(H518=1,"Sonoma",IF(I518=1,"Sierra/foothills",IF(J518=1,"Mendocino/lake","Generic California")))))</f>
        <v>Napa valley</v>
      </c>
      <c r="S518" s="1" t="str">
        <f>IF(F518=1,"Napa valley",IF(H518=1,"Sonoma","Other"))</f>
        <v>Napa valley</v>
      </c>
      <c r="T518" s="1" t="str">
        <f>IF(M518=1,"Cabernet",IF(N518=1,"Merlot",IF(L518=1,"Pinot noir","Other")))</f>
        <v>Pinot noir</v>
      </c>
      <c r="U518" s="1">
        <f>IF(F518=1,B518,"")</f>
        <v>26</v>
      </c>
      <c r="V518" s="1" t="str">
        <f>IF(F518=0,B518,"")</f>
        <v/>
      </c>
      <c r="W518" s="1">
        <f>'Part B'!$B$150+SUMPRODUCT('Part B'!$B$164:$N$164,C518:O518)</f>
        <v>18.2805989531812</v>
      </c>
      <c r="X518" s="1">
        <f>B518-W518</f>
        <v>7.7194010468188</v>
      </c>
      <c r="Y518" s="1">
        <f>'Part B'!$B$179+SUMPRODUCT('Part B'!$B$193:$N$193,C518:O518)</f>
        <v>3.00563517040252</v>
      </c>
      <c r="Z518" s="1">
        <f>P518-Y518</f>
        <v>0.252461367618957</v>
      </c>
      <c r="AB518" s="1">
        <f>C518</f>
        <v>0.525</v>
      </c>
      <c r="AC518" s="1">
        <f>D518</f>
        <v>83</v>
      </c>
      <c r="AD518" s="1">
        <f>E518</f>
        <v>2</v>
      </c>
      <c r="AE518" s="1">
        <f>F518</f>
        <v>1</v>
      </c>
      <c r="AF518" s="1">
        <f>G518</f>
        <v>0</v>
      </c>
      <c r="AG518" s="1">
        <f>I518</f>
        <v>0</v>
      </c>
      <c r="AH518" s="1">
        <f>J518</f>
        <v>0</v>
      </c>
      <c r="AI518" s="1">
        <f>Q518</f>
        <v>0</v>
      </c>
      <c r="AJ518" s="1">
        <f>K518</f>
        <v>0</v>
      </c>
      <c r="AK518" s="1">
        <f>L518</f>
        <v>1</v>
      </c>
      <c r="AL518" s="1">
        <f>M518</f>
        <v>0</v>
      </c>
      <c r="AM518" s="1">
        <f>N518</f>
        <v>0</v>
      </c>
      <c r="AN518" s="1">
        <f>O518</f>
        <v>0</v>
      </c>
    </row>
    <row r="519">
      <c r="A519" s="1">
        <v>711</v>
      </c>
      <c r="B519" s="1">
        <v>26</v>
      </c>
      <c r="C519" s="1">
        <v>1.7</v>
      </c>
      <c r="D519" s="1">
        <v>92</v>
      </c>
      <c r="E519" s="1">
        <v>2</v>
      </c>
      <c r="F519" s="1">
        <v>0</v>
      </c>
      <c r="G519" s="1">
        <v>0</v>
      </c>
      <c r="H519" s="1">
        <v>1</v>
      </c>
      <c r="I519" s="1">
        <v>0</v>
      </c>
      <c r="J519" s="1">
        <v>0</v>
      </c>
      <c r="K519" s="1">
        <v>0</v>
      </c>
      <c r="L519" s="1">
        <v>0</v>
      </c>
      <c r="M519" s="1">
        <v>0</v>
      </c>
      <c r="N519" s="1">
        <v>0</v>
      </c>
      <c r="O519" s="1">
        <v>0</v>
      </c>
      <c r="P519" s="1">
        <f>LN(B519)</f>
        <v>3.25809653802148</v>
      </c>
      <c r="Q519" s="1">
        <f>1-SUM(F519:J519)</f>
        <v>0</v>
      </c>
      <c r="R519" s="1" t="str">
        <f>IF(F519=1,"Napa valley",IF(G519=1,"Bay area",IF(H519=1,"Sonoma",IF(I519=1,"Sierra/foothills",IF(J519=1,"Mendocino/lake","Generic California")))))</f>
        <v>Sonoma</v>
      </c>
      <c r="S519" s="1" t="str">
        <f>IF(F519=1,"Napa valley",IF(H519=1,"Sonoma","Other"))</f>
        <v>Sonoma</v>
      </c>
      <c r="T519" s="1" t="str">
        <f>IF(M519=1,"Cabernet",IF(N519=1,"Merlot",IF(L519=1,"Pinot noir","Other")))</f>
        <v>Other</v>
      </c>
      <c r="U519" s="1" t="str">
        <f>IF(F519=1,B519,"")</f>
        <v/>
      </c>
      <c r="V519" s="1">
        <f>IF(F519=0,B519,"")</f>
        <v>26</v>
      </c>
      <c r="W519" s="1">
        <f>'Part B'!$B$150+SUMPRODUCT('Part B'!$B$164:$N$164,C519:O519)</f>
        <v>29.1242417586367</v>
      </c>
      <c r="X519" s="1">
        <f>B519-W519</f>
        <v>-3.12424175863669</v>
      </c>
      <c r="Y519" s="1">
        <f>'Part B'!$B$179+SUMPRODUCT('Part B'!$B$193:$N$193,C519:O519)</f>
        <v>3.13594974271941</v>
      </c>
      <c r="Z519" s="1">
        <f>P519-Y519</f>
        <v>0.122146795302076</v>
      </c>
      <c r="AB519" s="1">
        <f>C519</f>
        <v>1.7</v>
      </c>
      <c r="AC519" s="1">
        <f>D519</f>
        <v>92</v>
      </c>
      <c r="AD519" s="1">
        <f>E519</f>
        <v>2</v>
      </c>
      <c r="AE519" s="1">
        <f>F519</f>
        <v>0</v>
      </c>
      <c r="AF519" s="1">
        <f>G519</f>
        <v>0</v>
      </c>
      <c r="AG519" s="1">
        <f>I519</f>
        <v>0</v>
      </c>
      <c r="AH519" s="1">
        <f>J519</f>
        <v>0</v>
      </c>
      <c r="AI519" s="1">
        <f>Q519</f>
        <v>0</v>
      </c>
      <c r="AJ519" s="1">
        <f>K519</f>
        <v>0</v>
      </c>
      <c r="AK519" s="1">
        <f>L519</f>
        <v>0</v>
      </c>
      <c r="AL519" s="1">
        <f>M519</f>
        <v>0</v>
      </c>
      <c r="AM519" s="1">
        <f>N519</f>
        <v>0</v>
      </c>
      <c r="AN519" s="1">
        <f>O519</f>
        <v>0</v>
      </c>
    </row>
    <row r="520">
      <c r="A520" s="1">
        <v>712</v>
      </c>
      <c r="B520" s="1">
        <v>26</v>
      </c>
      <c r="C520" s="1">
        <v>0.05</v>
      </c>
      <c r="D520" s="1">
        <v>88</v>
      </c>
      <c r="E520" s="1">
        <v>2</v>
      </c>
      <c r="F520" s="1">
        <v>1</v>
      </c>
      <c r="G520" s="1">
        <v>0</v>
      </c>
      <c r="H520" s="1">
        <v>0</v>
      </c>
      <c r="I520" s="1">
        <v>0</v>
      </c>
      <c r="J520" s="1">
        <v>0</v>
      </c>
      <c r="K520" s="1">
        <v>0</v>
      </c>
      <c r="L520" s="1">
        <v>0</v>
      </c>
      <c r="M520" s="1">
        <v>0</v>
      </c>
      <c r="N520" s="1">
        <v>0</v>
      </c>
      <c r="O520" s="1">
        <v>0</v>
      </c>
      <c r="P520" s="1">
        <f>LN(B520)</f>
        <v>3.25809653802148</v>
      </c>
      <c r="Q520" s="1">
        <f>1-SUM(F520:J520)</f>
        <v>0</v>
      </c>
      <c r="R520" s="1" t="str">
        <f>IF(F520=1,"Napa valley",IF(G520=1,"Bay area",IF(H520=1,"Sonoma",IF(I520=1,"Sierra/foothills",IF(J520=1,"Mendocino/lake","Generic California")))))</f>
        <v>Napa valley</v>
      </c>
      <c r="S520" s="1" t="str">
        <f>IF(F520=1,"Napa valley",IF(H520=1,"Sonoma","Other"))</f>
        <v>Napa valley</v>
      </c>
      <c r="T520" s="1" t="str">
        <f>IF(M520=1,"Cabernet",IF(N520=1,"Merlot",IF(L520=1,"Pinot noir","Other")))</f>
        <v>Other</v>
      </c>
      <c r="U520" s="1">
        <f>IF(F520=1,B520,"")</f>
        <v>26</v>
      </c>
      <c r="V520" s="1" t="str">
        <f>IF(F520=0,B520,"")</f>
        <v/>
      </c>
      <c r="W520" s="1">
        <f>'Part B'!$B$150+SUMPRODUCT('Part B'!$B$164:$N$164,C520:O520)</f>
        <v>24.5969089288809</v>
      </c>
      <c r="X520" s="1">
        <f>B520-W520</f>
        <v>1.40309107111909</v>
      </c>
      <c r="Y520" s="1">
        <f>'Part B'!$B$179+SUMPRODUCT('Part B'!$B$193:$N$193,C520:O520)</f>
        <v>3.01095229321926</v>
      </c>
      <c r="Z520" s="1">
        <f>P520-Y520</f>
        <v>0.247144244802225</v>
      </c>
      <c r="AB520" s="1">
        <f>C520</f>
        <v>0.05</v>
      </c>
      <c r="AC520" s="1">
        <f>D520</f>
        <v>88</v>
      </c>
      <c r="AD520" s="1">
        <f>E520</f>
        <v>2</v>
      </c>
      <c r="AE520" s="1">
        <f>F520</f>
        <v>1</v>
      </c>
      <c r="AF520" s="1">
        <f>G520</f>
        <v>0</v>
      </c>
      <c r="AG520" s="1">
        <f>I520</f>
        <v>0</v>
      </c>
      <c r="AH520" s="1">
        <f>J520</f>
        <v>0</v>
      </c>
      <c r="AI520" s="1">
        <f>Q520</f>
        <v>0</v>
      </c>
      <c r="AJ520" s="1">
        <f>K520</f>
        <v>0</v>
      </c>
      <c r="AK520" s="1">
        <f>L520</f>
        <v>0</v>
      </c>
      <c r="AL520" s="1">
        <f>M520</f>
        <v>0</v>
      </c>
      <c r="AM520" s="1">
        <f>N520</f>
        <v>0</v>
      </c>
      <c r="AN520" s="1">
        <f>O520</f>
        <v>0</v>
      </c>
    </row>
    <row r="521">
      <c r="A521" s="1">
        <v>713</v>
      </c>
      <c r="B521" s="1">
        <v>26</v>
      </c>
      <c r="C521" s="1">
        <v>2.823</v>
      </c>
      <c r="D521" s="1">
        <v>86</v>
      </c>
      <c r="E521" s="1">
        <v>2</v>
      </c>
      <c r="F521" s="1">
        <v>0</v>
      </c>
      <c r="G521" s="1">
        <v>0</v>
      </c>
      <c r="H521" s="1">
        <v>1</v>
      </c>
      <c r="I521" s="1">
        <v>0</v>
      </c>
      <c r="J521" s="1">
        <v>0</v>
      </c>
      <c r="K521" s="1">
        <v>0</v>
      </c>
      <c r="L521" s="1">
        <v>1</v>
      </c>
      <c r="M521" s="1">
        <v>0</v>
      </c>
      <c r="N521" s="1">
        <v>0</v>
      </c>
      <c r="O521" s="1">
        <v>0</v>
      </c>
      <c r="P521" s="1">
        <f>LN(B521)</f>
        <v>3.25809653802148</v>
      </c>
      <c r="Q521" s="1">
        <f>1-SUM(F521:J521)</f>
        <v>0</v>
      </c>
      <c r="R521" s="1" t="str">
        <f>IF(F521=1,"Napa valley",IF(G521=1,"Bay area",IF(H521=1,"Sonoma",IF(I521=1,"Sierra/foothills",IF(J521=1,"Mendocino/lake","Generic California")))))</f>
        <v>Sonoma</v>
      </c>
      <c r="S521" s="1" t="str">
        <f>IF(F521=1,"Napa valley",IF(H521=1,"Sonoma","Other"))</f>
        <v>Sonoma</v>
      </c>
      <c r="T521" s="1" t="str">
        <f>IF(M521=1,"Cabernet",IF(N521=1,"Merlot",IF(L521=1,"Pinot noir","Other")))</f>
        <v>Pinot noir</v>
      </c>
      <c r="U521" s="1" t="str">
        <f>IF(F521=1,B521,"")</f>
        <v/>
      </c>
      <c r="V521" s="1">
        <f>IF(F521=0,B521,"")</f>
        <v>26</v>
      </c>
      <c r="W521" s="1">
        <f>'Part B'!$B$150+SUMPRODUCT('Part B'!$B$164:$N$164,C521:O521)</f>
        <v>19.6013305678561</v>
      </c>
      <c r="X521" s="1">
        <f>B521-W521</f>
        <v>6.39866943214389</v>
      </c>
      <c r="Y521" s="1">
        <f>'Part B'!$B$179+SUMPRODUCT('Part B'!$B$193:$N$193,C521:O521)</f>
        <v>3.05789841559523</v>
      </c>
      <c r="Z521" s="1">
        <f>P521-Y521</f>
        <v>0.20019812242625</v>
      </c>
      <c r="AB521" s="1">
        <f>C521</f>
        <v>2.823</v>
      </c>
      <c r="AC521" s="1">
        <f>D521</f>
        <v>86</v>
      </c>
      <c r="AD521" s="1">
        <f>E521</f>
        <v>2</v>
      </c>
      <c r="AE521" s="1">
        <f>F521</f>
        <v>0</v>
      </c>
      <c r="AF521" s="1">
        <f>G521</f>
        <v>0</v>
      </c>
      <c r="AG521" s="1">
        <f>I521</f>
        <v>0</v>
      </c>
      <c r="AH521" s="1">
        <f>J521</f>
        <v>0</v>
      </c>
      <c r="AI521" s="1">
        <f>Q521</f>
        <v>0</v>
      </c>
      <c r="AJ521" s="1">
        <f>K521</f>
        <v>0</v>
      </c>
      <c r="AK521" s="1">
        <f>L521</f>
        <v>1</v>
      </c>
      <c r="AL521" s="1">
        <f>M521</f>
        <v>0</v>
      </c>
      <c r="AM521" s="1">
        <f>N521</f>
        <v>0</v>
      </c>
      <c r="AN521" s="1">
        <f>O521</f>
        <v>0</v>
      </c>
    </row>
    <row r="522">
      <c r="A522" s="1">
        <v>714</v>
      </c>
      <c r="B522" s="1">
        <v>26</v>
      </c>
      <c r="C522" s="1">
        <v>0.7</v>
      </c>
      <c r="D522" s="1">
        <v>95</v>
      </c>
      <c r="E522" s="1">
        <v>2</v>
      </c>
      <c r="F522" s="1">
        <v>1</v>
      </c>
      <c r="G522" s="1">
        <v>0</v>
      </c>
      <c r="H522" s="1">
        <v>0</v>
      </c>
      <c r="I522" s="1">
        <v>0</v>
      </c>
      <c r="J522" s="1">
        <v>0</v>
      </c>
      <c r="K522" s="1">
        <v>0</v>
      </c>
      <c r="L522" s="1">
        <v>0</v>
      </c>
      <c r="M522" s="1">
        <v>0</v>
      </c>
      <c r="N522" s="1">
        <v>0</v>
      </c>
      <c r="O522" s="1">
        <v>0</v>
      </c>
      <c r="P522" s="1">
        <f>LN(B522)</f>
        <v>3.25809653802148</v>
      </c>
      <c r="Q522" s="1">
        <f>1-SUM(F522:J522)</f>
        <v>0</v>
      </c>
      <c r="R522" s="1" t="str">
        <f>IF(F522=1,"Napa valley",IF(G522=1,"Bay area",IF(H522=1,"Sonoma",IF(I522=1,"Sierra/foothills",IF(J522=1,"Mendocino/lake","Generic California")))))</f>
        <v>Napa valley</v>
      </c>
      <c r="S522" s="1" t="str">
        <f>IF(F522=1,"Napa valley",IF(H522=1,"Sonoma","Other"))</f>
        <v>Napa valley</v>
      </c>
      <c r="T522" s="1" t="str">
        <f>IF(M522=1,"Cabernet",IF(N522=1,"Merlot",IF(L522=1,"Pinot noir","Other")))</f>
        <v>Other</v>
      </c>
      <c r="U522" s="1">
        <f>IF(F522=1,B522,"")</f>
        <v>26</v>
      </c>
      <c r="V522" s="1" t="str">
        <f>IF(F522=0,B522,"")</f>
        <v/>
      </c>
      <c r="W522" s="1">
        <f>'Part B'!$B$150+SUMPRODUCT('Part B'!$B$164:$N$164,C522:O522)</f>
        <v>46.5508946251459</v>
      </c>
      <c r="X522" s="1">
        <f>B522-W522</f>
        <v>-20.5508946251459</v>
      </c>
      <c r="Y522" s="1">
        <f>'Part B'!$B$179+SUMPRODUCT('Part B'!$B$193:$N$193,C522:O522)</f>
        <v>3.49790048115694</v>
      </c>
      <c r="Z522" s="1">
        <f>P522-Y522</f>
        <v>-0.239803943135457</v>
      </c>
      <c r="AB522" s="1">
        <f>C522</f>
        <v>0.7</v>
      </c>
      <c r="AC522" s="1">
        <f>D522</f>
        <v>95</v>
      </c>
      <c r="AD522" s="1">
        <f>E522</f>
        <v>2</v>
      </c>
      <c r="AE522" s="1">
        <f>F522</f>
        <v>1</v>
      </c>
      <c r="AF522" s="1">
        <f>G522</f>
        <v>0</v>
      </c>
      <c r="AG522" s="1">
        <f>I522</f>
        <v>0</v>
      </c>
      <c r="AH522" s="1">
        <f>J522</f>
        <v>0</v>
      </c>
      <c r="AI522" s="1">
        <f>Q522</f>
        <v>0</v>
      </c>
      <c r="AJ522" s="1">
        <f>K522</f>
        <v>0</v>
      </c>
      <c r="AK522" s="1">
        <f>L522</f>
        <v>0</v>
      </c>
      <c r="AL522" s="1">
        <f>M522</f>
        <v>0</v>
      </c>
      <c r="AM522" s="1">
        <f>N522</f>
        <v>0</v>
      </c>
      <c r="AN522" s="1">
        <f>O522</f>
        <v>0</v>
      </c>
    </row>
    <row r="523">
      <c r="A523" s="1">
        <v>715</v>
      </c>
      <c r="B523" s="1">
        <v>25</v>
      </c>
      <c r="C523" s="1">
        <v>0.55</v>
      </c>
      <c r="D523" s="1">
        <v>89</v>
      </c>
      <c r="E523" s="1">
        <v>1</v>
      </c>
      <c r="F523" s="1">
        <v>1</v>
      </c>
      <c r="G523" s="1">
        <v>0</v>
      </c>
      <c r="H523" s="1">
        <v>0</v>
      </c>
      <c r="I523" s="1">
        <v>0</v>
      </c>
      <c r="J523" s="1">
        <v>0</v>
      </c>
      <c r="K523" s="1">
        <v>0</v>
      </c>
      <c r="L523" s="1">
        <v>1</v>
      </c>
      <c r="M523" s="1">
        <v>0</v>
      </c>
      <c r="N523" s="1">
        <v>0</v>
      </c>
      <c r="O523" s="1">
        <v>0</v>
      </c>
      <c r="P523" s="1">
        <f>LN(B523)</f>
        <v>3.2188758248682</v>
      </c>
      <c r="Q523" s="1">
        <f>1-SUM(F523:J523)</f>
        <v>0</v>
      </c>
      <c r="R523" s="1" t="str">
        <f>IF(F523=1,"Napa valley",IF(G523=1,"Bay area",IF(H523=1,"Sonoma",IF(I523=1,"Sierra/foothills",IF(J523=1,"Mendocino/lake","Generic California")))))</f>
        <v>Napa valley</v>
      </c>
      <c r="S523" s="1" t="str">
        <f>IF(F523=1,"Napa valley",IF(H523=1,"Sonoma","Other"))</f>
        <v>Napa valley</v>
      </c>
      <c r="T523" s="1" t="str">
        <f>IF(M523=1,"Cabernet",IF(N523=1,"Merlot",IF(L523=1,"Pinot noir","Other")))</f>
        <v>Pinot noir</v>
      </c>
      <c r="U523" s="1">
        <f>IF(F523=1,B523,"")</f>
        <v>25</v>
      </c>
      <c r="V523" s="1" t="str">
        <f>IF(F523=0,B523,"")</f>
        <v/>
      </c>
      <c r="W523" s="1">
        <f>'Part B'!$B$150+SUMPRODUCT('Part B'!$B$164:$N$164,C523:O523)</f>
        <v>30.5292039047263</v>
      </c>
      <c r="X523" s="1">
        <f>B523-W523</f>
        <v>-5.52920390472633</v>
      </c>
      <c r="Y523" s="1">
        <f>'Part B'!$B$179+SUMPRODUCT('Part B'!$B$193:$N$193,C523:O523)</f>
        <v>3.24221112406685</v>
      </c>
      <c r="Z523" s="1">
        <f>P523-Y523</f>
        <v>-0.023335299198648</v>
      </c>
      <c r="AB523" s="1">
        <f>C523</f>
        <v>0.55</v>
      </c>
      <c r="AC523" s="1">
        <f>D523</f>
        <v>89</v>
      </c>
      <c r="AD523" s="1">
        <f>E523</f>
        <v>1</v>
      </c>
      <c r="AE523" s="1">
        <f>F523</f>
        <v>1</v>
      </c>
      <c r="AF523" s="1">
        <f>G523</f>
        <v>0</v>
      </c>
      <c r="AG523" s="1">
        <f>I523</f>
        <v>0</v>
      </c>
      <c r="AH523" s="1">
        <f>J523</f>
        <v>0</v>
      </c>
      <c r="AI523" s="1">
        <f>Q523</f>
        <v>0</v>
      </c>
      <c r="AJ523" s="1">
        <f>K523</f>
        <v>0</v>
      </c>
      <c r="AK523" s="1">
        <f>L523</f>
        <v>1</v>
      </c>
      <c r="AL523" s="1">
        <f>M523</f>
        <v>0</v>
      </c>
      <c r="AM523" s="1">
        <f>N523</f>
        <v>0</v>
      </c>
      <c r="AN523" s="1">
        <f>O523</f>
        <v>0</v>
      </c>
    </row>
    <row r="524">
      <c r="A524" s="1">
        <v>716</v>
      </c>
      <c r="B524" s="1">
        <v>25</v>
      </c>
      <c r="C524" s="1">
        <v>0.72</v>
      </c>
      <c r="D524" s="1">
        <v>89</v>
      </c>
      <c r="E524" s="1">
        <v>1</v>
      </c>
      <c r="F524" s="1">
        <v>0</v>
      </c>
      <c r="G524" s="1">
        <v>0</v>
      </c>
      <c r="H524" s="1">
        <v>1</v>
      </c>
      <c r="I524" s="1">
        <v>0</v>
      </c>
      <c r="J524" s="1">
        <v>0</v>
      </c>
      <c r="K524" s="1">
        <v>0</v>
      </c>
      <c r="L524" s="1">
        <v>1</v>
      </c>
      <c r="M524" s="1">
        <v>0</v>
      </c>
      <c r="N524" s="1">
        <v>0</v>
      </c>
      <c r="O524" s="1">
        <v>0</v>
      </c>
      <c r="P524" s="1">
        <f>LN(B524)</f>
        <v>3.2188758248682</v>
      </c>
      <c r="Q524" s="1">
        <f>1-SUM(F524:J524)</f>
        <v>0</v>
      </c>
      <c r="R524" s="1" t="str">
        <f>IF(F524=1,"Napa valley",IF(G524=1,"Bay area",IF(H524=1,"Sonoma",IF(I524=1,"Sierra/foothills",IF(J524=1,"Mendocino/lake","Generic California")))))</f>
        <v>Sonoma</v>
      </c>
      <c r="S524" s="1" t="str">
        <f>IF(F524=1,"Napa valley",IF(H524=1,"Sonoma","Other"))</f>
        <v>Sonoma</v>
      </c>
      <c r="T524" s="1" t="str">
        <f>IF(M524=1,"Cabernet",IF(N524=1,"Merlot",IF(L524=1,"Pinot noir","Other")))</f>
        <v>Pinot noir</v>
      </c>
      <c r="U524" s="1" t="str">
        <f>IF(F524=1,B524,"")</f>
        <v/>
      </c>
      <c r="V524" s="1">
        <f>IF(F524=0,B524,"")</f>
        <v>25</v>
      </c>
      <c r="W524" s="1">
        <f>'Part B'!$B$150+SUMPRODUCT('Part B'!$B$164:$N$164,C524:O524)</f>
        <v>22.616620744092</v>
      </c>
      <c r="X524" s="1">
        <f>B524-W524</f>
        <v>2.38337925590798</v>
      </c>
      <c r="Y524" s="1">
        <f>'Part B'!$B$179+SUMPRODUCT('Part B'!$B$193:$N$193,C524:O524)</f>
        <v>3.09369611775201</v>
      </c>
      <c r="Z524" s="1">
        <f>P524-Y524</f>
        <v>0.125179707116188</v>
      </c>
      <c r="AB524" s="1">
        <f>C524</f>
        <v>0.72</v>
      </c>
      <c r="AC524" s="1">
        <f>D524</f>
        <v>89</v>
      </c>
      <c r="AD524" s="1">
        <f>E524</f>
        <v>1</v>
      </c>
      <c r="AE524" s="1">
        <f>F524</f>
        <v>0</v>
      </c>
      <c r="AF524" s="1">
        <f>G524</f>
        <v>0</v>
      </c>
      <c r="AG524" s="1">
        <f>I524</f>
        <v>0</v>
      </c>
      <c r="AH524" s="1">
        <f>J524</f>
        <v>0</v>
      </c>
      <c r="AI524" s="1">
        <f>Q524</f>
        <v>0</v>
      </c>
      <c r="AJ524" s="1">
        <f>K524</f>
        <v>0</v>
      </c>
      <c r="AK524" s="1">
        <f>L524</f>
        <v>1</v>
      </c>
      <c r="AL524" s="1">
        <f>M524</f>
        <v>0</v>
      </c>
      <c r="AM524" s="1">
        <f>N524</f>
        <v>0</v>
      </c>
      <c r="AN524" s="1">
        <f>O524</f>
        <v>0</v>
      </c>
    </row>
    <row r="525">
      <c r="A525" s="1">
        <v>720</v>
      </c>
      <c r="B525" s="1">
        <v>27</v>
      </c>
      <c r="C525" s="1">
        <v>2</v>
      </c>
      <c r="D525" s="1">
        <v>89</v>
      </c>
      <c r="E525" s="1">
        <v>3</v>
      </c>
      <c r="F525" s="1">
        <v>1</v>
      </c>
      <c r="G525" s="1">
        <v>0</v>
      </c>
      <c r="H525" s="1">
        <v>0</v>
      </c>
      <c r="I525" s="1">
        <v>0</v>
      </c>
      <c r="J525" s="1">
        <v>0</v>
      </c>
      <c r="K525" s="1">
        <v>0</v>
      </c>
      <c r="L525" s="1">
        <v>0</v>
      </c>
      <c r="M525" s="1">
        <v>1</v>
      </c>
      <c r="N525" s="1">
        <v>0</v>
      </c>
      <c r="O525" s="1">
        <v>0</v>
      </c>
      <c r="P525" s="1">
        <f>LN(B525)</f>
        <v>3.29583686600433</v>
      </c>
      <c r="Q525" s="1">
        <f>1-SUM(F525:J525)</f>
        <v>0</v>
      </c>
      <c r="R525" s="1" t="str">
        <f>IF(F525=1,"Napa valley",IF(G525=1,"Bay area",IF(H525=1,"Sonoma",IF(I525=1,"Sierra/foothills",IF(J525=1,"Mendocino/lake","Generic California")))))</f>
        <v>Napa valley</v>
      </c>
      <c r="S525" s="1" t="str">
        <f>IF(F525=1,"Napa valley",IF(H525=1,"Sonoma","Other"))</f>
        <v>Napa valley</v>
      </c>
      <c r="T525" s="1" t="str">
        <f>IF(M525=1,"Cabernet",IF(N525=1,"Merlot",IF(L525=1,"Pinot noir","Other")))</f>
        <v>Cabernet</v>
      </c>
      <c r="U525" s="1">
        <f>IF(F525=1,B525,"")</f>
        <v>27</v>
      </c>
      <c r="V525" s="1" t="str">
        <f>IF(F525=0,B525,"")</f>
        <v/>
      </c>
      <c r="W525" s="1">
        <f>'Part B'!$B$150+SUMPRODUCT('Part B'!$B$164:$N$164,C525:O525)</f>
        <v>46.8037825710312</v>
      </c>
      <c r="X525" s="1">
        <f>B525-W525</f>
        <v>-19.8037825710312</v>
      </c>
      <c r="Y525" s="1">
        <f>'Part B'!$B$179+SUMPRODUCT('Part B'!$B$193:$N$193,C525:O525)</f>
        <v>3.57665042391275</v>
      </c>
      <c r="Z525" s="1">
        <f>P525-Y525</f>
        <v>-0.280813557908425</v>
      </c>
      <c r="AB525" s="1">
        <f>C525</f>
        <v>2</v>
      </c>
      <c r="AC525" s="1">
        <f>D525</f>
        <v>89</v>
      </c>
      <c r="AD525" s="1">
        <f>E525</f>
        <v>3</v>
      </c>
      <c r="AE525" s="1">
        <f>F525</f>
        <v>1</v>
      </c>
      <c r="AF525" s="1">
        <f>G525</f>
        <v>0</v>
      </c>
      <c r="AG525" s="1">
        <f>I525</f>
        <v>0</v>
      </c>
      <c r="AH525" s="1">
        <f>J525</f>
        <v>0</v>
      </c>
      <c r="AI525" s="1">
        <f>Q525</f>
        <v>0</v>
      </c>
      <c r="AJ525" s="1">
        <f>K525</f>
        <v>0</v>
      </c>
      <c r="AK525" s="1">
        <f>L525</f>
        <v>0</v>
      </c>
      <c r="AL525" s="1">
        <f>M525</f>
        <v>1</v>
      </c>
      <c r="AM525" s="1">
        <f>N525</f>
        <v>0</v>
      </c>
      <c r="AN525" s="1">
        <f>O525</f>
        <v>0</v>
      </c>
    </row>
    <row r="526">
      <c r="A526" s="1">
        <v>721</v>
      </c>
      <c r="B526" s="1">
        <v>27</v>
      </c>
      <c r="C526" s="1">
        <v>5</v>
      </c>
      <c r="D526" s="1">
        <v>91</v>
      </c>
      <c r="E526" s="1">
        <v>3</v>
      </c>
      <c r="F526" s="1">
        <v>1</v>
      </c>
      <c r="G526" s="1">
        <v>0</v>
      </c>
      <c r="H526" s="1">
        <v>0</v>
      </c>
      <c r="I526" s="1">
        <v>0</v>
      </c>
      <c r="J526" s="1">
        <v>0</v>
      </c>
      <c r="K526" s="1">
        <v>0</v>
      </c>
      <c r="L526" s="1">
        <v>0</v>
      </c>
      <c r="M526" s="1">
        <v>1</v>
      </c>
      <c r="N526" s="1">
        <v>0</v>
      </c>
      <c r="O526" s="1">
        <v>0</v>
      </c>
      <c r="P526" s="1">
        <f>LN(B526)</f>
        <v>3.29583686600433</v>
      </c>
      <c r="Q526" s="1">
        <f>1-SUM(F526:J526)</f>
        <v>0</v>
      </c>
      <c r="R526" s="1" t="str">
        <f>IF(F526=1,"Napa valley",IF(G526=1,"Bay area",IF(H526=1,"Sonoma",IF(I526=1,"Sierra/foothills",IF(J526=1,"Mendocino/lake","Generic California")))))</f>
        <v>Napa valley</v>
      </c>
      <c r="S526" s="1" t="str">
        <f>IF(F526=1,"Napa valley",IF(H526=1,"Sonoma","Other"))</f>
        <v>Napa valley</v>
      </c>
      <c r="T526" s="1" t="str">
        <f>IF(M526=1,"Cabernet",IF(N526=1,"Merlot",IF(L526=1,"Pinot noir","Other")))</f>
        <v>Cabernet</v>
      </c>
      <c r="U526" s="1">
        <f>IF(F526=1,B526,"")</f>
        <v>27</v>
      </c>
      <c r="V526" s="1" t="str">
        <f>IF(F526=0,B526,"")</f>
        <v/>
      </c>
      <c r="W526" s="1">
        <f>'Part B'!$B$150+SUMPRODUCT('Part B'!$B$164:$N$164,C526:O526)</f>
        <v>52.8092354468624</v>
      </c>
      <c r="X526" s="1">
        <f>B526-W526</f>
        <v>-25.8092354468624</v>
      </c>
      <c r="Y526" s="1">
        <f>'Part B'!$B$179+SUMPRODUCT('Part B'!$B$193:$N$193,C526:O526)</f>
        <v>3.70373596007236</v>
      </c>
      <c r="Z526" s="1">
        <f>P526-Y526</f>
        <v>-0.407899094068027</v>
      </c>
      <c r="AB526" s="1">
        <f>C526</f>
        <v>5</v>
      </c>
      <c r="AC526" s="1">
        <f>D526</f>
        <v>91</v>
      </c>
      <c r="AD526" s="1">
        <f>E526</f>
        <v>3</v>
      </c>
      <c r="AE526" s="1">
        <f>F526</f>
        <v>1</v>
      </c>
      <c r="AF526" s="1">
        <f>G526</f>
        <v>0</v>
      </c>
      <c r="AG526" s="1">
        <f>I526</f>
        <v>0</v>
      </c>
      <c r="AH526" s="1">
        <f>J526</f>
        <v>0</v>
      </c>
      <c r="AI526" s="1">
        <f>Q526</f>
        <v>0</v>
      </c>
      <c r="AJ526" s="1">
        <f>K526</f>
        <v>0</v>
      </c>
      <c r="AK526" s="1">
        <f>L526</f>
        <v>0</v>
      </c>
      <c r="AL526" s="1">
        <f>M526</f>
        <v>1</v>
      </c>
      <c r="AM526" s="1">
        <f>N526</f>
        <v>0</v>
      </c>
      <c r="AN526" s="1">
        <f>O526</f>
        <v>0</v>
      </c>
    </row>
    <row r="527">
      <c r="A527" s="1">
        <v>722</v>
      </c>
      <c r="B527" s="1">
        <v>27</v>
      </c>
      <c r="C527" s="1">
        <v>5</v>
      </c>
      <c r="D527" s="1">
        <v>91</v>
      </c>
      <c r="E527" s="1">
        <v>3</v>
      </c>
      <c r="F527" s="1">
        <v>1</v>
      </c>
      <c r="G527" s="1">
        <v>0</v>
      </c>
      <c r="H527" s="1">
        <v>0</v>
      </c>
      <c r="I527" s="1">
        <v>0</v>
      </c>
      <c r="J527" s="1">
        <v>0</v>
      </c>
      <c r="K527" s="1">
        <v>0</v>
      </c>
      <c r="L527" s="1">
        <v>0</v>
      </c>
      <c r="M527" s="1">
        <v>0</v>
      </c>
      <c r="N527" s="1">
        <v>1</v>
      </c>
      <c r="O527" s="1">
        <v>0</v>
      </c>
      <c r="P527" s="1">
        <f>LN(B527)</f>
        <v>3.29583686600433</v>
      </c>
      <c r="Q527" s="1">
        <f>1-SUM(F527:J527)</f>
        <v>0</v>
      </c>
      <c r="R527" s="1" t="str">
        <f>IF(F527=1,"Napa valley",IF(G527=1,"Bay area",IF(H527=1,"Sonoma",IF(I527=1,"Sierra/foothills",IF(J527=1,"Mendocino/lake","Generic California")))))</f>
        <v>Napa valley</v>
      </c>
      <c r="S527" s="1" t="str">
        <f>IF(F527=1,"Napa valley",IF(H527=1,"Sonoma","Other"))</f>
        <v>Napa valley</v>
      </c>
      <c r="T527" s="1" t="str">
        <f>IF(M527=1,"Cabernet",IF(N527=1,"Merlot",IF(L527=1,"Pinot noir","Other")))</f>
        <v>Merlot</v>
      </c>
      <c r="U527" s="1">
        <f>IF(F527=1,B527,"")</f>
        <v>27</v>
      </c>
      <c r="V527" s="1" t="str">
        <f>IF(F527=0,B527,"")</f>
        <v/>
      </c>
      <c r="W527" s="1">
        <f>'Part B'!$B$150+SUMPRODUCT('Part B'!$B$164:$N$164,C527:O527)</f>
        <v>47.8421913590358</v>
      </c>
      <c r="X527" s="1">
        <f>B527-W527</f>
        <v>-20.8421913590358</v>
      </c>
      <c r="Y527" s="1">
        <f>'Part B'!$B$179+SUMPRODUCT('Part B'!$B$193:$N$193,C527:O527)</f>
        <v>3.66725502955331</v>
      </c>
      <c r="Z527" s="1">
        <f>P527-Y527</f>
        <v>-0.371418163548984</v>
      </c>
      <c r="AB527" s="1">
        <f>C527</f>
        <v>5</v>
      </c>
      <c r="AC527" s="1">
        <f>D527</f>
        <v>91</v>
      </c>
      <c r="AD527" s="1">
        <f>E527</f>
        <v>3</v>
      </c>
      <c r="AE527" s="1">
        <f>F527</f>
        <v>1</v>
      </c>
      <c r="AF527" s="1">
        <f>G527</f>
        <v>0</v>
      </c>
      <c r="AG527" s="1">
        <f>I527</f>
        <v>0</v>
      </c>
      <c r="AH527" s="1">
        <f>J527</f>
        <v>0</v>
      </c>
      <c r="AI527" s="1">
        <f>Q527</f>
        <v>0</v>
      </c>
      <c r="AJ527" s="1">
        <f>K527</f>
        <v>0</v>
      </c>
      <c r="AK527" s="1">
        <f>L527</f>
        <v>0</v>
      </c>
      <c r="AL527" s="1">
        <f>M527</f>
        <v>0</v>
      </c>
      <c r="AM527" s="1">
        <f>N527</f>
        <v>1</v>
      </c>
      <c r="AN527" s="1">
        <f>O527</f>
        <v>0</v>
      </c>
    </row>
    <row r="528">
      <c r="A528" s="1">
        <v>724</v>
      </c>
      <c r="B528" s="1">
        <v>27</v>
      </c>
      <c r="C528" s="1">
        <v>0.82</v>
      </c>
      <c r="D528" s="1">
        <v>88</v>
      </c>
      <c r="E528" s="1">
        <v>3</v>
      </c>
      <c r="F528" s="1">
        <v>1</v>
      </c>
      <c r="G528" s="1">
        <v>0</v>
      </c>
      <c r="H528" s="1">
        <v>0</v>
      </c>
      <c r="I528" s="1">
        <v>0</v>
      </c>
      <c r="J528" s="1">
        <v>0</v>
      </c>
      <c r="K528" s="1">
        <v>0</v>
      </c>
      <c r="L528" s="1">
        <v>0</v>
      </c>
      <c r="M528" s="1">
        <v>0</v>
      </c>
      <c r="N528" s="1">
        <v>1</v>
      </c>
      <c r="O528" s="1">
        <v>0</v>
      </c>
      <c r="P528" s="1">
        <f>LN(B528)</f>
        <v>3.29583686600433</v>
      </c>
      <c r="Q528" s="1">
        <f>1-SUM(F528:J528)</f>
        <v>0</v>
      </c>
      <c r="R528" s="1" t="str">
        <f>IF(F528=1,"Napa valley",IF(G528=1,"Bay area",IF(H528=1,"Sonoma",IF(I528=1,"Sierra/foothills",IF(J528=1,"Mendocino/lake","Generic California")))))</f>
        <v>Napa valley</v>
      </c>
      <c r="S528" s="1" t="str">
        <f>IF(F528=1,"Napa valley",IF(H528=1,"Sonoma","Other"))</f>
        <v>Napa valley</v>
      </c>
      <c r="T528" s="1" t="str">
        <f>IF(M528=1,"Cabernet",IF(N528=1,"Merlot",IF(L528=1,"Pinot noir","Other")))</f>
        <v>Merlot</v>
      </c>
      <c r="U528" s="1">
        <f>IF(F528=1,B528,"")</f>
        <v>27</v>
      </c>
      <c r="V528" s="1" t="str">
        <f>IF(F528=0,B528,"")</f>
        <v/>
      </c>
      <c r="W528" s="1">
        <f>'Part B'!$B$150+SUMPRODUCT('Part B'!$B$164:$N$164,C528:O528)</f>
        <v>38.8036396390074</v>
      </c>
      <c r="X528" s="1">
        <f>B528-W528</f>
        <v>-11.8036396390074</v>
      </c>
      <c r="Y528" s="1">
        <f>'Part B'!$B$179+SUMPRODUCT('Part B'!$B$193:$N$193,C528:O528)</f>
        <v>3.47525742382748</v>
      </c>
      <c r="Z528" s="1">
        <f>P528-Y528</f>
        <v>-0.179420557823153</v>
      </c>
      <c r="AB528" s="1">
        <f>C528</f>
        <v>0.82</v>
      </c>
      <c r="AC528" s="1">
        <f>D528</f>
        <v>88</v>
      </c>
      <c r="AD528" s="1">
        <f>E528</f>
        <v>3</v>
      </c>
      <c r="AE528" s="1">
        <f>F528</f>
        <v>1</v>
      </c>
      <c r="AF528" s="1">
        <f>G528</f>
        <v>0</v>
      </c>
      <c r="AG528" s="1">
        <f>I528</f>
        <v>0</v>
      </c>
      <c r="AH528" s="1">
        <f>J528</f>
        <v>0</v>
      </c>
      <c r="AI528" s="1">
        <f>Q528</f>
        <v>0</v>
      </c>
      <c r="AJ528" s="1">
        <f>K528</f>
        <v>0</v>
      </c>
      <c r="AK528" s="1">
        <f>L528</f>
        <v>0</v>
      </c>
      <c r="AL528" s="1">
        <f>M528</f>
        <v>0</v>
      </c>
      <c r="AM528" s="1">
        <f>N528</f>
        <v>1</v>
      </c>
      <c r="AN528" s="1">
        <f>O528</f>
        <v>0</v>
      </c>
    </row>
    <row r="529">
      <c r="A529" s="1">
        <v>725</v>
      </c>
      <c r="B529" s="1">
        <v>27</v>
      </c>
      <c r="C529" s="1">
        <v>2</v>
      </c>
      <c r="D529" s="1">
        <v>86</v>
      </c>
      <c r="E529" s="1">
        <v>2</v>
      </c>
      <c r="F529" s="1">
        <v>0</v>
      </c>
      <c r="G529" s="1">
        <v>0</v>
      </c>
      <c r="H529" s="1">
        <v>1</v>
      </c>
      <c r="I529" s="1">
        <v>0</v>
      </c>
      <c r="J529" s="1">
        <v>0</v>
      </c>
      <c r="K529" s="1">
        <v>0</v>
      </c>
      <c r="L529" s="1">
        <v>0</v>
      </c>
      <c r="M529" s="1">
        <v>1</v>
      </c>
      <c r="N529" s="1">
        <v>0</v>
      </c>
      <c r="O529" s="1">
        <v>0</v>
      </c>
      <c r="P529" s="1">
        <f>LN(B529)</f>
        <v>3.29583686600433</v>
      </c>
      <c r="Q529" s="1">
        <f>1-SUM(F529:J529)</f>
        <v>0</v>
      </c>
      <c r="R529" s="1" t="str">
        <f>IF(F529=1,"Napa valley",IF(G529=1,"Bay area",IF(H529=1,"Sonoma",IF(I529=1,"Sierra/foothills",IF(J529=1,"Mendocino/lake","Generic California")))))</f>
        <v>Sonoma</v>
      </c>
      <c r="S529" s="1" t="str">
        <f>IF(F529=1,"Napa valley",IF(H529=1,"Sonoma","Other"))</f>
        <v>Sonoma</v>
      </c>
      <c r="T529" s="1" t="str">
        <f>IF(M529=1,"Cabernet",IF(N529=1,"Merlot",IF(L529=1,"Pinot noir","Other")))</f>
        <v>Cabernet</v>
      </c>
      <c r="U529" s="1" t="str">
        <f>IF(F529=1,B529,"")</f>
        <v/>
      </c>
      <c r="V529" s="1">
        <f>IF(F529=0,B529,"")</f>
        <v>27</v>
      </c>
      <c r="W529" s="1">
        <f>'Part B'!$B$150+SUMPRODUCT('Part B'!$B$164:$N$164,C529:O529)</f>
        <v>22.852438715774</v>
      </c>
      <c r="X529" s="1">
        <f>B529-W529</f>
        <v>4.14756128422602</v>
      </c>
      <c r="Y529" s="1">
        <f>'Part B'!$B$179+SUMPRODUCT('Part B'!$B$193:$N$193,C529:O529)</f>
        <v>3.03589347017869</v>
      </c>
      <c r="Z529" s="1">
        <f>P529-Y529</f>
        <v>0.259943395825636</v>
      </c>
      <c r="AB529" s="1">
        <f>C529</f>
        <v>2</v>
      </c>
      <c r="AC529" s="1">
        <f>D529</f>
        <v>86</v>
      </c>
      <c r="AD529" s="1">
        <f>E529</f>
        <v>2</v>
      </c>
      <c r="AE529" s="1">
        <f>F529</f>
        <v>0</v>
      </c>
      <c r="AF529" s="1">
        <f>G529</f>
        <v>0</v>
      </c>
      <c r="AG529" s="1">
        <f>I529</f>
        <v>0</v>
      </c>
      <c r="AH529" s="1">
        <f>J529</f>
        <v>0</v>
      </c>
      <c r="AI529" s="1">
        <f>Q529</f>
        <v>0</v>
      </c>
      <c r="AJ529" s="1">
        <f>K529</f>
        <v>0</v>
      </c>
      <c r="AK529" s="1">
        <f>L529</f>
        <v>0</v>
      </c>
      <c r="AL529" s="1">
        <f>M529</f>
        <v>1</v>
      </c>
      <c r="AM529" s="1">
        <f>N529</f>
        <v>0</v>
      </c>
      <c r="AN529" s="1">
        <f>O529</f>
        <v>0</v>
      </c>
    </row>
    <row r="530">
      <c r="A530" s="1">
        <v>726</v>
      </c>
      <c r="B530" s="1">
        <v>28</v>
      </c>
      <c r="C530" s="1">
        <v>0.54</v>
      </c>
      <c r="D530" s="1">
        <v>94</v>
      </c>
      <c r="E530" s="1">
        <v>4</v>
      </c>
      <c r="F530" s="1">
        <v>0</v>
      </c>
      <c r="G530" s="1">
        <v>0</v>
      </c>
      <c r="H530" s="1">
        <v>1</v>
      </c>
      <c r="I530" s="1">
        <v>0</v>
      </c>
      <c r="J530" s="1">
        <v>0</v>
      </c>
      <c r="K530" s="1">
        <v>0</v>
      </c>
      <c r="L530" s="1">
        <v>0</v>
      </c>
      <c r="M530" s="1">
        <v>0</v>
      </c>
      <c r="N530" s="1">
        <v>0</v>
      </c>
      <c r="O530" s="1">
        <v>1</v>
      </c>
      <c r="P530" s="1">
        <f>LN(B530)</f>
        <v>3.3322045101752</v>
      </c>
      <c r="Q530" s="1">
        <f>1-SUM(F530:J530)</f>
        <v>0</v>
      </c>
      <c r="R530" s="1" t="str">
        <f>IF(F530=1,"Napa valley",IF(G530=1,"Bay area",IF(H530=1,"Sonoma",IF(I530=1,"Sierra/foothills",IF(J530=1,"Mendocino/lake","Generic California")))))</f>
        <v>Sonoma</v>
      </c>
      <c r="S530" s="1" t="str">
        <f>IF(F530=1,"Napa valley",IF(H530=1,"Sonoma","Other"))</f>
        <v>Sonoma</v>
      </c>
      <c r="T530" s="1" t="str">
        <f>IF(M530=1,"Cabernet",IF(N530=1,"Merlot",IF(L530=1,"Pinot noir","Other")))</f>
        <v>Other</v>
      </c>
      <c r="U530" s="1" t="str">
        <f>IF(F530=1,B530,"")</f>
        <v/>
      </c>
      <c r="V530" s="1">
        <f>IF(F530=0,B530,"")</f>
        <v>28</v>
      </c>
      <c r="W530" s="1">
        <f>'Part B'!$B$150+SUMPRODUCT('Part B'!$B$164:$N$164,C530:O530)</f>
        <v>48.3574582323189</v>
      </c>
      <c r="X530" s="1">
        <f>B530-W530</f>
        <v>-20.3574582323189</v>
      </c>
      <c r="Y530" s="1">
        <f>'Part B'!$B$179+SUMPRODUCT('Part B'!$B$193:$N$193,C530:O530)</f>
        <v>3.69024071432594</v>
      </c>
      <c r="Z530" s="1">
        <f>P530-Y530</f>
        <v>-0.358036204150734</v>
      </c>
      <c r="AB530" s="1">
        <f>C530</f>
        <v>0.54</v>
      </c>
      <c r="AC530" s="1">
        <f>D530</f>
        <v>94</v>
      </c>
      <c r="AD530" s="1">
        <f>E530</f>
        <v>4</v>
      </c>
      <c r="AE530" s="1">
        <f>F530</f>
        <v>0</v>
      </c>
      <c r="AF530" s="1">
        <f>G530</f>
        <v>0</v>
      </c>
      <c r="AG530" s="1">
        <f>I530</f>
        <v>0</v>
      </c>
      <c r="AH530" s="1">
        <f>J530</f>
        <v>0</v>
      </c>
      <c r="AI530" s="1">
        <f>Q530</f>
        <v>0</v>
      </c>
      <c r="AJ530" s="1">
        <f>K530</f>
        <v>0</v>
      </c>
      <c r="AK530" s="1">
        <f>L530</f>
        <v>0</v>
      </c>
      <c r="AL530" s="1">
        <f>M530</f>
        <v>0</v>
      </c>
      <c r="AM530" s="1">
        <f>N530</f>
        <v>0</v>
      </c>
      <c r="AN530" s="1">
        <f>O530</f>
        <v>1</v>
      </c>
    </row>
    <row r="531">
      <c r="A531" s="1">
        <v>727</v>
      </c>
      <c r="B531" s="1">
        <v>28</v>
      </c>
      <c r="C531" s="1">
        <v>8.992</v>
      </c>
      <c r="D531" s="1">
        <v>86</v>
      </c>
      <c r="E531" s="1">
        <v>3</v>
      </c>
      <c r="F531" s="1">
        <v>1</v>
      </c>
      <c r="G531" s="1">
        <v>0</v>
      </c>
      <c r="H531" s="1">
        <v>0</v>
      </c>
      <c r="I531" s="1">
        <v>0</v>
      </c>
      <c r="J531" s="1">
        <v>0</v>
      </c>
      <c r="K531" s="1">
        <v>0</v>
      </c>
      <c r="L531" s="1">
        <v>0</v>
      </c>
      <c r="M531" s="1">
        <v>0</v>
      </c>
      <c r="N531" s="1">
        <v>1</v>
      </c>
      <c r="O531" s="1">
        <v>0</v>
      </c>
      <c r="P531" s="1">
        <f>LN(B531)</f>
        <v>3.3322045101752</v>
      </c>
      <c r="Q531" s="1">
        <f>1-SUM(F531:J531)</f>
        <v>0</v>
      </c>
      <c r="R531" s="1" t="str">
        <f>IF(F531=1,"Napa valley",IF(G531=1,"Bay area",IF(H531=1,"Sonoma",IF(I531=1,"Sierra/foothills",IF(J531=1,"Mendocino/lake","Generic California")))))</f>
        <v>Napa valley</v>
      </c>
      <c r="S531" s="1" t="str">
        <f>IF(F531=1,"Napa valley",IF(H531=1,"Sonoma","Other"))</f>
        <v>Napa valley</v>
      </c>
      <c r="T531" s="1" t="str">
        <f>IF(M531=1,"Cabernet",IF(N531=1,"Merlot",IF(L531=1,"Pinot noir","Other")))</f>
        <v>Merlot</v>
      </c>
      <c r="U531" s="1">
        <f>IF(F531=1,B531,"")</f>
        <v>28</v>
      </c>
      <c r="V531" s="1" t="str">
        <f>IF(F531=0,B531,"")</f>
        <v/>
      </c>
      <c r="W531" s="1">
        <f>'Part B'!$B$150+SUMPRODUCT('Part B'!$B$164:$N$164,C531:O531)</f>
        <v>31.7378101288693</v>
      </c>
      <c r="X531" s="1">
        <f>B531-W531</f>
        <v>-3.73781012886934</v>
      </c>
      <c r="Y531" s="1">
        <f>'Part B'!$B$179+SUMPRODUCT('Part B'!$B$193:$N$193,C531:O531)</f>
        <v>3.30036614952301</v>
      </c>
      <c r="Z531" s="1">
        <f>P531-Y531</f>
        <v>0.031838360652197</v>
      </c>
      <c r="AB531" s="1">
        <f>C531</f>
        <v>8.992</v>
      </c>
      <c r="AC531" s="1">
        <f>D531</f>
        <v>86</v>
      </c>
      <c r="AD531" s="1">
        <f>E531</f>
        <v>3</v>
      </c>
      <c r="AE531" s="1">
        <f>F531</f>
        <v>1</v>
      </c>
      <c r="AF531" s="1">
        <f>G531</f>
        <v>0</v>
      </c>
      <c r="AG531" s="1">
        <f>I531</f>
        <v>0</v>
      </c>
      <c r="AH531" s="1">
        <f>J531</f>
        <v>0</v>
      </c>
      <c r="AI531" s="1">
        <f>Q531</f>
        <v>0</v>
      </c>
      <c r="AJ531" s="1">
        <f>K531</f>
        <v>0</v>
      </c>
      <c r="AK531" s="1">
        <f>L531</f>
        <v>0</v>
      </c>
      <c r="AL531" s="1">
        <f>M531</f>
        <v>0</v>
      </c>
      <c r="AM531" s="1">
        <f>N531</f>
        <v>1</v>
      </c>
      <c r="AN531" s="1">
        <f>O531</f>
        <v>0</v>
      </c>
    </row>
    <row r="532">
      <c r="A532" s="1">
        <v>728</v>
      </c>
      <c r="B532" s="1">
        <v>28</v>
      </c>
      <c r="C532" s="1">
        <v>0.9</v>
      </c>
      <c r="D532" s="1">
        <v>88</v>
      </c>
      <c r="E532" s="1">
        <v>3</v>
      </c>
      <c r="F532" s="1">
        <v>1</v>
      </c>
      <c r="G532" s="1">
        <v>0</v>
      </c>
      <c r="H532" s="1">
        <v>0</v>
      </c>
      <c r="I532" s="1">
        <v>0</v>
      </c>
      <c r="J532" s="1">
        <v>0</v>
      </c>
      <c r="K532" s="1">
        <v>0</v>
      </c>
      <c r="L532" s="1">
        <v>0</v>
      </c>
      <c r="M532" s="1">
        <v>1</v>
      </c>
      <c r="N532" s="1">
        <v>0</v>
      </c>
      <c r="O532" s="1">
        <v>0</v>
      </c>
      <c r="P532" s="1">
        <f>LN(B532)</f>
        <v>3.3322045101752</v>
      </c>
      <c r="Q532" s="1">
        <f>1-SUM(F532:J532)</f>
        <v>0</v>
      </c>
      <c r="R532" s="1" t="str">
        <f>IF(F532=1,"Napa valley",IF(G532=1,"Bay area",IF(H532=1,"Sonoma",IF(I532=1,"Sierra/foothills",IF(J532=1,"Mendocino/lake","Generic California")))))</f>
        <v>Napa valley</v>
      </c>
      <c r="S532" s="1" t="str">
        <f>IF(F532=1,"Napa valley",IF(H532=1,"Sonoma","Other"))</f>
        <v>Napa valley</v>
      </c>
      <c r="T532" s="1" t="str">
        <f>IF(M532=1,"Cabernet",IF(N532=1,"Merlot",IF(L532=1,"Pinot noir","Other")))</f>
        <v>Cabernet</v>
      </c>
      <c r="U532" s="1">
        <f>IF(F532=1,B532,"")</f>
        <v>28</v>
      </c>
      <c r="V532" s="1" t="str">
        <f>IF(F532=0,B532,"")</f>
        <v/>
      </c>
      <c r="W532" s="1">
        <f>'Part B'!$B$150+SUMPRODUCT('Part B'!$B$164:$N$164,C532:O532)</f>
        <v>43.7630906252636</v>
      </c>
      <c r="X532" s="1">
        <f>B532-W532</f>
        <v>-15.7630906252636</v>
      </c>
      <c r="Y532" s="1">
        <f>'Part B'!$B$179+SUMPRODUCT('Part B'!$B$193:$N$193,C532:O532)</f>
        <v>3.51139602897492</v>
      </c>
      <c r="Z532" s="1">
        <f>P532-Y532</f>
        <v>-0.179191518799714</v>
      </c>
      <c r="AB532" s="1">
        <f>C532</f>
        <v>0.9</v>
      </c>
      <c r="AC532" s="1">
        <f>D532</f>
        <v>88</v>
      </c>
      <c r="AD532" s="1">
        <f>E532</f>
        <v>3</v>
      </c>
      <c r="AE532" s="1">
        <f>F532</f>
        <v>1</v>
      </c>
      <c r="AF532" s="1">
        <f>G532</f>
        <v>0</v>
      </c>
      <c r="AG532" s="1">
        <f>I532</f>
        <v>0</v>
      </c>
      <c r="AH532" s="1">
        <f>J532</f>
        <v>0</v>
      </c>
      <c r="AI532" s="1">
        <f>Q532</f>
        <v>0</v>
      </c>
      <c r="AJ532" s="1">
        <f>K532</f>
        <v>0</v>
      </c>
      <c r="AK532" s="1">
        <f>L532</f>
        <v>0</v>
      </c>
      <c r="AL532" s="1">
        <f>M532</f>
        <v>1</v>
      </c>
      <c r="AM532" s="1">
        <f>N532</f>
        <v>0</v>
      </c>
      <c r="AN532" s="1">
        <f>O532</f>
        <v>0</v>
      </c>
    </row>
    <row r="533">
      <c r="A533" s="1">
        <v>730</v>
      </c>
      <c r="B533" s="1">
        <v>28</v>
      </c>
      <c r="C533" s="1">
        <v>12</v>
      </c>
      <c r="D533" s="1">
        <v>88</v>
      </c>
      <c r="E533" s="1">
        <v>3</v>
      </c>
      <c r="F533" s="1">
        <v>1</v>
      </c>
      <c r="G533" s="1">
        <v>0</v>
      </c>
      <c r="H533" s="1">
        <v>0</v>
      </c>
      <c r="I533" s="1">
        <v>0</v>
      </c>
      <c r="J533" s="1">
        <v>0</v>
      </c>
      <c r="K533" s="1">
        <v>0</v>
      </c>
      <c r="L533" s="1">
        <v>0</v>
      </c>
      <c r="M533" s="1">
        <v>0</v>
      </c>
      <c r="N533" s="1">
        <v>1</v>
      </c>
      <c r="O533" s="1">
        <v>0</v>
      </c>
      <c r="P533" s="1">
        <f>LN(B533)</f>
        <v>3.3322045101752</v>
      </c>
      <c r="Q533" s="1">
        <f>1-SUM(F533:J533)</f>
        <v>0</v>
      </c>
      <c r="R533" s="1" t="str">
        <f>IF(F533=1,"Napa valley",IF(G533=1,"Bay area",IF(H533=1,"Sonoma",IF(I533=1,"Sierra/foothills",IF(J533=1,"Mendocino/lake","Generic California")))))</f>
        <v>Napa valley</v>
      </c>
      <c r="S533" s="1" t="str">
        <f>IF(F533=1,"Napa valley",IF(H533=1,"Sonoma","Other"))</f>
        <v>Napa valley</v>
      </c>
      <c r="T533" s="1" t="str">
        <f>IF(M533=1,"Cabernet",IF(N533=1,"Merlot",IF(L533=1,"Pinot noir","Other")))</f>
        <v>Merlot</v>
      </c>
      <c r="U533" s="1">
        <f>IF(F533=1,B533,"")</f>
        <v>28</v>
      </c>
      <c r="V533" s="1" t="str">
        <f>IF(F533=0,B533,"")</f>
        <v/>
      </c>
      <c r="W533" s="1">
        <f>'Part B'!$B$150+SUMPRODUCT('Part B'!$B$164:$N$164,C533:O533)</f>
        <v>37.7425036945434</v>
      </c>
      <c r="X533" s="1">
        <f>B533-W533</f>
        <v>-9.74250369454342</v>
      </c>
      <c r="Y533" s="1">
        <f>'Part B'!$B$179+SUMPRODUCT('Part B'!$B$193:$N$193,C533:O533)</f>
        <v>3.42741745314545</v>
      </c>
      <c r="Z533" s="1">
        <f>P533-Y533</f>
        <v>-0.0952129429702446</v>
      </c>
      <c r="AB533" s="1">
        <f>C533</f>
        <v>12</v>
      </c>
      <c r="AC533" s="1">
        <f>D533</f>
        <v>88</v>
      </c>
      <c r="AD533" s="1">
        <f>E533</f>
        <v>3</v>
      </c>
      <c r="AE533" s="1">
        <f>F533</f>
        <v>1</v>
      </c>
      <c r="AF533" s="1">
        <f>G533</f>
        <v>0</v>
      </c>
      <c r="AG533" s="1">
        <f>I533</f>
        <v>0</v>
      </c>
      <c r="AH533" s="1">
        <f>J533</f>
        <v>0</v>
      </c>
      <c r="AI533" s="1">
        <f>Q533</f>
        <v>0</v>
      </c>
      <c r="AJ533" s="1">
        <f>K533</f>
        <v>0</v>
      </c>
      <c r="AK533" s="1">
        <f>L533</f>
        <v>0</v>
      </c>
      <c r="AL533" s="1">
        <f>M533</f>
        <v>0</v>
      </c>
      <c r="AM533" s="1">
        <f>N533</f>
        <v>1</v>
      </c>
      <c r="AN533" s="1">
        <f>O533</f>
        <v>0</v>
      </c>
    </row>
    <row r="534">
      <c r="A534" s="1">
        <v>731</v>
      </c>
      <c r="B534" s="1">
        <v>28</v>
      </c>
      <c r="C534" s="1">
        <v>0.9</v>
      </c>
      <c r="D534" s="1">
        <v>88</v>
      </c>
      <c r="E534" s="1">
        <v>3</v>
      </c>
      <c r="F534" s="1">
        <v>0</v>
      </c>
      <c r="G534" s="1">
        <v>0</v>
      </c>
      <c r="H534" s="1">
        <v>0</v>
      </c>
      <c r="I534" s="1">
        <v>0</v>
      </c>
      <c r="J534" s="1">
        <v>1</v>
      </c>
      <c r="K534" s="1">
        <v>0</v>
      </c>
      <c r="L534" s="1">
        <v>0</v>
      </c>
      <c r="M534" s="1">
        <v>0</v>
      </c>
      <c r="N534" s="1">
        <v>0</v>
      </c>
      <c r="O534" s="1">
        <v>0</v>
      </c>
      <c r="P534" s="1">
        <f>LN(B534)</f>
        <v>3.3322045101752</v>
      </c>
      <c r="Q534" s="1">
        <f>1-SUM(F534:J534)</f>
        <v>0</v>
      </c>
      <c r="R534" s="1" t="str">
        <f>IF(F534=1,"Napa valley",IF(G534=1,"Bay area",IF(H534=1,"Sonoma",IF(I534=1,"Sierra/foothills",IF(J534=1,"Mendocino/lake","Generic California")))))</f>
        <v>Mendocino/lake</v>
      </c>
      <c r="S534" s="1" t="str">
        <f>IF(F534=1,"Napa valley",IF(H534=1,"Sonoma","Other"))</f>
        <v>Other</v>
      </c>
      <c r="T534" s="1" t="str">
        <f>IF(M534=1,"Cabernet",IF(N534=1,"Merlot",IF(L534=1,"Pinot noir","Other")))</f>
        <v>Other</v>
      </c>
      <c r="U534" s="1" t="str">
        <f>IF(F534=1,B534,"")</f>
        <v/>
      </c>
      <c r="V534" s="1">
        <f>IF(F534=0,B534,"")</f>
        <v>28</v>
      </c>
      <c r="W534" s="1">
        <f>'Part B'!$B$150+SUMPRODUCT('Part B'!$B$164:$N$164,C534:O534)</f>
        <v>24.9563721087463</v>
      </c>
      <c r="X534" s="1">
        <f>B534-W534</f>
        <v>3.04362789125366</v>
      </c>
      <c r="Y534" s="1">
        <f>'Part B'!$B$179+SUMPRODUCT('Part B'!$B$193:$N$193,C534:O534)</f>
        <v>2.997907864639</v>
      </c>
      <c r="Z534" s="1">
        <f>P534-Y534</f>
        <v>0.334296645536201</v>
      </c>
      <c r="AB534" s="1">
        <f>C534</f>
        <v>0.9</v>
      </c>
      <c r="AC534" s="1">
        <f>D534</f>
        <v>88</v>
      </c>
      <c r="AD534" s="1">
        <f>E534</f>
        <v>3</v>
      </c>
      <c r="AE534" s="1">
        <f>F534</f>
        <v>0</v>
      </c>
      <c r="AF534" s="1">
        <f>G534</f>
        <v>0</v>
      </c>
      <c r="AG534" s="1">
        <f>I534</f>
        <v>0</v>
      </c>
      <c r="AH534" s="1">
        <f>J534</f>
        <v>1</v>
      </c>
      <c r="AI534" s="1">
        <f>Q534</f>
        <v>0</v>
      </c>
      <c r="AJ534" s="1">
        <f>K534</f>
        <v>0</v>
      </c>
      <c r="AK534" s="1">
        <f>L534</f>
        <v>0</v>
      </c>
      <c r="AL534" s="1">
        <f>M534</f>
        <v>0</v>
      </c>
      <c r="AM534" s="1">
        <f>N534</f>
        <v>0</v>
      </c>
      <c r="AN534" s="1">
        <f>O534</f>
        <v>0</v>
      </c>
    </row>
    <row r="535">
      <c r="A535" s="1">
        <v>732</v>
      </c>
      <c r="B535" s="1">
        <v>28</v>
      </c>
      <c r="C535" s="1">
        <v>0.8</v>
      </c>
      <c r="D535" s="1">
        <v>88</v>
      </c>
      <c r="E535" s="1">
        <v>3</v>
      </c>
      <c r="F535" s="1">
        <v>1</v>
      </c>
      <c r="G535" s="1">
        <v>0</v>
      </c>
      <c r="H535" s="1">
        <v>0</v>
      </c>
      <c r="I535" s="1">
        <v>0</v>
      </c>
      <c r="J535" s="1">
        <v>0</v>
      </c>
      <c r="K535" s="1">
        <v>0</v>
      </c>
      <c r="L535" s="1">
        <v>0</v>
      </c>
      <c r="M535" s="1">
        <v>1</v>
      </c>
      <c r="N535" s="1">
        <v>0</v>
      </c>
      <c r="O535" s="1">
        <v>0</v>
      </c>
      <c r="P535" s="1">
        <f>LN(B535)</f>
        <v>3.3322045101752</v>
      </c>
      <c r="Q535" s="1">
        <f>1-SUM(F535:J535)</f>
        <v>0</v>
      </c>
      <c r="R535" s="1" t="str">
        <f>IF(F535=1,"Napa valley",IF(G535=1,"Bay area",IF(H535=1,"Sonoma",IF(I535=1,"Sierra/foothills",IF(J535=1,"Mendocino/lake","Generic California")))))</f>
        <v>Napa valley</v>
      </c>
      <c r="S535" s="1" t="str">
        <f>IF(F535=1,"Napa valley",IF(H535=1,"Sonoma","Other"))</f>
        <v>Napa valley</v>
      </c>
      <c r="T535" s="1" t="str">
        <f>IF(M535=1,"Cabernet",IF(N535=1,"Merlot",IF(L535=1,"Pinot noir","Other")))</f>
        <v>Cabernet</v>
      </c>
      <c r="U535" s="1">
        <f>IF(F535=1,B535,"")</f>
        <v>28</v>
      </c>
      <c r="V535" s="1" t="str">
        <f>IF(F535=0,B535,"")</f>
        <v/>
      </c>
      <c r="W535" s="1">
        <f>'Part B'!$B$150+SUMPRODUCT('Part B'!$B$164:$N$164,C535:O535)</f>
        <v>43.7725820022266</v>
      </c>
      <c r="X535" s="1">
        <f>B535-W535</f>
        <v>-15.7725820022266</v>
      </c>
      <c r="Y535" s="1">
        <f>'Part B'!$B$179+SUMPRODUCT('Part B'!$B$193:$N$193,C535:O535)</f>
        <v>3.51182393568943</v>
      </c>
      <c r="Z535" s="1">
        <f>P535-Y535</f>
        <v>-0.179619425514222</v>
      </c>
      <c r="AB535" s="1">
        <f>C535</f>
        <v>0.8</v>
      </c>
      <c r="AC535" s="1">
        <f>D535</f>
        <v>88</v>
      </c>
      <c r="AD535" s="1">
        <f>E535</f>
        <v>3</v>
      </c>
      <c r="AE535" s="1">
        <f>F535</f>
        <v>1</v>
      </c>
      <c r="AF535" s="1">
        <f>G535</f>
        <v>0</v>
      </c>
      <c r="AG535" s="1">
        <f>I535</f>
        <v>0</v>
      </c>
      <c r="AH535" s="1">
        <f>J535</f>
        <v>0</v>
      </c>
      <c r="AI535" s="1">
        <f>Q535</f>
        <v>0</v>
      </c>
      <c r="AJ535" s="1">
        <f>K535</f>
        <v>0</v>
      </c>
      <c r="AK535" s="1">
        <f>L535</f>
        <v>0</v>
      </c>
      <c r="AL535" s="1">
        <f>M535</f>
        <v>1</v>
      </c>
      <c r="AM535" s="1">
        <f>N535</f>
        <v>0</v>
      </c>
      <c r="AN535" s="1">
        <f>O535</f>
        <v>0</v>
      </c>
    </row>
    <row r="536">
      <c r="A536" s="1">
        <v>733</v>
      </c>
      <c r="B536" s="1">
        <v>28</v>
      </c>
      <c r="C536" s="1">
        <v>0.33</v>
      </c>
      <c r="D536" s="1">
        <v>85</v>
      </c>
      <c r="E536" s="1">
        <v>3</v>
      </c>
      <c r="F536" s="1">
        <v>1</v>
      </c>
      <c r="G536" s="1">
        <v>0</v>
      </c>
      <c r="H536" s="1">
        <v>0</v>
      </c>
      <c r="I536" s="1">
        <v>0</v>
      </c>
      <c r="J536" s="1">
        <v>0</v>
      </c>
      <c r="K536" s="1">
        <v>0</v>
      </c>
      <c r="L536" s="1">
        <v>0</v>
      </c>
      <c r="M536" s="1">
        <v>0</v>
      </c>
      <c r="N536" s="1">
        <v>1</v>
      </c>
      <c r="O536" s="1">
        <v>0</v>
      </c>
      <c r="P536" s="1">
        <f>LN(B536)</f>
        <v>3.3322045101752</v>
      </c>
      <c r="Q536" s="1">
        <f>1-SUM(F536:J536)</f>
        <v>0</v>
      </c>
      <c r="R536" s="1" t="str">
        <f>IF(F536=1,"Napa valley",IF(G536=1,"Bay area",IF(H536=1,"Sonoma",IF(I536=1,"Sierra/foothills",IF(J536=1,"Mendocino/lake","Generic California")))))</f>
        <v>Napa valley</v>
      </c>
      <c r="S536" s="1" t="str">
        <f>IF(F536=1,"Napa valley",IF(H536=1,"Sonoma","Other"))</f>
        <v>Napa valley</v>
      </c>
      <c r="T536" s="1" t="str">
        <f>IF(M536=1,"Cabernet",IF(N536=1,"Merlot",IF(L536=1,"Pinot noir","Other")))</f>
        <v>Merlot</v>
      </c>
      <c r="U536" s="1">
        <f>IF(F536=1,B536,"")</f>
        <v>28</v>
      </c>
      <c r="V536" s="1" t="str">
        <f>IF(F536=0,B536,"")</f>
        <v/>
      </c>
      <c r="W536" s="1">
        <f>'Part B'!$B$150+SUMPRODUCT('Part B'!$B$164:$N$164,C536:O536)</f>
        <v>29.4148561090442</v>
      </c>
      <c r="X536" s="1">
        <f>B536-W536</f>
        <v>-1.41485610904419</v>
      </c>
      <c r="Y536" s="1">
        <f>'Part B'!$B$179+SUMPRODUCT('Part B'!$B$193:$N$193,C536:O536)</f>
        <v>3.26747006033629</v>
      </c>
      <c r="Z536" s="1">
        <f>P536-Y536</f>
        <v>0.0647344498389102</v>
      </c>
      <c r="AB536" s="1">
        <f>C536</f>
        <v>0.33</v>
      </c>
      <c r="AC536" s="1">
        <f>D536</f>
        <v>85</v>
      </c>
      <c r="AD536" s="1">
        <f>E536</f>
        <v>3</v>
      </c>
      <c r="AE536" s="1">
        <f>F536</f>
        <v>1</v>
      </c>
      <c r="AF536" s="1">
        <f>G536</f>
        <v>0</v>
      </c>
      <c r="AG536" s="1">
        <f>I536</f>
        <v>0</v>
      </c>
      <c r="AH536" s="1">
        <f>J536</f>
        <v>0</v>
      </c>
      <c r="AI536" s="1">
        <f>Q536</f>
        <v>0</v>
      </c>
      <c r="AJ536" s="1">
        <f>K536</f>
        <v>0</v>
      </c>
      <c r="AK536" s="1">
        <f>L536</f>
        <v>0</v>
      </c>
      <c r="AL536" s="1">
        <f>M536</f>
        <v>0</v>
      </c>
      <c r="AM536" s="1">
        <f>N536</f>
        <v>1</v>
      </c>
      <c r="AN536" s="1">
        <f>O536</f>
        <v>0</v>
      </c>
    </row>
    <row r="537">
      <c r="A537" s="1">
        <v>734</v>
      </c>
      <c r="B537" s="1">
        <v>28</v>
      </c>
      <c r="C537" s="1">
        <v>0.4</v>
      </c>
      <c r="D537" s="1">
        <v>86</v>
      </c>
      <c r="E537" s="1">
        <v>3</v>
      </c>
      <c r="F537" s="1">
        <v>0</v>
      </c>
      <c r="G537" s="1">
        <v>0</v>
      </c>
      <c r="H537" s="1">
        <v>1</v>
      </c>
      <c r="I537" s="1">
        <v>0</v>
      </c>
      <c r="J537" s="1">
        <v>0</v>
      </c>
      <c r="K537" s="1">
        <v>0</v>
      </c>
      <c r="L537" s="1">
        <v>0</v>
      </c>
      <c r="M537" s="1">
        <v>0</v>
      </c>
      <c r="N537" s="1">
        <v>1</v>
      </c>
      <c r="O537" s="1">
        <v>0</v>
      </c>
      <c r="P537" s="1">
        <f>LN(B537)</f>
        <v>3.3322045101752</v>
      </c>
      <c r="Q537" s="1">
        <f>1-SUM(F537:J537)</f>
        <v>0</v>
      </c>
      <c r="R537" s="1" t="str">
        <f>IF(F537=1,"Napa valley",IF(G537=1,"Bay area",IF(H537=1,"Sonoma",IF(I537=1,"Sierra/foothills",IF(J537=1,"Mendocino/lake","Generic California")))))</f>
        <v>Sonoma</v>
      </c>
      <c r="S537" s="1" t="str">
        <f>IF(F537=1,"Napa valley",IF(H537=1,"Sonoma","Other"))</f>
        <v>Sonoma</v>
      </c>
      <c r="T537" s="1" t="str">
        <f>IF(M537=1,"Cabernet",IF(N537=1,"Merlot",IF(L537=1,"Pinot noir","Other")))</f>
        <v>Merlot</v>
      </c>
      <c r="U537" s="1" t="str">
        <f>IF(F537=1,B537,"")</f>
        <v/>
      </c>
      <c r="V537" s="1">
        <f>IF(F537=0,B537,"")</f>
        <v>28</v>
      </c>
      <c r="W537" s="1">
        <f>'Part B'!$B$150+SUMPRODUCT('Part B'!$B$164:$N$164,C537:O537)</f>
        <v>24.6568614177335</v>
      </c>
      <c r="X537" s="1">
        <f>B537-W537</f>
        <v>3.34313858226648</v>
      </c>
      <c r="Y537" s="1">
        <f>'Part B'!$B$179+SUMPRODUCT('Part B'!$B$193:$N$193,C537:O537)</f>
        <v>3.18934432953339</v>
      </c>
      <c r="Z537" s="1">
        <f>P537-Y537</f>
        <v>0.14286018064181</v>
      </c>
      <c r="AB537" s="1">
        <f>C537</f>
        <v>0.4</v>
      </c>
      <c r="AC537" s="1">
        <f>D537</f>
        <v>86</v>
      </c>
      <c r="AD537" s="1">
        <f>E537</f>
        <v>3</v>
      </c>
      <c r="AE537" s="1">
        <f>F537</f>
        <v>0</v>
      </c>
      <c r="AF537" s="1">
        <f>G537</f>
        <v>0</v>
      </c>
      <c r="AG537" s="1">
        <f>I537</f>
        <v>0</v>
      </c>
      <c r="AH537" s="1">
        <f>J537</f>
        <v>0</v>
      </c>
      <c r="AI537" s="1">
        <f>Q537</f>
        <v>0</v>
      </c>
      <c r="AJ537" s="1">
        <f>K537</f>
        <v>0</v>
      </c>
      <c r="AK537" s="1">
        <f>L537</f>
        <v>0</v>
      </c>
      <c r="AL537" s="1">
        <f>M537</f>
        <v>0</v>
      </c>
      <c r="AM537" s="1">
        <f>N537</f>
        <v>1</v>
      </c>
      <c r="AN537" s="1">
        <f>O537</f>
        <v>0</v>
      </c>
    </row>
    <row r="538">
      <c r="A538" s="1">
        <v>735</v>
      </c>
      <c r="B538" s="1">
        <v>28</v>
      </c>
      <c r="C538" s="1">
        <v>4.8</v>
      </c>
      <c r="D538" s="1">
        <v>90</v>
      </c>
      <c r="E538" s="1">
        <v>3</v>
      </c>
      <c r="F538" s="1">
        <v>0</v>
      </c>
      <c r="G538" s="1">
        <v>0</v>
      </c>
      <c r="H538" s="1">
        <v>1</v>
      </c>
      <c r="I538" s="1">
        <v>0</v>
      </c>
      <c r="J538" s="1">
        <v>0</v>
      </c>
      <c r="K538" s="1">
        <v>1</v>
      </c>
      <c r="L538" s="1">
        <v>0</v>
      </c>
      <c r="M538" s="1">
        <v>0</v>
      </c>
      <c r="N538" s="1">
        <v>0</v>
      </c>
      <c r="O538" s="1">
        <v>0</v>
      </c>
      <c r="P538" s="1">
        <f>LN(B538)</f>
        <v>3.3322045101752</v>
      </c>
      <c r="Q538" s="1">
        <f>1-SUM(F538:J538)</f>
        <v>0</v>
      </c>
      <c r="R538" s="1" t="str">
        <f>IF(F538=1,"Napa valley",IF(G538=1,"Bay area",IF(H538=1,"Sonoma",IF(I538=1,"Sierra/foothills",IF(J538=1,"Mendocino/lake","Generic California")))))</f>
        <v>Sonoma</v>
      </c>
      <c r="S538" s="1" t="str">
        <f>IF(F538=1,"Napa valley",IF(H538=1,"Sonoma","Other"))</f>
        <v>Sonoma</v>
      </c>
      <c r="T538" s="1" t="str">
        <f>IF(M538=1,"Cabernet",IF(N538=1,"Merlot",IF(L538=1,"Pinot noir","Other")))</f>
        <v>Other</v>
      </c>
      <c r="U538" s="1" t="str">
        <f>IF(F538=1,B538,"")</f>
        <v/>
      </c>
      <c r="V538" s="1">
        <f>IF(F538=0,B538,"")</f>
        <v>28</v>
      </c>
      <c r="W538" s="1">
        <f>'Part B'!$B$150+SUMPRODUCT('Part B'!$B$164:$N$164,C538:O538)</f>
        <v>49.4472130537805</v>
      </c>
      <c r="X538" s="1">
        <f>B538-W538</f>
        <v>-21.4472130537805</v>
      </c>
      <c r="Y538" s="1">
        <f>'Part B'!$B$179+SUMPRODUCT('Part B'!$B$193:$N$193,C538:O538)</f>
        <v>3.64443464343758</v>
      </c>
      <c r="Z538" s="1">
        <f>P538-Y538</f>
        <v>-0.312230133262377</v>
      </c>
      <c r="AB538" s="1">
        <f>C538</f>
        <v>4.8</v>
      </c>
      <c r="AC538" s="1">
        <f>D538</f>
        <v>90</v>
      </c>
      <c r="AD538" s="1">
        <f>E538</f>
        <v>3</v>
      </c>
      <c r="AE538" s="1">
        <f>F538</f>
        <v>0</v>
      </c>
      <c r="AF538" s="1">
        <f>G538</f>
        <v>0</v>
      </c>
      <c r="AG538" s="1">
        <f>I538</f>
        <v>0</v>
      </c>
      <c r="AH538" s="1">
        <f>J538</f>
        <v>0</v>
      </c>
      <c r="AI538" s="1">
        <f>Q538</f>
        <v>0</v>
      </c>
      <c r="AJ538" s="1">
        <f>K538</f>
        <v>1</v>
      </c>
      <c r="AK538" s="1">
        <f>L538</f>
        <v>0</v>
      </c>
      <c r="AL538" s="1">
        <f>M538</f>
        <v>0</v>
      </c>
      <c r="AM538" s="1">
        <f>N538</f>
        <v>0</v>
      </c>
      <c r="AN538" s="1">
        <f>O538</f>
        <v>0</v>
      </c>
    </row>
    <row r="539">
      <c r="A539" s="1">
        <v>736</v>
      </c>
      <c r="B539" s="1">
        <v>28</v>
      </c>
      <c r="C539" s="1">
        <v>0.16</v>
      </c>
      <c r="D539" s="1">
        <v>87</v>
      </c>
      <c r="E539" s="1">
        <v>3</v>
      </c>
      <c r="F539" s="1">
        <v>0</v>
      </c>
      <c r="G539" s="1">
        <v>0</v>
      </c>
      <c r="H539" s="1">
        <v>0</v>
      </c>
      <c r="I539" s="1">
        <v>0</v>
      </c>
      <c r="J539" s="1">
        <v>1</v>
      </c>
      <c r="K539" s="1">
        <v>0</v>
      </c>
      <c r="L539" s="1">
        <v>1</v>
      </c>
      <c r="M539" s="1">
        <v>0</v>
      </c>
      <c r="N539" s="1">
        <v>0</v>
      </c>
      <c r="O539" s="1">
        <v>0</v>
      </c>
      <c r="P539" s="1">
        <f>LN(B539)</f>
        <v>3.3322045101752</v>
      </c>
      <c r="Q539" s="1">
        <f>1-SUM(F539:J539)</f>
        <v>0</v>
      </c>
      <c r="R539" s="1" t="str">
        <f>IF(F539=1,"Napa valley",IF(G539=1,"Bay area",IF(H539=1,"Sonoma",IF(I539=1,"Sierra/foothills",IF(J539=1,"Mendocino/lake","Generic California")))))</f>
        <v>Mendocino/lake</v>
      </c>
      <c r="S539" s="1" t="str">
        <f>IF(F539=1,"Napa valley",IF(H539=1,"Sonoma","Other"))</f>
        <v>Other</v>
      </c>
      <c r="T539" s="1" t="str">
        <f>IF(M539=1,"Cabernet",IF(N539=1,"Merlot",IF(L539=1,"Pinot noir","Other")))</f>
        <v>Pinot noir</v>
      </c>
      <c r="U539" s="1" t="str">
        <f>IF(F539=1,B539,"")</f>
        <v/>
      </c>
      <c r="V539" s="1">
        <f>IF(F539=0,B539,"")</f>
        <v>28</v>
      </c>
      <c r="W539" s="1">
        <f>'Part B'!$B$150+SUMPRODUCT('Part B'!$B$164:$N$164,C539:O539)</f>
        <v>31.3357707325898</v>
      </c>
      <c r="X539" s="1">
        <f>B539-W539</f>
        <v>-3.33577073258976</v>
      </c>
      <c r="Y539" s="1">
        <f>'Part B'!$B$179+SUMPRODUCT('Part B'!$B$193:$N$193,C539:O539)</f>
        <v>3.27763528359325</v>
      </c>
      <c r="Z539" s="1">
        <f>P539-Y539</f>
        <v>0.0545692265819517</v>
      </c>
      <c r="AB539" s="1">
        <f>C539</f>
        <v>0.16</v>
      </c>
      <c r="AC539" s="1">
        <f>D539</f>
        <v>87</v>
      </c>
      <c r="AD539" s="1">
        <f>E539</f>
        <v>3</v>
      </c>
      <c r="AE539" s="1">
        <f>F539</f>
        <v>0</v>
      </c>
      <c r="AF539" s="1">
        <f>G539</f>
        <v>0</v>
      </c>
      <c r="AG539" s="1">
        <f>I539</f>
        <v>0</v>
      </c>
      <c r="AH539" s="1">
        <f>J539</f>
        <v>1</v>
      </c>
      <c r="AI539" s="1">
        <f>Q539</f>
        <v>0</v>
      </c>
      <c r="AJ539" s="1">
        <f>K539</f>
        <v>0</v>
      </c>
      <c r="AK539" s="1">
        <f>L539</f>
        <v>1</v>
      </c>
      <c r="AL539" s="1">
        <f>M539</f>
        <v>0</v>
      </c>
      <c r="AM539" s="1">
        <f>N539</f>
        <v>0</v>
      </c>
      <c r="AN539" s="1">
        <f>O539</f>
        <v>0</v>
      </c>
    </row>
    <row r="540">
      <c r="A540" s="1">
        <v>738</v>
      </c>
      <c r="B540" s="1">
        <v>28</v>
      </c>
      <c r="C540" s="1">
        <v>0.6</v>
      </c>
      <c r="D540" s="1">
        <v>90</v>
      </c>
      <c r="E540" s="1">
        <v>3</v>
      </c>
      <c r="F540" s="1">
        <v>0</v>
      </c>
      <c r="G540" s="1">
        <v>1</v>
      </c>
      <c r="H540" s="1">
        <v>0</v>
      </c>
      <c r="I540" s="1">
        <v>0</v>
      </c>
      <c r="J540" s="1">
        <v>0</v>
      </c>
      <c r="K540" s="1">
        <v>0</v>
      </c>
      <c r="L540" s="1">
        <v>1</v>
      </c>
      <c r="M540" s="1">
        <v>0</v>
      </c>
      <c r="N540" s="1">
        <v>0</v>
      </c>
      <c r="O540" s="1">
        <v>0</v>
      </c>
      <c r="P540" s="1">
        <f>LN(B540)</f>
        <v>3.3322045101752</v>
      </c>
      <c r="Q540" s="1">
        <f>1-SUM(F540:J540)</f>
        <v>0</v>
      </c>
      <c r="R540" s="1" t="str">
        <f>IF(F540=1,"Napa valley",IF(G540=1,"Bay area",IF(H540=1,"Sonoma",IF(I540=1,"Sierra/foothills",IF(J540=1,"Mendocino/lake","Generic California")))))</f>
        <v>Bay area</v>
      </c>
      <c r="S540" s="1" t="str">
        <f>IF(F540=1,"Napa valley",IF(H540=1,"Sonoma","Other"))</f>
        <v>Other</v>
      </c>
      <c r="T540" s="1" t="str">
        <f>IF(M540=1,"Cabernet",IF(N540=1,"Merlot",IF(L540=1,"Pinot noir","Other")))</f>
        <v>Pinot noir</v>
      </c>
      <c r="U540" s="1" t="str">
        <f>IF(F540=1,B540,"")</f>
        <v/>
      </c>
      <c r="V540" s="1">
        <f>IF(F540=0,B540,"")</f>
        <v>28</v>
      </c>
      <c r="W540" s="1">
        <f>'Part B'!$B$150+SUMPRODUCT('Part B'!$B$164:$N$164,C540:O540)</f>
        <v>42.1266381189593</v>
      </c>
      <c r="X540" s="1">
        <f>B540-W540</f>
        <v>-14.1266381189593</v>
      </c>
      <c r="Y540" s="1">
        <f>'Part B'!$B$179+SUMPRODUCT('Part B'!$B$193:$N$193,C540:O540)</f>
        <v>3.50339666430461</v>
      </c>
      <c r="Z540" s="1">
        <f>P540-Y540</f>
        <v>-0.171192154129406</v>
      </c>
      <c r="AB540" s="1">
        <f>C540</f>
        <v>0.6</v>
      </c>
      <c r="AC540" s="1">
        <f>D540</f>
        <v>90</v>
      </c>
      <c r="AD540" s="1">
        <f>E540</f>
        <v>3</v>
      </c>
      <c r="AE540" s="1">
        <f>F540</f>
        <v>0</v>
      </c>
      <c r="AF540" s="1">
        <f>G540</f>
        <v>1</v>
      </c>
      <c r="AG540" s="1">
        <f>I540</f>
        <v>0</v>
      </c>
      <c r="AH540" s="1">
        <f>J540</f>
        <v>0</v>
      </c>
      <c r="AI540" s="1">
        <f>Q540</f>
        <v>0</v>
      </c>
      <c r="AJ540" s="1">
        <f>K540</f>
        <v>0</v>
      </c>
      <c r="AK540" s="1">
        <f>L540</f>
        <v>1</v>
      </c>
      <c r="AL540" s="1">
        <f>M540</f>
        <v>0</v>
      </c>
      <c r="AM540" s="1">
        <f>N540</f>
        <v>0</v>
      </c>
      <c r="AN540" s="1">
        <f>O540</f>
        <v>0</v>
      </c>
    </row>
    <row r="541">
      <c r="A541" s="1">
        <v>739</v>
      </c>
      <c r="B541" s="1">
        <v>28</v>
      </c>
      <c r="C541" s="1">
        <v>4.904</v>
      </c>
      <c r="D541" s="1">
        <v>86</v>
      </c>
      <c r="E541" s="1">
        <v>3</v>
      </c>
      <c r="F541" s="1">
        <v>0</v>
      </c>
      <c r="G541" s="1">
        <v>1</v>
      </c>
      <c r="H541" s="1">
        <v>0</v>
      </c>
      <c r="I541" s="1">
        <v>0</v>
      </c>
      <c r="J541" s="1">
        <v>0</v>
      </c>
      <c r="K541" s="1">
        <v>1</v>
      </c>
      <c r="L541" s="1">
        <v>0</v>
      </c>
      <c r="M541" s="1">
        <v>0</v>
      </c>
      <c r="N541" s="1">
        <v>0</v>
      </c>
      <c r="O541" s="1">
        <v>0</v>
      </c>
      <c r="P541" s="1">
        <f>LN(B541)</f>
        <v>3.3322045101752</v>
      </c>
      <c r="Q541" s="1">
        <f>1-SUM(F541:J541)</f>
        <v>0</v>
      </c>
      <c r="R541" s="1" t="str">
        <f>IF(F541=1,"Napa valley",IF(G541=1,"Bay area",IF(H541=1,"Sonoma",IF(I541=1,"Sierra/foothills",IF(J541=1,"Mendocino/lake","Generic California")))))</f>
        <v>Bay area</v>
      </c>
      <c r="S541" s="1" t="str">
        <f>IF(F541=1,"Napa valley",IF(H541=1,"Sonoma","Other"))</f>
        <v>Other</v>
      </c>
      <c r="T541" s="1" t="str">
        <f>IF(M541=1,"Cabernet",IF(N541=1,"Merlot",IF(L541=1,"Pinot noir","Other")))</f>
        <v>Other</v>
      </c>
      <c r="U541" s="1" t="str">
        <f>IF(F541=1,B541,"")</f>
        <v/>
      </c>
      <c r="V541" s="1">
        <f>IF(F541=0,B541,"")</f>
        <v>28</v>
      </c>
      <c r="W541" s="1">
        <f>'Part B'!$B$150+SUMPRODUCT('Part B'!$B$164:$N$164,C541:O541)</f>
        <v>39.9712747656914</v>
      </c>
      <c r="X541" s="1">
        <f>B541-W541</f>
        <v>-11.9712747656914</v>
      </c>
      <c r="Y541" s="1">
        <f>'Part B'!$B$179+SUMPRODUCT('Part B'!$B$193:$N$193,C541:O541)</f>
        <v>3.33719927007933</v>
      </c>
      <c r="Z541" s="1">
        <f>P541-Y541</f>
        <v>-0.00499475990412313</v>
      </c>
      <c r="AB541" s="1">
        <f>C541</f>
        <v>4.904</v>
      </c>
      <c r="AC541" s="1">
        <f>D541</f>
        <v>86</v>
      </c>
      <c r="AD541" s="1">
        <f>E541</f>
        <v>3</v>
      </c>
      <c r="AE541" s="1">
        <f>F541</f>
        <v>0</v>
      </c>
      <c r="AF541" s="1">
        <f>G541</f>
        <v>1</v>
      </c>
      <c r="AG541" s="1">
        <f>I541</f>
        <v>0</v>
      </c>
      <c r="AH541" s="1">
        <f>J541</f>
        <v>0</v>
      </c>
      <c r="AI541" s="1">
        <f>Q541</f>
        <v>0</v>
      </c>
      <c r="AJ541" s="1">
        <f>K541</f>
        <v>1</v>
      </c>
      <c r="AK541" s="1">
        <f>L541</f>
        <v>0</v>
      </c>
      <c r="AL541" s="1">
        <f>M541</f>
        <v>0</v>
      </c>
      <c r="AM541" s="1">
        <f>N541</f>
        <v>0</v>
      </c>
      <c r="AN541" s="1">
        <f>O541</f>
        <v>0</v>
      </c>
    </row>
    <row r="542">
      <c r="A542" s="1">
        <v>740</v>
      </c>
      <c r="B542" s="1">
        <v>28</v>
      </c>
      <c r="C542" s="1">
        <v>0.21</v>
      </c>
      <c r="D542" s="1">
        <v>87</v>
      </c>
      <c r="E542" s="1">
        <v>3</v>
      </c>
      <c r="F542" s="1">
        <v>1</v>
      </c>
      <c r="G542" s="1">
        <v>0</v>
      </c>
      <c r="H542" s="1">
        <v>0</v>
      </c>
      <c r="I542" s="1">
        <v>0</v>
      </c>
      <c r="J542" s="1">
        <v>0</v>
      </c>
      <c r="K542" s="1">
        <v>0</v>
      </c>
      <c r="L542" s="1">
        <v>0</v>
      </c>
      <c r="M542" s="1">
        <v>0</v>
      </c>
      <c r="N542" s="1">
        <v>1</v>
      </c>
      <c r="O542" s="1">
        <v>0</v>
      </c>
      <c r="P542" s="1">
        <f>LN(B542)</f>
        <v>3.3322045101752</v>
      </c>
      <c r="Q542" s="1">
        <f>1-SUM(F542:J542)</f>
        <v>0</v>
      </c>
      <c r="R542" s="1" t="str">
        <f>IF(F542=1,"Napa valley",IF(G542=1,"Bay area",IF(H542=1,"Sonoma",IF(I542=1,"Sierra/foothills",IF(J542=1,"Mendocino/lake","Generic California")))))</f>
        <v>Napa valley</v>
      </c>
      <c r="S542" s="1" t="str">
        <f>IF(F542=1,"Napa valley",IF(H542=1,"Sonoma","Other"))</f>
        <v>Napa valley</v>
      </c>
      <c r="T542" s="1" t="str">
        <f>IF(M542=1,"Cabernet",IF(N542=1,"Merlot",IF(L542=1,"Pinot noir","Other")))</f>
        <v>Merlot</v>
      </c>
      <c r="U542" s="1">
        <f>IF(F542=1,B542,"")</f>
        <v>28</v>
      </c>
      <c r="V542" s="1" t="str">
        <f>IF(F542=0,B542,"")</f>
        <v/>
      </c>
      <c r="W542" s="1">
        <f>'Part B'!$B$150+SUMPRODUCT('Part B'!$B$164:$N$164,C542:O542)</f>
        <v>35.7164399461211</v>
      </c>
      <c r="X542" s="1">
        <f>B542-W542</f>
        <v>-7.71643994612111</v>
      </c>
      <c r="Y542" s="1">
        <f>'Part B'!$B$179+SUMPRODUCT('Part B'!$B$193:$N$193,C542:O542)</f>
        <v>3.40790628598856</v>
      </c>
      <c r="Z542" s="1">
        <f>P542-Y542</f>
        <v>-0.0757017758133531</v>
      </c>
      <c r="AB542" s="1">
        <f>C542</f>
        <v>0.21</v>
      </c>
      <c r="AC542" s="1">
        <f>D542</f>
        <v>87</v>
      </c>
      <c r="AD542" s="1">
        <f>E542</f>
        <v>3</v>
      </c>
      <c r="AE542" s="1">
        <f>F542</f>
        <v>1</v>
      </c>
      <c r="AF542" s="1">
        <f>G542</f>
        <v>0</v>
      </c>
      <c r="AG542" s="1">
        <f>I542</f>
        <v>0</v>
      </c>
      <c r="AH542" s="1">
        <f>J542</f>
        <v>0</v>
      </c>
      <c r="AI542" s="1">
        <f>Q542</f>
        <v>0</v>
      </c>
      <c r="AJ542" s="1">
        <f>K542</f>
        <v>0</v>
      </c>
      <c r="AK542" s="1">
        <f>L542</f>
        <v>0</v>
      </c>
      <c r="AL542" s="1">
        <f>M542</f>
        <v>0</v>
      </c>
      <c r="AM542" s="1">
        <f>N542</f>
        <v>1</v>
      </c>
      <c r="AN542" s="1">
        <f>O542</f>
        <v>0</v>
      </c>
    </row>
    <row r="543">
      <c r="A543" s="1">
        <v>741</v>
      </c>
      <c r="B543" s="1">
        <v>28</v>
      </c>
      <c r="C543" s="1">
        <v>0.998</v>
      </c>
      <c r="D543" s="1">
        <v>87</v>
      </c>
      <c r="E543" s="1">
        <v>3</v>
      </c>
      <c r="F543" s="1">
        <v>0</v>
      </c>
      <c r="G543" s="1">
        <v>1</v>
      </c>
      <c r="H543" s="1">
        <v>0</v>
      </c>
      <c r="I543" s="1">
        <v>0</v>
      </c>
      <c r="J543" s="1">
        <v>0</v>
      </c>
      <c r="K543" s="1">
        <v>0</v>
      </c>
      <c r="L543" s="1">
        <v>1</v>
      </c>
      <c r="M543" s="1">
        <v>0</v>
      </c>
      <c r="N543" s="1">
        <v>0</v>
      </c>
      <c r="O543" s="1">
        <v>0</v>
      </c>
      <c r="P543" s="1">
        <f>LN(B543)</f>
        <v>3.3322045101752</v>
      </c>
      <c r="Q543" s="1">
        <f>1-SUM(F543:J543)</f>
        <v>0</v>
      </c>
      <c r="R543" s="1" t="str">
        <f>IF(F543=1,"Napa valley",IF(G543=1,"Bay area",IF(H543=1,"Sonoma",IF(I543=1,"Sierra/foothills",IF(J543=1,"Mendocino/lake","Generic California")))))</f>
        <v>Bay area</v>
      </c>
      <c r="S543" s="1" t="str">
        <f>IF(F543=1,"Napa valley",IF(H543=1,"Sonoma","Other"))</f>
        <v>Other</v>
      </c>
      <c r="T543" s="1" t="str">
        <f>IF(M543=1,"Cabernet",IF(N543=1,"Merlot",IF(L543=1,"Pinot noir","Other")))</f>
        <v>Pinot noir</v>
      </c>
      <c r="U543" s="1" t="str">
        <f>IF(F543=1,B543,"")</f>
        <v/>
      </c>
      <c r="V543" s="1">
        <f>IF(F543=0,B543,"")</f>
        <v>28</v>
      </c>
      <c r="W543" s="1">
        <f>'Part B'!$B$150+SUMPRODUCT('Part B'!$B$164:$N$164,C543:O543)</f>
        <v>32.6535711615646</v>
      </c>
      <c r="X543" s="1">
        <f>B543-W543</f>
        <v>-4.65357116156463</v>
      </c>
      <c r="Y543" s="1">
        <f>'Part B'!$B$179+SUMPRODUCT('Part B'!$B$193:$N$193,C543:O543)</f>
        <v>3.29180948918859</v>
      </c>
      <c r="Z543" s="1">
        <f>P543-Y543</f>
        <v>0.0403950209866175</v>
      </c>
      <c r="AB543" s="1">
        <f>C543</f>
        <v>0.998</v>
      </c>
      <c r="AC543" s="1">
        <f>D543</f>
        <v>87</v>
      </c>
      <c r="AD543" s="1">
        <f>E543</f>
        <v>3</v>
      </c>
      <c r="AE543" s="1">
        <f>F543</f>
        <v>0</v>
      </c>
      <c r="AF543" s="1">
        <f>G543</f>
        <v>1</v>
      </c>
      <c r="AG543" s="1">
        <f>I543</f>
        <v>0</v>
      </c>
      <c r="AH543" s="1">
        <f>J543</f>
        <v>0</v>
      </c>
      <c r="AI543" s="1">
        <f>Q543</f>
        <v>0</v>
      </c>
      <c r="AJ543" s="1">
        <f>K543</f>
        <v>0</v>
      </c>
      <c r="AK543" s="1">
        <f>L543</f>
        <v>1</v>
      </c>
      <c r="AL543" s="1">
        <f>M543</f>
        <v>0</v>
      </c>
      <c r="AM543" s="1">
        <f>N543</f>
        <v>0</v>
      </c>
      <c r="AN543" s="1">
        <f>O543</f>
        <v>0</v>
      </c>
    </row>
    <row r="544">
      <c r="A544" s="1">
        <v>742</v>
      </c>
      <c r="B544" s="1">
        <v>28</v>
      </c>
      <c r="C544" s="1">
        <v>0.12</v>
      </c>
      <c r="D544" s="1">
        <v>88</v>
      </c>
      <c r="E544" s="1">
        <v>3</v>
      </c>
      <c r="F544" s="1">
        <v>1</v>
      </c>
      <c r="G544" s="1">
        <v>0</v>
      </c>
      <c r="H544" s="1">
        <v>0</v>
      </c>
      <c r="I544" s="1">
        <v>0</v>
      </c>
      <c r="J544" s="1">
        <v>0</v>
      </c>
      <c r="K544" s="1">
        <v>0</v>
      </c>
      <c r="L544" s="1">
        <v>0</v>
      </c>
      <c r="M544" s="1">
        <v>0</v>
      </c>
      <c r="N544" s="1">
        <v>1</v>
      </c>
      <c r="O544" s="1">
        <v>0</v>
      </c>
      <c r="P544" s="1">
        <f>LN(B544)</f>
        <v>3.3322045101752</v>
      </c>
      <c r="Q544" s="1">
        <f>1-SUM(F544:J544)</f>
        <v>0</v>
      </c>
      <c r="R544" s="1" t="str">
        <f>IF(F544=1,"Napa valley",IF(G544=1,"Bay area",IF(H544=1,"Sonoma",IF(I544=1,"Sierra/foothills",IF(J544=1,"Mendocino/lake","Generic California")))))</f>
        <v>Napa valley</v>
      </c>
      <c r="S544" s="1" t="str">
        <f>IF(F544=1,"Napa valley",IF(H544=1,"Sonoma","Other"))</f>
        <v>Napa valley</v>
      </c>
      <c r="T544" s="1" t="str">
        <f>IF(M544=1,"Cabernet",IF(N544=1,"Merlot",IF(L544=1,"Pinot noir","Other")))</f>
        <v>Merlot</v>
      </c>
      <c r="U544" s="1">
        <f>IF(F544=1,B544,"")</f>
        <v>28</v>
      </c>
      <c r="V544" s="1" t="str">
        <f>IF(F544=0,B544,"")</f>
        <v/>
      </c>
      <c r="W544" s="1">
        <f>'Part B'!$B$150+SUMPRODUCT('Part B'!$B$164:$N$164,C544:O544)</f>
        <v>38.8700792777484</v>
      </c>
      <c r="X544" s="1">
        <f>B544-W544</f>
        <v>-10.8700792777484</v>
      </c>
      <c r="Y544" s="1">
        <f>'Part B'!$B$179+SUMPRODUCT('Part B'!$B$193:$N$193,C544:O544)</f>
        <v>3.47825277082904</v>
      </c>
      <c r="Z544" s="1">
        <f>P544-Y544</f>
        <v>-0.146048260653837</v>
      </c>
      <c r="AB544" s="1">
        <f>C544</f>
        <v>0.12</v>
      </c>
      <c r="AC544" s="1">
        <f>D544</f>
        <v>88</v>
      </c>
      <c r="AD544" s="1">
        <f>E544</f>
        <v>3</v>
      </c>
      <c r="AE544" s="1">
        <f>F544</f>
        <v>1</v>
      </c>
      <c r="AF544" s="1">
        <f>G544</f>
        <v>0</v>
      </c>
      <c r="AG544" s="1">
        <f>I544</f>
        <v>0</v>
      </c>
      <c r="AH544" s="1">
        <f>J544</f>
        <v>0</v>
      </c>
      <c r="AI544" s="1">
        <f>Q544</f>
        <v>0</v>
      </c>
      <c r="AJ544" s="1">
        <f>K544</f>
        <v>0</v>
      </c>
      <c r="AK544" s="1">
        <f>L544</f>
        <v>0</v>
      </c>
      <c r="AL544" s="1">
        <f>M544</f>
        <v>0</v>
      </c>
      <c r="AM544" s="1">
        <f>N544</f>
        <v>1</v>
      </c>
      <c r="AN544" s="1">
        <f>O544</f>
        <v>0</v>
      </c>
    </row>
    <row r="545">
      <c r="A545" s="1">
        <v>744</v>
      </c>
      <c r="B545" s="1">
        <v>28</v>
      </c>
      <c r="C545" s="1">
        <v>0.5</v>
      </c>
      <c r="D545" s="1">
        <v>86</v>
      </c>
      <c r="E545" s="1">
        <v>2</v>
      </c>
      <c r="F545" s="1">
        <v>0</v>
      </c>
      <c r="G545" s="1">
        <v>0</v>
      </c>
      <c r="H545" s="1">
        <v>0</v>
      </c>
      <c r="I545" s="1">
        <v>1</v>
      </c>
      <c r="J545" s="1">
        <v>0</v>
      </c>
      <c r="K545" s="1">
        <v>0</v>
      </c>
      <c r="L545" s="1">
        <v>0</v>
      </c>
      <c r="M545" s="1">
        <v>1</v>
      </c>
      <c r="N545" s="1">
        <v>0</v>
      </c>
      <c r="O545" s="1">
        <v>0</v>
      </c>
      <c r="P545" s="1">
        <f>LN(B545)</f>
        <v>3.3322045101752</v>
      </c>
      <c r="Q545" s="1">
        <f>1-SUM(F545:J545)</f>
        <v>0</v>
      </c>
      <c r="R545" s="1" t="str">
        <f>IF(F545=1,"Napa valley",IF(G545=1,"Bay area",IF(H545=1,"Sonoma",IF(I545=1,"Sierra/foothills",IF(J545=1,"Mendocino/lake","Generic California")))))</f>
        <v>Sierra/foothills</v>
      </c>
      <c r="S545" s="1" t="str">
        <f>IF(F545=1,"Napa valley",IF(H545=1,"Sonoma","Other"))</f>
        <v>Other</v>
      </c>
      <c r="T545" s="1" t="str">
        <f>IF(M545=1,"Cabernet",IF(N545=1,"Merlot",IF(L545=1,"Pinot noir","Other")))</f>
        <v>Cabernet</v>
      </c>
      <c r="U545" s="1" t="str">
        <f>IF(F545=1,B545,"")</f>
        <v/>
      </c>
      <c r="V545" s="1">
        <f>IF(F545=0,B545,"")</f>
        <v>28</v>
      </c>
      <c r="W545" s="1">
        <f>'Part B'!$B$150+SUMPRODUCT('Part B'!$B$164:$N$164,C545:O545)</f>
        <v>28.8542255325683</v>
      </c>
      <c r="X545" s="1">
        <f>B545-W545</f>
        <v>-0.854225532568307</v>
      </c>
      <c r="Y545" s="1">
        <f>'Part B'!$B$179+SUMPRODUCT('Part B'!$B$193:$N$193,C545:O545)</f>
        <v>3.01161473990868</v>
      </c>
      <c r="Z545" s="1">
        <f>P545-Y545</f>
        <v>0.320589770266528</v>
      </c>
      <c r="AB545" s="1">
        <f>C545</f>
        <v>0.5</v>
      </c>
      <c r="AC545" s="1">
        <f>D545</f>
        <v>86</v>
      </c>
      <c r="AD545" s="1">
        <f>E545</f>
        <v>2</v>
      </c>
      <c r="AE545" s="1">
        <f>F545</f>
        <v>0</v>
      </c>
      <c r="AF545" s="1">
        <f>G545</f>
        <v>0</v>
      </c>
      <c r="AG545" s="1">
        <f>I545</f>
        <v>1</v>
      </c>
      <c r="AH545" s="1">
        <f>J545</f>
        <v>0</v>
      </c>
      <c r="AI545" s="1">
        <f>Q545</f>
        <v>0</v>
      </c>
      <c r="AJ545" s="1">
        <f>K545</f>
        <v>0</v>
      </c>
      <c r="AK545" s="1">
        <f>L545</f>
        <v>0</v>
      </c>
      <c r="AL545" s="1">
        <f>M545</f>
        <v>1</v>
      </c>
      <c r="AM545" s="1">
        <f>N545</f>
        <v>0</v>
      </c>
      <c r="AN545" s="1">
        <f>O545</f>
        <v>0</v>
      </c>
    </row>
    <row r="546">
      <c r="A546" s="1">
        <v>745</v>
      </c>
      <c r="B546" s="1">
        <v>28</v>
      </c>
      <c r="C546" s="1">
        <v>0.825</v>
      </c>
      <c r="D546" s="1">
        <v>86</v>
      </c>
      <c r="E546" s="1">
        <v>2</v>
      </c>
      <c r="F546" s="1">
        <v>0</v>
      </c>
      <c r="G546" s="1">
        <v>0</v>
      </c>
      <c r="H546" s="1">
        <v>1</v>
      </c>
      <c r="I546" s="1">
        <v>0</v>
      </c>
      <c r="J546" s="1">
        <v>0</v>
      </c>
      <c r="K546" s="1">
        <v>0</v>
      </c>
      <c r="L546" s="1">
        <v>1</v>
      </c>
      <c r="M546" s="1">
        <v>0</v>
      </c>
      <c r="N546" s="1">
        <v>0</v>
      </c>
      <c r="O546" s="1">
        <v>0</v>
      </c>
      <c r="P546" s="1">
        <f>LN(B546)</f>
        <v>3.3322045101752</v>
      </c>
      <c r="Q546" s="1">
        <f>1-SUM(F546:J546)</f>
        <v>0</v>
      </c>
      <c r="R546" s="1" t="str">
        <f>IF(F546=1,"Napa valley",IF(G546=1,"Bay area",IF(H546=1,"Sonoma",IF(I546=1,"Sierra/foothills",IF(J546=1,"Mendocino/lake","Generic California")))))</f>
        <v>Sonoma</v>
      </c>
      <c r="S546" s="1" t="str">
        <f>IF(F546=1,"Napa valley",IF(H546=1,"Sonoma","Other"))</f>
        <v>Sonoma</v>
      </c>
      <c r="T546" s="1" t="str">
        <f>IF(M546=1,"Cabernet",IF(N546=1,"Merlot",IF(L546=1,"Pinot noir","Other")))</f>
        <v>Pinot noir</v>
      </c>
      <c r="U546" s="1" t="str">
        <f>IF(F546=1,B546,"")</f>
        <v/>
      </c>
      <c r="V546" s="1">
        <f>IF(F546=0,B546,"")</f>
        <v>28</v>
      </c>
      <c r="W546" s="1">
        <f>'Part B'!$B$150+SUMPRODUCT('Part B'!$B$164:$N$164,C546:O546)</f>
        <v>19.7909682795769</v>
      </c>
      <c r="X546" s="1">
        <f>B546-W546</f>
        <v>8.20903172042307</v>
      </c>
      <c r="Y546" s="1">
        <f>'Part B'!$B$179+SUMPRODUCT('Part B'!$B$193:$N$193,C546:O546)</f>
        <v>3.06644799175111</v>
      </c>
      <c r="Z546" s="1">
        <f>P546-Y546</f>
        <v>0.265756518424096</v>
      </c>
      <c r="AB546" s="1">
        <f>C546</f>
        <v>0.825</v>
      </c>
      <c r="AC546" s="1">
        <f>D546</f>
        <v>86</v>
      </c>
      <c r="AD546" s="1">
        <f>E546</f>
        <v>2</v>
      </c>
      <c r="AE546" s="1">
        <f>F546</f>
        <v>0</v>
      </c>
      <c r="AF546" s="1">
        <f>G546</f>
        <v>0</v>
      </c>
      <c r="AG546" s="1">
        <f>I546</f>
        <v>0</v>
      </c>
      <c r="AH546" s="1">
        <f>J546</f>
        <v>0</v>
      </c>
      <c r="AI546" s="1">
        <f>Q546</f>
        <v>0</v>
      </c>
      <c r="AJ546" s="1">
        <f>K546</f>
        <v>0</v>
      </c>
      <c r="AK546" s="1">
        <f>L546</f>
        <v>1</v>
      </c>
      <c r="AL546" s="1">
        <f>M546</f>
        <v>0</v>
      </c>
      <c r="AM546" s="1">
        <f>N546</f>
        <v>0</v>
      </c>
      <c r="AN546" s="1">
        <f>O546</f>
        <v>0</v>
      </c>
    </row>
    <row r="547">
      <c r="A547" s="1">
        <v>747</v>
      </c>
      <c r="B547" s="1">
        <v>28</v>
      </c>
      <c r="C547" s="1">
        <v>0.7</v>
      </c>
      <c r="D547" s="1">
        <v>85</v>
      </c>
      <c r="E547" s="1">
        <v>2</v>
      </c>
      <c r="F547" s="1">
        <v>1</v>
      </c>
      <c r="G547" s="1">
        <v>0</v>
      </c>
      <c r="H547" s="1">
        <v>0</v>
      </c>
      <c r="I547" s="1">
        <v>0</v>
      </c>
      <c r="J547" s="1">
        <v>0</v>
      </c>
      <c r="K547" s="1">
        <v>0</v>
      </c>
      <c r="L547" s="1">
        <v>0</v>
      </c>
      <c r="M547" s="1">
        <v>0</v>
      </c>
      <c r="N547" s="1">
        <v>1</v>
      </c>
      <c r="O547" s="1">
        <v>0</v>
      </c>
      <c r="P547" s="1">
        <f>LN(B547)</f>
        <v>3.3322045101752</v>
      </c>
      <c r="Q547" s="1">
        <f>1-SUM(F547:J547)</f>
        <v>0</v>
      </c>
      <c r="R547" s="1" t="str">
        <f>IF(F547=1,"Napa valley",IF(G547=1,"Bay area",IF(H547=1,"Sonoma",IF(I547=1,"Sierra/foothills",IF(J547=1,"Mendocino/lake","Generic California")))))</f>
        <v>Napa valley</v>
      </c>
      <c r="S547" s="1" t="str">
        <f>IF(F547=1,"Napa valley",IF(H547=1,"Sonoma","Other"))</f>
        <v>Napa valley</v>
      </c>
      <c r="T547" s="1" t="str">
        <f>IF(M547=1,"Cabernet",IF(N547=1,"Merlot",IF(L547=1,"Pinot noir","Other")))</f>
        <v>Merlot</v>
      </c>
      <c r="U547" s="1">
        <f>IF(F547=1,B547,"")</f>
        <v>28</v>
      </c>
      <c r="V547" s="1" t="str">
        <f>IF(F547=0,B547,"")</f>
        <v/>
      </c>
      <c r="W547" s="1">
        <f>'Part B'!$B$150+SUMPRODUCT('Part B'!$B$164:$N$164,C547:O547)</f>
        <v>22.760133255903</v>
      </c>
      <c r="X547" s="1">
        <f>B547-W547</f>
        <v>5.23986674409701</v>
      </c>
      <c r="Y547" s="1">
        <f>'Part B'!$B$179+SUMPRODUCT('Part B'!$B$193:$N$193,C547:O547)</f>
        <v>3.082801523051</v>
      </c>
      <c r="Z547" s="1">
        <f>P547-Y547</f>
        <v>0.2494029871242</v>
      </c>
      <c r="AB547" s="1">
        <f>C547</f>
        <v>0.7</v>
      </c>
      <c r="AC547" s="1">
        <f>D547</f>
        <v>85</v>
      </c>
      <c r="AD547" s="1">
        <f>E547</f>
        <v>2</v>
      </c>
      <c r="AE547" s="1">
        <f>F547</f>
        <v>1</v>
      </c>
      <c r="AF547" s="1">
        <f>G547</f>
        <v>0</v>
      </c>
      <c r="AG547" s="1">
        <f>I547</f>
        <v>0</v>
      </c>
      <c r="AH547" s="1">
        <f>J547</f>
        <v>0</v>
      </c>
      <c r="AI547" s="1">
        <f>Q547</f>
        <v>0</v>
      </c>
      <c r="AJ547" s="1">
        <f>K547</f>
        <v>0</v>
      </c>
      <c r="AK547" s="1">
        <f>L547</f>
        <v>0</v>
      </c>
      <c r="AL547" s="1">
        <f>M547</f>
        <v>0</v>
      </c>
      <c r="AM547" s="1">
        <f>N547</f>
        <v>1</v>
      </c>
      <c r="AN547" s="1">
        <f>O547</f>
        <v>0</v>
      </c>
    </row>
    <row r="548">
      <c r="A548" s="1">
        <v>748</v>
      </c>
      <c r="B548" s="1">
        <v>28</v>
      </c>
      <c r="C548" s="1">
        <v>0.9</v>
      </c>
      <c r="D548" s="1">
        <v>92</v>
      </c>
      <c r="E548" s="1">
        <v>2</v>
      </c>
      <c r="F548" s="1">
        <v>0</v>
      </c>
      <c r="G548" s="1">
        <v>0</v>
      </c>
      <c r="H548" s="1">
        <v>1</v>
      </c>
      <c r="I548" s="1">
        <v>0</v>
      </c>
      <c r="J548" s="1">
        <v>0</v>
      </c>
      <c r="K548" s="1">
        <v>0</v>
      </c>
      <c r="L548" s="1">
        <v>0</v>
      </c>
      <c r="M548" s="1">
        <v>0</v>
      </c>
      <c r="N548" s="1">
        <v>0</v>
      </c>
      <c r="O548" s="1">
        <v>0</v>
      </c>
      <c r="P548" s="1">
        <f>LN(B548)</f>
        <v>3.3322045101752</v>
      </c>
      <c r="Q548" s="1">
        <f>1-SUM(F548:J548)</f>
        <v>0</v>
      </c>
      <c r="R548" s="1" t="str">
        <f>IF(F548=1,"Napa valley",IF(G548=1,"Bay area",IF(H548=1,"Sonoma",IF(I548=1,"Sierra/foothills",IF(J548=1,"Mendocino/lake","Generic California")))))</f>
        <v>Sonoma</v>
      </c>
      <c r="S548" s="1" t="str">
        <f>IF(F548=1,"Napa valley",IF(H548=1,"Sonoma","Other"))</f>
        <v>Sonoma</v>
      </c>
      <c r="T548" s="1" t="str">
        <f>IF(M548=1,"Cabernet",IF(N548=1,"Merlot",IF(L548=1,"Pinot noir","Other")))</f>
        <v>Other</v>
      </c>
      <c r="U548" s="1" t="str">
        <f>IF(F548=1,B548,"")</f>
        <v/>
      </c>
      <c r="V548" s="1">
        <f>IF(F548=0,B548,"")</f>
        <v>28</v>
      </c>
      <c r="W548" s="1">
        <f>'Part B'!$B$150+SUMPRODUCT('Part B'!$B$164:$N$164,C548:O548)</f>
        <v>29.2001727743407</v>
      </c>
      <c r="X548" s="1">
        <f>B548-W548</f>
        <v>-1.20017277434073</v>
      </c>
      <c r="Y548" s="1">
        <f>'Part B'!$B$179+SUMPRODUCT('Part B'!$B$193:$N$193,C548:O548)</f>
        <v>3.13937299643547</v>
      </c>
      <c r="Z548" s="1">
        <f>P548-Y548</f>
        <v>0.192831513739731</v>
      </c>
      <c r="AB548" s="1">
        <f>C548</f>
        <v>0.9</v>
      </c>
      <c r="AC548" s="1">
        <f>D548</f>
        <v>92</v>
      </c>
      <c r="AD548" s="1">
        <f>E548</f>
        <v>2</v>
      </c>
      <c r="AE548" s="1">
        <f>F548</f>
        <v>0</v>
      </c>
      <c r="AF548" s="1">
        <f>G548</f>
        <v>0</v>
      </c>
      <c r="AG548" s="1">
        <f>I548</f>
        <v>0</v>
      </c>
      <c r="AH548" s="1">
        <f>J548</f>
        <v>0</v>
      </c>
      <c r="AI548" s="1">
        <f>Q548</f>
        <v>0</v>
      </c>
      <c r="AJ548" s="1">
        <f>K548</f>
        <v>0</v>
      </c>
      <c r="AK548" s="1">
        <f>L548</f>
        <v>0</v>
      </c>
      <c r="AL548" s="1">
        <f>M548</f>
        <v>0</v>
      </c>
      <c r="AM548" s="1">
        <f>N548</f>
        <v>0</v>
      </c>
      <c r="AN548" s="1">
        <f>O548</f>
        <v>0</v>
      </c>
    </row>
    <row r="549">
      <c r="A549" s="1">
        <v>749</v>
      </c>
      <c r="B549" s="1">
        <v>28</v>
      </c>
      <c r="C549" s="1">
        <v>0.07</v>
      </c>
      <c r="D549" s="1">
        <v>92</v>
      </c>
      <c r="E549" s="1">
        <v>2</v>
      </c>
      <c r="F549" s="1">
        <v>0</v>
      </c>
      <c r="G549" s="1">
        <v>0</v>
      </c>
      <c r="H549" s="1">
        <v>0</v>
      </c>
      <c r="I549" s="1">
        <v>0</v>
      </c>
      <c r="J549" s="1">
        <v>1</v>
      </c>
      <c r="K549" s="1">
        <v>0</v>
      </c>
      <c r="L549" s="1">
        <v>1</v>
      </c>
      <c r="M549" s="1">
        <v>0</v>
      </c>
      <c r="N549" s="1">
        <v>0</v>
      </c>
      <c r="O549" s="1">
        <v>0</v>
      </c>
      <c r="P549" s="1">
        <f>LN(B549)</f>
        <v>3.3322045101752</v>
      </c>
      <c r="Q549" s="1">
        <f>1-SUM(F549:J549)</f>
        <v>0</v>
      </c>
      <c r="R549" s="1" t="str">
        <f>IF(F549=1,"Napa valley",IF(G549=1,"Bay area",IF(H549=1,"Sonoma",IF(I549=1,"Sierra/foothills",IF(J549=1,"Mendocino/lake","Generic California")))))</f>
        <v>Mendocino/lake</v>
      </c>
      <c r="S549" s="1" t="str">
        <f>IF(F549=1,"Napa valley",IF(H549=1,"Sonoma","Other"))</f>
        <v>Other</v>
      </c>
      <c r="T549" s="1" t="str">
        <f>IF(M549=1,"Cabernet",IF(N549=1,"Merlot",IF(L549=1,"Pinot noir","Other")))</f>
        <v>Pinot noir</v>
      </c>
      <c r="U549" s="1" t="str">
        <f>IF(F549=1,B549,"")</f>
        <v/>
      </c>
      <c r="V549" s="1">
        <f>IF(F549=0,B549,"")</f>
        <v>28</v>
      </c>
      <c r="W549" s="1">
        <f>'Part B'!$B$150+SUMPRODUCT('Part B'!$B$164:$N$164,C549:O549)</f>
        <v>40.4501936752817</v>
      </c>
      <c r="X549" s="1">
        <f>B549-W549</f>
        <v>-12.4501936752817</v>
      </c>
      <c r="Y549" s="1">
        <f>'Part B'!$B$179+SUMPRODUCT('Part B'!$B$193:$N$193,C549:O549)</f>
        <v>3.44474196118183</v>
      </c>
      <c r="Z549" s="1">
        <f>P549-Y549</f>
        <v>-0.11253745100663</v>
      </c>
      <c r="AB549" s="1">
        <f>C549</f>
        <v>0.07</v>
      </c>
      <c r="AC549" s="1">
        <f>D549</f>
        <v>92</v>
      </c>
      <c r="AD549" s="1">
        <f>E549</f>
        <v>2</v>
      </c>
      <c r="AE549" s="1">
        <f>F549</f>
        <v>0</v>
      </c>
      <c r="AF549" s="1">
        <f>G549</f>
        <v>0</v>
      </c>
      <c r="AG549" s="1">
        <f>I549</f>
        <v>0</v>
      </c>
      <c r="AH549" s="1">
        <f>J549</f>
        <v>1</v>
      </c>
      <c r="AI549" s="1">
        <f>Q549</f>
        <v>0</v>
      </c>
      <c r="AJ549" s="1">
        <f>K549</f>
        <v>0</v>
      </c>
      <c r="AK549" s="1">
        <f>L549</f>
        <v>1</v>
      </c>
      <c r="AL549" s="1">
        <f>M549</f>
        <v>0</v>
      </c>
      <c r="AM549" s="1">
        <f>N549</f>
        <v>0</v>
      </c>
      <c r="AN549" s="1">
        <f>O549</f>
        <v>0</v>
      </c>
    </row>
    <row r="550">
      <c r="A550" s="1">
        <v>752</v>
      </c>
      <c r="B550" s="1">
        <v>29</v>
      </c>
      <c r="C550" s="1">
        <v>0.65</v>
      </c>
      <c r="D550" s="1">
        <v>87</v>
      </c>
      <c r="E550" s="1">
        <v>4</v>
      </c>
      <c r="F550" s="1">
        <v>1</v>
      </c>
      <c r="G550" s="1">
        <v>0</v>
      </c>
      <c r="H550" s="1">
        <v>0</v>
      </c>
      <c r="I550" s="1">
        <v>0</v>
      </c>
      <c r="J550" s="1">
        <v>0</v>
      </c>
      <c r="K550" s="1">
        <v>0</v>
      </c>
      <c r="L550" s="1">
        <v>0</v>
      </c>
      <c r="M550" s="1">
        <v>0</v>
      </c>
      <c r="N550" s="1">
        <v>0</v>
      </c>
      <c r="O550" s="1">
        <v>1</v>
      </c>
      <c r="P550" s="1">
        <f>LN(B550)</f>
        <v>3.36729582998647</v>
      </c>
      <c r="Q550" s="1">
        <f>1-SUM(F550:J550)</f>
        <v>0</v>
      </c>
      <c r="R550" s="1" t="str">
        <f>IF(F550=1,"Napa valley",IF(G550=1,"Bay area",IF(H550=1,"Sonoma",IF(I550=1,"Sierra/foothills",IF(J550=1,"Mendocino/lake","Generic California")))))</f>
        <v>Napa valley</v>
      </c>
      <c r="S550" s="1" t="str">
        <f>IF(F550=1,"Napa valley",IF(H550=1,"Sonoma","Other"))</f>
        <v>Napa valley</v>
      </c>
      <c r="T550" s="1" t="str">
        <f>IF(M550=1,"Cabernet",IF(N550=1,"Merlot",IF(L550=1,"Pinot noir","Other")))</f>
        <v>Other</v>
      </c>
      <c r="U550" s="1">
        <f>IF(F550=1,B550,"")</f>
        <v>29</v>
      </c>
      <c r="V550" s="1" t="str">
        <f>IF(F550=0,B550,"")</f>
        <v/>
      </c>
      <c r="W550" s="1">
        <f>'Part B'!$B$150+SUMPRODUCT('Part B'!$B$164:$N$164,C550:O550)</f>
        <v>34.2277858909323</v>
      </c>
      <c r="X550" s="1">
        <f>B550-W550</f>
        <v>-5.2277858909323</v>
      </c>
      <c r="Y550" s="1">
        <f>'Part B'!$B$179+SUMPRODUCT('Part B'!$B$193:$N$193,C550:O550)</f>
        <v>3.34782800025816</v>
      </c>
      <c r="Z550" s="1">
        <f>P550-Y550</f>
        <v>0.0194678297283111</v>
      </c>
      <c r="AB550" s="1">
        <f>C550</f>
        <v>0.65</v>
      </c>
      <c r="AC550" s="1">
        <f>D550</f>
        <v>87</v>
      </c>
      <c r="AD550" s="1">
        <f>E550</f>
        <v>4</v>
      </c>
      <c r="AE550" s="1">
        <f>F550</f>
        <v>1</v>
      </c>
      <c r="AF550" s="1">
        <f>G550</f>
        <v>0</v>
      </c>
      <c r="AG550" s="1">
        <f>I550</f>
        <v>0</v>
      </c>
      <c r="AH550" s="1">
        <f>J550</f>
        <v>0</v>
      </c>
      <c r="AI550" s="1">
        <f>Q550</f>
        <v>0</v>
      </c>
      <c r="AJ550" s="1">
        <f>K550</f>
        <v>0</v>
      </c>
      <c r="AK550" s="1">
        <f>L550</f>
        <v>0</v>
      </c>
      <c r="AL550" s="1">
        <f>M550</f>
        <v>0</v>
      </c>
      <c r="AM550" s="1">
        <f>N550</f>
        <v>0</v>
      </c>
      <c r="AN550" s="1">
        <f>O550</f>
        <v>1</v>
      </c>
    </row>
    <row r="551">
      <c r="A551" s="1">
        <v>753</v>
      </c>
      <c r="B551" s="1">
        <v>27</v>
      </c>
      <c r="C551" s="1">
        <v>0.5</v>
      </c>
      <c r="D551" s="1">
        <v>89</v>
      </c>
      <c r="E551" s="1">
        <v>1</v>
      </c>
      <c r="F551" s="1">
        <v>0</v>
      </c>
      <c r="G551" s="1">
        <v>0</v>
      </c>
      <c r="H551" s="1">
        <v>1</v>
      </c>
      <c r="I551" s="1">
        <v>0</v>
      </c>
      <c r="J551" s="1">
        <v>0</v>
      </c>
      <c r="K551" s="1">
        <v>0</v>
      </c>
      <c r="L551" s="1">
        <v>1</v>
      </c>
      <c r="M551" s="1">
        <v>0</v>
      </c>
      <c r="N551" s="1">
        <v>0</v>
      </c>
      <c r="O551" s="1">
        <v>0</v>
      </c>
      <c r="P551" s="1">
        <f>LN(B551)</f>
        <v>3.29583686600433</v>
      </c>
      <c r="Q551" s="1">
        <f>1-SUM(F551:J551)</f>
        <v>0</v>
      </c>
      <c r="R551" s="1" t="str">
        <f>IF(F551=1,"Napa valley",IF(G551=1,"Bay area",IF(H551=1,"Sonoma",IF(I551=1,"Sierra/foothills",IF(J551=1,"Mendocino/lake","Generic California")))))</f>
        <v>Sonoma</v>
      </c>
      <c r="S551" s="1" t="str">
        <f>IF(F551=1,"Napa valley",IF(H551=1,"Sonoma","Other"))</f>
        <v>Sonoma</v>
      </c>
      <c r="T551" s="1" t="str">
        <f>IF(M551=1,"Cabernet",IF(N551=1,"Merlot",IF(L551=1,"Pinot noir","Other")))</f>
        <v>Pinot noir</v>
      </c>
      <c r="U551" s="1" t="str">
        <f>IF(F551=1,B551,"")</f>
        <v/>
      </c>
      <c r="V551" s="1">
        <f>IF(F551=0,B551,"")</f>
        <v>27</v>
      </c>
      <c r="W551" s="1">
        <f>'Part B'!$B$150+SUMPRODUCT('Part B'!$B$164:$N$164,C551:O551)</f>
        <v>22.6375017734106</v>
      </c>
      <c r="X551" s="1">
        <f>B551-W551</f>
        <v>4.36249822658942</v>
      </c>
      <c r="Y551" s="1">
        <f>'Part B'!$B$179+SUMPRODUCT('Part B'!$B$193:$N$193,C551:O551)</f>
        <v>3.09463751252393</v>
      </c>
      <c r="Z551" s="1">
        <f>P551-Y551</f>
        <v>0.201199353480398</v>
      </c>
      <c r="AB551" s="1">
        <f>C551</f>
        <v>0.5</v>
      </c>
      <c r="AC551" s="1">
        <f>D551</f>
        <v>89</v>
      </c>
      <c r="AD551" s="1">
        <f>E551</f>
        <v>1</v>
      </c>
      <c r="AE551" s="1">
        <f>F551</f>
        <v>0</v>
      </c>
      <c r="AF551" s="1">
        <f>G551</f>
        <v>0</v>
      </c>
      <c r="AG551" s="1">
        <f>I551</f>
        <v>0</v>
      </c>
      <c r="AH551" s="1">
        <f>J551</f>
        <v>0</v>
      </c>
      <c r="AI551" s="1">
        <f>Q551</f>
        <v>0</v>
      </c>
      <c r="AJ551" s="1">
        <f>K551</f>
        <v>0</v>
      </c>
      <c r="AK551" s="1">
        <f>L551</f>
        <v>1</v>
      </c>
      <c r="AL551" s="1">
        <f>M551</f>
        <v>0</v>
      </c>
      <c r="AM551" s="1">
        <f>N551</f>
        <v>0</v>
      </c>
      <c r="AN551" s="1">
        <f>O551</f>
        <v>0</v>
      </c>
    </row>
    <row r="552">
      <c r="A552" s="1">
        <v>755</v>
      </c>
      <c r="B552" s="1">
        <v>29</v>
      </c>
      <c r="C552" s="1">
        <v>2.645</v>
      </c>
      <c r="D552" s="1">
        <v>83</v>
      </c>
      <c r="E552" s="1">
        <v>3</v>
      </c>
      <c r="F552" s="1">
        <v>0</v>
      </c>
      <c r="G552" s="1">
        <v>0</v>
      </c>
      <c r="H552" s="1">
        <v>1</v>
      </c>
      <c r="I552" s="1">
        <v>0</v>
      </c>
      <c r="J552" s="1">
        <v>0</v>
      </c>
      <c r="K552" s="1">
        <v>0</v>
      </c>
      <c r="L552" s="1">
        <v>0</v>
      </c>
      <c r="M552" s="1">
        <v>0</v>
      </c>
      <c r="N552" s="1">
        <v>1</v>
      </c>
      <c r="O552" s="1">
        <v>0</v>
      </c>
      <c r="P552" s="1">
        <f>LN(B552)</f>
        <v>3.36729582998647</v>
      </c>
      <c r="Q552" s="1">
        <f>1-SUM(F552:J552)</f>
        <v>0</v>
      </c>
      <c r="R552" s="1" t="str">
        <f>IF(F552=1,"Napa valley",IF(G552=1,"Bay area",IF(H552=1,"Sonoma",IF(I552=1,"Sierra/foothills",IF(J552=1,"Mendocino/lake","Generic California")))))</f>
        <v>Sonoma</v>
      </c>
      <c r="S552" s="1" t="str">
        <f>IF(F552=1,"Napa valley",IF(H552=1,"Sonoma","Other"))</f>
        <v>Sonoma</v>
      </c>
      <c r="T552" s="1" t="str">
        <f>IF(M552=1,"Cabernet",IF(N552=1,"Merlot",IF(L552=1,"Pinot noir","Other")))</f>
        <v>Merlot</v>
      </c>
      <c r="U552" s="1" t="str">
        <f>IF(F552=1,B552,"")</f>
        <v/>
      </c>
      <c r="V552" s="1">
        <f>IF(F552=0,B552,"")</f>
        <v>29</v>
      </c>
      <c r="W552" s="1">
        <f>'Part B'!$B$150+SUMPRODUCT('Part B'!$B$164:$N$164,C552:O552)</f>
        <v>15.0084887278321</v>
      </c>
      <c r="X552" s="1">
        <f>B552-W552</f>
        <v>13.9915112721679</v>
      </c>
      <c r="Y552" s="1">
        <f>'Part B'!$B$179+SUMPRODUCT('Part B'!$B$193:$N$193,C552:O552)</f>
        <v>2.9698537174004</v>
      </c>
      <c r="Z552" s="1">
        <f>P552-Y552</f>
        <v>0.397442112586072</v>
      </c>
      <c r="AB552" s="1">
        <f>C552</f>
        <v>2.645</v>
      </c>
      <c r="AC552" s="1">
        <f>D552</f>
        <v>83</v>
      </c>
      <c r="AD552" s="1">
        <f>E552</f>
        <v>3</v>
      </c>
      <c r="AE552" s="1">
        <f>F552</f>
        <v>0</v>
      </c>
      <c r="AF552" s="1">
        <f>G552</f>
        <v>0</v>
      </c>
      <c r="AG552" s="1">
        <f>I552</f>
        <v>0</v>
      </c>
      <c r="AH552" s="1">
        <f>J552</f>
        <v>0</v>
      </c>
      <c r="AI552" s="1">
        <f>Q552</f>
        <v>0</v>
      </c>
      <c r="AJ552" s="1">
        <f>K552</f>
        <v>0</v>
      </c>
      <c r="AK552" s="1">
        <f>L552</f>
        <v>0</v>
      </c>
      <c r="AL552" s="1">
        <f>M552</f>
        <v>0</v>
      </c>
      <c r="AM552" s="1">
        <f>N552</f>
        <v>1</v>
      </c>
      <c r="AN552" s="1">
        <f>O552</f>
        <v>0</v>
      </c>
    </row>
    <row r="553">
      <c r="A553" s="1">
        <v>756</v>
      </c>
      <c r="B553" s="1">
        <v>29</v>
      </c>
      <c r="C553" s="1">
        <v>4</v>
      </c>
      <c r="D553" s="1">
        <v>92</v>
      </c>
      <c r="E553" s="1">
        <v>3</v>
      </c>
      <c r="F553" s="1">
        <v>0</v>
      </c>
      <c r="G553" s="1">
        <v>0</v>
      </c>
      <c r="H553" s="1">
        <v>1</v>
      </c>
      <c r="I553" s="1">
        <v>0</v>
      </c>
      <c r="J553" s="1">
        <v>0</v>
      </c>
      <c r="K553" s="1">
        <v>0</v>
      </c>
      <c r="L553" s="1">
        <v>0</v>
      </c>
      <c r="M553" s="1">
        <v>1</v>
      </c>
      <c r="N553" s="1">
        <v>0</v>
      </c>
      <c r="O553" s="1">
        <v>0</v>
      </c>
      <c r="P553" s="1">
        <f>LN(B553)</f>
        <v>3.36729582998647</v>
      </c>
      <c r="Q553" s="1">
        <f>1-SUM(F553:J553)</f>
        <v>0</v>
      </c>
      <c r="R553" s="1" t="str">
        <f>IF(F553=1,"Napa valley",IF(G553=1,"Bay area",IF(H553=1,"Sonoma",IF(I553=1,"Sierra/foothills",IF(J553=1,"Mendocino/lake","Generic California")))))</f>
        <v>Sonoma</v>
      </c>
      <c r="S553" s="1" t="str">
        <f>IF(F553=1,"Napa valley",IF(H553=1,"Sonoma","Other"))</f>
        <v>Sonoma</v>
      </c>
      <c r="T553" s="1" t="str">
        <f>IF(M553=1,"Cabernet",IF(N553=1,"Merlot",IF(L553=1,"Pinot noir","Other")))</f>
        <v>Cabernet</v>
      </c>
      <c r="U553" s="1" t="str">
        <f>IF(F553=1,B553,"")</f>
        <v/>
      </c>
      <c r="V553" s="1">
        <f>IF(F553=0,B553,"")</f>
        <v>29</v>
      </c>
      <c r="W553" s="1">
        <f>'Part B'!$B$150+SUMPRODUCT('Part B'!$B$164:$N$164,C553:O553)</f>
        <v>48.1527984890558</v>
      </c>
      <c r="X553" s="1">
        <f>B553-W553</f>
        <v>-19.1527984890558</v>
      </c>
      <c r="Y553" s="1">
        <f>'Part B'!$B$179+SUMPRODUCT('Part B'!$B$193:$N$193,C553:O553)</f>
        <v>3.6301888311147</v>
      </c>
      <c r="Z553" s="1">
        <f>P553-Y553</f>
        <v>-0.262893001128222</v>
      </c>
      <c r="AB553" s="1">
        <f>C553</f>
        <v>4</v>
      </c>
      <c r="AC553" s="1">
        <f>D553</f>
        <v>92</v>
      </c>
      <c r="AD553" s="1">
        <f>E553</f>
        <v>3</v>
      </c>
      <c r="AE553" s="1">
        <f>F553</f>
        <v>0</v>
      </c>
      <c r="AF553" s="1">
        <f>G553</f>
        <v>0</v>
      </c>
      <c r="AG553" s="1">
        <f>I553</f>
        <v>0</v>
      </c>
      <c r="AH553" s="1">
        <f>J553</f>
        <v>0</v>
      </c>
      <c r="AI553" s="1">
        <f>Q553</f>
        <v>0</v>
      </c>
      <c r="AJ553" s="1">
        <f>K553</f>
        <v>0</v>
      </c>
      <c r="AK553" s="1">
        <f>L553</f>
        <v>0</v>
      </c>
      <c r="AL553" s="1">
        <f>M553</f>
        <v>1</v>
      </c>
      <c r="AM553" s="1">
        <f>N553</f>
        <v>0</v>
      </c>
      <c r="AN553" s="1">
        <f>O553</f>
        <v>0</v>
      </c>
    </row>
    <row r="554">
      <c r="A554" s="1">
        <v>757</v>
      </c>
      <c r="B554" s="1">
        <v>29</v>
      </c>
      <c r="C554" s="1">
        <v>5</v>
      </c>
      <c r="D554" s="1">
        <v>91</v>
      </c>
      <c r="E554" s="1">
        <v>3</v>
      </c>
      <c r="F554" s="1">
        <v>0</v>
      </c>
      <c r="G554" s="1">
        <v>0</v>
      </c>
      <c r="H554" s="1">
        <v>1</v>
      </c>
      <c r="I554" s="1">
        <v>0</v>
      </c>
      <c r="J554" s="1">
        <v>0</v>
      </c>
      <c r="K554" s="1">
        <v>0</v>
      </c>
      <c r="L554" s="1">
        <v>0</v>
      </c>
      <c r="M554" s="1">
        <v>0</v>
      </c>
      <c r="N554" s="1">
        <v>1</v>
      </c>
      <c r="O554" s="1">
        <v>0</v>
      </c>
      <c r="P554" s="1">
        <f>LN(B554)</f>
        <v>3.36729582998647</v>
      </c>
      <c r="Q554" s="1">
        <f>1-SUM(F554:J554)</f>
        <v>0</v>
      </c>
      <c r="R554" s="1" t="str">
        <f>IF(F554=1,"Napa valley",IF(G554=1,"Bay area",IF(H554=1,"Sonoma",IF(I554=1,"Sierra/foothills",IF(J554=1,"Mendocino/lake","Generic California")))))</f>
        <v>Sonoma</v>
      </c>
      <c r="S554" s="1" t="str">
        <f>IF(F554=1,"Napa valley",IF(H554=1,"Sonoma","Other"))</f>
        <v>Sonoma</v>
      </c>
      <c r="T554" s="1" t="str">
        <f>IF(M554=1,"Cabernet",IF(N554=1,"Merlot",IF(L554=1,"Pinot noir","Other")))</f>
        <v>Merlot</v>
      </c>
      <c r="U554" s="1" t="str">
        <f>IF(F554=1,B554,"")</f>
        <v/>
      </c>
      <c r="V554" s="1">
        <f>IF(F554=0,B554,"")</f>
        <v>29</v>
      </c>
      <c r="W554" s="1">
        <f>'Part B'!$B$150+SUMPRODUCT('Part B'!$B$164:$N$164,C554:O554)</f>
        <v>39.9457435392385</v>
      </c>
      <c r="X554" s="1">
        <f>B554-W554</f>
        <v>-10.9457435392385</v>
      </c>
      <c r="Y554" s="1">
        <f>'Part B'!$B$179+SUMPRODUCT('Part B'!$B$193:$N$193,C554:O554)</f>
        <v>3.51946746465314</v>
      </c>
      <c r="Z554" s="1">
        <f>P554-Y554</f>
        <v>-0.152171634666669</v>
      </c>
      <c r="AB554" s="1">
        <f>C554</f>
        <v>5</v>
      </c>
      <c r="AC554" s="1">
        <f>D554</f>
        <v>91</v>
      </c>
      <c r="AD554" s="1">
        <f>E554</f>
        <v>3</v>
      </c>
      <c r="AE554" s="1">
        <f>F554</f>
        <v>0</v>
      </c>
      <c r="AF554" s="1">
        <f>G554</f>
        <v>0</v>
      </c>
      <c r="AG554" s="1">
        <f>I554</f>
        <v>0</v>
      </c>
      <c r="AH554" s="1">
        <f>J554</f>
        <v>0</v>
      </c>
      <c r="AI554" s="1">
        <f>Q554</f>
        <v>0</v>
      </c>
      <c r="AJ554" s="1">
        <f>K554</f>
        <v>0</v>
      </c>
      <c r="AK554" s="1">
        <f>L554</f>
        <v>0</v>
      </c>
      <c r="AL554" s="1">
        <f>M554</f>
        <v>0</v>
      </c>
      <c r="AM554" s="1">
        <f>N554</f>
        <v>1</v>
      </c>
      <c r="AN554" s="1">
        <f>O554</f>
        <v>0</v>
      </c>
    </row>
    <row r="555">
      <c r="A555" s="1">
        <v>759</v>
      </c>
      <c r="B555" s="1">
        <v>30</v>
      </c>
      <c r="C555" s="1">
        <v>0.281</v>
      </c>
      <c r="D555" s="1">
        <v>88</v>
      </c>
      <c r="E555" s="1">
        <v>5</v>
      </c>
      <c r="F555" s="1">
        <v>1</v>
      </c>
      <c r="G555" s="1">
        <v>0</v>
      </c>
      <c r="H555" s="1">
        <v>0</v>
      </c>
      <c r="I555" s="1">
        <v>0</v>
      </c>
      <c r="J555" s="1">
        <v>0</v>
      </c>
      <c r="K555" s="1">
        <v>1</v>
      </c>
      <c r="L555" s="1">
        <v>0</v>
      </c>
      <c r="M555" s="1">
        <v>0</v>
      </c>
      <c r="N555" s="1">
        <v>0</v>
      </c>
      <c r="O555" s="1">
        <v>0</v>
      </c>
      <c r="P555" s="1">
        <f>LN(B555)</f>
        <v>3.40119738166216</v>
      </c>
      <c r="Q555" s="1">
        <f>1-SUM(F555:J555)</f>
        <v>0</v>
      </c>
      <c r="R555" s="1" t="str">
        <f>IF(F555=1,"Napa valley",IF(G555=1,"Bay area",IF(H555=1,"Sonoma",IF(I555=1,"Sierra/foothills",IF(J555=1,"Mendocino/lake","Generic California")))))</f>
        <v>Napa valley</v>
      </c>
      <c r="S555" s="1" t="str">
        <f>IF(F555=1,"Napa valley",IF(H555=1,"Sonoma","Other"))</f>
        <v>Napa valley</v>
      </c>
      <c r="T555" s="1" t="str">
        <f>IF(M555=1,"Cabernet",IF(N555=1,"Merlot",IF(L555=1,"Pinot noir","Other")))</f>
        <v>Other</v>
      </c>
      <c r="U555" s="1">
        <f>IF(F555=1,B555,"")</f>
        <v>30</v>
      </c>
      <c r="V555" s="1" t="str">
        <f>IF(F555=0,B555,"")</f>
        <v/>
      </c>
      <c r="W555" s="1">
        <f>'Part B'!$B$150+SUMPRODUCT('Part B'!$B$164:$N$164,C555:O555)</f>
        <v>64.7215915305707</v>
      </c>
      <c r="X555" s="1">
        <f>B555-W555</f>
        <v>-34.7215915305707</v>
      </c>
      <c r="Y555" s="1">
        <f>'Part B'!$B$179+SUMPRODUCT('Part B'!$B$193:$N$193,C555:O555)</f>
        <v>4.03780714005475</v>
      </c>
      <c r="Z555" s="1">
        <f>P555-Y555</f>
        <v>-0.636609758392593</v>
      </c>
      <c r="AB555" s="1">
        <f>C555</f>
        <v>0.281</v>
      </c>
      <c r="AC555" s="1">
        <f>D555</f>
        <v>88</v>
      </c>
      <c r="AD555" s="1">
        <f>E555</f>
        <v>5</v>
      </c>
      <c r="AE555" s="1">
        <f>F555</f>
        <v>1</v>
      </c>
      <c r="AF555" s="1">
        <f>G555</f>
        <v>0</v>
      </c>
      <c r="AG555" s="1">
        <f>I555</f>
        <v>0</v>
      </c>
      <c r="AH555" s="1">
        <f>J555</f>
        <v>0</v>
      </c>
      <c r="AI555" s="1">
        <f>Q555</f>
        <v>0</v>
      </c>
      <c r="AJ555" s="1">
        <f>K555</f>
        <v>1</v>
      </c>
      <c r="AK555" s="1">
        <f>L555</f>
        <v>0</v>
      </c>
      <c r="AL555" s="1">
        <f>M555</f>
        <v>0</v>
      </c>
      <c r="AM555" s="1">
        <f>N555</f>
        <v>0</v>
      </c>
      <c r="AN555" s="1">
        <f>O555</f>
        <v>0</v>
      </c>
    </row>
    <row r="556">
      <c r="A556" s="1">
        <v>762</v>
      </c>
      <c r="B556" s="1">
        <v>30</v>
      </c>
      <c r="C556" s="1">
        <v>2.882</v>
      </c>
      <c r="D556" s="1">
        <v>91</v>
      </c>
      <c r="E556" s="1">
        <v>4</v>
      </c>
      <c r="F556" s="1">
        <v>1</v>
      </c>
      <c r="G556" s="1">
        <v>0</v>
      </c>
      <c r="H556" s="1">
        <v>0</v>
      </c>
      <c r="I556" s="1">
        <v>0</v>
      </c>
      <c r="J556" s="1">
        <v>0</v>
      </c>
      <c r="K556" s="1">
        <v>0</v>
      </c>
      <c r="L556" s="1">
        <v>0</v>
      </c>
      <c r="M556" s="1">
        <v>1</v>
      </c>
      <c r="N556" s="1">
        <v>0</v>
      </c>
      <c r="O556" s="1">
        <v>0</v>
      </c>
      <c r="P556" s="1">
        <f>LN(B556)</f>
        <v>3.40119738166216</v>
      </c>
      <c r="Q556" s="1">
        <f>1-SUM(F556:J556)</f>
        <v>0</v>
      </c>
      <c r="R556" s="1" t="str">
        <f>IF(F556=1,"Napa valley",IF(G556=1,"Bay area",IF(H556=1,"Sonoma",IF(I556=1,"Sierra/foothills",IF(J556=1,"Mendocino/lake","Generic California")))))</f>
        <v>Napa valley</v>
      </c>
      <c r="S556" s="1" t="str">
        <f>IF(F556=1,"Napa valley",IF(H556=1,"Sonoma","Other"))</f>
        <v>Napa valley</v>
      </c>
      <c r="T556" s="1" t="str">
        <f>IF(M556=1,"Cabernet",IF(N556=1,"Merlot",IF(L556=1,"Pinot noir","Other")))</f>
        <v>Cabernet</v>
      </c>
      <c r="U556" s="1">
        <f>IF(F556=1,B556,"")</f>
        <v>30</v>
      </c>
      <c r="V556" s="1" t="str">
        <f>IF(F556=0,B556,"")</f>
        <v/>
      </c>
      <c r="W556" s="1">
        <f>'Part B'!$B$150+SUMPRODUCT('Part B'!$B$164:$N$164,C556:O556)</f>
        <v>59.6298675693169</v>
      </c>
      <c r="X556" s="1">
        <f>B556-W556</f>
        <v>-29.6298675693169</v>
      </c>
      <c r="Y556" s="1">
        <f>'Part B'!$B$179+SUMPRODUCT('Part B'!$B$193:$N$193,C556:O556)</f>
        <v>3.89588430672725</v>
      </c>
      <c r="Z556" s="1">
        <f>P556-Y556</f>
        <v>-0.494686925065097</v>
      </c>
      <c r="AB556" s="1">
        <f>C556</f>
        <v>2.882</v>
      </c>
      <c r="AC556" s="1">
        <f>D556</f>
        <v>91</v>
      </c>
      <c r="AD556" s="1">
        <f>E556</f>
        <v>4</v>
      </c>
      <c r="AE556" s="1">
        <f>F556</f>
        <v>1</v>
      </c>
      <c r="AF556" s="1">
        <f>G556</f>
        <v>0</v>
      </c>
      <c r="AG556" s="1">
        <f>I556</f>
        <v>0</v>
      </c>
      <c r="AH556" s="1">
        <f>J556</f>
        <v>0</v>
      </c>
      <c r="AI556" s="1">
        <f>Q556</f>
        <v>0</v>
      </c>
      <c r="AJ556" s="1">
        <f>K556</f>
        <v>0</v>
      </c>
      <c r="AK556" s="1">
        <f>L556</f>
        <v>0</v>
      </c>
      <c r="AL556" s="1">
        <f>M556</f>
        <v>1</v>
      </c>
      <c r="AM556" s="1">
        <f>N556</f>
        <v>0</v>
      </c>
      <c r="AN556" s="1">
        <f>O556</f>
        <v>0</v>
      </c>
    </row>
    <row r="557">
      <c r="A557" s="1">
        <v>763</v>
      </c>
      <c r="B557" s="1">
        <v>30</v>
      </c>
      <c r="C557" s="1">
        <v>0.124</v>
      </c>
      <c r="D557" s="1">
        <v>86</v>
      </c>
      <c r="E557" s="1">
        <v>4</v>
      </c>
      <c r="F557" s="1">
        <v>1</v>
      </c>
      <c r="G557" s="1">
        <v>0</v>
      </c>
      <c r="H557" s="1">
        <v>0</v>
      </c>
      <c r="I557" s="1">
        <v>0</v>
      </c>
      <c r="J557" s="1">
        <v>0</v>
      </c>
      <c r="K557" s="1">
        <v>0</v>
      </c>
      <c r="L557" s="1">
        <v>0</v>
      </c>
      <c r="M557" s="1">
        <v>0</v>
      </c>
      <c r="N557" s="1">
        <v>0</v>
      </c>
      <c r="O557" s="1">
        <v>0</v>
      </c>
      <c r="P557" s="1">
        <f>LN(B557)</f>
        <v>3.40119738166216</v>
      </c>
      <c r="Q557" s="1">
        <f>1-SUM(F557:J557)</f>
        <v>0</v>
      </c>
      <c r="R557" s="1" t="str">
        <f>IF(F557=1,"Napa valley",IF(G557=1,"Bay area",IF(H557=1,"Sonoma",IF(I557=1,"Sierra/foothills",IF(J557=1,"Mendocino/lake","Generic California")))))</f>
        <v>Napa valley</v>
      </c>
      <c r="S557" s="1" t="str">
        <f>IF(F557=1,"Napa valley",IF(H557=1,"Sonoma","Other"))</f>
        <v>Napa valley</v>
      </c>
      <c r="T557" s="1" t="str">
        <f>IF(M557=1,"Cabernet",IF(N557=1,"Merlot",IF(L557=1,"Pinot noir","Other")))</f>
        <v>Other</v>
      </c>
      <c r="U557" s="1">
        <f>IF(F557=1,B557,"")</f>
        <v>30</v>
      </c>
      <c r="V557" s="1" t="str">
        <f>IF(F557=0,B557,"")</f>
        <v/>
      </c>
      <c r="W557" s="1">
        <f>'Part B'!$B$150+SUMPRODUCT('Part B'!$B$164:$N$164,C557:O557)</f>
        <v>31.5389006419631</v>
      </c>
      <c r="X557" s="1">
        <f>B557-W557</f>
        <v>-1.5389006419631</v>
      </c>
      <c r="Y557" s="1">
        <f>'Part B'!$B$179+SUMPRODUCT('Part B'!$B$193:$N$193,C557:O557)</f>
        <v>3.23688346953889</v>
      </c>
      <c r="Z557" s="1">
        <f>P557-Y557</f>
        <v>0.164313912123269</v>
      </c>
      <c r="AB557" s="1">
        <f>C557</f>
        <v>0.124</v>
      </c>
      <c r="AC557" s="1">
        <f>D557</f>
        <v>86</v>
      </c>
      <c r="AD557" s="1">
        <f>E557</f>
        <v>4</v>
      </c>
      <c r="AE557" s="1">
        <f>F557</f>
        <v>1</v>
      </c>
      <c r="AF557" s="1">
        <f>G557</f>
        <v>0</v>
      </c>
      <c r="AG557" s="1">
        <f>I557</f>
        <v>0</v>
      </c>
      <c r="AH557" s="1">
        <f>J557</f>
        <v>0</v>
      </c>
      <c r="AI557" s="1">
        <f>Q557</f>
        <v>0</v>
      </c>
      <c r="AJ557" s="1">
        <f>K557</f>
        <v>0</v>
      </c>
      <c r="AK557" s="1">
        <f>L557</f>
        <v>0</v>
      </c>
      <c r="AL557" s="1">
        <f>M557</f>
        <v>0</v>
      </c>
      <c r="AM557" s="1">
        <f>N557</f>
        <v>0</v>
      </c>
      <c r="AN557" s="1">
        <f>O557</f>
        <v>0</v>
      </c>
    </row>
    <row r="558">
      <c r="A558" s="1">
        <v>767</v>
      </c>
      <c r="B558" s="1">
        <v>30</v>
      </c>
      <c r="C558" s="1">
        <v>1.327</v>
      </c>
      <c r="D558" s="1">
        <v>88</v>
      </c>
      <c r="E558" s="1">
        <v>3</v>
      </c>
      <c r="F558" s="1">
        <v>1</v>
      </c>
      <c r="G558" s="1">
        <v>0</v>
      </c>
      <c r="H558" s="1">
        <v>0</v>
      </c>
      <c r="I558" s="1">
        <v>0</v>
      </c>
      <c r="J558" s="1">
        <v>0</v>
      </c>
      <c r="K558" s="1">
        <v>0</v>
      </c>
      <c r="L558" s="1">
        <v>0</v>
      </c>
      <c r="M558" s="1">
        <v>0</v>
      </c>
      <c r="N558" s="1">
        <v>1</v>
      </c>
      <c r="O558" s="1">
        <v>0</v>
      </c>
      <c r="P558" s="1">
        <f>LN(B558)</f>
        <v>3.40119738166216</v>
      </c>
      <c r="Q558" s="1">
        <f>1-SUM(F558:J558)</f>
        <v>0</v>
      </c>
      <c r="R558" s="1" t="str">
        <f>IF(F558=1,"Napa valley",IF(G558=1,"Bay area",IF(H558=1,"Sonoma",IF(I558=1,"Sierra/foothills",IF(J558=1,"Mendocino/lake","Generic California")))))</f>
        <v>Napa valley</v>
      </c>
      <c r="S558" s="1" t="str">
        <f>IF(F558=1,"Napa valley",IF(H558=1,"Sonoma","Other"))</f>
        <v>Napa valley</v>
      </c>
      <c r="T558" s="1" t="str">
        <f>IF(M558=1,"Cabernet",IF(N558=1,"Merlot",IF(L558=1,"Pinot noir","Other")))</f>
        <v>Merlot</v>
      </c>
      <c r="U558" s="1">
        <f>IF(F558=1,B558,"")</f>
        <v>30</v>
      </c>
      <c r="V558" s="1" t="str">
        <f>IF(F558=0,B558,"")</f>
        <v/>
      </c>
      <c r="W558" s="1">
        <f>'Part B'!$B$150+SUMPRODUCT('Part B'!$B$164:$N$164,C558:O558)</f>
        <v>38.7555183578049</v>
      </c>
      <c r="X558" s="1">
        <f>B558-W558</f>
        <v>-8.75551835780493</v>
      </c>
      <c r="Y558" s="1">
        <f>'Part B'!$B$179+SUMPRODUCT('Part B'!$B$193:$N$193,C558:O558)</f>
        <v>3.47308793678492</v>
      </c>
      <c r="Z558" s="1">
        <f>P558-Y558</f>
        <v>-0.0718905551227693</v>
      </c>
      <c r="AB558" s="1">
        <f>C558</f>
        <v>1.327</v>
      </c>
      <c r="AC558" s="1">
        <f>D558</f>
        <v>88</v>
      </c>
      <c r="AD558" s="1">
        <f>E558</f>
        <v>3</v>
      </c>
      <c r="AE558" s="1">
        <f>F558</f>
        <v>1</v>
      </c>
      <c r="AF558" s="1">
        <f>G558</f>
        <v>0</v>
      </c>
      <c r="AG558" s="1">
        <f>I558</f>
        <v>0</v>
      </c>
      <c r="AH558" s="1">
        <f>J558</f>
        <v>0</v>
      </c>
      <c r="AI558" s="1">
        <f>Q558</f>
        <v>0</v>
      </c>
      <c r="AJ558" s="1">
        <f>K558</f>
        <v>0</v>
      </c>
      <c r="AK558" s="1">
        <f>L558</f>
        <v>0</v>
      </c>
      <c r="AL558" s="1">
        <f>M558</f>
        <v>0</v>
      </c>
      <c r="AM558" s="1">
        <f>N558</f>
        <v>1</v>
      </c>
      <c r="AN558" s="1">
        <f>O558</f>
        <v>0</v>
      </c>
    </row>
    <row r="559">
      <c r="A559" s="1">
        <v>768</v>
      </c>
      <c r="B559" s="1">
        <v>30</v>
      </c>
      <c r="C559" s="1">
        <v>0.5</v>
      </c>
      <c r="D559" s="1">
        <v>80</v>
      </c>
      <c r="E559" s="1">
        <v>3</v>
      </c>
      <c r="F559" s="1">
        <v>0</v>
      </c>
      <c r="G559" s="1">
        <v>0</v>
      </c>
      <c r="H559" s="1">
        <v>1</v>
      </c>
      <c r="I559" s="1">
        <v>0</v>
      </c>
      <c r="J559" s="1">
        <v>0</v>
      </c>
      <c r="K559" s="1">
        <v>0</v>
      </c>
      <c r="L559" s="1">
        <v>0</v>
      </c>
      <c r="M559" s="1">
        <v>1</v>
      </c>
      <c r="N559" s="1">
        <v>0</v>
      </c>
      <c r="O559" s="1">
        <v>0</v>
      </c>
      <c r="P559" s="1">
        <f>LN(B559)</f>
        <v>3.40119738166216</v>
      </c>
      <c r="Q559" s="1">
        <f>1-SUM(F559:J559)</f>
        <v>0</v>
      </c>
      <c r="R559" s="1" t="str">
        <f>IF(F559=1,"Napa valley",IF(G559=1,"Bay area",IF(H559=1,"Sonoma",IF(I559=1,"Sierra/foothills",IF(J559=1,"Mendocino/lake","Generic California")))))</f>
        <v>Sonoma</v>
      </c>
      <c r="S559" s="1" t="str">
        <f>IF(F559=1,"Napa valley",IF(H559=1,"Sonoma","Other"))</f>
        <v>Sonoma</v>
      </c>
      <c r="T559" s="1" t="str">
        <f>IF(M559=1,"Cabernet",IF(N559=1,"Merlot",IF(L559=1,"Pinot noir","Other")))</f>
        <v>Cabernet</v>
      </c>
      <c r="U559" s="1" t="str">
        <f>IF(F559=1,B559,"")</f>
        <v/>
      </c>
      <c r="V559" s="1">
        <f>IF(F559=0,B559,"")</f>
        <v>30</v>
      </c>
      <c r="W559" s="1">
        <f>'Part B'!$B$150+SUMPRODUCT('Part B'!$B$164:$N$164,C559:O559)</f>
        <v>10.7438315744332</v>
      </c>
      <c r="X559" s="1">
        <f>B559-W559</f>
        <v>19.2561684255668</v>
      </c>
      <c r="Y559" s="1">
        <f>'Part B'!$B$179+SUMPRODUCT('Part B'!$B$193:$N$193,C559:O559)</f>
        <v>2.80562914055337</v>
      </c>
      <c r="Z559" s="1">
        <f>P559-Y559</f>
        <v>0.595568241108788</v>
      </c>
      <c r="AB559" s="1">
        <f>C559</f>
        <v>0.5</v>
      </c>
      <c r="AC559" s="1">
        <f>D559</f>
        <v>80</v>
      </c>
      <c r="AD559" s="1">
        <f>E559</f>
        <v>3</v>
      </c>
      <c r="AE559" s="1">
        <f>F559</f>
        <v>0</v>
      </c>
      <c r="AF559" s="1">
        <f>G559</f>
        <v>0</v>
      </c>
      <c r="AG559" s="1">
        <f>I559</f>
        <v>0</v>
      </c>
      <c r="AH559" s="1">
        <f>J559</f>
        <v>0</v>
      </c>
      <c r="AI559" s="1">
        <f>Q559</f>
        <v>0</v>
      </c>
      <c r="AJ559" s="1">
        <f>K559</f>
        <v>0</v>
      </c>
      <c r="AK559" s="1">
        <f>L559</f>
        <v>0</v>
      </c>
      <c r="AL559" s="1">
        <f>M559</f>
        <v>1</v>
      </c>
      <c r="AM559" s="1">
        <f>N559</f>
        <v>0</v>
      </c>
      <c r="AN559" s="1">
        <f>O559</f>
        <v>0</v>
      </c>
    </row>
    <row r="560">
      <c r="A560" s="1">
        <v>769</v>
      </c>
      <c r="B560" s="1">
        <v>30</v>
      </c>
      <c r="C560" s="1">
        <v>0.48</v>
      </c>
      <c r="D560" s="1">
        <v>78</v>
      </c>
      <c r="E560" s="1">
        <v>3</v>
      </c>
      <c r="F560" s="1">
        <v>0</v>
      </c>
      <c r="G560" s="1">
        <v>0</v>
      </c>
      <c r="H560" s="1">
        <v>1</v>
      </c>
      <c r="I560" s="1">
        <v>0</v>
      </c>
      <c r="J560" s="1">
        <v>0</v>
      </c>
      <c r="K560" s="1">
        <v>0</v>
      </c>
      <c r="L560" s="1">
        <v>0</v>
      </c>
      <c r="M560" s="1">
        <v>0</v>
      </c>
      <c r="N560" s="1">
        <v>1</v>
      </c>
      <c r="O560" s="1">
        <v>0</v>
      </c>
      <c r="P560" s="1">
        <f>LN(B560)</f>
        <v>3.40119738166216</v>
      </c>
      <c r="Q560" s="1">
        <f>1-SUM(F560:J560)</f>
        <v>0</v>
      </c>
      <c r="R560" s="1" t="str">
        <f>IF(F560=1,"Napa valley",IF(G560=1,"Bay area",IF(H560=1,"Sonoma",IF(I560=1,"Sierra/foothills",IF(J560=1,"Mendocino/lake","Generic California")))))</f>
        <v>Sonoma</v>
      </c>
      <c r="S560" s="1" t="str">
        <f>IF(F560=1,"Napa valley",IF(H560=1,"Sonoma","Other"))</f>
        <v>Sonoma</v>
      </c>
      <c r="T560" s="1" t="str">
        <f>IF(M560=1,"Cabernet",IF(N560=1,"Merlot",IF(L560=1,"Pinot noir","Other")))</f>
        <v>Merlot</v>
      </c>
      <c r="U560" s="1" t="str">
        <f>IF(F560=1,B560,"")</f>
        <v/>
      </c>
      <c r="V560" s="1">
        <f>IF(F560=0,B560,"")</f>
        <v>30</v>
      </c>
      <c r="W560" s="1">
        <f>'Part B'!$B$150+SUMPRODUCT('Part B'!$B$164:$N$164,C560:O560)</f>
        <v>-0.511508422722102</v>
      </c>
      <c r="X560" s="1">
        <f>B560-W560</f>
        <v>30.5115084227221</v>
      </c>
      <c r="Y560" s="1">
        <f>'Part B'!$B$179+SUMPRODUCT('Part B'!$B$193:$N$193,C560:O560)</f>
        <v>2.62931105378237</v>
      </c>
      <c r="Z560" s="1">
        <f>P560-Y560</f>
        <v>0.771886327879782</v>
      </c>
      <c r="AB560" s="1">
        <f>C560</f>
        <v>0.48</v>
      </c>
      <c r="AC560" s="1">
        <f>D560</f>
        <v>78</v>
      </c>
      <c r="AD560" s="1">
        <f>E560</f>
        <v>3</v>
      </c>
      <c r="AE560" s="1">
        <f>F560</f>
        <v>0</v>
      </c>
      <c r="AF560" s="1">
        <f>G560</f>
        <v>0</v>
      </c>
      <c r="AG560" s="1">
        <f>I560</f>
        <v>0</v>
      </c>
      <c r="AH560" s="1">
        <f>J560</f>
        <v>0</v>
      </c>
      <c r="AI560" s="1">
        <f>Q560</f>
        <v>0</v>
      </c>
      <c r="AJ560" s="1">
        <f>K560</f>
        <v>0</v>
      </c>
      <c r="AK560" s="1">
        <f>L560</f>
        <v>0</v>
      </c>
      <c r="AL560" s="1">
        <f>M560</f>
        <v>0</v>
      </c>
      <c r="AM560" s="1">
        <f>N560</f>
        <v>1</v>
      </c>
      <c r="AN560" s="1">
        <f>O560</f>
        <v>0</v>
      </c>
    </row>
    <row r="561">
      <c r="A561" s="1">
        <v>771</v>
      </c>
      <c r="B561" s="1">
        <v>30</v>
      </c>
      <c r="C561" s="1">
        <v>0.175</v>
      </c>
      <c r="D561" s="1">
        <v>87</v>
      </c>
      <c r="E561" s="1">
        <v>3</v>
      </c>
      <c r="F561" s="1">
        <v>1</v>
      </c>
      <c r="G561" s="1">
        <v>0</v>
      </c>
      <c r="H561" s="1">
        <v>0</v>
      </c>
      <c r="I561" s="1">
        <v>0</v>
      </c>
      <c r="J561" s="1">
        <v>0</v>
      </c>
      <c r="K561" s="1">
        <v>0</v>
      </c>
      <c r="L561" s="1">
        <v>0</v>
      </c>
      <c r="M561" s="1">
        <v>1</v>
      </c>
      <c r="N561" s="1">
        <v>0</v>
      </c>
      <c r="O561" s="1">
        <v>0</v>
      </c>
      <c r="P561" s="1">
        <f>LN(B561)</f>
        <v>3.40119738166216</v>
      </c>
      <c r="Q561" s="1">
        <f>1-SUM(F561:J561)</f>
        <v>0</v>
      </c>
      <c r="R561" s="1" t="str">
        <f>IF(F561=1,"Napa valley",IF(G561=1,"Bay area",IF(H561=1,"Sonoma",IF(I561=1,"Sierra/foothills",IF(J561=1,"Mendocino/lake","Generic California")))))</f>
        <v>Napa valley</v>
      </c>
      <c r="S561" s="1" t="str">
        <f>IF(F561=1,"Napa valley",IF(H561=1,"Sonoma","Other"))</f>
        <v>Napa valley</v>
      </c>
      <c r="T561" s="1" t="str">
        <f>IF(M561=1,"Cabernet",IF(N561=1,"Merlot",IF(L561=1,"Pinot noir","Other")))</f>
        <v>Cabernet</v>
      </c>
      <c r="U561" s="1">
        <f>IF(F561=1,B561,"")</f>
        <v>30</v>
      </c>
      <c r="V561" s="1" t="str">
        <f>IF(F561=0,B561,"")</f>
        <v/>
      </c>
      <c r="W561" s="1">
        <f>'Part B'!$B$150+SUMPRODUCT('Part B'!$B$164:$N$164,C561:O561)</f>
        <v>40.6868060158848</v>
      </c>
      <c r="X561" s="1">
        <f>B561-W561</f>
        <v>-10.6868060158848</v>
      </c>
      <c r="Y561" s="1">
        <f>'Part B'!$B$179+SUMPRODUCT('Part B'!$B$193:$N$193,C561:O561)</f>
        <v>3.44453698385768</v>
      </c>
      <c r="Z561" s="1">
        <f>P561-Y561</f>
        <v>-0.0433396021955219</v>
      </c>
      <c r="AB561" s="1">
        <f>C561</f>
        <v>0.175</v>
      </c>
      <c r="AC561" s="1">
        <f>D561</f>
        <v>87</v>
      </c>
      <c r="AD561" s="1">
        <f>E561</f>
        <v>3</v>
      </c>
      <c r="AE561" s="1">
        <f>F561</f>
        <v>1</v>
      </c>
      <c r="AF561" s="1">
        <f>G561</f>
        <v>0</v>
      </c>
      <c r="AG561" s="1">
        <f>I561</f>
        <v>0</v>
      </c>
      <c r="AH561" s="1">
        <f>J561</f>
        <v>0</v>
      </c>
      <c r="AI561" s="1">
        <f>Q561</f>
        <v>0</v>
      </c>
      <c r="AJ561" s="1">
        <f>K561</f>
        <v>0</v>
      </c>
      <c r="AK561" s="1">
        <f>L561</f>
        <v>0</v>
      </c>
      <c r="AL561" s="1">
        <f>M561</f>
        <v>1</v>
      </c>
      <c r="AM561" s="1">
        <f>N561</f>
        <v>0</v>
      </c>
      <c r="AN561" s="1">
        <f>O561</f>
        <v>0</v>
      </c>
    </row>
    <row r="562">
      <c r="A562" s="1">
        <v>772</v>
      </c>
      <c r="B562" s="1">
        <v>30</v>
      </c>
      <c r="C562" s="1">
        <v>0.15</v>
      </c>
      <c r="D562" s="1">
        <v>91</v>
      </c>
      <c r="E562" s="1">
        <v>3</v>
      </c>
      <c r="F562" s="1">
        <v>1</v>
      </c>
      <c r="G562" s="1">
        <v>0</v>
      </c>
      <c r="H562" s="1">
        <v>0</v>
      </c>
      <c r="I562" s="1">
        <v>0</v>
      </c>
      <c r="J562" s="1">
        <v>0</v>
      </c>
      <c r="K562" s="1">
        <v>0</v>
      </c>
      <c r="L562" s="1">
        <v>0</v>
      </c>
      <c r="M562" s="1">
        <v>1</v>
      </c>
      <c r="N562" s="1">
        <v>0</v>
      </c>
      <c r="O562" s="1">
        <v>0</v>
      </c>
      <c r="P562" s="1">
        <f>LN(B562)</f>
        <v>3.40119738166216</v>
      </c>
      <c r="Q562" s="1">
        <f>1-SUM(F562:J562)</f>
        <v>0</v>
      </c>
      <c r="R562" s="1" t="str">
        <f>IF(F562=1,"Napa valley",IF(G562=1,"Bay area",IF(H562=1,"Sonoma",IF(I562=1,"Sierra/foothills",IF(J562=1,"Mendocino/lake","Generic California")))))</f>
        <v>Napa valley</v>
      </c>
      <c r="S562" s="1" t="str">
        <f>IF(F562=1,"Napa valley",IF(H562=1,"Sonoma","Other"))</f>
        <v>Napa valley</v>
      </c>
      <c r="T562" s="1" t="str">
        <f>IF(M562=1,"Cabernet",IF(N562=1,"Merlot",IF(L562=1,"Pinot noir","Other")))</f>
        <v>Cabernet</v>
      </c>
      <c r="U562" s="1">
        <f>IF(F562=1,B562,"")</f>
        <v>30</v>
      </c>
      <c r="V562" s="1" t="str">
        <f>IF(F562=0,B562,"")</f>
        <v/>
      </c>
      <c r="W562" s="1">
        <f>'Part B'!$B$150+SUMPRODUCT('Part B'!$B$164:$N$164,C562:O562)</f>
        <v>53.2695672295682</v>
      </c>
      <c r="X562" s="1">
        <f>B562-W562</f>
        <v>-23.2695672295682</v>
      </c>
      <c r="Y562" s="1">
        <f>'Part B'!$B$179+SUMPRODUCT('Part B'!$B$193:$N$193,C562:O562)</f>
        <v>3.72448943572601</v>
      </c>
      <c r="Z562" s="1">
        <f>P562-Y562</f>
        <v>-0.323292054063856</v>
      </c>
      <c r="AB562" s="1">
        <f>C562</f>
        <v>0.15</v>
      </c>
      <c r="AC562" s="1">
        <f>D562</f>
        <v>91</v>
      </c>
      <c r="AD562" s="1">
        <f>E562</f>
        <v>3</v>
      </c>
      <c r="AE562" s="1">
        <f>F562</f>
        <v>1</v>
      </c>
      <c r="AF562" s="1">
        <f>G562</f>
        <v>0</v>
      </c>
      <c r="AG562" s="1">
        <f>I562</f>
        <v>0</v>
      </c>
      <c r="AH562" s="1">
        <f>J562</f>
        <v>0</v>
      </c>
      <c r="AI562" s="1">
        <f>Q562</f>
        <v>0</v>
      </c>
      <c r="AJ562" s="1">
        <f>K562</f>
        <v>0</v>
      </c>
      <c r="AK562" s="1">
        <f>L562</f>
        <v>0</v>
      </c>
      <c r="AL562" s="1">
        <f>M562</f>
        <v>1</v>
      </c>
      <c r="AM562" s="1">
        <f>N562</f>
        <v>0</v>
      </c>
      <c r="AN562" s="1">
        <f>O562</f>
        <v>0</v>
      </c>
    </row>
    <row r="563">
      <c r="A563" s="1">
        <v>773</v>
      </c>
      <c r="B563" s="1">
        <v>30</v>
      </c>
      <c r="C563" s="1">
        <v>11</v>
      </c>
      <c r="D563" s="1">
        <v>90</v>
      </c>
      <c r="E563" s="1">
        <v>3</v>
      </c>
      <c r="F563" s="1">
        <v>0</v>
      </c>
      <c r="G563" s="1">
        <v>0</v>
      </c>
      <c r="H563" s="1">
        <v>1</v>
      </c>
      <c r="I563" s="1">
        <v>0</v>
      </c>
      <c r="J563" s="1">
        <v>0</v>
      </c>
      <c r="K563" s="1">
        <v>1</v>
      </c>
      <c r="L563" s="1">
        <v>0</v>
      </c>
      <c r="M563" s="1">
        <v>0</v>
      </c>
      <c r="N563" s="1">
        <v>0</v>
      </c>
      <c r="O563" s="1">
        <v>0</v>
      </c>
      <c r="P563" s="1">
        <f>LN(B563)</f>
        <v>3.40119738166216</v>
      </c>
      <c r="Q563" s="1">
        <f>1-SUM(F563:J563)</f>
        <v>0</v>
      </c>
      <c r="R563" s="1" t="str">
        <f>IF(F563=1,"Napa valley",IF(G563=1,"Bay area",IF(H563=1,"Sonoma",IF(I563=1,"Sierra/foothills",IF(J563=1,"Mendocino/lake","Generic California")))))</f>
        <v>Sonoma</v>
      </c>
      <c r="S563" s="1" t="str">
        <f>IF(F563=1,"Napa valley",IF(H563=1,"Sonoma","Other"))</f>
        <v>Sonoma</v>
      </c>
      <c r="T563" s="1" t="str">
        <f>IF(M563=1,"Cabernet",IF(N563=1,"Merlot",IF(L563=1,"Pinot noir","Other")))</f>
        <v>Other</v>
      </c>
      <c r="U563" s="1" t="str">
        <f>IF(F563=1,B563,"")</f>
        <v/>
      </c>
      <c r="V563" s="1">
        <f>IF(F563=0,B563,"")</f>
        <v>30</v>
      </c>
      <c r="W563" s="1">
        <f>'Part B'!$B$150+SUMPRODUCT('Part B'!$B$164:$N$164,C563:O563)</f>
        <v>48.8587476820742</v>
      </c>
      <c r="X563" s="1">
        <f>B563-W563</f>
        <v>-18.8587476820742</v>
      </c>
      <c r="Y563" s="1">
        <f>'Part B'!$B$179+SUMPRODUCT('Part B'!$B$193:$N$193,C563:O563)</f>
        <v>3.61790442713806</v>
      </c>
      <c r="Z563" s="1">
        <f>P563-Y563</f>
        <v>-0.216707045475907</v>
      </c>
      <c r="AB563" s="1">
        <f>C563</f>
        <v>11</v>
      </c>
      <c r="AC563" s="1">
        <f>D563</f>
        <v>90</v>
      </c>
      <c r="AD563" s="1">
        <f>E563</f>
        <v>3</v>
      </c>
      <c r="AE563" s="1">
        <f>F563</f>
        <v>0</v>
      </c>
      <c r="AF563" s="1">
        <f>G563</f>
        <v>0</v>
      </c>
      <c r="AG563" s="1">
        <f>I563</f>
        <v>0</v>
      </c>
      <c r="AH563" s="1">
        <f>J563</f>
        <v>0</v>
      </c>
      <c r="AI563" s="1">
        <f>Q563</f>
        <v>0</v>
      </c>
      <c r="AJ563" s="1">
        <f>K563</f>
        <v>1</v>
      </c>
      <c r="AK563" s="1">
        <f>L563</f>
        <v>0</v>
      </c>
      <c r="AL563" s="1">
        <f>M563</f>
        <v>0</v>
      </c>
      <c r="AM563" s="1">
        <f>N563</f>
        <v>0</v>
      </c>
      <c r="AN563" s="1">
        <f>O563</f>
        <v>0</v>
      </c>
    </row>
    <row r="564">
      <c r="A564" s="1">
        <v>774</v>
      </c>
      <c r="B564" s="1">
        <v>30</v>
      </c>
      <c r="C564" s="1">
        <v>0.9</v>
      </c>
      <c r="D564" s="1">
        <v>87</v>
      </c>
      <c r="E564" s="1">
        <v>3</v>
      </c>
      <c r="F564" s="1">
        <v>1</v>
      </c>
      <c r="G564" s="1">
        <v>0</v>
      </c>
      <c r="H564" s="1">
        <v>0</v>
      </c>
      <c r="I564" s="1">
        <v>0</v>
      </c>
      <c r="J564" s="1">
        <v>0</v>
      </c>
      <c r="K564" s="1">
        <v>0</v>
      </c>
      <c r="L564" s="1">
        <v>0</v>
      </c>
      <c r="M564" s="1">
        <v>0</v>
      </c>
      <c r="N564" s="1">
        <v>1</v>
      </c>
      <c r="O564" s="1">
        <v>0</v>
      </c>
      <c r="P564" s="1">
        <f>LN(B564)</f>
        <v>3.40119738166216</v>
      </c>
      <c r="Q564" s="1">
        <f>1-SUM(F564:J564)</f>
        <v>0</v>
      </c>
      <c r="R564" s="1" t="str">
        <f>IF(F564=1,"Napa valley",IF(G564=1,"Bay area",IF(H564=1,"Sonoma",IF(I564=1,"Sierra/foothills",IF(J564=1,"Mendocino/lake","Generic California")))))</f>
        <v>Napa valley</v>
      </c>
      <c r="S564" s="1" t="str">
        <f>IF(F564=1,"Napa valley",IF(H564=1,"Sonoma","Other"))</f>
        <v>Napa valley</v>
      </c>
      <c r="T564" s="1" t="str">
        <f>IF(M564=1,"Cabernet",IF(N564=1,"Merlot",IF(L564=1,"Pinot noir","Other")))</f>
        <v>Merlot</v>
      </c>
      <c r="U564" s="1">
        <f>IF(F564=1,B564,"")</f>
        <v>30</v>
      </c>
      <c r="V564" s="1" t="str">
        <f>IF(F564=0,B564,"")</f>
        <v/>
      </c>
      <c r="W564" s="1">
        <f>'Part B'!$B$150+SUMPRODUCT('Part B'!$B$164:$N$164,C564:O564)</f>
        <v>35.6509494450764</v>
      </c>
      <c r="X564" s="1">
        <f>B564-W564</f>
        <v>-5.65094944507638</v>
      </c>
      <c r="Y564" s="1">
        <f>'Part B'!$B$179+SUMPRODUCT('Part B'!$B$193:$N$193,C564:O564)</f>
        <v>3.40495372965845</v>
      </c>
      <c r="Z564" s="1">
        <f>P564-Y564</f>
        <v>-0.00375634799629365</v>
      </c>
      <c r="AB564" s="1">
        <f>C564</f>
        <v>0.9</v>
      </c>
      <c r="AC564" s="1">
        <f>D564</f>
        <v>87</v>
      </c>
      <c r="AD564" s="1">
        <f>E564</f>
        <v>3</v>
      </c>
      <c r="AE564" s="1">
        <f>F564</f>
        <v>1</v>
      </c>
      <c r="AF564" s="1">
        <f>G564</f>
        <v>0</v>
      </c>
      <c r="AG564" s="1">
        <f>I564</f>
        <v>0</v>
      </c>
      <c r="AH564" s="1">
        <f>J564</f>
        <v>0</v>
      </c>
      <c r="AI564" s="1">
        <f>Q564</f>
        <v>0</v>
      </c>
      <c r="AJ564" s="1">
        <f>K564</f>
        <v>0</v>
      </c>
      <c r="AK564" s="1">
        <f>L564</f>
        <v>0</v>
      </c>
      <c r="AL564" s="1">
        <f>M564</f>
        <v>0</v>
      </c>
      <c r="AM564" s="1">
        <f>N564</f>
        <v>1</v>
      </c>
      <c r="AN564" s="1">
        <f>O564</f>
        <v>0</v>
      </c>
    </row>
    <row r="565">
      <c r="A565" s="1">
        <v>775</v>
      </c>
      <c r="B565" s="1">
        <v>30</v>
      </c>
      <c r="C565" s="1">
        <v>0.9</v>
      </c>
      <c r="D565" s="1">
        <v>88</v>
      </c>
      <c r="E565" s="1">
        <v>3</v>
      </c>
      <c r="F565" s="1">
        <v>1</v>
      </c>
      <c r="G565" s="1">
        <v>0</v>
      </c>
      <c r="H565" s="1">
        <v>0</v>
      </c>
      <c r="I565" s="1">
        <v>0</v>
      </c>
      <c r="J565" s="1">
        <v>0</v>
      </c>
      <c r="K565" s="1">
        <v>0</v>
      </c>
      <c r="L565" s="1">
        <v>0</v>
      </c>
      <c r="M565" s="1">
        <v>0</v>
      </c>
      <c r="N565" s="1">
        <v>1</v>
      </c>
      <c r="O565" s="1">
        <v>0</v>
      </c>
      <c r="P565" s="1">
        <f>LN(B565)</f>
        <v>3.40119738166216</v>
      </c>
      <c r="Q565" s="1">
        <f>1-SUM(F565:J565)</f>
        <v>0</v>
      </c>
      <c r="R565" s="1" t="str">
        <f>IF(F565=1,"Napa valley",IF(G565=1,"Bay area",IF(H565=1,"Sonoma",IF(I565=1,"Sierra/foothills",IF(J565=1,"Mendocino/lake","Generic California")))))</f>
        <v>Napa valley</v>
      </c>
      <c r="S565" s="1" t="str">
        <f>IF(F565=1,"Napa valley",IF(H565=1,"Sonoma","Other"))</f>
        <v>Napa valley</v>
      </c>
      <c r="T565" s="1" t="str">
        <f>IF(M565=1,"Cabernet",IF(N565=1,"Merlot",IF(L565=1,"Pinot noir","Other")))</f>
        <v>Merlot</v>
      </c>
      <c r="U565" s="1">
        <f>IF(F565=1,B565,"")</f>
        <v>30</v>
      </c>
      <c r="V565" s="1" t="str">
        <f>IF(F565=0,B565,"")</f>
        <v/>
      </c>
      <c r="W565" s="1">
        <f>'Part B'!$B$150+SUMPRODUCT('Part B'!$B$164:$N$164,C565:O565)</f>
        <v>38.796046537437</v>
      </c>
      <c r="X565" s="1">
        <f>B565-W565</f>
        <v>-8.79604653743701</v>
      </c>
      <c r="Y565" s="1">
        <f>'Part B'!$B$179+SUMPRODUCT('Part B'!$B$193:$N$193,C565:O565)</f>
        <v>3.47491509845588</v>
      </c>
      <c r="Z565" s="1">
        <f>P565-Y565</f>
        <v>-0.0737177167937202</v>
      </c>
      <c r="AB565" s="1">
        <f>C565</f>
        <v>0.9</v>
      </c>
      <c r="AC565" s="1">
        <f>D565</f>
        <v>88</v>
      </c>
      <c r="AD565" s="1">
        <f>E565</f>
        <v>3</v>
      </c>
      <c r="AE565" s="1">
        <f>F565</f>
        <v>1</v>
      </c>
      <c r="AF565" s="1">
        <f>G565</f>
        <v>0</v>
      </c>
      <c r="AG565" s="1">
        <f>I565</f>
        <v>0</v>
      </c>
      <c r="AH565" s="1">
        <f>J565</f>
        <v>0</v>
      </c>
      <c r="AI565" s="1">
        <f>Q565</f>
        <v>0</v>
      </c>
      <c r="AJ565" s="1">
        <f>K565</f>
        <v>0</v>
      </c>
      <c r="AK565" s="1">
        <f>L565</f>
        <v>0</v>
      </c>
      <c r="AL565" s="1">
        <f>M565</f>
        <v>0</v>
      </c>
      <c r="AM565" s="1">
        <f>N565</f>
        <v>1</v>
      </c>
      <c r="AN565" s="1">
        <f>O565</f>
        <v>0</v>
      </c>
    </row>
    <row r="566">
      <c r="A566" s="1">
        <v>777</v>
      </c>
      <c r="B566" s="1">
        <v>30</v>
      </c>
      <c r="C566" s="1">
        <v>0.05</v>
      </c>
      <c r="D566" s="1">
        <v>83</v>
      </c>
      <c r="E566" s="1">
        <v>3</v>
      </c>
      <c r="F566" s="1">
        <v>0</v>
      </c>
      <c r="G566" s="1">
        <v>0</v>
      </c>
      <c r="H566" s="1">
        <v>1</v>
      </c>
      <c r="I566" s="1">
        <v>0</v>
      </c>
      <c r="J566" s="1">
        <v>0</v>
      </c>
      <c r="K566" s="1">
        <v>0</v>
      </c>
      <c r="L566" s="1">
        <v>1</v>
      </c>
      <c r="M566" s="1">
        <v>0</v>
      </c>
      <c r="N566" s="1">
        <v>0</v>
      </c>
      <c r="O566" s="1">
        <v>0</v>
      </c>
      <c r="P566" s="1">
        <f>LN(B566)</f>
        <v>3.40119738166216</v>
      </c>
      <c r="Q566" s="1">
        <f>1-SUM(F566:J566)</f>
        <v>0</v>
      </c>
      <c r="R566" s="1" t="str">
        <f>IF(F566=1,"Napa valley",IF(G566=1,"Bay area",IF(H566=1,"Sonoma",IF(I566=1,"Sierra/foothills",IF(J566=1,"Mendocino/lake","Generic California")))))</f>
        <v>Sonoma</v>
      </c>
      <c r="S566" s="1" t="str">
        <f>IF(F566=1,"Napa valley",IF(H566=1,"Sonoma","Other"))</f>
        <v>Sonoma</v>
      </c>
      <c r="T566" s="1" t="str">
        <f>IF(M566=1,"Cabernet",IF(N566=1,"Merlot",IF(L566=1,"Pinot noir","Other")))</f>
        <v>Pinot noir</v>
      </c>
      <c r="U566" s="1" t="str">
        <f>IF(F566=1,B566,"")</f>
        <v/>
      </c>
      <c r="V566" s="1">
        <f>IF(F566=0,B566,"")</f>
        <v>30</v>
      </c>
      <c r="W566" s="1">
        <f>'Part B'!$B$150+SUMPRODUCT('Part B'!$B$164:$N$164,C566:O566)</f>
        <v>17.0488399323363</v>
      </c>
      <c r="X566" s="1">
        <f>B566-W566</f>
        <v>12.9511600676637</v>
      </c>
      <c r="Y566" s="1">
        <f>'Part B'!$B$179+SUMPRODUCT('Part B'!$B$193:$N$193,C566:O566)</f>
        <v>3.04296544483788</v>
      </c>
      <c r="Z566" s="1">
        <f>P566-Y566</f>
        <v>0.358231936824278</v>
      </c>
      <c r="AB566" s="1">
        <f>C566</f>
        <v>0.05</v>
      </c>
      <c r="AC566" s="1">
        <f>D566</f>
        <v>83</v>
      </c>
      <c r="AD566" s="1">
        <f>E566</f>
        <v>3</v>
      </c>
      <c r="AE566" s="1">
        <f>F566</f>
        <v>0</v>
      </c>
      <c r="AF566" s="1">
        <f>G566</f>
        <v>0</v>
      </c>
      <c r="AG566" s="1">
        <f>I566</f>
        <v>0</v>
      </c>
      <c r="AH566" s="1">
        <f>J566</f>
        <v>0</v>
      </c>
      <c r="AI566" s="1">
        <f>Q566</f>
        <v>0</v>
      </c>
      <c r="AJ566" s="1">
        <f>K566</f>
        <v>0</v>
      </c>
      <c r="AK566" s="1">
        <f>L566</f>
        <v>1</v>
      </c>
      <c r="AL566" s="1">
        <f>M566</f>
        <v>0</v>
      </c>
      <c r="AM566" s="1">
        <f>N566</f>
        <v>0</v>
      </c>
      <c r="AN566" s="1">
        <f>O566</f>
        <v>0</v>
      </c>
    </row>
    <row r="567">
      <c r="A567" s="1">
        <v>779</v>
      </c>
      <c r="B567" s="1">
        <v>30</v>
      </c>
      <c r="C567" s="1">
        <v>0.9</v>
      </c>
      <c r="D567" s="1">
        <v>91</v>
      </c>
      <c r="E567" s="1">
        <v>3</v>
      </c>
      <c r="F567" s="1">
        <v>0</v>
      </c>
      <c r="G567" s="1">
        <v>0</v>
      </c>
      <c r="H567" s="1">
        <v>1</v>
      </c>
      <c r="I567" s="1">
        <v>0</v>
      </c>
      <c r="J567" s="1">
        <v>0</v>
      </c>
      <c r="K567" s="1">
        <v>0</v>
      </c>
      <c r="L567" s="1">
        <v>0</v>
      </c>
      <c r="M567" s="1">
        <v>1</v>
      </c>
      <c r="N567" s="1">
        <v>0</v>
      </c>
      <c r="O567" s="1">
        <v>0</v>
      </c>
      <c r="P567" s="1">
        <f>LN(B567)</f>
        <v>3.40119738166216</v>
      </c>
      <c r="Q567" s="1">
        <f>1-SUM(F567:J567)</f>
        <v>0</v>
      </c>
      <c r="R567" s="1" t="str">
        <f>IF(F567=1,"Napa valley",IF(G567=1,"Bay area",IF(H567=1,"Sonoma",IF(I567=1,"Sierra/foothills",IF(J567=1,"Mendocino/lake","Generic California")))))</f>
        <v>Sonoma</v>
      </c>
      <c r="S567" s="1" t="str">
        <f>IF(F567=1,"Napa valley",IF(H567=1,"Sonoma","Other"))</f>
        <v>Sonoma</v>
      </c>
      <c r="T567" s="1" t="str">
        <f>IF(M567=1,"Cabernet",IF(N567=1,"Merlot",IF(L567=1,"Pinot noir","Other")))</f>
        <v>Cabernet</v>
      </c>
      <c r="U567" s="1" t="str">
        <f>IF(F567=1,B567,"")</f>
        <v/>
      </c>
      <c r="V567" s="1">
        <f>IF(F567=0,B567,"")</f>
        <v>30</v>
      </c>
      <c r="W567" s="1">
        <f>'Part B'!$B$150+SUMPRODUCT('Part B'!$B$164:$N$164,C567:O567)</f>
        <v>45.3019340825484</v>
      </c>
      <c r="X567" s="1">
        <f>B567-W567</f>
        <v>-15.3019340825484</v>
      </c>
      <c r="Y567" s="1">
        <f>'Part B'!$B$179+SUMPRODUCT('Part B'!$B$193:$N$193,C567:O567)</f>
        <v>3.57349257046703</v>
      </c>
      <c r="Z567" s="1">
        <f>P567-Y567</f>
        <v>-0.172295188804873</v>
      </c>
      <c r="AB567" s="1">
        <f>C567</f>
        <v>0.9</v>
      </c>
      <c r="AC567" s="1">
        <f>D567</f>
        <v>91</v>
      </c>
      <c r="AD567" s="1">
        <f>E567</f>
        <v>3</v>
      </c>
      <c r="AE567" s="1">
        <f>F567</f>
        <v>0</v>
      </c>
      <c r="AF567" s="1">
        <f>G567</f>
        <v>0</v>
      </c>
      <c r="AG567" s="1">
        <f>I567</f>
        <v>0</v>
      </c>
      <c r="AH567" s="1">
        <f>J567</f>
        <v>0</v>
      </c>
      <c r="AI567" s="1">
        <f>Q567</f>
        <v>0</v>
      </c>
      <c r="AJ567" s="1">
        <f>K567</f>
        <v>0</v>
      </c>
      <c r="AK567" s="1">
        <f>L567</f>
        <v>0</v>
      </c>
      <c r="AL567" s="1">
        <f>M567</f>
        <v>1</v>
      </c>
      <c r="AM567" s="1">
        <f>N567</f>
        <v>0</v>
      </c>
      <c r="AN567" s="1">
        <f>O567</f>
        <v>0</v>
      </c>
    </row>
    <row r="568">
      <c r="A568" s="1">
        <v>781</v>
      </c>
      <c r="B568" s="1">
        <v>30</v>
      </c>
      <c r="C568" s="1">
        <v>0.19</v>
      </c>
      <c r="D568" s="1">
        <v>91</v>
      </c>
      <c r="E568" s="1">
        <v>3</v>
      </c>
      <c r="F568" s="1">
        <v>1</v>
      </c>
      <c r="G568" s="1">
        <v>0</v>
      </c>
      <c r="H568" s="1">
        <v>0</v>
      </c>
      <c r="I568" s="1">
        <v>0</v>
      </c>
      <c r="J568" s="1">
        <v>0</v>
      </c>
      <c r="K568" s="1">
        <v>1</v>
      </c>
      <c r="L568" s="1">
        <v>0</v>
      </c>
      <c r="M568" s="1">
        <v>0</v>
      </c>
      <c r="N568" s="1">
        <v>0</v>
      </c>
      <c r="O568" s="1">
        <v>0</v>
      </c>
      <c r="P568" s="1">
        <f>LN(B568)</f>
        <v>3.40119738166216</v>
      </c>
      <c r="Q568" s="1">
        <f>1-SUM(F568:J568)</f>
        <v>0</v>
      </c>
      <c r="R568" s="1" t="str">
        <f>IF(F568=1,"Napa valley",IF(G568=1,"Bay area",IF(H568=1,"Sonoma",IF(I568=1,"Sierra/foothills",IF(J568=1,"Mendocino/lake","Generic California")))))</f>
        <v>Napa valley</v>
      </c>
      <c r="S568" s="1" t="str">
        <f>IF(F568=1,"Napa valley",IF(H568=1,"Sonoma","Other"))</f>
        <v>Napa valley</v>
      </c>
      <c r="T568" s="1" t="str">
        <f>IF(M568=1,"Cabernet",IF(N568=1,"Merlot",IF(L568=1,"Pinot noir","Other")))</f>
        <v>Other</v>
      </c>
      <c r="U568" s="1">
        <f>IF(F568=1,B568,"")</f>
        <v>30</v>
      </c>
      <c r="V568" s="1" t="str">
        <f>IF(F568=0,B568,"")</f>
        <v/>
      </c>
      <c r="W568" s="1">
        <f>'Part B'!$B$150+SUMPRODUCT('Part B'!$B$164:$N$164,C568:O568)</f>
        <v>60.926310443933</v>
      </c>
      <c r="X568" s="1">
        <f>B568-W568</f>
        <v>-30.9263104439329</v>
      </c>
      <c r="Y568" s="1">
        <f>'Part B'!$B$179+SUMPRODUCT('Part B'!$B$193:$N$193,C568:O568)</f>
        <v>3.88191007667401</v>
      </c>
      <c r="Z568" s="1">
        <f>P568-Y568</f>
        <v>-0.480712695011858</v>
      </c>
      <c r="AB568" s="1">
        <f>C568</f>
        <v>0.19</v>
      </c>
      <c r="AC568" s="1">
        <f>D568</f>
        <v>91</v>
      </c>
      <c r="AD568" s="1">
        <f>E568</f>
        <v>3</v>
      </c>
      <c r="AE568" s="1">
        <f>F568</f>
        <v>1</v>
      </c>
      <c r="AF568" s="1">
        <f>G568</f>
        <v>0</v>
      </c>
      <c r="AG568" s="1">
        <f>I568</f>
        <v>0</v>
      </c>
      <c r="AH568" s="1">
        <f>J568</f>
        <v>0</v>
      </c>
      <c r="AI568" s="1">
        <f>Q568</f>
        <v>0</v>
      </c>
      <c r="AJ568" s="1">
        <f>K568</f>
        <v>1</v>
      </c>
      <c r="AK568" s="1">
        <f>L568</f>
        <v>0</v>
      </c>
      <c r="AL568" s="1">
        <f>M568</f>
        <v>0</v>
      </c>
      <c r="AM568" s="1">
        <f>N568</f>
        <v>0</v>
      </c>
      <c r="AN568" s="1">
        <f>O568</f>
        <v>0</v>
      </c>
    </row>
    <row r="569">
      <c r="A569" s="1">
        <v>782</v>
      </c>
      <c r="B569" s="1">
        <v>30</v>
      </c>
      <c r="C569" s="1">
        <v>4.6</v>
      </c>
      <c r="D569" s="1">
        <v>85</v>
      </c>
      <c r="E569" s="1">
        <v>3</v>
      </c>
      <c r="F569" s="1">
        <v>0</v>
      </c>
      <c r="G569" s="1">
        <v>0</v>
      </c>
      <c r="H569" s="1">
        <v>1</v>
      </c>
      <c r="I569" s="1">
        <v>0</v>
      </c>
      <c r="J569" s="1">
        <v>0</v>
      </c>
      <c r="K569" s="1">
        <v>0</v>
      </c>
      <c r="L569" s="1">
        <v>0</v>
      </c>
      <c r="M569" s="1">
        <v>0</v>
      </c>
      <c r="N569" s="1">
        <v>1</v>
      </c>
      <c r="O569" s="1">
        <v>0</v>
      </c>
      <c r="P569" s="1">
        <f>LN(B569)</f>
        <v>3.40119738166216</v>
      </c>
      <c r="Q569" s="1">
        <f>1-SUM(F569:J569)</f>
        <v>0</v>
      </c>
      <c r="R569" s="1" t="str">
        <f>IF(F569=1,"Napa valley",IF(G569=1,"Bay area",IF(H569=1,"Sonoma",IF(I569=1,"Sierra/foothills",IF(J569=1,"Mendocino/lake","Generic California")))))</f>
        <v>Sonoma</v>
      </c>
      <c r="S569" s="1" t="str">
        <f>IF(F569=1,"Napa valley",IF(H569=1,"Sonoma","Other"))</f>
        <v>Sonoma</v>
      </c>
      <c r="T569" s="1" t="str">
        <f>IF(M569=1,"Cabernet",IF(N569=1,"Merlot",IF(L569=1,"Pinot noir","Other")))</f>
        <v>Merlot</v>
      </c>
      <c r="U569" s="1" t="str">
        <f>IF(F569=1,B569,"")</f>
        <v/>
      </c>
      <c r="V569" s="1">
        <f>IF(F569=0,B569,"")</f>
        <v>30</v>
      </c>
      <c r="W569" s="1">
        <f>'Part B'!$B$150+SUMPRODUCT('Part B'!$B$164:$N$164,C569:O569)</f>
        <v>21.1131264929266</v>
      </c>
      <c r="X569" s="1">
        <f>B569-W569</f>
        <v>8.8868735070734</v>
      </c>
      <c r="Y569" s="1">
        <f>'Part B'!$B$179+SUMPRODUCT('Part B'!$B$193:$N$193,C569:O569)</f>
        <v>3.10141087872662</v>
      </c>
      <c r="Z569" s="1">
        <f>P569-Y569</f>
        <v>0.299786502935539</v>
      </c>
      <c r="AB569" s="1">
        <f>C569</f>
        <v>4.6</v>
      </c>
      <c r="AC569" s="1">
        <f>D569</f>
        <v>85</v>
      </c>
      <c r="AD569" s="1">
        <f>E569</f>
        <v>3</v>
      </c>
      <c r="AE569" s="1">
        <f>F569</f>
        <v>0</v>
      </c>
      <c r="AF569" s="1">
        <f>G569</f>
        <v>0</v>
      </c>
      <c r="AG569" s="1">
        <f>I569</f>
        <v>0</v>
      </c>
      <c r="AH569" s="1">
        <f>J569</f>
        <v>0</v>
      </c>
      <c r="AI569" s="1">
        <f>Q569</f>
        <v>0</v>
      </c>
      <c r="AJ569" s="1">
        <f>K569</f>
        <v>0</v>
      </c>
      <c r="AK569" s="1">
        <f>L569</f>
        <v>0</v>
      </c>
      <c r="AL569" s="1">
        <f>M569</f>
        <v>0</v>
      </c>
      <c r="AM569" s="1">
        <f>N569</f>
        <v>1</v>
      </c>
      <c r="AN569" s="1">
        <f>O569</f>
        <v>0</v>
      </c>
    </row>
    <row r="570">
      <c r="A570" s="1">
        <v>784</v>
      </c>
      <c r="B570" s="1">
        <v>30</v>
      </c>
      <c r="C570" s="1">
        <v>5</v>
      </c>
      <c r="D570" s="1">
        <v>89</v>
      </c>
      <c r="E570" s="1">
        <v>3</v>
      </c>
      <c r="F570" s="1">
        <v>1</v>
      </c>
      <c r="G570" s="1">
        <v>0</v>
      </c>
      <c r="H570" s="1">
        <v>0</v>
      </c>
      <c r="I570" s="1">
        <v>0</v>
      </c>
      <c r="J570" s="1">
        <v>0</v>
      </c>
      <c r="K570" s="1">
        <v>1</v>
      </c>
      <c r="L570" s="1">
        <v>0</v>
      </c>
      <c r="M570" s="1">
        <v>0</v>
      </c>
      <c r="N570" s="1">
        <v>0</v>
      </c>
      <c r="O570" s="1">
        <v>0</v>
      </c>
      <c r="P570" s="1">
        <f>LN(B570)</f>
        <v>3.40119738166216</v>
      </c>
      <c r="Q570" s="1">
        <f>1-SUM(F570:J570)</f>
        <v>0</v>
      </c>
      <c r="R570" s="1" t="str">
        <f>IF(F570=1,"Napa valley",IF(G570=1,"Bay area",IF(H570=1,"Sonoma",IF(I570=1,"Sierra/foothills",IF(J570=1,"Mendocino/lake","Generic California")))))</f>
        <v>Napa valley</v>
      </c>
      <c r="S570" s="1" t="str">
        <f>IF(F570=1,"Napa valley",IF(H570=1,"Sonoma","Other"))</f>
        <v>Napa valley</v>
      </c>
      <c r="T570" s="1" t="str">
        <f>IF(M570=1,"Cabernet",IF(N570=1,"Merlot",IF(L570=1,"Pinot noir","Other")))</f>
        <v>Other</v>
      </c>
      <c r="U570" s="1">
        <f>IF(F570=1,B570,"")</f>
        <v>30</v>
      </c>
      <c r="V570" s="1" t="str">
        <f>IF(F570=0,B570,"")</f>
        <v/>
      </c>
      <c r="W570" s="1">
        <f>'Part B'!$B$150+SUMPRODUCT('Part B'!$B$164:$N$164,C570:O570)</f>
        <v>54.1795810272911</v>
      </c>
      <c r="X570" s="1">
        <f>B570-W570</f>
        <v>-24.1795810272911</v>
      </c>
      <c r="Y570" s="1">
        <f>'Part B'!$B$179+SUMPRODUCT('Part B'!$B$193:$N$193,C570:O570)</f>
        <v>3.72140502611131</v>
      </c>
      <c r="Z570" s="1">
        <f>P570-Y570</f>
        <v>-0.320207644449153</v>
      </c>
      <c r="AB570" s="1">
        <f>C570</f>
        <v>5</v>
      </c>
      <c r="AC570" s="1">
        <f>D570</f>
        <v>89</v>
      </c>
      <c r="AD570" s="1">
        <f>E570</f>
        <v>3</v>
      </c>
      <c r="AE570" s="1">
        <f>F570</f>
        <v>1</v>
      </c>
      <c r="AF570" s="1">
        <f>G570</f>
        <v>0</v>
      </c>
      <c r="AG570" s="1">
        <f>I570</f>
        <v>0</v>
      </c>
      <c r="AH570" s="1">
        <f>J570</f>
        <v>0</v>
      </c>
      <c r="AI570" s="1">
        <f>Q570</f>
        <v>0</v>
      </c>
      <c r="AJ570" s="1">
        <f>K570</f>
        <v>1</v>
      </c>
      <c r="AK570" s="1">
        <f>L570</f>
        <v>0</v>
      </c>
      <c r="AL570" s="1">
        <f>M570</f>
        <v>0</v>
      </c>
      <c r="AM570" s="1">
        <f>N570</f>
        <v>0</v>
      </c>
      <c r="AN570" s="1">
        <f>O570</f>
        <v>0</v>
      </c>
    </row>
    <row r="571">
      <c r="A571" s="1">
        <v>785</v>
      </c>
      <c r="B571" s="1">
        <v>30</v>
      </c>
      <c r="C571" s="1">
        <v>0.805</v>
      </c>
      <c r="D571" s="1">
        <v>90</v>
      </c>
      <c r="E571" s="1">
        <v>3</v>
      </c>
      <c r="F571" s="1">
        <v>0</v>
      </c>
      <c r="G571" s="1">
        <v>1</v>
      </c>
      <c r="H571" s="1">
        <v>0</v>
      </c>
      <c r="I571" s="1">
        <v>0</v>
      </c>
      <c r="J571" s="1">
        <v>0</v>
      </c>
      <c r="K571" s="1">
        <v>0</v>
      </c>
      <c r="L571" s="1">
        <v>0</v>
      </c>
      <c r="M571" s="1">
        <v>1</v>
      </c>
      <c r="N571" s="1">
        <v>0</v>
      </c>
      <c r="O571" s="1">
        <v>0</v>
      </c>
      <c r="P571" s="1">
        <f>LN(B571)</f>
        <v>3.40119738166216</v>
      </c>
      <c r="Q571" s="1">
        <f>1-SUM(F571:J571)</f>
        <v>0</v>
      </c>
      <c r="R571" s="1" t="str">
        <f>IF(F571=1,"Napa valley",IF(G571=1,"Bay area",IF(H571=1,"Sonoma",IF(I571=1,"Sierra/foothills",IF(J571=1,"Mendocino/lake","Generic California")))))</f>
        <v>Bay area</v>
      </c>
      <c r="S571" s="1" t="str">
        <f>IF(F571=1,"Napa valley",IF(H571=1,"Sonoma","Other"))</f>
        <v>Other</v>
      </c>
      <c r="T571" s="1" t="str">
        <f>IF(M571=1,"Cabernet",IF(N571=1,"Merlot",IF(L571=1,"Pinot noir","Other")))</f>
        <v>Cabernet</v>
      </c>
      <c r="U571" s="1" t="str">
        <f>IF(F571=1,B571,"")</f>
        <v/>
      </c>
      <c r="V571" s="1">
        <f>IF(F571=0,B571,"")</f>
        <v>30</v>
      </c>
      <c r="W571" s="1">
        <f>'Part B'!$B$150+SUMPRODUCT('Part B'!$B$164:$N$164,C571:O571)</f>
        <v>45.2801749116975</v>
      </c>
      <c r="X571" s="1">
        <f>B571-W571</f>
        <v>-15.2801749116975</v>
      </c>
      <c r="Y571" s="1">
        <f>'Part B'!$B$179+SUMPRODUCT('Part B'!$B$193:$N$193,C571:O571)</f>
        <v>3.47699283786293</v>
      </c>
      <c r="Z571" s="1">
        <f>P571-Y571</f>
        <v>-0.0757954562007703</v>
      </c>
      <c r="AB571" s="1">
        <f>C571</f>
        <v>0.805</v>
      </c>
      <c r="AC571" s="1">
        <f>D571</f>
        <v>90</v>
      </c>
      <c r="AD571" s="1">
        <f>E571</f>
        <v>3</v>
      </c>
      <c r="AE571" s="1">
        <f>F571</f>
        <v>0</v>
      </c>
      <c r="AF571" s="1">
        <f>G571</f>
        <v>1</v>
      </c>
      <c r="AG571" s="1">
        <f>I571</f>
        <v>0</v>
      </c>
      <c r="AH571" s="1">
        <f>J571</f>
        <v>0</v>
      </c>
      <c r="AI571" s="1">
        <f>Q571</f>
        <v>0</v>
      </c>
      <c r="AJ571" s="1">
        <f>K571</f>
        <v>0</v>
      </c>
      <c r="AK571" s="1">
        <f>L571</f>
        <v>0</v>
      </c>
      <c r="AL571" s="1">
        <f>M571</f>
        <v>1</v>
      </c>
      <c r="AM571" s="1">
        <f>N571</f>
        <v>0</v>
      </c>
      <c r="AN571" s="1">
        <f>O571</f>
        <v>0</v>
      </c>
    </row>
    <row r="572">
      <c r="A572" s="1">
        <v>787</v>
      </c>
      <c r="B572" s="1">
        <v>30</v>
      </c>
      <c r="C572" s="1">
        <v>0.33</v>
      </c>
      <c r="D572" s="1">
        <v>88</v>
      </c>
      <c r="E572" s="1">
        <v>3</v>
      </c>
      <c r="F572" s="1">
        <v>1</v>
      </c>
      <c r="G572" s="1">
        <v>0</v>
      </c>
      <c r="H572" s="1">
        <v>0</v>
      </c>
      <c r="I572" s="1">
        <v>0</v>
      </c>
      <c r="J572" s="1">
        <v>0</v>
      </c>
      <c r="K572" s="1">
        <v>0</v>
      </c>
      <c r="L572" s="1">
        <v>0</v>
      </c>
      <c r="M572" s="1">
        <v>0</v>
      </c>
      <c r="N572" s="1">
        <v>1</v>
      </c>
      <c r="O572" s="1">
        <v>0</v>
      </c>
      <c r="P572" s="1">
        <f>LN(B572)</f>
        <v>3.40119738166216</v>
      </c>
      <c r="Q572" s="1">
        <f>1-SUM(F572:J572)</f>
        <v>0</v>
      </c>
      <c r="R572" s="1" t="str">
        <f>IF(F572=1,"Napa valley",IF(G572=1,"Bay area",IF(H572=1,"Sonoma",IF(I572=1,"Sierra/foothills",IF(J572=1,"Mendocino/lake","Generic California")))))</f>
        <v>Napa valley</v>
      </c>
      <c r="S572" s="1" t="str">
        <f>IF(F572=1,"Napa valley",IF(H572=1,"Sonoma","Other"))</f>
        <v>Napa valley</v>
      </c>
      <c r="T572" s="1" t="str">
        <f>IF(M572=1,"Cabernet",IF(N572=1,"Merlot",IF(L572=1,"Pinot noir","Other")))</f>
        <v>Merlot</v>
      </c>
      <c r="U572" s="1">
        <f>IF(F572=1,B572,"")</f>
        <v>30</v>
      </c>
      <c r="V572" s="1" t="str">
        <f>IF(F572=0,B572,"")</f>
        <v/>
      </c>
      <c r="W572" s="1">
        <f>'Part B'!$B$150+SUMPRODUCT('Part B'!$B$164:$N$164,C572:O572)</f>
        <v>38.8501473861261</v>
      </c>
      <c r="X572" s="1">
        <f>B572-W572</f>
        <v>-8.85014738612614</v>
      </c>
      <c r="Y572" s="1">
        <f>'Part B'!$B$179+SUMPRODUCT('Part B'!$B$193:$N$193,C572:O572)</f>
        <v>3.47735416672857</v>
      </c>
      <c r="Z572" s="1">
        <f>P572-Y572</f>
        <v>-0.0761567850664178</v>
      </c>
      <c r="AB572" s="1">
        <f>C572</f>
        <v>0.33</v>
      </c>
      <c r="AC572" s="1">
        <f>D572</f>
        <v>88</v>
      </c>
      <c r="AD572" s="1">
        <f>E572</f>
        <v>3</v>
      </c>
      <c r="AE572" s="1">
        <f>F572</f>
        <v>1</v>
      </c>
      <c r="AF572" s="1">
        <f>G572</f>
        <v>0</v>
      </c>
      <c r="AG572" s="1">
        <f>I572</f>
        <v>0</v>
      </c>
      <c r="AH572" s="1">
        <f>J572</f>
        <v>0</v>
      </c>
      <c r="AI572" s="1">
        <f>Q572</f>
        <v>0</v>
      </c>
      <c r="AJ572" s="1">
        <f>K572</f>
        <v>0</v>
      </c>
      <c r="AK572" s="1">
        <f>L572</f>
        <v>0</v>
      </c>
      <c r="AL572" s="1">
        <f>M572</f>
        <v>0</v>
      </c>
      <c r="AM572" s="1">
        <f>N572</f>
        <v>1</v>
      </c>
      <c r="AN572" s="1">
        <f>O572</f>
        <v>0</v>
      </c>
    </row>
    <row r="573">
      <c r="A573" s="1">
        <v>790</v>
      </c>
      <c r="B573" s="1">
        <v>30</v>
      </c>
      <c r="C573" s="1">
        <v>1.5</v>
      </c>
      <c r="D573" s="1">
        <v>88</v>
      </c>
      <c r="E573" s="1">
        <v>3</v>
      </c>
      <c r="F573" s="1">
        <v>1</v>
      </c>
      <c r="G573" s="1">
        <v>0</v>
      </c>
      <c r="H573" s="1">
        <v>0</v>
      </c>
      <c r="I573" s="1">
        <v>0</v>
      </c>
      <c r="J573" s="1">
        <v>0</v>
      </c>
      <c r="K573" s="1">
        <v>0</v>
      </c>
      <c r="L573" s="1">
        <v>0</v>
      </c>
      <c r="M573" s="1">
        <v>0</v>
      </c>
      <c r="N573" s="1">
        <v>1</v>
      </c>
      <c r="O573" s="1">
        <v>0</v>
      </c>
      <c r="P573" s="1">
        <f>LN(B573)</f>
        <v>3.40119738166216</v>
      </c>
      <c r="Q573" s="1">
        <f>1-SUM(F573:J573)</f>
        <v>0</v>
      </c>
      <c r="R573" s="1" t="str">
        <f>IF(F573=1,"Napa valley",IF(G573=1,"Bay area",IF(H573=1,"Sonoma",IF(I573=1,"Sierra/foothills",IF(J573=1,"Mendocino/lake","Generic California")))))</f>
        <v>Napa valley</v>
      </c>
      <c r="S573" s="1" t="str">
        <f>IF(F573=1,"Napa valley",IF(H573=1,"Sonoma","Other"))</f>
        <v>Napa valley</v>
      </c>
      <c r="T573" s="1" t="str">
        <f>IF(M573=1,"Cabernet",IF(N573=1,"Merlot",IF(L573=1,"Pinot noir","Other")))</f>
        <v>Merlot</v>
      </c>
      <c r="U573" s="1">
        <f>IF(F573=1,B573,"")</f>
        <v>30</v>
      </c>
      <c r="V573" s="1" t="str">
        <f>IF(F573=0,B573,"")</f>
        <v/>
      </c>
      <c r="W573" s="1">
        <f>'Part B'!$B$150+SUMPRODUCT('Part B'!$B$164:$N$164,C573:O573)</f>
        <v>38.7390982756589</v>
      </c>
      <c r="X573" s="1">
        <f>B573-W573</f>
        <v>-8.73909827565893</v>
      </c>
      <c r="Y573" s="1">
        <f>'Part B'!$B$179+SUMPRODUCT('Part B'!$B$193:$N$193,C573:O573)</f>
        <v>3.47234765816883</v>
      </c>
      <c r="Z573" s="1">
        <f>P573-Y573</f>
        <v>-0.0711502765066698</v>
      </c>
      <c r="AB573" s="1">
        <f>C573</f>
        <v>1.5</v>
      </c>
      <c r="AC573" s="1">
        <f>D573</f>
        <v>88</v>
      </c>
      <c r="AD573" s="1">
        <f>E573</f>
        <v>3</v>
      </c>
      <c r="AE573" s="1">
        <f>F573</f>
        <v>1</v>
      </c>
      <c r="AF573" s="1">
        <f>G573</f>
        <v>0</v>
      </c>
      <c r="AG573" s="1">
        <f>I573</f>
        <v>0</v>
      </c>
      <c r="AH573" s="1">
        <f>J573</f>
        <v>0</v>
      </c>
      <c r="AI573" s="1">
        <f>Q573</f>
        <v>0</v>
      </c>
      <c r="AJ573" s="1">
        <f>K573</f>
        <v>0</v>
      </c>
      <c r="AK573" s="1">
        <f>L573</f>
        <v>0</v>
      </c>
      <c r="AL573" s="1">
        <f>M573</f>
        <v>0</v>
      </c>
      <c r="AM573" s="1">
        <f>N573</f>
        <v>1</v>
      </c>
      <c r="AN573" s="1">
        <f>O573</f>
        <v>0</v>
      </c>
    </row>
    <row r="574">
      <c r="A574" s="1">
        <v>791</v>
      </c>
      <c r="B574" s="1">
        <v>30</v>
      </c>
      <c r="C574" s="1">
        <v>2.65</v>
      </c>
      <c r="D574" s="1">
        <v>88</v>
      </c>
      <c r="E574" s="1">
        <v>3</v>
      </c>
      <c r="F574" s="1">
        <v>1</v>
      </c>
      <c r="G574" s="1">
        <v>0</v>
      </c>
      <c r="H574" s="1">
        <v>0</v>
      </c>
      <c r="I574" s="1">
        <v>0</v>
      </c>
      <c r="J574" s="1">
        <v>0</v>
      </c>
      <c r="K574" s="1">
        <v>0</v>
      </c>
      <c r="L574" s="1">
        <v>0</v>
      </c>
      <c r="M574" s="1">
        <v>1</v>
      </c>
      <c r="N574" s="1">
        <v>0</v>
      </c>
      <c r="O574" s="1">
        <v>0</v>
      </c>
      <c r="P574" s="1">
        <f>LN(B574)</f>
        <v>3.40119738166216</v>
      </c>
      <c r="Q574" s="1">
        <f>1-SUM(F574:J574)</f>
        <v>0</v>
      </c>
      <c r="R574" s="1" t="str">
        <f>IF(F574=1,"Napa valley",IF(G574=1,"Bay area",IF(H574=1,"Sonoma",IF(I574=1,"Sierra/foothills",IF(J574=1,"Mendocino/lake","Generic California")))))</f>
        <v>Napa valley</v>
      </c>
      <c r="S574" s="1" t="str">
        <f>IF(F574=1,"Napa valley",IF(H574=1,"Sonoma","Other"))</f>
        <v>Napa valley</v>
      </c>
      <c r="T574" s="1" t="str">
        <f>IF(M574=1,"Cabernet",IF(N574=1,"Merlot",IF(L574=1,"Pinot noir","Other")))</f>
        <v>Cabernet</v>
      </c>
      <c r="U574" s="1">
        <f>IF(F574=1,B574,"")</f>
        <v>30</v>
      </c>
      <c r="V574" s="1" t="str">
        <f>IF(F574=0,B574,"")</f>
        <v/>
      </c>
      <c r="W574" s="1">
        <f>'Part B'!$B$150+SUMPRODUCT('Part B'!$B$164:$N$164,C574:O574)</f>
        <v>43.596991528411</v>
      </c>
      <c r="X574" s="1">
        <f>B574-W574</f>
        <v>-13.596991528411</v>
      </c>
      <c r="Y574" s="1">
        <f>'Part B'!$B$179+SUMPRODUCT('Part B'!$B$193:$N$193,C574:O574)</f>
        <v>3.50390766147102</v>
      </c>
      <c r="Z574" s="1">
        <f>P574-Y574</f>
        <v>-0.102710279808866</v>
      </c>
      <c r="AB574" s="1">
        <f>C574</f>
        <v>2.65</v>
      </c>
      <c r="AC574" s="1">
        <f>D574</f>
        <v>88</v>
      </c>
      <c r="AD574" s="1">
        <f>E574</f>
        <v>3</v>
      </c>
      <c r="AE574" s="1">
        <f>F574</f>
        <v>1</v>
      </c>
      <c r="AF574" s="1">
        <f>G574</f>
        <v>0</v>
      </c>
      <c r="AG574" s="1">
        <f>I574</f>
        <v>0</v>
      </c>
      <c r="AH574" s="1">
        <f>J574</f>
        <v>0</v>
      </c>
      <c r="AI574" s="1">
        <f>Q574</f>
        <v>0</v>
      </c>
      <c r="AJ574" s="1">
        <f>K574</f>
        <v>0</v>
      </c>
      <c r="AK574" s="1">
        <f>L574</f>
        <v>0</v>
      </c>
      <c r="AL574" s="1">
        <f>M574</f>
        <v>1</v>
      </c>
      <c r="AM574" s="1">
        <f>N574</f>
        <v>0</v>
      </c>
      <c r="AN574" s="1">
        <f>O574</f>
        <v>0</v>
      </c>
    </row>
    <row r="575">
      <c r="A575" s="1">
        <v>792</v>
      </c>
      <c r="B575" s="1">
        <v>30</v>
      </c>
      <c r="C575" s="1">
        <v>3.05</v>
      </c>
      <c r="D575" s="1">
        <v>91</v>
      </c>
      <c r="E575" s="1">
        <v>3</v>
      </c>
      <c r="F575" s="1">
        <v>1</v>
      </c>
      <c r="G575" s="1">
        <v>0</v>
      </c>
      <c r="H575" s="1">
        <v>0</v>
      </c>
      <c r="I575" s="1">
        <v>0</v>
      </c>
      <c r="J575" s="1">
        <v>0</v>
      </c>
      <c r="K575" s="1">
        <v>0</v>
      </c>
      <c r="L575" s="1">
        <v>0</v>
      </c>
      <c r="M575" s="1">
        <v>1</v>
      </c>
      <c r="N575" s="1">
        <v>0</v>
      </c>
      <c r="O575" s="1">
        <v>0</v>
      </c>
      <c r="P575" s="1">
        <f>LN(B575)</f>
        <v>3.40119738166216</v>
      </c>
      <c r="Q575" s="1">
        <f>1-SUM(F575:J575)</f>
        <v>0</v>
      </c>
      <c r="R575" s="1" t="str">
        <f>IF(F575=1,"Napa valley",IF(G575=1,"Bay area",IF(H575=1,"Sonoma",IF(I575=1,"Sierra/foothills",IF(J575=1,"Mendocino/lake","Generic California")))))</f>
        <v>Napa valley</v>
      </c>
      <c r="S575" s="1" t="str">
        <f>IF(F575=1,"Napa valley",IF(H575=1,"Sonoma","Other"))</f>
        <v>Napa valley</v>
      </c>
      <c r="T575" s="1" t="str">
        <f>IF(M575=1,"Cabernet",IF(N575=1,"Merlot",IF(L575=1,"Pinot noir","Other")))</f>
        <v>Cabernet</v>
      </c>
      <c r="U575" s="1">
        <f>IF(F575=1,B575,"")</f>
        <v>30</v>
      </c>
      <c r="V575" s="1" t="str">
        <f>IF(F575=0,B575,"")</f>
        <v/>
      </c>
      <c r="W575" s="1">
        <f>'Part B'!$B$150+SUMPRODUCT('Part B'!$B$164:$N$164,C575:O575)</f>
        <v>52.994317297641</v>
      </c>
      <c r="X575" s="1">
        <f>B575-W575</f>
        <v>-22.994317297641</v>
      </c>
      <c r="Y575" s="1">
        <f>'Part B'!$B$179+SUMPRODUCT('Part B'!$B$193:$N$193,C575:O575)</f>
        <v>3.71208014100527</v>
      </c>
      <c r="Z575" s="1">
        <f>P575-Y575</f>
        <v>-0.310882759343114</v>
      </c>
      <c r="AB575" s="1">
        <f>C575</f>
        <v>3.05</v>
      </c>
      <c r="AC575" s="1">
        <f>D575</f>
        <v>91</v>
      </c>
      <c r="AD575" s="1">
        <f>E575</f>
        <v>3</v>
      </c>
      <c r="AE575" s="1">
        <f>F575</f>
        <v>1</v>
      </c>
      <c r="AF575" s="1">
        <f>G575</f>
        <v>0</v>
      </c>
      <c r="AG575" s="1">
        <f>I575</f>
        <v>0</v>
      </c>
      <c r="AH575" s="1">
        <f>J575</f>
        <v>0</v>
      </c>
      <c r="AI575" s="1">
        <f>Q575</f>
        <v>0</v>
      </c>
      <c r="AJ575" s="1">
        <f>K575</f>
        <v>0</v>
      </c>
      <c r="AK575" s="1">
        <f>L575</f>
        <v>0</v>
      </c>
      <c r="AL575" s="1">
        <f>M575</f>
        <v>1</v>
      </c>
      <c r="AM575" s="1">
        <f>N575</f>
        <v>0</v>
      </c>
      <c r="AN575" s="1">
        <f>O575</f>
        <v>0</v>
      </c>
    </row>
    <row r="576">
      <c r="A576" s="1">
        <v>793</v>
      </c>
      <c r="B576" s="1">
        <v>30</v>
      </c>
      <c r="C576" s="1">
        <v>1.75</v>
      </c>
      <c r="D576" s="1">
        <v>82</v>
      </c>
      <c r="E576" s="1">
        <v>3</v>
      </c>
      <c r="F576" s="1">
        <v>1</v>
      </c>
      <c r="G576" s="1">
        <v>0</v>
      </c>
      <c r="H576" s="1">
        <v>0</v>
      </c>
      <c r="I576" s="1">
        <v>0</v>
      </c>
      <c r="J576" s="1">
        <v>0</v>
      </c>
      <c r="K576" s="1">
        <v>0</v>
      </c>
      <c r="L576" s="1">
        <v>0</v>
      </c>
      <c r="M576" s="1">
        <v>0</v>
      </c>
      <c r="N576" s="1">
        <v>1</v>
      </c>
      <c r="O576" s="1">
        <v>0</v>
      </c>
      <c r="P576" s="1">
        <f>LN(B576)</f>
        <v>3.40119738166216</v>
      </c>
      <c r="Q576" s="1">
        <f>1-SUM(F576:J576)</f>
        <v>0</v>
      </c>
      <c r="R576" s="1" t="str">
        <f>IF(F576=1,"Napa valley",IF(G576=1,"Bay area",IF(H576=1,"Sonoma",IF(I576=1,"Sierra/foothills",IF(J576=1,"Mendocino/lake","Generic California")))))</f>
        <v>Napa valley</v>
      </c>
      <c r="S576" s="1" t="str">
        <f>IF(F576=1,"Napa valley",IF(H576=1,"Sonoma","Other"))</f>
        <v>Napa valley</v>
      </c>
      <c r="T576" s="1" t="str">
        <f>IF(M576=1,"Cabernet",IF(N576=1,"Merlot",IF(L576=1,"Pinot noir","Other")))</f>
        <v>Merlot</v>
      </c>
      <c r="U576" s="1">
        <f>IF(F576=1,B576,"")</f>
        <v>30</v>
      </c>
      <c r="V576" s="1" t="str">
        <f>IF(F576=0,B576,"")</f>
        <v/>
      </c>
      <c r="W576" s="1">
        <f>'Part B'!$B$150+SUMPRODUCT('Part B'!$B$164:$N$164,C576:O576)</f>
        <v>19.8447872790875</v>
      </c>
      <c r="X576" s="1">
        <f>B576-W576</f>
        <v>10.1552127209125</v>
      </c>
      <c r="Y576" s="1">
        <f>'Part B'!$B$179+SUMPRODUCT('Part B'!$B$193:$N$193,C576:O576)</f>
        <v>3.051509678598</v>
      </c>
      <c r="Z576" s="1">
        <f>P576-Y576</f>
        <v>0.34968770306416</v>
      </c>
      <c r="AB576" s="1">
        <f>C576</f>
        <v>1.75</v>
      </c>
      <c r="AC576" s="1">
        <f>D576</f>
        <v>82</v>
      </c>
      <c r="AD576" s="1">
        <f>E576</f>
        <v>3</v>
      </c>
      <c r="AE576" s="1">
        <f>F576</f>
        <v>1</v>
      </c>
      <c r="AF576" s="1">
        <f>G576</f>
        <v>0</v>
      </c>
      <c r="AG576" s="1">
        <f>I576</f>
        <v>0</v>
      </c>
      <c r="AH576" s="1">
        <f>J576</f>
        <v>0</v>
      </c>
      <c r="AI576" s="1">
        <f>Q576</f>
        <v>0</v>
      </c>
      <c r="AJ576" s="1">
        <f>K576</f>
        <v>0</v>
      </c>
      <c r="AK576" s="1">
        <f>L576</f>
        <v>0</v>
      </c>
      <c r="AL576" s="1">
        <f>M576</f>
        <v>0</v>
      </c>
      <c r="AM576" s="1">
        <f>N576</f>
        <v>1</v>
      </c>
      <c r="AN576" s="1">
        <f>O576</f>
        <v>0</v>
      </c>
    </row>
    <row r="577">
      <c r="A577" s="1">
        <v>794</v>
      </c>
      <c r="B577" s="1">
        <v>30</v>
      </c>
      <c r="C577" s="1">
        <v>2.4</v>
      </c>
      <c r="D577" s="1">
        <v>88</v>
      </c>
      <c r="E577" s="1">
        <v>3</v>
      </c>
      <c r="F577" s="1">
        <v>0</v>
      </c>
      <c r="G577" s="1">
        <v>0</v>
      </c>
      <c r="H577" s="1">
        <v>1</v>
      </c>
      <c r="I577" s="1">
        <v>0</v>
      </c>
      <c r="J577" s="1">
        <v>0</v>
      </c>
      <c r="K577" s="1">
        <v>0</v>
      </c>
      <c r="L577" s="1">
        <v>0</v>
      </c>
      <c r="M577" s="1">
        <v>1</v>
      </c>
      <c r="N577" s="1">
        <v>0</v>
      </c>
      <c r="O577" s="1">
        <v>0</v>
      </c>
      <c r="P577" s="1">
        <f>LN(B577)</f>
        <v>3.40119738166216</v>
      </c>
      <c r="Q577" s="1">
        <f>1-SUM(F577:J577)</f>
        <v>0</v>
      </c>
      <c r="R577" s="1" t="str">
        <f>IF(F577=1,"Napa valley",IF(G577=1,"Bay area",IF(H577=1,"Sonoma",IF(I577=1,"Sierra/foothills",IF(J577=1,"Mendocino/lake","Generic California")))))</f>
        <v>Sonoma</v>
      </c>
      <c r="S577" s="1" t="str">
        <f>IF(F577=1,"Napa valley",IF(H577=1,"Sonoma","Other"))</f>
        <v>Sonoma</v>
      </c>
      <c r="T577" s="1" t="str">
        <f>IF(M577=1,"Cabernet",IF(N577=1,"Merlot",IF(L577=1,"Pinot noir","Other")))</f>
        <v>Cabernet</v>
      </c>
      <c r="U577" s="1" t="str">
        <f>IF(F577=1,B577,"")</f>
        <v/>
      </c>
      <c r="V577" s="1">
        <f>IF(F577=0,B577,"")</f>
        <v>30</v>
      </c>
      <c r="W577" s="1">
        <f>'Part B'!$B$150+SUMPRODUCT('Part B'!$B$164:$N$164,C577:O577)</f>
        <v>35.7242721510213</v>
      </c>
      <c r="X577" s="1">
        <f>B577-W577</f>
        <v>-5.7242721510213</v>
      </c>
      <c r="Y577" s="1">
        <f>'Part B'!$B$179+SUMPRODUCT('Part B'!$B$193:$N$193,C577:O577)</f>
        <v>3.35718986335712</v>
      </c>
      <c r="Z577" s="1">
        <f>P577-Y577</f>
        <v>0.0440075183050337</v>
      </c>
      <c r="AB577" s="1">
        <f>C577</f>
        <v>2.4</v>
      </c>
      <c r="AC577" s="1">
        <f>D577</f>
        <v>88</v>
      </c>
      <c r="AD577" s="1">
        <f>E577</f>
        <v>3</v>
      </c>
      <c r="AE577" s="1">
        <f>F577</f>
        <v>0</v>
      </c>
      <c r="AF577" s="1">
        <f>G577</f>
        <v>0</v>
      </c>
      <c r="AG577" s="1">
        <f>I577</f>
        <v>0</v>
      </c>
      <c r="AH577" s="1">
        <f>J577</f>
        <v>0</v>
      </c>
      <c r="AI577" s="1">
        <f>Q577</f>
        <v>0</v>
      </c>
      <c r="AJ577" s="1">
        <f>K577</f>
        <v>0</v>
      </c>
      <c r="AK577" s="1">
        <f>L577</f>
        <v>0</v>
      </c>
      <c r="AL577" s="1">
        <f>M577</f>
        <v>1</v>
      </c>
      <c r="AM577" s="1">
        <f>N577</f>
        <v>0</v>
      </c>
      <c r="AN577" s="1">
        <f>O577</f>
        <v>0</v>
      </c>
    </row>
    <row r="578">
      <c r="A578" s="1">
        <v>796</v>
      </c>
      <c r="B578" s="1">
        <v>30</v>
      </c>
      <c r="C578" s="1">
        <v>7</v>
      </c>
      <c r="D578" s="1">
        <v>93</v>
      </c>
      <c r="E578" s="1">
        <v>3</v>
      </c>
      <c r="F578" s="1">
        <v>1</v>
      </c>
      <c r="G578" s="1">
        <v>0</v>
      </c>
      <c r="H578" s="1">
        <v>0</v>
      </c>
      <c r="I578" s="1">
        <v>0</v>
      </c>
      <c r="J578" s="1">
        <v>0</v>
      </c>
      <c r="K578" s="1">
        <v>0</v>
      </c>
      <c r="L578" s="1">
        <v>0</v>
      </c>
      <c r="M578" s="1">
        <v>1</v>
      </c>
      <c r="N578" s="1">
        <v>0</v>
      </c>
      <c r="O578" s="1">
        <v>0</v>
      </c>
      <c r="P578" s="1">
        <f>LN(B578)</f>
        <v>3.40119738166216</v>
      </c>
      <c r="Q578" s="1">
        <f>1-SUM(F578:J578)</f>
        <v>0</v>
      </c>
      <c r="R578" s="1" t="str">
        <f>IF(F578=1,"Napa valley",IF(G578=1,"Bay area",IF(H578=1,"Sonoma",IF(I578=1,"Sierra/foothills",IF(J578=1,"Mendocino/lake","Generic California")))))</f>
        <v>Napa valley</v>
      </c>
      <c r="S578" s="1" t="str">
        <f>IF(F578=1,"Napa valley",IF(H578=1,"Sonoma","Other"))</f>
        <v>Napa valley</v>
      </c>
      <c r="T578" s="1" t="str">
        <f>IF(M578=1,"Cabernet",IF(N578=1,"Merlot",IF(L578=1,"Pinot noir","Other")))</f>
        <v>Cabernet</v>
      </c>
      <c r="U578" s="1">
        <f>IF(F578=1,B578,"")</f>
        <v>30</v>
      </c>
      <c r="V578" s="1" t="str">
        <f>IF(F578=0,B578,"")</f>
        <v/>
      </c>
      <c r="W578" s="1">
        <f>'Part B'!$B$150+SUMPRODUCT('Part B'!$B$164:$N$164,C578:O578)</f>
        <v>58.9096020923236</v>
      </c>
      <c r="X578" s="1">
        <f>B578-W578</f>
        <v>-28.9096020923236</v>
      </c>
      <c r="Y578" s="1">
        <f>'Part B'!$B$179+SUMPRODUCT('Part B'!$B$193:$N$193,C578:O578)</f>
        <v>3.83510056337704</v>
      </c>
      <c r="Z578" s="1">
        <f>P578-Y578</f>
        <v>-0.433903181714887</v>
      </c>
      <c r="AB578" s="1">
        <f>C578</f>
        <v>7</v>
      </c>
      <c r="AC578" s="1">
        <f>D578</f>
        <v>93</v>
      </c>
      <c r="AD578" s="1">
        <f>E578</f>
        <v>3</v>
      </c>
      <c r="AE578" s="1">
        <f>F578</f>
        <v>1</v>
      </c>
      <c r="AF578" s="1">
        <f>G578</f>
        <v>0</v>
      </c>
      <c r="AG578" s="1">
        <f>I578</f>
        <v>0</v>
      </c>
      <c r="AH578" s="1">
        <f>J578</f>
        <v>0</v>
      </c>
      <c r="AI578" s="1">
        <f>Q578</f>
        <v>0</v>
      </c>
      <c r="AJ578" s="1">
        <f>K578</f>
        <v>0</v>
      </c>
      <c r="AK578" s="1">
        <f>L578</f>
        <v>0</v>
      </c>
      <c r="AL578" s="1">
        <f>M578</f>
        <v>1</v>
      </c>
      <c r="AM578" s="1">
        <f>N578</f>
        <v>0</v>
      </c>
      <c r="AN578" s="1">
        <f>O578</f>
        <v>0</v>
      </c>
    </row>
    <row r="579">
      <c r="A579" s="1">
        <v>797</v>
      </c>
      <c r="B579" s="1">
        <v>30</v>
      </c>
      <c r="C579" s="1">
        <v>1.6</v>
      </c>
      <c r="D579" s="1">
        <v>93</v>
      </c>
      <c r="E579" s="1">
        <v>3</v>
      </c>
      <c r="F579" s="1">
        <v>1</v>
      </c>
      <c r="G579" s="1">
        <v>0</v>
      </c>
      <c r="H579" s="1">
        <v>0</v>
      </c>
      <c r="I579" s="1">
        <v>0</v>
      </c>
      <c r="J579" s="1">
        <v>0</v>
      </c>
      <c r="K579" s="1">
        <v>0</v>
      </c>
      <c r="L579" s="1">
        <v>0</v>
      </c>
      <c r="M579" s="1">
        <v>1</v>
      </c>
      <c r="N579" s="1">
        <v>0</v>
      </c>
      <c r="O579" s="1">
        <v>0</v>
      </c>
      <c r="P579" s="1">
        <f>LN(B579)</f>
        <v>3.40119738166216</v>
      </c>
      <c r="Q579" s="1">
        <f>1-SUM(F579:J579)</f>
        <v>0</v>
      </c>
      <c r="R579" s="1" t="str">
        <f>IF(F579=1,"Napa valley",IF(G579=1,"Bay area",IF(H579=1,"Sonoma",IF(I579=1,"Sierra/foothills",IF(J579=1,"Mendocino/lake","Generic California")))))</f>
        <v>Napa valley</v>
      </c>
      <c r="S579" s="1" t="str">
        <f>IF(F579=1,"Napa valley",IF(H579=1,"Sonoma","Other"))</f>
        <v>Napa valley</v>
      </c>
      <c r="T579" s="1" t="str">
        <f>IF(M579=1,"Cabernet",IF(N579=1,"Merlot",IF(L579=1,"Pinot noir","Other")))</f>
        <v>Cabernet</v>
      </c>
      <c r="U579" s="1">
        <f>IF(F579=1,B579,"")</f>
        <v>30</v>
      </c>
      <c r="V579" s="1" t="str">
        <f>IF(F579=0,B579,"")</f>
        <v/>
      </c>
      <c r="W579" s="1">
        <f>'Part B'!$B$150+SUMPRODUCT('Part B'!$B$164:$N$164,C579:O579)</f>
        <v>59.4221364483258</v>
      </c>
      <c r="X579" s="1">
        <f>B579-W579</f>
        <v>-29.4221364483258</v>
      </c>
      <c r="Y579" s="1">
        <f>'Part B'!$B$179+SUMPRODUCT('Part B'!$B$193:$N$193,C579:O579)</f>
        <v>3.85820752596049</v>
      </c>
      <c r="Z579" s="1">
        <f>P579-Y579</f>
        <v>-0.457010144298338</v>
      </c>
      <c r="AB579" s="1">
        <f>C579</f>
        <v>1.6</v>
      </c>
      <c r="AC579" s="1">
        <f>D579</f>
        <v>93</v>
      </c>
      <c r="AD579" s="1">
        <f>E579</f>
        <v>3</v>
      </c>
      <c r="AE579" s="1">
        <f>F579</f>
        <v>1</v>
      </c>
      <c r="AF579" s="1">
        <f>G579</f>
        <v>0</v>
      </c>
      <c r="AG579" s="1">
        <f>I579</f>
        <v>0</v>
      </c>
      <c r="AH579" s="1">
        <f>J579</f>
        <v>0</v>
      </c>
      <c r="AI579" s="1">
        <f>Q579</f>
        <v>0</v>
      </c>
      <c r="AJ579" s="1">
        <f>K579</f>
        <v>0</v>
      </c>
      <c r="AK579" s="1">
        <f>L579</f>
        <v>0</v>
      </c>
      <c r="AL579" s="1">
        <f>M579</f>
        <v>1</v>
      </c>
      <c r="AM579" s="1">
        <f>N579</f>
        <v>0</v>
      </c>
      <c r="AN579" s="1">
        <f>O579</f>
        <v>0</v>
      </c>
    </row>
    <row r="580">
      <c r="A580" s="1">
        <v>798</v>
      </c>
      <c r="B580" s="1">
        <v>30</v>
      </c>
      <c r="C580" s="1">
        <v>0.64</v>
      </c>
      <c r="D580" s="1">
        <v>82</v>
      </c>
      <c r="E580" s="1">
        <v>3</v>
      </c>
      <c r="F580" s="1">
        <v>1</v>
      </c>
      <c r="G580" s="1">
        <v>0</v>
      </c>
      <c r="H580" s="1">
        <v>0</v>
      </c>
      <c r="I580" s="1">
        <v>0</v>
      </c>
      <c r="J580" s="1">
        <v>0</v>
      </c>
      <c r="K580" s="1">
        <v>0</v>
      </c>
      <c r="L580" s="1">
        <v>0</v>
      </c>
      <c r="M580" s="1">
        <v>0</v>
      </c>
      <c r="N580" s="1">
        <v>1</v>
      </c>
      <c r="O580" s="1">
        <v>0</v>
      </c>
      <c r="P580" s="1">
        <f>LN(B580)</f>
        <v>3.40119738166216</v>
      </c>
      <c r="Q580" s="1">
        <f>1-SUM(F580:J580)</f>
        <v>0</v>
      </c>
      <c r="R580" s="1" t="str">
        <f>IF(F580=1,"Napa valley",IF(G580=1,"Bay area",IF(H580=1,"Sonoma",IF(I580=1,"Sierra/foothills",IF(J580=1,"Mendocino/lake","Generic California")))))</f>
        <v>Napa valley</v>
      </c>
      <c r="S580" s="1" t="str">
        <f>IF(F580=1,"Napa valley",IF(H580=1,"Sonoma","Other"))</f>
        <v>Napa valley</v>
      </c>
      <c r="T580" s="1" t="str">
        <f>IF(M580=1,"Cabernet",IF(N580=1,"Merlot",IF(L580=1,"Pinot noir","Other")))</f>
        <v>Merlot</v>
      </c>
      <c r="U580" s="1">
        <f>IF(F580=1,B580,"")</f>
        <v>30</v>
      </c>
      <c r="V580" s="1" t="str">
        <f>IF(F580=0,B580,"")</f>
        <v/>
      </c>
      <c r="W580" s="1">
        <f>'Part B'!$B$150+SUMPRODUCT('Part B'!$B$164:$N$164,C580:O580)</f>
        <v>19.9501415633769</v>
      </c>
      <c r="X580" s="1">
        <f>B580-W580</f>
        <v>10.0498584366231</v>
      </c>
      <c r="Y580" s="1">
        <f>'Part B'!$B$179+SUMPRODUCT('Part B'!$B$193:$N$193,C580:O580)</f>
        <v>3.05625944312904</v>
      </c>
      <c r="Z580" s="1">
        <f>P580-Y580</f>
        <v>0.344937938533117</v>
      </c>
      <c r="AB580" s="1">
        <f>C580</f>
        <v>0.64</v>
      </c>
      <c r="AC580" s="1">
        <f>D580</f>
        <v>82</v>
      </c>
      <c r="AD580" s="1">
        <f>E580</f>
        <v>3</v>
      </c>
      <c r="AE580" s="1">
        <f>F580</f>
        <v>1</v>
      </c>
      <c r="AF580" s="1">
        <f>G580</f>
        <v>0</v>
      </c>
      <c r="AG580" s="1">
        <f>I580</f>
        <v>0</v>
      </c>
      <c r="AH580" s="1">
        <f>J580</f>
        <v>0</v>
      </c>
      <c r="AI580" s="1">
        <f>Q580</f>
        <v>0</v>
      </c>
      <c r="AJ580" s="1">
        <f>K580</f>
        <v>0</v>
      </c>
      <c r="AK580" s="1">
        <f>L580</f>
        <v>0</v>
      </c>
      <c r="AL580" s="1">
        <f>M580</f>
        <v>0</v>
      </c>
      <c r="AM580" s="1">
        <f>N580</f>
        <v>1</v>
      </c>
      <c r="AN580" s="1">
        <f>O580</f>
        <v>0</v>
      </c>
    </row>
    <row r="581">
      <c r="A581" s="1">
        <v>799</v>
      </c>
      <c r="B581" s="1">
        <v>30</v>
      </c>
      <c r="C581" s="1">
        <v>0.27</v>
      </c>
      <c r="D581" s="1">
        <v>87</v>
      </c>
      <c r="E581" s="1">
        <v>3</v>
      </c>
      <c r="F581" s="1">
        <v>0</v>
      </c>
      <c r="G581" s="1">
        <v>0</v>
      </c>
      <c r="H581" s="1">
        <v>1</v>
      </c>
      <c r="I581" s="1">
        <v>0</v>
      </c>
      <c r="J581" s="1">
        <v>0</v>
      </c>
      <c r="K581" s="1">
        <v>0</v>
      </c>
      <c r="L581" s="1">
        <v>0</v>
      </c>
      <c r="M581" s="1">
        <v>1</v>
      </c>
      <c r="N581" s="1">
        <v>0</v>
      </c>
      <c r="O581" s="1">
        <v>0</v>
      </c>
      <c r="P581" s="1">
        <f>LN(B581)</f>
        <v>3.40119738166216</v>
      </c>
      <c r="Q581" s="1">
        <f>1-SUM(F581:J581)</f>
        <v>0</v>
      </c>
      <c r="R581" s="1" t="str">
        <f>IF(F581=1,"Napa valley",IF(G581=1,"Bay area",IF(H581=1,"Sonoma",IF(I581=1,"Sierra/foothills",IF(J581=1,"Mendocino/lake","Generic California")))))</f>
        <v>Sonoma</v>
      </c>
      <c r="S581" s="1" t="str">
        <f>IF(F581=1,"Napa valley",IF(H581=1,"Sonoma","Other"))</f>
        <v>Sonoma</v>
      </c>
      <c r="T581" s="1" t="str">
        <f>IF(M581=1,"Cabernet",IF(N581=1,"Merlot",IF(L581=1,"Pinot noir","Other")))</f>
        <v>Cabernet</v>
      </c>
      <c r="U581" s="1" t="str">
        <f>IF(F581=1,B581,"")</f>
        <v/>
      </c>
      <c r="V581" s="1">
        <f>IF(F581=0,B581,"")</f>
        <v>30</v>
      </c>
      <c r="W581" s="1">
        <f>'Part B'!$B$150+SUMPRODUCT('Part B'!$B$164:$N$164,C581:O581)</f>
        <v>32.7813413879726</v>
      </c>
      <c r="X581" s="1">
        <f>B581-W581</f>
        <v>-2.78134138797265</v>
      </c>
      <c r="Y581" s="1">
        <f>'Part B'!$B$179+SUMPRODUCT('Part B'!$B$193:$N$193,C581:O581)</f>
        <v>3.29634290757872</v>
      </c>
      <c r="Z581" s="1">
        <f>P581-Y581</f>
        <v>0.104854474083432</v>
      </c>
      <c r="AB581" s="1">
        <f>C581</f>
        <v>0.27</v>
      </c>
      <c r="AC581" s="1">
        <f>D581</f>
        <v>87</v>
      </c>
      <c r="AD581" s="1">
        <f>E581</f>
        <v>3</v>
      </c>
      <c r="AE581" s="1">
        <f>F581</f>
        <v>0</v>
      </c>
      <c r="AF581" s="1">
        <f>G581</f>
        <v>0</v>
      </c>
      <c r="AG581" s="1">
        <f>I581</f>
        <v>0</v>
      </c>
      <c r="AH581" s="1">
        <f>J581</f>
        <v>0</v>
      </c>
      <c r="AI581" s="1">
        <f>Q581</f>
        <v>0</v>
      </c>
      <c r="AJ581" s="1">
        <f>K581</f>
        <v>0</v>
      </c>
      <c r="AK581" s="1">
        <f>L581</f>
        <v>0</v>
      </c>
      <c r="AL581" s="1">
        <f>M581</f>
        <v>1</v>
      </c>
      <c r="AM581" s="1">
        <f>N581</f>
        <v>0</v>
      </c>
      <c r="AN581" s="1">
        <f>O581</f>
        <v>0</v>
      </c>
    </row>
    <row r="582">
      <c r="A582" s="1">
        <v>804</v>
      </c>
      <c r="B582" s="1">
        <v>30</v>
      </c>
      <c r="C582" s="1">
        <v>0.7</v>
      </c>
      <c r="D582" s="1">
        <v>88</v>
      </c>
      <c r="E582" s="1">
        <v>2</v>
      </c>
      <c r="F582" s="1">
        <v>0</v>
      </c>
      <c r="G582" s="1">
        <v>0</v>
      </c>
      <c r="H582" s="1">
        <v>1</v>
      </c>
      <c r="I582" s="1">
        <v>0</v>
      </c>
      <c r="J582" s="1">
        <v>0</v>
      </c>
      <c r="K582" s="1">
        <v>0</v>
      </c>
      <c r="L582" s="1">
        <v>0</v>
      </c>
      <c r="M582" s="1">
        <v>0</v>
      </c>
      <c r="N582" s="1">
        <v>0</v>
      </c>
      <c r="O582" s="1">
        <v>1</v>
      </c>
      <c r="P582" s="1">
        <f>LN(B582)</f>
        <v>3.40119738166216</v>
      </c>
      <c r="Q582" s="1">
        <f>1-SUM(F582:J582)</f>
        <v>0</v>
      </c>
      <c r="R582" s="1" t="str">
        <f>IF(F582=1,"Napa valley",IF(G582=1,"Bay area",IF(H582=1,"Sonoma",IF(I582=1,"Sierra/foothills",IF(J582=1,"Mendocino/lake","Generic California")))))</f>
        <v>Sonoma</v>
      </c>
      <c r="S582" s="1" t="str">
        <f>IF(F582=1,"Napa valley",IF(H582=1,"Sonoma","Other"))</f>
        <v>Sonoma</v>
      </c>
      <c r="T582" s="1" t="str">
        <f>IF(M582=1,"Cabernet",IF(N582=1,"Merlot",IF(L582=1,"Pinot noir","Other")))</f>
        <v>Other</v>
      </c>
      <c r="U582" s="1" t="str">
        <f>IF(F582=1,B582,"")</f>
        <v/>
      </c>
      <c r="V582" s="1">
        <f>IF(F582=0,B582,"")</f>
        <v>30</v>
      </c>
      <c r="W582" s="1">
        <f>'Part B'!$B$150+SUMPRODUCT('Part B'!$B$164:$N$164,C582:O582)</f>
        <v>16.2324799582581</v>
      </c>
      <c r="X582" s="1">
        <f>B582-W582</f>
        <v>13.7675200417419</v>
      </c>
      <c r="Y582" s="1">
        <f>'Part B'!$B$179+SUMPRODUCT('Part B'!$B$193:$N$193,C582:O582)</f>
        <v>2.90361728591495</v>
      </c>
      <c r="Z582" s="1">
        <f>P582-Y582</f>
        <v>0.497580095747209</v>
      </c>
      <c r="AB582" s="1">
        <f>C582</f>
        <v>0.7</v>
      </c>
      <c r="AC582" s="1">
        <f>D582</f>
        <v>88</v>
      </c>
      <c r="AD582" s="1">
        <f>E582</f>
        <v>2</v>
      </c>
      <c r="AE582" s="1">
        <f>F582</f>
        <v>0</v>
      </c>
      <c r="AF582" s="1">
        <f>G582</f>
        <v>0</v>
      </c>
      <c r="AG582" s="1">
        <f>I582</f>
        <v>0</v>
      </c>
      <c r="AH582" s="1">
        <f>J582</f>
        <v>0</v>
      </c>
      <c r="AI582" s="1">
        <f>Q582</f>
        <v>0</v>
      </c>
      <c r="AJ582" s="1">
        <f>K582</f>
        <v>0</v>
      </c>
      <c r="AK582" s="1">
        <f>L582</f>
        <v>0</v>
      </c>
      <c r="AL582" s="1">
        <f>M582</f>
        <v>0</v>
      </c>
      <c r="AM582" s="1">
        <f>N582</f>
        <v>0</v>
      </c>
      <c r="AN582" s="1">
        <f>O582</f>
        <v>1</v>
      </c>
    </row>
    <row r="583">
      <c r="A583" s="1">
        <v>806</v>
      </c>
      <c r="B583" s="1">
        <v>30</v>
      </c>
      <c r="C583" s="1">
        <v>0.403</v>
      </c>
      <c r="D583" s="1">
        <v>83</v>
      </c>
      <c r="E583" s="1">
        <v>2</v>
      </c>
      <c r="F583" s="1">
        <v>0</v>
      </c>
      <c r="G583" s="1">
        <v>0</v>
      </c>
      <c r="H583" s="1">
        <v>1</v>
      </c>
      <c r="I583" s="1">
        <v>0</v>
      </c>
      <c r="J583" s="1">
        <v>0</v>
      </c>
      <c r="K583" s="1">
        <v>0</v>
      </c>
      <c r="L583" s="1">
        <v>0</v>
      </c>
      <c r="M583" s="1">
        <v>0</v>
      </c>
      <c r="N583" s="1">
        <v>1</v>
      </c>
      <c r="O583" s="1">
        <v>0</v>
      </c>
      <c r="P583" s="1">
        <f>LN(B583)</f>
        <v>3.40119738166216</v>
      </c>
      <c r="Q583" s="1">
        <f>1-SUM(F583:J583)</f>
        <v>0</v>
      </c>
      <c r="R583" s="1" t="str">
        <f>IF(F583=1,"Napa valley",IF(G583=1,"Bay area",IF(H583=1,"Sonoma",IF(I583=1,"Sierra/foothills",IF(J583=1,"Mendocino/lake","Generic California")))))</f>
        <v>Sonoma</v>
      </c>
      <c r="S583" s="1" t="str">
        <f>IF(F583=1,"Napa valley",IF(H583=1,"Sonoma","Other"))</f>
        <v>Sonoma</v>
      </c>
      <c r="T583" s="1" t="str">
        <f>IF(M583=1,"Cabernet",IF(N583=1,"Merlot",IF(L583=1,"Pinot noir","Other")))</f>
        <v>Merlot</v>
      </c>
      <c r="U583" s="1" t="str">
        <f>IF(F583=1,B583,"")</f>
        <v/>
      </c>
      <c r="V583" s="1">
        <f>IF(F583=0,B583,"")</f>
        <v>30</v>
      </c>
      <c r="W583" s="1">
        <f>'Part B'!$B$150+SUMPRODUCT('Part B'!$B$164:$N$164,C583:O583)</f>
        <v>8.60168064096456</v>
      </c>
      <c r="X583" s="1">
        <f>B583-W583</f>
        <v>21.3983193590354</v>
      </c>
      <c r="Y583" s="1">
        <f>'Part B'!$B$179+SUMPRODUCT('Part B'!$B$193:$N$193,C583:O583)</f>
        <v>2.79636210349807</v>
      </c>
      <c r="Z583" s="1">
        <f>P583-Y583</f>
        <v>0.604835278164086</v>
      </c>
      <c r="AB583" s="1">
        <f>C583</f>
        <v>0.403</v>
      </c>
      <c r="AC583" s="1">
        <f>D583</f>
        <v>83</v>
      </c>
      <c r="AD583" s="1">
        <f>E583</f>
        <v>2</v>
      </c>
      <c r="AE583" s="1">
        <f>F583</f>
        <v>0</v>
      </c>
      <c r="AF583" s="1">
        <f>G583</f>
        <v>0</v>
      </c>
      <c r="AG583" s="1">
        <f>I583</f>
        <v>0</v>
      </c>
      <c r="AH583" s="1">
        <f>J583</f>
        <v>0</v>
      </c>
      <c r="AI583" s="1">
        <f>Q583</f>
        <v>0</v>
      </c>
      <c r="AJ583" s="1">
        <f>K583</f>
        <v>0</v>
      </c>
      <c r="AK583" s="1">
        <f>L583</f>
        <v>0</v>
      </c>
      <c r="AL583" s="1">
        <f>M583</f>
        <v>0</v>
      </c>
      <c r="AM583" s="1">
        <f>N583</f>
        <v>1</v>
      </c>
      <c r="AN583" s="1">
        <f>O583</f>
        <v>0</v>
      </c>
    </row>
    <row r="584">
      <c r="A584" s="1">
        <v>807</v>
      </c>
      <c r="B584" s="1">
        <v>30</v>
      </c>
      <c r="C584" s="1">
        <v>0.9</v>
      </c>
      <c r="D584" s="1">
        <v>90</v>
      </c>
      <c r="E584" s="1">
        <v>2</v>
      </c>
      <c r="F584" s="1">
        <v>0</v>
      </c>
      <c r="G584" s="1">
        <v>0</v>
      </c>
      <c r="H584" s="1">
        <v>1</v>
      </c>
      <c r="I584" s="1">
        <v>0</v>
      </c>
      <c r="J584" s="1">
        <v>0</v>
      </c>
      <c r="K584" s="1">
        <v>0</v>
      </c>
      <c r="L584" s="1">
        <v>1</v>
      </c>
      <c r="M584" s="1">
        <v>0</v>
      </c>
      <c r="N584" s="1">
        <v>0</v>
      </c>
      <c r="O584" s="1">
        <v>0</v>
      </c>
      <c r="P584" s="1">
        <f>LN(B584)</f>
        <v>3.40119738166216</v>
      </c>
      <c r="Q584" s="1">
        <f>1-SUM(F584:J584)</f>
        <v>0</v>
      </c>
      <c r="R584" s="1" t="str">
        <f>IF(F584=1,"Napa valley",IF(G584=1,"Bay area",IF(H584=1,"Sonoma",IF(I584=1,"Sierra/foothills",IF(J584=1,"Mendocino/lake","Generic California")))))</f>
        <v>Sonoma</v>
      </c>
      <c r="S584" s="1" t="str">
        <f>IF(F584=1,"Napa valley",IF(H584=1,"Sonoma","Other"))</f>
        <v>Sonoma</v>
      </c>
      <c r="T584" s="1" t="str">
        <f>IF(M584=1,"Cabernet",IF(N584=1,"Merlot",IF(L584=1,"Pinot noir","Other")))</f>
        <v>Pinot noir</v>
      </c>
      <c r="U584" s="1" t="str">
        <f>IF(F584=1,B584,"")</f>
        <v/>
      </c>
      <c r="V584" s="1">
        <f>IF(F584=0,B584,"")</f>
        <v>30</v>
      </c>
      <c r="W584" s="1">
        <f>'Part B'!$B$150+SUMPRODUCT('Part B'!$B$164:$N$164,C584:O584)</f>
        <v>32.3642381162973</v>
      </c>
      <c r="X584" s="1">
        <f>B584-W584</f>
        <v>-2.36423811629726</v>
      </c>
      <c r="Y584" s="1">
        <f>'Part B'!$B$179+SUMPRODUCT('Part B'!$B$193:$N$193,C584:O584)</f>
        <v>3.34597253690493</v>
      </c>
      <c r="Z584" s="1">
        <f>P584-Y584</f>
        <v>0.055224844757221</v>
      </c>
      <c r="AB584" s="1">
        <f>C584</f>
        <v>0.9</v>
      </c>
      <c r="AC584" s="1">
        <f>D584</f>
        <v>90</v>
      </c>
      <c r="AD584" s="1">
        <f>E584</f>
        <v>2</v>
      </c>
      <c r="AE584" s="1">
        <f>F584</f>
        <v>0</v>
      </c>
      <c r="AF584" s="1">
        <f>G584</f>
        <v>0</v>
      </c>
      <c r="AG584" s="1">
        <f>I584</f>
        <v>0</v>
      </c>
      <c r="AH584" s="1">
        <f>J584</f>
        <v>0</v>
      </c>
      <c r="AI584" s="1">
        <f>Q584</f>
        <v>0</v>
      </c>
      <c r="AJ584" s="1">
        <f>K584</f>
        <v>0</v>
      </c>
      <c r="AK584" s="1">
        <f>L584</f>
        <v>1</v>
      </c>
      <c r="AL584" s="1">
        <f>M584</f>
        <v>0</v>
      </c>
      <c r="AM584" s="1">
        <f>N584</f>
        <v>0</v>
      </c>
      <c r="AN584" s="1">
        <f>O584</f>
        <v>0</v>
      </c>
    </row>
    <row r="585">
      <c r="A585" s="1">
        <v>811</v>
      </c>
      <c r="B585" s="1">
        <v>30</v>
      </c>
      <c r="C585" s="1">
        <v>1</v>
      </c>
      <c r="D585" s="1">
        <v>92</v>
      </c>
      <c r="E585" s="1">
        <v>2</v>
      </c>
      <c r="F585" s="1">
        <v>1</v>
      </c>
      <c r="G585" s="1">
        <v>0</v>
      </c>
      <c r="H585" s="1">
        <v>0</v>
      </c>
      <c r="I585" s="1">
        <v>0</v>
      </c>
      <c r="J585" s="1">
        <v>0</v>
      </c>
      <c r="K585" s="1">
        <v>0</v>
      </c>
      <c r="L585" s="1">
        <v>0</v>
      </c>
      <c r="M585" s="1">
        <v>1</v>
      </c>
      <c r="N585" s="1">
        <v>0</v>
      </c>
      <c r="O585" s="1">
        <v>0</v>
      </c>
      <c r="P585" s="1">
        <f>LN(B585)</f>
        <v>3.40119738166216</v>
      </c>
      <c r="Q585" s="1">
        <f>1-SUM(F585:J585)</f>
        <v>0</v>
      </c>
      <c r="R585" s="1" t="str">
        <f>IF(F585=1,"Napa valley",IF(G585=1,"Bay area",IF(H585=1,"Sonoma",IF(I585=1,"Sierra/foothills",IF(J585=1,"Mendocino/lake","Generic California")))))</f>
        <v>Napa valley</v>
      </c>
      <c r="S585" s="1" t="str">
        <f>IF(F585=1,"Napa valley",IF(H585=1,"Sonoma","Other"))</f>
        <v>Napa valley</v>
      </c>
      <c r="T585" s="1" t="str">
        <f>IF(M585=1,"Cabernet",IF(N585=1,"Merlot",IF(L585=1,"Pinot noir","Other")))</f>
        <v>Cabernet</v>
      </c>
      <c r="U585" s="1">
        <f>IF(F585=1,B585,"")</f>
        <v>30</v>
      </c>
      <c r="V585" s="1" t="str">
        <f>IF(F585=0,B585,"")</f>
        <v/>
      </c>
      <c r="W585" s="1">
        <f>'Part B'!$B$150+SUMPRODUCT('Part B'!$B$164:$N$164,C585:O585)</f>
        <v>49.7143828593652</v>
      </c>
      <c r="X585" s="1">
        <f>B585-W585</f>
        <v>-19.7143828593652</v>
      </c>
      <c r="Y585" s="1">
        <f>'Part B'!$B$179+SUMPRODUCT('Part B'!$B$193:$N$193,C585:O585)</f>
        <v>3.60772831500851</v>
      </c>
      <c r="Z585" s="1">
        <f>P585-Y585</f>
        <v>-0.206530933346352</v>
      </c>
      <c r="AB585" s="1">
        <f>C585</f>
        <v>1</v>
      </c>
      <c r="AC585" s="1">
        <f>D585</f>
        <v>92</v>
      </c>
      <c r="AD585" s="1">
        <f>E585</f>
        <v>2</v>
      </c>
      <c r="AE585" s="1">
        <f>F585</f>
        <v>1</v>
      </c>
      <c r="AF585" s="1">
        <f>G585</f>
        <v>0</v>
      </c>
      <c r="AG585" s="1">
        <f>I585</f>
        <v>0</v>
      </c>
      <c r="AH585" s="1">
        <f>J585</f>
        <v>0</v>
      </c>
      <c r="AI585" s="1">
        <f>Q585</f>
        <v>0</v>
      </c>
      <c r="AJ585" s="1">
        <f>K585</f>
        <v>0</v>
      </c>
      <c r="AK585" s="1">
        <f>L585</f>
        <v>0</v>
      </c>
      <c r="AL585" s="1">
        <f>M585</f>
        <v>1</v>
      </c>
      <c r="AM585" s="1">
        <f>N585</f>
        <v>0</v>
      </c>
      <c r="AN585" s="1">
        <f>O585</f>
        <v>0</v>
      </c>
    </row>
    <row r="586">
      <c r="A586" s="1">
        <v>812</v>
      </c>
      <c r="B586" s="1">
        <v>30</v>
      </c>
      <c r="C586" s="1">
        <v>0.388</v>
      </c>
      <c r="D586" s="1">
        <v>88</v>
      </c>
      <c r="E586" s="1">
        <v>2</v>
      </c>
      <c r="F586" s="1">
        <v>1</v>
      </c>
      <c r="G586" s="1">
        <v>0</v>
      </c>
      <c r="H586" s="1">
        <v>0</v>
      </c>
      <c r="I586" s="1">
        <v>0</v>
      </c>
      <c r="J586" s="1">
        <v>0</v>
      </c>
      <c r="K586" s="1">
        <v>0</v>
      </c>
      <c r="L586" s="1">
        <v>0</v>
      </c>
      <c r="M586" s="1">
        <v>0</v>
      </c>
      <c r="N586" s="1">
        <v>0</v>
      </c>
      <c r="O586" s="1">
        <v>0</v>
      </c>
      <c r="P586" s="1">
        <f>LN(B586)</f>
        <v>3.40119738166216</v>
      </c>
      <c r="Q586" s="1">
        <f>1-SUM(F586:J586)</f>
        <v>0</v>
      </c>
      <c r="R586" s="1" t="str">
        <f>IF(F586=1,"Napa valley",IF(G586=1,"Bay area",IF(H586=1,"Sonoma",IF(I586=1,"Sierra/foothills",IF(J586=1,"Mendocino/lake","Generic California")))))</f>
        <v>Napa valley</v>
      </c>
      <c r="S586" s="1" t="str">
        <f>IF(F586=1,"Napa valley",IF(H586=1,"Sonoma","Other"))</f>
        <v>Napa valley</v>
      </c>
      <c r="T586" s="1" t="str">
        <f>IF(M586=1,"Cabernet",IF(N586=1,"Merlot",IF(L586=1,"Pinot noir","Other")))</f>
        <v>Other</v>
      </c>
      <c r="U586" s="1">
        <f>IF(F586=1,B586,"")</f>
        <v>30</v>
      </c>
      <c r="V586" s="1" t="str">
        <f>IF(F586=0,B586,"")</f>
        <v/>
      </c>
      <c r="W586" s="1">
        <f>'Part B'!$B$150+SUMPRODUCT('Part B'!$B$164:$N$164,C586:O586)</f>
        <v>24.5648280747459</v>
      </c>
      <c r="X586" s="1">
        <f>B586-W586</f>
        <v>5.43517192525405</v>
      </c>
      <c r="Y586" s="1">
        <f>'Part B'!$B$179+SUMPRODUCT('Part B'!$B$193:$N$193,C586:O586)</f>
        <v>3.00950596852422</v>
      </c>
      <c r="Z586" s="1">
        <f>P586-Y586</f>
        <v>0.391691413137936</v>
      </c>
      <c r="AB586" s="1">
        <f>C586</f>
        <v>0.388</v>
      </c>
      <c r="AC586" s="1">
        <f>D586</f>
        <v>88</v>
      </c>
      <c r="AD586" s="1">
        <f>E586</f>
        <v>2</v>
      </c>
      <c r="AE586" s="1">
        <f>F586</f>
        <v>1</v>
      </c>
      <c r="AF586" s="1">
        <f>G586</f>
        <v>0</v>
      </c>
      <c r="AG586" s="1">
        <f>I586</f>
        <v>0</v>
      </c>
      <c r="AH586" s="1">
        <f>J586</f>
        <v>0</v>
      </c>
      <c r="AI586" s="1">
        <f>Q586</f>
        <v>0</v>
      </c>
      <c r="AJ586" s="1">
        <f>K586</f>
        <v>0</v>
      </c>
      <c r="AK586" s="1">
        <f>L586</f>
        <v>0</v>
      </c>
      <c r="AL586" s="1">
        <f>M586</f>
        <v>0</v>
      </c>
      <c r="AM586" s="1">
        <f>N586</f>
        <v>0</v>
      </c>
      <c r="AN586" s="1">
        <f>O586</f>
        <v>0</v>
      </c>
    </row>
    <row r="587">
      <c r="A587" s="1">
        <v>815</v>
      </c>
      <c r="B587" s="1">
        <v>30</v>
      </c>
      <c r="C587" s="1">
        <v>1.613</v>
      </c>
      <c r="D587" s="1">
        <v>89</v>
      </c>
      <c r="E587" s="1">
        <v>2</v>
      </c>
      <c r="F587" s="1">
        <v>0</v>
      </c>
      <c r="G587" s="1">
        <v>0</v>
      </c>
      <c r="H587" s="1">
        <v>1</v>
      </c>
      <c r="I587" s="1">
        <v>0</v>
      </c>
      <c r="J587" s="1">
        <v>0</v>
      </c>
      <c r="K587" s="1">
        <v>0</v>
      </c>
      <c r="L587" s="1">
        <v>1</v>
      </c>
      <c r="M587" s="1">
        <v>0</v>
      </c>
      <c r="N587" s="1">
        <v>0</v>
      </c>
      <c r="O587" s="1">
        <v>0</v>
      </c>
      <c r="P587" s="1">
        <f>LN(B587)</f>
        <v>3.40119738166216</v>
      </c>
      <c r="Q587" s="1">
        <f>1-SUM(F587:J587)</f>
        <v>0</v>
      </c>
      <c r="R587" s="1" t="str">
        <f>IF(F587=1,"Napa valley",IF(G587=1,"Bay area",IF(H587=1,"Sonoma",IF(I587=1,"Sierra/foothills",IF(J587=1,"Mendocino/lake","Generic California")))))</f>
        <v>Sonoma</v>
      </c>
      <c r="S587" s="1" t="str">
        <f>IF(F587=1,"Napa valley",IF(H587=1,"Sonoma","Other"))</f>
        <v>Sonoma</v>
      </c>
      <c r="T587" s="1" t="str">
        <f>IF(M587=1,"Cabernet",IF(N587=1,"Merlot",IF(L587=1,"Pinot noir","Other")))</f>
        <v>Pinot noir</v>
      </c>
      <c r="U587" s="1" t="str">
        <f>IF(F587=1,B587,"")</f>
        <v/>
      </c>
      <c r="V587" s="1">
        <f>IF(F587=0,B587,"")</f>
        <v>30</v>
      </c>
      <c r="W587" s="1">
        <f>'Part B'!$B$150+SUMPRODUCT('Part B'!$B$164:$N$164,C587:O587)</f>
        <v>29.1514675061904</v>
      </c>
      <c r="X587" s="1">
        <f>B587-W587</f>
        <v>0.848532493809614</v>
      </c>
      <c r="Y587" s="1">
        <f>'Part B'!$B$179+SUMPRODUCT('Part B'!$B$193:$N$193,C587:O587)</f>
        <v>3.27296019323306</v>
      </c>
      <c r="Z587" s="1">
        <f>P587-Y587</f>
        <v>0.128237188429093</v>
      </c>
      <c r="AB587" s="1">
        <f>C587</f>
        <v>1.613</v>
      </c>
      <c r="AC587" s="1">
        <f>D587</f>
        <v>89</v>
      </c>
      <c r="AD587" s="1">
        <f>E587</f>
        <v>2</v>
      </c>
      <c r="AE587" s="1">
        <f>F587</f>
        <v>0</v>
      </c>
      <c r="AF587" s="1">
        <f>G587</f>
        <v>0</v>
      </c>
      <c r="AG587" s="1">
        <f>I587</f>
        <v>0</v>
      </c>
      <c r="AH587" s="1">
        <f>J587</f>
        <v>0</v>
      </c>
      <c r="AI587" s="1">
        <f>Q587</f>
        <v>0</v>
      </c>
      <c r="AJ587" s="1">
        <f>K587</f>
        <v>0</v>
      </c>
      <c r="AK587" s="1">
        <f>L587</f>
        <v>1</v>
      </c>
      <c r="AL587" s="1">
        <f>M587</f>
        <v>0</v>
      </c>
      <c r="AM587" s="1">
        <f>N587</f>
        <v>0</v>
      </c>
      <c r="AN587" s="1">
        <f>O587</f>
        <v>0</v>
      </c>
    </row>
    <row r="588">
      <c r="A588" s="1">
        <v>817</v>
      </c>
      <c r="B588" s="1">
        <v>30</v>
      </c>
      <c r="C588" s="1">
        <v>0.9</v>
      </c>
      <c r="D588" s="1">
        <v>93</v>
      </c>
      <c r="E588" s="1">
        <v>2</v>
      </c>
      <c r="F588" s="1">
        <v>0</v>
      </c>
      <c r="G588" s="1">
        <v>0</v>
      </c>
      <c r="H588" s="1">
        <v>1</v>
      </c>
      <c r="I588" s="1">
        <v>0</v>
      </c>
      <c r="J588" s="1">
        <v>0</v>
      </c>
      <c r="K588" s="1">
        <v>0</v>
      </c>
      <c r="L588" s="1">
        <v>0</v>
      </c>
      <c r="M588" s="1">
        <v>0</v>
      </c>
      <c r="N588" s="1">
        <v>0</v>
      </c>
      <c r="O588" s="1">
        <v>0</v>
      </c>
      <c r="P588" s="1">
        <f>LN(B588)</f>
        <v>3.40119738166216</v>
      </c>
      <c r="Q588" s="1">
        <f>1-SUM(F588:J588)</f>
        <v>0</v>
      </c>
      <c r="R588" s="1" t="str">
        <f>IF(F588=1,"Napa valley",IF(G588=1,"Bay area",IF(H588=1,"Sonoma",IF(I588=1,"Sierra/foothills",IF(J588=1,"Mendocino/lake","Generic California")))))</f>
        <v>Sonoma</v>
      </c>
      <c r="S588" s="1" t="str">
        <f>IF(F588=1,"Napa valley",IF(H588=1,"Sonoma","Other"))</f>
        <v>Sonoma</v>
      </c>
      <c r="T588" s="1" t="str">
        <f>IF(M588=1,"Cabernet",IF(N588=1,"Merlot",IF(L588=1,"Pinot noir","Other")))</f>
        <v>Other</v>
      </c>
      <c r="U588" s="1" t="str">
        <f>IF(F588=1,B588,"")</f>
        <v/>
      </c>
      <c r="V588" s="1">
        <f>IF(F588=0,B588,"")</f>
        <v>30</v>
      </c>
      <c r="W588" s="1">
        <f>'Part B'!$B$150+SUMPRODUCT('Part B'!$B$164:$N$164,C588:O588)</f>
        <v>32.3452698667014</v>
      </c>
      <c r="X588" s="1">
        <f>B588-W588</f>
        <v>-2.34526986670136</v>
      </c>
      <c r="Y588" s="1">
        <f>'Part B'!$B$179+SUMPRODUCT('Part B'!$B$193:$N$193,C588:O588)</f>
        <v>3.2093343652329</v>
      </c>
      <c r="Z588" s="1">
        <f>P588-Y588</f>
        <v>0.191863016429256</v>
      </c>
      <c r="AB588" s="1">
        <f>C588</f>
        <v>0.9</v>
      </c>
      <c r="AC588" s="1">
        <f>D588</f>
        <v>93</v>
      </c>
      <c r="AD588" s="1">
        <f>E588</f>
        <v>2</v>
      </c>
      <c r="AE588" s="1">
        <f>F588</f>
        <v>0</v>
      </c>
      <c r="AF588" s="1">
        <f>G588</f>
        <v>0</v>
      </c>
      <c r="AG588" s="1">
        <f>I588</f>
        <v>0</v>
      </c>
      <c r="AH588" s="1">
        <f>J588</f>
        <v>0</v>
      </c>
      <c r="AI588" s="1">
        <f>Q588</f>
        <v>0</v>
      </c>
      <c r="AJ588" s="1">
        <f>K588</f>
        <v>0</v>
      </c>
      <c r="AK588" s="1">
        <f>L588</f>
        <v>0</v>
      </c>
      <c r="AL588" s="1">
        <f>M588</f>
        <v>0</v>
      </c>
      <c r="AM588" s="1">
        <f>N588</f>
        <v>0</v>
      </c>
      <c r="AN588" s="1">
        <f>O588</f>
        <v>0</v>
      </c>
    </row>
    <row r="589">
      <c r="A589" s="1">
        <v>820</v>
      </c>
      <c r="B589" s="1">
        <v>31</v>
      </c>
      <c r="C589" s="1">
        <v>0.9</v>
      </c>
      <c r="D589" s="1">
        <v>88</v>
      </c>
      <c r="E589" s="1">
        <v>3</v>
      </c>
      <c r="F589" s="1">
        <v>1</v>
      </c>
      <c r="G589" s="1">
        <v>0</v>
      </c>
      <c r="H589" s="1">
        <v>0</v>
      </c>
      <c r="I589" s="1">
        <v>0</v>
      </c>
      <c r="J589" s="1">
        <v>0</v>
      </c>
      <c r="K589" s="1">
        <v>0</v>
      </c>
      <c r="L589" s="1">
        <v>0</v>
      </c>
      <c r="M589" s="1">
        <v>0</v>
      </c>
      <c r="N589" s="1">
        <v>1</v>
      </c>
      <c r="O589" s="1">
        <v>0</v>
      </c>
      <c r="P589" s="1">
        <f>LN(B589)</f>
        <v>3.43398720448515</v>
      </c>
      <c r="Q589" s="1">
        <f>1-SUM(F589:J589)</f>
        <v>0</v>
      </c>
      <c r="R589" s="1" t="str">
        <f>IF(F589=1,"Napa valley",IF(G589=1,"Bay area",IF(H589=1,"Sonoma",IF(I589=1,"Sierra/foothills",IF(J589=1,"Mendocino/lake","Generic California")))))</f>
        <v>Napa valley</v>
      </c>
      <c r="S589" s="1" t="str">
        <f>IF(F589=1,"Napa valley",IF(H589=1,"Sonoma","Other"))</f>
        <v>Napa valley</v>
      </c>
      <c r="T589" s="1" t="str">
        <f>IF(M589=1,"Cabernet",IF(N589=1,"Merlot",IF(L589=1,"Pinot noir","Other")))</f>
        <v>Merlot</v>
      </c>
      <c r="U589" s="1">
        <f>IF(F589=1,B589,"")</f>
        <v>31</v>
      </c>
      <c r="V589" s="1" t="str">
        <f>IF(F589=0,B589,"")</f>
        <v/>
      </c>
      <c r="W589" s="1">
        <f>'Part B'!$B$150+SUMPRODUCT('Part B'!$B$164:$N$164,C589:O589)</f>
        <v>38.796046537437</v>
      </c>
      <c r="X589" s="1">
        <f>B589-W589</f>
        <v>-7.79604653743701</v>
      </c>
      <c r="Y589" s="1">
        <f>'Part B'!$B$179+SUMPRODUCT('Part B'!$B$193:$N$193,C589:O589)</f>
        <v>3.47491509845588</v>
      </c>
      <c r="Z589" s="1">
        <f>P589-Y589</f>
        <v>-0.0409278939707294</v>
      </c>
      <c r="AB589" s="1">
        <f>C589</f>
        <v>0.9</v>
      </c>
      <c r="AC589" s="1">
        <f>D589</f>
        <v>88</v>
      </c>
      <c r="AD589" s="1">
        <f>E589</f>
        <v>3</v>
      </c>
      <c r="AE589" s="1">
        <f>F589</f>
        <v>1</v>
      </c>
      <c r="AF589" s="1">
        <f>G589</f>
        <v>0</v>
      </c>
      <c r="AG589" s="1">
        <f>I589</f>
        <v>0</v>
      </c>
      <c r="AH589" s="1">
        <f>J589</f>
        <v>0</v>
      </c>
      <c r="AI589" s="1">
        <f>Q589</f>
        <v>0</v>
      </c>
      <c r="AJ589" s="1">
        <f>K589</f>
        <v>0</v>
      </c>
      <c r="AK589" s="1">
        <f>L589</f>
        <v>0</v>
      </c>
      <c r="AL589" s="1">
        <f>M589</f>
        <v>0</v>
      </c>
      <c r="AM589" s="1">
        <f>N589</f>
        <v>1</v>
      </c>
      <c r="AN589" s="1">
        <f>O589</f>
        <v>0</v>
      </c>
    </row>
    <row r="590">
      <c r="A590" s="1">
        <v>821</v>
      </c>
      <c r="B590" s="1">
        <v>31</v>
      </c>
      <c r="C590" s="1">
        <v>0.786</v>
      </c>
      <c r="D590" s="1">
        <v>87</v>
      </c>
      <c r="E590" s="1">
        <v>3</v>
      </c>
      <c r="F590" s="1">
        <v>1</v>
      </c>
      <c r="G590" s="1">
        <v>0</v>
      </c>
      <c r="H590" s="1">
        <v>0</v>
      </c>
      <c r="I590" s="1">
        <v>0</v>
      </c>
      <c r="J590" s="1">
        <v>0</v>
      </c>
      <c r="K590" s="1">
        <v>0</v>
      </c>
      <c r="L590" s="1">
        <v>0</v>
      </c>
      <c r="M590" s="1">
        <v>1</v>
      </c>
      <c r="N590" s="1">
        <v>0</v>
      </c>
      <c r="O590" s="1">
        <v>0</v>
      </c>
      <c r="P590" s="1">
        <f>LN(B590)</f>
        <v>3.43398720448515</v>
      </c>
      <c r="Q590" s="1">
        <f>1-SUM(F590:J590)</f>
        <v>0</v>
      </c>
      <c r="R590" s="1" t="str">
        <f>IF(F590=1,"Napa valley",IF(G590=1,"Bay area",IF(H590=1,"Sonoma",IF(I590=1,"Sierra/foothills",IF(J590=1,"Mendocino/lake","Generic California")))))</f>
        <v>Napa valley</v>
      </c>
      <c r="S590" s="1" t="str">
        <f>IF(F590=1,"Napa valley",IF(H590=1,"Sonoma","Other"))</f>
        <v>Napa valley</v>
      </c>
      <c r="T590" s="1" t="str">
        <f>IF(M590=1,"Cabernet",IF(N590=1,"Merlot",IF(L590=1,"Pinot noir","Other")))</f>
        <v>Cabernet</v>
      </c>
      <c r="U590" s="1">
        <f>IF(F590=1,B590,"")</f>
        <v>31</v>
      </c>
      <c r="V590" s="1" t="str">
        <f>IF(F590=0,B590,"")</f>
        <v/>
      </c>
      <c r="W590" s="1">
        <f>'Part B'!$B$150+SUMPRODUCT('Part B'!$B$164:$N$164,C590:O590)</f>
        <v>40.6288137026408</v>
      </c>
      <c r="X590" s="1">
        <f>B590-W590</f>
        <v>-9.6288137026408</v>
      </c>
      <c r="Y590" s="1">
        <f>'Part B'!$B$179+SUMPRODUCT('Part B'!$B$193:$N$193,C590:O590)</f>
        <v>3.44192247383203</v>
      </c>
      <c r="Z590" s="1">
        <f>P590-Y590</f>
        <v>-0.00793526934688504</v>
      </c>
      <c r="AB590" s="1">
        <f>C590</f>
        <v>0.786</v>
      </c>
      <c r="AC590" s="1">
        <f>D590</f>
        <v>87</v>
      </c>
      <c r="AD590" s="1">
        <f>E590</f>
        <v>3</v>
      </c>
      <c r="AE590" s="1">
        <f>F590</f>
        <v>1</v>
      </c>
      <c r="AF590" s="1">
        <f>G590</f>
        <v>0</v>
      </c>
      <c r="AG590" s="1">
        <f>I590</f>
        <v>0</v>
      </c>
      <c r="AH590" s="1">
        <f>J590</f>
        <v>0</v>
      </c>
      <c r="AI590" s="1">
        <f>Q590</f>
        <v>0</v>
      </c>
      <c r="AJ590" s="1">
        <f>K590</f>
        <v>0</v>
      </c>
      <c r="AK590" s="1">
        <f>L590</f>
        <v>0</v>
      </c>
      <c r="AL590" s="1">
        <f>M590</f>
        <v>1</v>
      </c>
      <c r="AM590" s="1">
        <f>N590</f>
        <v>0</v>
      </c>
      <c r="AN590" s="1">
        <f>O590</f>
        <v>0</v>
      </c>
    </row>
    <row r="591">
      <c r="A591" s="1">
        <v>822</v>
      </c>
      <c r="B591" s="1">
        <v>31</v>
      </c>
      <c r="C591" s="1">
        <v>0.9</v>
      </c>
      <c r="D591" s="1">
        <v>91</v>
      </c>
      <c r="E591" s="1">
        <v>2</v>
      </c>
      <c r="F591" s="1">
        <v>1</v>
      </c>
      <c r="G591" s="1">
        <v>0</v>
      </c>
      <c r="H591" s="1">
        <v>0</v>
      </c>
      <c r="I591" s="1">
        <v>0</v>
      </c>
      <c r="J591" s="1">
        <v>0</v>
      </c>
      <c r="K591" s="1">
        <v>0</v>
      </c>
      <c r="L591" s="1">
        <v>1</v>
      </c>
      <c r="M591" s="1">
        <v>0</v>
      </c>
      <c r="N591" s="1">
        <v>0</v>
      </c>
      <c r="O591" s="1">
        <v>0</v>
      </c>
      <c r="P591" s="1">
        <f>LN(B591)</f>
        <v>3.43398720448515</v>
      </c>
      <c r="Q591" s="1">
        <f>1-SUM(F591:J591)</f>
        <v>0</v>
      </c>
      <c r="R591" s="1" t="str">
        <f>IF(F591=1,"Napa valley",IF(G591=1,"Bay area",IF(H591=1,"Sonoma",IF(I591=1,"Sierra/foothills",IF(J591=1,"Mendocino/lake","Generic California")))))</f>
        <v>Napa valley</v>
      </c>
      <c r="S591" s="1" t="str">
        <f>IF(F591=1,"Napa valley",IF(H591=1,"Sonoma","Other"))</f>
        <v>Napa valley</v>
      </c>
      <c r="T591" s="1" t="str">
        <f>IF(M591=1,"Cabernet",IF(N591=1,"Merlot",IF(L591=1,"Pinot noir","Other")))</f>
        <v>Pinot noir</v>
      </c>
      <c r="U591" s="1">
        <f>IF(F591=1,B591,"")</f>
        <v>31</v>
      </c>
      <c r="V591" s="1" t="str">
        <f>IF(F591=0,B591,"")</f>
        <v/>
      </c>
      <c r="W591" s="1">
        <f>'Part B'!$B$150+SUMPRODUCT('Part B'!$B$164:$N$164,C591:O591)</f>
        <v>43.4057830284552</v>
      </c>
      <c r="X591" s="1">
        <f>B591-W591</f>
        <v>-12.4057830284552</v>
      </c>
      <c r="Y591" s="1">
        <f>'Part B'!$B$179+SUMPRODUCT('Part B'!$B$193:$N$193,C591:O591)</f>
        <v>3.56372147060253</v>
      </c>
      <c r="Z591" s="1">
        <f>P591-Y591</f>
        <v>-0.129734266117385</v>
      </c>
      <c r="AB591" s="1">
        <f>C591</f>
        <v>0.9</v>
      </c>
      <c r="AC591" s="1">
        <f>D591</f>
        <v>91</v>
      </c>
      <c r="AD591" s="1">
        <f>E591</f>
        <v>2</v>
      </c>
      <c r="AE591" s="1">
        <f>F591</f>
        <v>1</v>
      </c>
      <c r="AF591" s="1">
        <f>G591</f>
        <v>0</v>
      </c>
      <c r="AG591" s="1">
        <f>I591</f>
        <v>0</v>
      </c>
      <c r="AH591" s="1">
        <f>J591</f>
        <v>0</v>
      </c>
      <c r="AI591" s="1">
        <f>Q591</f>
        <v>0</v>
      </c>
      <c r="AJ591" s="1">
        <f>K591</f>
        <v>0</v>
      </c>
      <c r="AK591" s="1">
        <f>L591</f>
        <v>1</v>
      </c>
      <c r="AL591" s="1">
        <f>M591</f>
        <v>0</v>
      </c>
      <c r="AM591" s="1">
        <f>N591</f>
        <v>0</v>
      </c>
      <c r="AN591" s="1">
        <f>O591</f>
        <v>0</v>
      </c>
    </row>
    <row r="592">
      <c r="A592" s="1">
        <v>824</v>
      </c>
      <c r="B592" s="1">
        <v>32</v>
      </c>
      <c r="C592" s="1">
        <v>0.36</v>
      </c>
      <c r="D592" s="1">
        <v>86</v>
      </c>
      <c r="E592" s="1">
        <v>4</v>
      </c>
      <c r="F592" s="1">
        <v>0</v>
      </c>
      <c r="G592" s="1">
        <v>0</v>
      </c>
      <c r="H592" s="1">
        <v>1</v>
      </c>
      <c r="I592" s="1">
        <v>0</v>
      </c>
      <c r="J592" s="1">
        <v>0</v>
      </c>
      <c r="K592" s="1">
        <v>1</v>
      </c>
      <c r="L592" s="1">
        <v>0</v>
      </c>
      <c r="M592" s="1">
        <v>0</v>
      </c>
      <c r="N592" s="1">
        <v>0</v>
      </c>
      <c r="O592" s="1">
        <v>0</v>
      </c>
      <c r="P592" s="1">
        <f>LN(B592)</f>
        <v>3.46573590279973</v>
      </c>
      <c r="Q592" s="1">
        <f>1-SUM(F592:J592)</f>
        <v>0</v>
      </c>
      <c r="R592" s="1" t="str">
        <f>IF(F592=1,"Napa valley",IF(G592=1,"Bay area",IF(H592=1,"Sonoma",IF(I592=1,"Sierra/foothills",IF(J592=1,"Mendocino/lake","Generic California")))))</f>
        <v>Sonoma</v>
      </c>
      <c r="S592" s="1" t="str">
        <f>IF(F592=1,"Napa valley",IF(H592=1,"Sonoma","Other"))</f>
        <v>Sonoma</v>
      </c>
      <c r="T592" s="1" t="str">
        <f>IF(M592=1,"Cabernet",IF(N592=1,"Merlot",IF(L592=1,"Pinot noir","Other")))</f>
        <v>Other</v>
      </c>
      <c r="U592" s="1" t="str">
        <f>IF(F592=1,B592,"")</f>
        <v/>
      </c>
      <c r="V592" s="1">
        <f>IF(F592=0,B592,"")</f>
        <v>32</v>
      </c>
      <c r="W592" s="1">
        <f>'Part B'!$B$150+SUMPRODUCT('Part B'!$B$164:$N$164,C592:O592)</f>
        <v>43.9078465798734</v>
      </c>
      <c r="X592" s="1">
        <f>B592-W592</f>
        <v>-11.9078465798734</v>
      </c>
      <c r="Y592" s="1">
        <f>'Part B'!$B$179+SUMPRODUCT('Part B'!$B$193:$N$193,C592:O592)</f>
        <v>3.56667350881365</v>
      </c>
      <c r="Z592" s="1">
        <f>P592-Y592</f>
        <v>-0.100937606013927</v>
      </c>
      <c r="AB592" s="1">
        <f>C592</f>
        <v>0.36</v>
      </c>
      <c r="AC592" s="1">
        <f>D592</f>
        <v>86</v>
      </c>
      <c r="AD592" s="1">
        <f>E592</f>
        <v>4</v>
      </c>
      <c r="AE592" s="1">
        <f>F592</f>
        <v>0</v>
      </c>
      <c r="AF592" s="1">
        <f>G592</f>
        <v>0</v>
      </c>
      <c r="AG592" s="1">
        <f>I592</f>
        <v>0</v>
      </c>
      <c r="AH592" s="1">
        <f>J592</f>
        <v>0</v>
      </c>
      <c r="AI592" s="1">
        <f>Q592</f>
        <v>0</v>
      </c>
      <c r="AJ592" s="1">
        <f>K592</f>
        <v>1</v>
      </c>
      <c r="AK592" s="1">
        <f>L592</f>
        <v>0</v>
      </c>
      <c r="AL592" s="1">
        <f>M592</f>
        <v>0</v>
      </c>
      <c r="AM592" s="1">
        <f>N592</f>
        <v>0</v>
      </c>
      <c r="AN592" s="1">
        <f>O592</f>
        <v>0</v>
      </c>
    </row>
    <row r="593">
      <c r="A593" s="1">
        <v>826</v>
      </c>
      <c r="B593" s="1">
        <v>32</v>
      </c>
      <c r="C593" s="1">
        <v>0.175</v>
      </c>
      <c r="D593" s="1">
        <v>83</v>
      </c>
      <c r="E593" s="1">
        <v>3</v>
      </c>
      <c r="F593" s="1">
        <v>0</v>
      </c>
      <c r="G593" s="1">
        <v>0</v>
      </c>
      <c r="H593" s="1">
        <v>1</v>
      </c>
      <c r="I593" s="1">
        <v>0</v>
      </c>
      <c r="J593" s="1">
        <v>0</v>
      </c>
      <c r="K593" s="1">
        <v>0</v>
      </c>
      <c r="L593" s="1">
        <v>0</v>
      </c>
      <c r="M593" s="1">
        <v>0</v>
      </c>
      <c r="N593" s="1">
        <v>1</v>
      </c>
      <c r="O593" s="1">
        <v>0</v>
      </c>
      <c r="P593" s="1">
        <f>LN(B593)</f>
        <v>3.46573590279973</v>
      </c>
      <c r="Q593" s="1">
        <f>1-SUM(F593:J593)</f>
        <v>0</v>
      </c>
      <c r="R593" s="1" t="str">
        <f>IF(F593=1,"Napa valley",IF(G593=1,"Bay area",IF(H593=1,"Sonoma",IF(I593=1,"Sierra/foothills",IF(J593=1,"Mendocino/lake","Generic California")))))</f>
        <v>Sonoma</v>
      </c>
      <c r="S593" s="1" t="str">
        <f>IF(F593=1,"Napa valley",IF(H593=1,"Sonoma","Other"))</f>
        <v>Sonoma</v>
      </c>
      <c r="T593" s="1" t="str">
        <f>IF(M593=1,"Cabernet",IF(N593=1,"Merlot",IF(L593=1,"Pinot noir","Other")))</f>
        <v>Merlot</v>
      </c>
      <c r="U593" s="1" t="str">
        <f>IF(F593=1,B593,"")</f>
        <v/>
      </c>
      <c r="V593" s="1">
        <f>IF(F593=0,B593,"")</f>
        <v>32</v>
      </c>
      <c r="W593" s="1">
        <f>'Part B'!$B$150+SUMPRODUCT('Part B'!$B$164:$N$164,C593:O593)</f>
        <v>15.2429257388183</v>
      </c>
      <c r="X593" s="1">
        <f>B593-W593</f>
        <v>16.7570742611817</v>
      </c>
      <c r="Y593" s="1">
        <f>'Part B'!$B$179+SUMPRODUCT('Part B'!$B$193:$N$193,C593:O593)</f>
        <v>2.98042301324876</v>
      </c>
      <c r="Z593" s="1">
        <f>P593-Y593</f>
        <v>0.485312889550969</v>
      </c>
      <c r="AB593" s="1">
        <f>C593</f>
        <v>0.175</v>
      </c>
      <c r="AC593" s="1">
        <f>D593</f>
        <v>83</v>
      </c>
      <c r="AD593" s="1">
        <f>E593</f>
        <v>3</v>
      </c>
      <c r="AE593" s="1">
        <f>F593</f>
        <v>0</v>
      </c>
      <c r="AF593" s="1">
        <f>G593</f>
        <v>0</v>
      </c>
      <c r="AG593" s="1">
        <f>I593</f>
        <v>0</v>
      </c>
      <c r="AH593" s="1">
        <f>J593</f>
        <v>0</v>
      </c>
      <c r="AI593" s="1">
        <f>Q593</f>
        <v>0</v>
      </c>
      <c r="AJ593" s="1">
        <f>K593</f>
        <v>0</v>
      </c>
      <c r="AK593" s="1">
        <f>L593</f>
        <v>0</v>
      </c>
      <c r="AL593" s="1">
        <f>M593</f>
        <v>0</v>
      </c>
      <c r="AM593" s="1">
        <f>N593</f>
        <v>1</v>
      </c>
      <c r="AN593" s="1">
        <f>O593</f>
        <v>0</v>
      </c>
    </row>
    <row r="594">
      <c r="A594" s="1">
        <v>827</v>
      </c>
      <c r="B594" s="1">
        <v>32</v>
      </c>
      <c r="C594" s="1">
        <v>7.29</v>
      </c>
      <c r="D594" s="1">
        <v>85</v>
      </c>
      <c r="E594" s="1">
        <v>3</v>
      </c>
      <c r="F594" s="1">
        <v>0</v>
      </c>
      <c r="G594" s="1">
        <v>0</v>
      </c>
      <c r="H594" s="1">
        <v>1</v>
      </c>
      <c r="I594" s="1">
        <v>0</v>
      </c>
      <c r="J594" s="1">
        <v>0</v>
      </c>
      <c r="K594" s="1">
        <v>0</v>
      </c>
      <c r="L594" s="1">
        <v>0</v>
      </c>
      <c r="M594" s="1">
        <v>1</v>
      </c>
      <c r="N594" s="1">
        <v>0</v>
      </c>
      <c r="O594" s="1">
        <v>0</v>
      </c>
      <c r="P594" s="1">
        <f>LN(B594)</f>
        <v>3.46573590279973</v>
      </c>
      <c r="Q594" s="1">
        <f>1-SUM(F594:J594)</f>
        <v>0</v>
      </c>
      <c r="R594" s="1" t="str">
        <f>IF(F594=1,"Napa valley",IF(G594=1,"Bay area",IF(H594=1,"Sonoma",IF(I594=1,"Sierra/foothills",IF(J594=1,"Mendocino/lake","Generic California")))))</f>
        <v>Sonoma</v>
      </c>
      <c r="S594" s="1" t="str">
        <f>IF(F594=1,"Napa valley",IF(H594=1,"Sonoma","Other"))</f>
        <v>Sonoma</v>
      </c>
      <c r="T594" s="1" t="str">
        <f>IF(M594=1,"Cabernet",IF(N594=1,"Merlot",IF(L594=1,"Pinot noir","Other")))</f>
        <v>Cabernet</v>
      </c>
      <c r="U594" s="1" t="str">
        <f>IF(F594=1,B594,"")</f>
        <v/>
      </c>
      <c r="V594" s="1">
        <f>IF(F594=0,B594,"")</f>
        <v>32</v>
      </c>
      <c r="W594" s="1">
        <f>'Part B'!$B$150+SUMPRODUCT('Part B'!$B$164:$N$164,C594:O594)</f>
        <v>25.8248525404484</v>
      </c>
      <c r="X594" s="1">
        <f>B594-W594</f>
        <v>6.17514745955162</v>
      </c>
      <c r="Y594" s="1">
        <f>'Part B'!$B$179+SUMPRODUCT('Part B'!$B$193:$N$193,C594:O594)</f>
        <v>3.12638111862538</v>
      </c>
      <c r="Z594" s="1">
        <f>P594-Y594</f>
        <v>0.339354784174343</v>
      </c>
      <c r="AB594" s="1">
        <f>C594</f>
        <v>7.29</v>
      </c>
      <c r="AC594" s="1">
        <f>D594</f>
        <v>85</v>
      </c>
      <c r="AD594" s="1">
        <f>E594</f>
        <v>3</v>
      </c>
      <c r="AE594" s="1">
        <f>F594</f>
        <v>0</v>
      </c>
      <c r="AF594" s="1">
        <f>G594</f>
        <v>0</v>
      </c>
      <c r="AG594" s="1">
        <f>I594</f>
        <v>0</v>
      </c>
      <c r="AH594" s="1">
        <f>J594</f>
        <v>0</v>
      </c>
      <c r="AI594" s="1">
        <f>Q594</f>
        <v>0</v>
      </c>
      <c r="AJ594" s="1">
        <f>K594</f>
        <v>0</v>
      </c>
      <c r="AK594" s="1">
        <f>L594</f>
        <v>0</v>
      </c>
      <c r="AL594" s="1">
        <f>M594</f>
        <v>1</v>
      </c>
      <c r="AM594" s="1">
        <f>N594</f>
        <v>0</v>
      </c>
      <c r="AN594" s="1">
        <f>O594</f>
        <v>0</v>
      </c>
    </row>
    <row r="595">
      <c r="A595" s="1">
        <v>828</v>
      </c>
      <c r="B595" s="1">
        <v>32</v>
      </c>
      <c r="C595" s="1">
        <v>0.8</v>
      </c>
      <c r="D595" s="1">
        <v>88</v>
      </c>
      <c r="E595" s="1">
        <v>3</v>
      </c>
      <c r="F595" s="1">
        <v>1</v>
      </c>
      <c r="G595" s="1">
        <v>0</v>
      </c>
      <c r="H595" s="1">
        <v>0</v>
      </c>
      <c r="I595" s="1">
        <v>0</v>
      </c>
      <c r="J595" s="1">
        <v>0</v>
      </c>
      <c r="K595" s="1">
        <v>1</v>
      </c>
      <c r="L595" s="1">
        <v>0</v>
      </c>
      <c r="M595" s="1">
        <v>0</v>
      </c>
      <c r="N595" s="1">
        <v>0</v>
      </c>
      <c r="O595" s="1">
        <v>0</v>
      </c>
      <c r="P595" s="1">
        <f>LN(B595)</f>
        <v>3.46573590279973</v>
      </c>
      <c r="Q595" s="1">
        <f>1-SUM(F595:J595)</f>
        <v>0</v>
      </c>
      <c r="R595" s="1" t="str">
        <f>IF(F595=1,"Napa valley",IF(G595=1,"Bay area",IF(H595=1,"Sonoma",IF(I595=1,"Sierra/foothills",IF(J595=1,"Mendocino/lake","Generic California")))))</f>
        <v>Napa valley</v>
      </c>
      <c r="S595" s="1" t="str">
        <f>IF(F595=1,"Napa valley",IF(H595=1,"Sonoma","Other"))</f>
        <v>Napa valley</v>
      </c>
      <c r="T595" s="1" t="str">
        <f>IF(M595=1,"Cabernet",IF(N595=1,"Merlot",IF(L595=1,"Pinot noir","Other")))</f>
        <v>Other</v>
      </c>
      <c r="U595" s="1">
        <f>IF(F595=1,B595,"")</f>
        <v>32</v>
      </c>
      <c r="V595" s="1" t="str">
        <f>IF(F595=0,B595,"")</f>
        <v/>
      </c>
      <c r="W595" s="1">
        <f>'Part B'!$B$150+SUMPRODUCT('Part B'!$B$164:$N$164,C595:O595)</f>
        <v>51.4331217673766</v>
      </c>
      <c r="X595" s="1">
        <f>B595-W595</f>
        <v>-19.4331217673766</v>
      </c>
      <c r="Y595" s="1">
        <f>'Part B'!$B$179+SUMPRODUCT('Part B'!$B$193:$N$193,C595:O595)</f>
        <v>3.66941573932323</v>
      </c>
      <c r="Z595" s="1">
        <f>P595-Y595</f>
        <v>-0.203679836523505</v>
      </c>
      <c r="AB595" s="1">
        <f>C595</f>
        <v>0.8</v>
      </c>
      <c r="AC595" s="1">
        <f>D595</f>
        <v>88</v>
      </c>
      <c r="AD595" s="1">
        <f>E595</f>
        <v>3</v>
      </c>
      <c r="AE595" s="1">
        <f>F595</f>
        <v>1</v>
      </c>
      <c r="AF595" s="1">
        <f>G595</f>
        <v>0</v>
      </c>
      <c r="AG595" s="1">
        <f>I595</f>
        <v>0</v>
      </c>
      <c r="AH595" s="1">
        <f>J595</f>
        <v>0</v>
      </c>
      <c r="AI595" s="1">
        <f>Q595</f>
        <v>0</v>
      </c>
      <c r="AJ595" s="1">
        <f>K595</f>
        <v>1</v>
      </c>
      <c r="AK595" s="1">
        <f>L595</f>
        <v>0</v>
      </c>
      <c r="AL595" s="1">
        <f>M595</f>
        <v>0</v>
      </c>
      <c r="AM595" s="1">
        <f>N595</f>
        <v>0</v>
      </c>
      <c r="AN595" s="1">
        <f>O595</f>
        <v>0</v>
      </c>
    </row>
    <row r="596">
      <c r="A596" s="1">
        <v>829</v>
      </c>
      <c r="B596" s="1">
        <v>32</v>
      </c>
      <c r="C596" s="1">
        <v>0.47</v>
      </c>
      <c r="D596" s="1">
        <v>88</v>
      </c>
      <c r="E596" s="1">
        <v>3</v>
      </c>
      <c r="F596" s="1">
        <v>0</v>
      </c>
      <c r="G596" s="1">
        <v>0</v>
      </c>
      <c r="H596" s="1">
        <v>1</v>
      </c>
      <c r="I596" s="1">
        <v>0</v>
      </c>
      <c r="J596" s="1">
        <v>0</v>
      </c>
      <c r="K596" s="1">
        <v>0</v>
      </c>
      <c r="L596" s="1">
        <v>0</v>
      </c>
      <c r="M596" s="1">
        <v>0</v>
      </c>
      <c r="N596" s="1">
        <v>1</v>
      </c>
      <c r="O596" s="1">
        <v>0</v>
      </c>
      <c r="P596" s="1">
        <f>LN(B596)</f>
        <v>3.46573590279973</v>
      </c>
      <c r="Q596" s="1">
        <f>1-SUM(F596:J596)</f>
        <v>0</v>
      </c>
      <c r="R596" s="1" t="str">
        <f>IF(F596=1,"Napa valley",IF(G596=1,"Bay area",IF(H596=1,"Sonoma",IF(I596=1,"Sierra/foothills",IF(J596=1,"Mendocino/lake","Generic California")))))</f>
        <v>Sonoma</v>
      </c>
      <c r="S596" s="1" t="str">
        <f>IF(F596=1,"Napa valley",IF(H596=1,"Sonoma","Other"))</f>
        <v>Sonoma</v>
      </c>
      <c r="T596" s="1" t="str">
        <f>IF(M596=1,"Cabernet",IF(N596=1,"Merlot",IF(L596=1,"Pinot noir","Other")))</f>
        <v>Merlot</v>
      </c>
      <c r="U596" s="1" t="str">
        <f>IF(F596=1,B596,"")</f>
        <v/>
      </c>
      <c r="V596" s="1">
        <f>IF(F596=0,B596,"")</f>
        <v>32</v>
      </c>
      <c r="W596" s="1">
        <f>'Part B'!$B$150+SUMPRODUCT('Part B'!$B$164:$N$164,C596:O596)</f>
        <v>30.9404116385807</v>
      </c>
      <c r="X596" s="1">
        <f>B596-W596</f>
        <v>1.05958836141934</v>
      </c>
      <c r="Y596" s="1">
        <f>'Part B'!$B$179+SUMPRODUCT('Part B'!$B$193:$N$193,C596:O596)</f>
        <v>3.32896753242809</v>
      </c>
      <c r="Z596" s="1">
        <f>P596-Y596</f>
        <v>0.136768370371636</v>
      </c>
      <c r="AB596" s="1">
        <f>C596</f>
        <v>0.47</v>
      </c>
      <c r="AC596" s="1">
        <f>D596</f>
        <v>88</v>
      </c>
      <c r="AD596" s="1">
        <f>E596</f>
        <v>3</v>
      </c>
      <c r="AE596" s="1">
        <f>F596</f>
        <v>0</v>
      </c>
      <c r="AF596" s="1">
        <f>G596</f>
        <v>0</v>
      </c>
      <c r="AG596" s="1">
        <f>I596</f>
        <v>0</v>
      </c>
      <c r="AH596" s="1">
        <f>J596</f>
        <v>0</v>
      </c>
      <c r="AI596" s="1">
        <f>Q596</f>
        <v>0</v>
      </c>
      <c r="AJ596" s="1">
        <f>K596</f>
        <v>0</v>
      </c>
      <c r="AK596" s="1">
        <f>L596</f>
        <v>0</v>
      </c>
      <c r="AL596" s="1">
        <f>M596</f>
        <v>0</v>
      </c>
      <c r="AM596" s="1">
        <f>N596</f>
        <v>1</v>
      </c>
      <c r="AN596" s="1">
        <f>O596</f>
        <v>0</v>
      </c>
    </row>
    <row r="597">
      <c r="A597" s="1">
        <v>830</v>
      </c>
      <c r="B597" s="1">
        <v>32</v>
      </c>
      <c r="C597" s="1">
        <v>0.775</v>
      </c>
      <c r="D597" s="1">
        <v>86</v>
      </c>
      <c r="E597" s="1">
        <v>3</v>
      </c>
      <c r="F597" s="1">
        <v>0</v>
      </c>
      <c r="G597" s="1">
        <v>0</v>
      </c>
      <c r="H597" s="1">
        <v>0</v>
      </c>
      <c r="I597" s="1">
        <v>0</v>
      </c>
      <c r="J597" s="1">
        <v>1</v>
      </c>
      <c r="K597" s="1">
        <v>0</v>
      </c>
      <c r="L597" s="1">
        <v>0</v>
      </c>
      <c r="M597" s="1">
        <v>1</v>
      </c>
      <c r="N597" s="1">
        <v>0</v>
      </c>
      <c r="O597" s="1">
        <v>0</v>
      </c>
      <c r="P597" s="1">
        <f>LN(B597)</f>
        <v>3.46573590279973</v>
      </c>
      <c r="Q597" s="1">
        <f>1-SUM(F597:J597)</f>
        <v>0</v>
      </c>
      <c r="R597" s="1" t="str">
        <f>IF(F597=1,"Napa valley",IF(G597=1,"Bay area",IF(H597=1,"Sonoma",IF(I597=1,"Sierra/foothills",IF(J597=1,"Mendocino/lake","Generic California")))))</f>
        <v>Mendocino/lake</v>
      </c>
      <c r="S597" s="1" t="str">
        <f>IF(F597=1,"Napa valley",IF(H597=1,"Sonoma","Other"))</f>
        <v>Other</v>
      </c>
      <c r="T597" s="1" t="str">
        <f>IF(M597=1,"Cabernet",IF(N597=1,"Merlot",IF(L597=1,"Pinot noir","Other")))</f>
        <v>Cabernet</v>
      </c>
      <c r="U597" s="1" t="str">
        <f>IF(F597=1,B597,"")</f>
        <v/>
      </c>
      <c r="V597" s="1">
        <f>IF(F597=0,B597,"")</f>
        <v>32</v>
      </c>
      <c r="W597" s="1">
        <f>'Part B'!$B$150+SUMPRODUCT('Part B'!$B$164:$N$164,C597:O597)</f>
        <v>31.305295787419</v>
      </c>
      <c r="X597" s="1">
        <f>B597-W597</f>
        <v>0.694704212580973</v>
      </c>
      <c r="Y597" s="1">
        <f>'Part B'!$B$179+SUMPRODUCT('Part B'!$B$193:$N$193,C597:O597)</f>
        <v>3.17951567082466</v>
      </c>
      <c r="Z597" s="1">
        <f>P597-Y597</f>
        <v>0.286220231975069</v>
      </c>
      <c r="AB597" s="1">
        <f>C597</f>
        <v>0.775</v>
      </c>
      <c r="AC597" s="1">
        <f>D597</f>
        <v>86</v>
      </c>
      <c r="AD597" s="1">
        <f>E597</f>
        <v>3</v>
      </c>
      <c r="AE597" s="1">
        <f>F597</f>
        <v>0</v>
      </c>
      <c r="AF597" s="1">
        <f>G597</f>
        <v>0</v>
      </c>
      <c r="AG597" s="1">
        <f>I597</f>
        <v>0</v>
      </c>
      <c r="AH597" s="1">
        <f>J597</f>
        <v>1</v>
      </c>
      <c r="AI597" s="1">
        <f>Q597</f>
        <v>0</v>
      </c>
      <c r="AJ597" s="1">
        <f>K597</f>
        <v>0</v>
      </c>
      <c r="AK597" s="1">
        <f>L597</f>
        <v>0</v>
      </c>
      <c r="AL597" s="1">
        <f>M597</f>
        <v>1</v>
      </c>
      <c r="AM597" s="1">
        <f>N597</f>
        <v>0</v>
      </c>
      <c r="AN597" s="1">
        <f>O597</f>
        <v>0</v>
      </c>
    </row>
    <row r="598">
      <c r="A598" s="1">
        <v>831</v>
      </c>
      <c r="B598" s="1">
        <v>32</v>
      </c>
      <c r="C598" s="1">
        <v>0.3</v>
      </c>
      <c r="D598" s="1">
        <v>83</v>
      </c>
      <c r="E598" s="1">
        <v>3</v>
      </c>
      <c r="F598" s="1">
        <v>1</v>
      </c>
      <c r="G598" s="1">
        <v>0</v>
      </c>
      <c r="H598" s="1">
        <v>0</v>
      </c>
      <c r="I598" s="1">
        <v>0</v>
      </c>
      <c r="J598" s="1">
        <v>0</v>
      </c>
      <c r="K598" s="1">
        <v>0</v>
      </c>
      <c r="L598" s="1">
        <v>0</v>
      </c>
      <c r="M598" s="1">
        <v>1</v>
      </c>
      <c r="N598" s="1">
        <v>0</v>
      </c>
      <c r="O598" s="1">
        <v>0</v>
      </c>
      <c r="P598" s="1">
        <f>LN(B598)</f>
        <v>3.46573590279973</v>
      </c>
      <c r="Q598" s="1">
        <f>1-SUM(F598:J598)</f>
        <v>0</v>
      </c>
      <c r="R598" s="1" t="str">
        <f>IF(F598=1,"Napa valley",IF(G598=1,"Bay area",IF(H598=1,"Sonoma",IF(I598=1,"Sierra/foothills",IF(J598=1,"Mendocino/lake","Generic California")))))</f>
        <v>Napa valley</v>
      </c>
      <c r="S598" s="1" t="str">
        <f>IF(F598=1,"Napa valley",IF(H598=1,"Sonoma","Other"))</f>
        <v>Napa valley</v>
      </c>
      <c r="T598" s="1" t="str">
        <f>IF(M598=1,"Cabernet",IF(N598=1,"Merlot",IF(L598=1,"Pinot noir","Other")))</f>
        <v>Cabernet</v>
      </c>
      <c r="U598" s="1">
        <f>IF(F598=1,B598,"")</f>
        <v>32</v>
      </c>
      <c r="V598" s="1" t="str">
        <f>IF(F598=0,B598,"")</f>
        <v/>
      </c>
      <c r="W598" s="1">
        <f>'Part B'!$B$150+SUMPRODUCT('Part B'!$B$164:$N$164,C598:O598)</f>
        <v>28.0945534252384</v>
      </c>
      <c r="X598" s="1">
        <f>B598-W598</f>
        <v>3.90544657476164</v>
      </c>
      <c r="Y598" s="1">
        <f>'Part B'!$B$179+SUMPRODUCT('Part B'!$B$193:$N$193,C598:O598)</f>
        <v>3.16415662527484</v>
      </c>
      <c r="Z598" s="1">
        <f>P598-Y598</f>
        <v>0.301579277524891</v>
      </c>
      <c r="AB598" s="1">
        <f>C598</f>
        <v>0.3</v>
      </c>
      <c r="AC598" s="1">
        <f>D598</f>
        <v>83</v>
      </c>
      <c r="AD598" s="1">
        <f>E598</f>
        <v>3</v>
      </c>
      <c r="AE598" s="1">
        <f>F598</f>
        <v>1</v>
      </c>
      <c r="AF598" s="1">
        <f>G598</f>
        <v>0</v>
      </c>
      <c r="AG598" s="1">
        <f>I598</f>
        <v>0</v>
      </c>
      <c r="AH598" s="1">
        <f>J598</f>
        <v>0</v>
      </c>
      <c r="AI598" s="1">
        <f>Q598</f>
        <v>0</v>
      </c>
      <c r="AJ598" s="1">
        <f>K598</f>
        <v>0</v>
      </c>
      <c r="AK598" s="1">
        <f>L598</f>
        <v>0</v>
      </c>
      <c r="AL598" s="1">
        <f>M598</f>
        <v>1</v>
      </c>
      <c r="AM598" s="1">
        <f>N598</f>
        <v>0</v>
      </c>
      <c r="AN598" s="1">
        <f>O598</f>
        <v>0</v>
      </c>
    </row>
    <row r="599">
      <c r="A599" s="1">
        <v>832</v>
      </c>
      <c r="B599" s="1">
        <v>32</v>
      </c>
      <c r="C599" s="1">
        <v>0.225</v>
      </c>
      <c r="D599" s="1">
        <v>87</v>
      </c>
      <c r="E599" s="1">
        <v>3</v>
      </c>
      <c r="F599" s="1">
        <v>0</v>
      </c>
      <c r="G599" s="1">
        <v>0</v>
      </c>
      <c r="H599" s="1">
        <v>1</v>
      </c>
      <c r="I599" s="1">
        <v>0</v>
      </c>
      <c r="J599" s="1">
        <v>0</v>
      </c>
      <c r="K599" s="1">
        <v>0</v>
      </c>
      <c r="L599" s="1">
        <v>1</v>
      </c>
      <c r="M599" s="1">
        <v>0</v>
      </c>
      <c r="N599" s="1">
        <v>0</v>
      </c>
      <c r="O599" s="1">
        <v>0</v>
      </c>
      <c r="P599" s="1">
        <f>LN(B599)</f>
        <v>3.46573590279973</v>
      </c>
      <c r="Q599" s="1">
        <f>1-SUM(F599:J599)</f>
        <v>0</v>
      </c>
      <c r="R599" s="1" t="str">
        <f>IF(F599=1,"Napa valley",IF(G599=1,"Bay area",IF(H599=1,"Sonoma",IF(I599=1,"Sierra/foothills",IF(J599=1,"Mendocino/lake","Generic California")))))</f>
        <v>Sonoma</v>
      </c>
      <c r="S599" s="1" t="str">
        <f>IF(F599=1,"Napa valley",IF(H599=1,"Sonoma","Other"))</f>
        <v>Sonoma</v>
      </c>
      <c r="T599" s="1" t="str">
        <f>IF(M599=1,"Cabernet",IF(N599=1,"Merlot",IF(L599=1,"Pinot noir","Other")))</f>
        <v>Pinot noir</v>
      </c>
      <c r="U599" s="1" t="str">
        <f>IF(F599=1,B599,"")</f>
        <v/>
      </c>
      <c r="V599" s="1">
        <f>IF(F599=0,B599,"")</f>
        <v>32</v>
      </c>
      <c r="W599" s="1">
        <f>'Part B'!$B$150+SUMPRODUCT('Part B'!$B$164:$N$164,C599:O599)</f>
        <v>29.6126183920937</v>
      </c>
      <c r="X599" s="1">
        <f>B599-W599</f>
        <v>2.38738160790632</v>
      </c>
      <c r="Y599" s="1">
        <f>'Part B'!$B$179+SUMPRODUCT('Part B'!$B$193:$N$193,C599:O599)</f>
        <v>3.32206208327719</v>
      </c>
      <c r="Z599" s="1">
        <f>P599-Y599</f>
        <v>0.143673819522533</v>
      </c>
      <c r="AB599" s="1">
        <f>C599</f>
        <v>0.225</v>
      </c>
      <c r="AC599" s="1">
        <f>D599</f>
        <v>87</v>
      </c>
      <c r="AD599" s="1">
        <f>E599</f>
        <v>3</v>
      </c>
      <c r="AE599" s="1">
        <f>F599</f>
        <v>0</v>
      </c>
      <c r="AF599" s="1">
        <f>G599</f>
        <v>0</v>
      </c>
      <c r="AG599" s="1">
        <f>I599</f>
        <v>0</v>
      </c>
      <c r="AH599" s="1">
        <f>J599</f>
        <v>0</v>
      </c>
      <c r="AI599" s="1">
        <f>Q599</f>
        <v>0</v>
      </c>
      <c r="AJ599" s="1">
        <f>K599</f>
        <v>0</v>
      </c>
      <c r="AK599" s="1">
        <f>L599</f>
        <v>1</v>
      </c>
      <c r="AL599" s="1">
        <f>M599</f>
        <v>0</v>
      </c>
      <c r="AM599" s="1">
        <f>N599</f>
        <v>0</v>
      </c>
      <c r="AN599" s="1">
        <f>O599</f>
        <v>0</v>
      </c>
    </row>
    <row r="600">
      <c r="A600" s="1">
        <v>833</v>
      </c>
      <c r="B600" s="1">
        <v>32</v>
      </c>
      <c r="C600" s="1">
        <v>0.186</v>
      </c>
      <c r="D600" s="1">
        <v>87</v>
      </c>
      <c r="E600" s="1">
        <v>3</v>
      </c>
      <c r="F600" s="1">
        <v>0</v>
      </c>
      <c r="G600" s="1">
        <v>0</v>
      </c>
      <c r="H600" s="1">
        <v>0</v>
      </c>
      <c r="I600" s="1">
        <v>0</v>
      </c>
      <c r="J600" s="1">
        <v>1</v>
      </c>
      <c r="K600" s="1">
        <v>0</v>
      </c>
      <c r="L600" s="1">
        <v>1</v>
      </c>
      <c r="M600" s="1">
        <v>0</v>
      </c>
      <c r="N600" s="1">
        <v>0</v>
      </c>
      <c r="O600" s="1">
        <v>0</v>
      </c>
      <c r="P600" s="1">
        <f>LN(B600)</f>
        <v>3.46573590279973</v>
      </c>
      <c r="Q600" s="1">
        <f>1-SUM(F600:J600)</f>
        <v>0</v>
      </c>
      <c r="R600" s="1" t="str">
        <f>IF(F600=1,"Napa valley",IF(G600=1,"Bay area",IF(H600=1,"Sonoma",IF(I600=1,"Sierra/foothills",IF(J600=1,"Mendocino/lake","Generic California")))))</f>
        <v>Mendocino/lake</v>
      </c>
      <c r="S600" s="1" t="str">
        <f>IF(F600=1,"Napa valley",IF(H600=1,"Sonoma","Other"))</f>
        <v>Other</v>
      </c>
      <c r="T600" s="1" t="str">
        <f>IF(M600=1,"Cabernet",IF(N600=1,"Merlot",IF(L600=1,"Pinot noir","Other")))</f>
        <v>Pinot noir</v>
      </c>
      <c r="U600" s="1" t="str">
        <f>IF(F600=1,B600,"")</f>
        <v/>
      </c>
      <c r="V600" s="1">
        <f>IF(F600=0,B600,"")</f>
        <v>32</v>
      </c>
      <c r="W600" s="1">
        <f>'Part B'!$B$150+SUMPRODUCT('Part B'!$B$164:$N$164,C600:O600)</f>
        <v>31.3333029745794</v>
      </c>
      <c r="X600" s="1">
        <f>B600-W600</f>
        <v>0.666697025420604</v>
      </c>
      <c r="Y600" s="1">
        <f>'Part B'!$B$179+SUMPRODUCT('Part B'!$B$193:$N$193,C600:O600)</f>
        <v>3.27752402784748</v>
      </c>
      <c r="Z600" s="1">
        <f>P600-Y600</f>
        <v>0.188211874952246</v>
      </c>
      <c r="AB600" s="1">
        <f>C600</f>
        <v>0.186</v>
      </c>
      <c r="AC600" s="1">
        <f>D600</f>
        <v>87</v>
      </c>
      <c r="AD600" s="1">
        <f>E600</f>
        <v>3</v>
      </c>
      <c r="AE600" s="1">
        <f>F600</f>
        <v>0</v>
      </c>
      <c r="AF600" s="1">
        <f>G600</f>
        <v>0</v>
      </c>
      <c r="AG600" s="1">
        <f>I600</f>
        <v>0</v>
      </c>
      <c r="AH600" s="1">
        <f>J600</f>
        <v>1</v>
      </c>
      <c r="AI600" s="1">
        <f>Q600</f>
        <v>0</v>
      </c>
      <c r="AJ600" s="1">
        <f>K600</f>
        <v>0</v>
      </c>
      <c r="AK600" s="1">
        <f>L600</f>
        <v>1</v>
      </c>
      <c r="AL600" s="1">
        <f>M600</f>
        <v>0</v>
      </c>
      <c r="AM600" s="1">
        <f>N600</f>
        <v>0</v>
      </c>
      <c r="AN600" s="1">
        <f>O600</f>
        <v>0</v>
      </c>
    </row>
    <row r="601">
      <c r="A601" s="1">
        <v>834</v>
      </c>
      <c r="B601" s="1">
        <v>32</v>
      </c>
      <c r="C601" s="1">
        <v>0.111</v>
      </c>
      <c r="D601" s="1">
        <v>87</v>
      </c>
      <c r="E601" s="1">
        <v>3</v>
      </c>
      <c r="F601" s="1">
        <v>0</v>
      </c>
      <c r="G601" s="1">
        <v>0</v>
      </c>
      <c r="H601" s="1">
        <v>0</v>
      </c>
      <c r="I601" s="1">
        <v>0</v>
      </c>
      <c r="J601" s="1">
        <v>1</v>
      </c>
      <c r="K601" s="1">
        <v>0</v>
      </c>
      <c r="L601" s="1">
        <v>1</v>
      </c>
      <c r="M601" s="1">
        <v>0</v>
      </c>
      <c r="N601" s="1">
        <v>0</v>
      </c>
      <c r="O601" s="1">
        <v>0</v>
      </c>
      <c r="P601" s="1">
        <f>LN(B601)</f>
        <v>3.46573590279973</v>
      </c>
      <c r="Q601" s="1">
        <f>1-SUM(F601:J601)</f>
        <v>0</v>
      </c>
      <c r="R601" s="1" t="str">
        <f>IF(F601=1,"Napa valley",IF(G601=1,"Bay area",IF(H601=1,"Sonoma",IF(I601=1,"Sierra/foothills",IF(J601=1,"Mendocino/lake","Generic California")))))</f>
        <v>Mendocino/lake</v>
      </c>
      <c r="S601" s="1" t="str">
        <f>IF(F601=1,"Napa valley",IF(H601=1,"Sonoma","Other"))</f>
        <v>Other</v>
      </c>
      <c r="T601" s="1" t="str">
        <f>IF(M601=1,"Cabernet",IF(N601=1,"Merlot",IF(L601=1,"Pinot noir","Other")))</f>
        <v>Pinot noir</v>
      </c>
      <c r="U601" s="1" t="str">
        <f>IF(F601=1,B601,"")</f>
        <v/>
      </c>
      <c r="V601" s="1">
        <f>IF(F601=0,B601,"")</f>
        <v>32</v>
      </c>
      <c r="W601" s="1">
        <f>'Part B'!$B$150+SUMPRODUCT('Part B'!$B$164:$N$164,C601:O601)</f>
        <v>31.3404215073016</v>
      </c>
      <c r="X601" s="1">
        <f>B601-W601</f>
        <v>0.659578492698358</v>
      </c>
      <c r="Y601" s="1">
        <f>'Part B'!$B$179+SUMPRODUCT('Part B'!$B$193:$N$193,C601:O601)</f>
        <v>3.27784495788336</v>
      </c>
      <c r="Z601" s="1">
        <f>P601-Y601</f>
        <v>0.187890944916365</v>
      </c>
      <c r="AB601" s="1">
        <f>C601</f>
        <v>0.111</v>
      </c>
      <c r="AC601" s="1">
        <f>D601</f>
        <v>87</v>
      </c>
      <c r="AD601" s="1">
        <f>E601</f>
        <v>3</v>
      </c>
      <c r="AE601" s="1">
        <f>F601</f>
        <v>0</v>
      </c>
      <c r="AF601" s="1">
        <f>G601</f>
        <v>0</v>
      </c>
      <c r="AG601" s="1">
        <f>I601</f>
        <v>0</v>
      </c>
      <c r="AH601" s="1">
        <f>J601</f>
        <v>1</v>
      </c>
      <c r="AI601" s="1">
        <f>Q601</f>
        <v>0</v>
      </c>
      <c r="AJ601" s="1">
        <f>K601</f>
        <v>0</v>
      </c>
      <c r="AK601" s="1">
        <f>L601</f>
        <v>1</v>
      </c>
      <c r="AL601" s="1">
        <f>M601</f>
        <v>0</v>
      </c>
      <c r="AM601" s="1">
        <f>N601</f>
        <v>0</v>
      </c>
      <c r="AN601" s="1">
        <f>O601</f>
        <v>0</v>
      </c>
    </row>
    <row r="602">
      <c r="A602" s="1">
        <v>835</v>
      </c>
      <c r="B602" s="1">
        <v>32</v>
      </c>
      <c r="C602" s="1">
        <v>0.164</v>
      </c>
      <c r="D602" s="1">
        <v>83</v>
      </c>
      <c r="E602" s="1">
        <v>3</v>
      </c>
      <c r="F602" s="1">
        <v>0</v>
      </c>
      <c r="G602" s="1">
        <v>0</v>
      </c>
      <c r="H602" s="1">
        <v>1</v>
      </c>
      <c r="I602" s="1">
        <v>0</v>
      </c>
      <c r="J602" s="1">
        <v>0</v>
      </c>
      <c r="K602" s="1">
        <v>0</v>
      </c>
      <c r="L602" s="1">
        <v>1</v>
      </c>
      <c r="M602" s="1">
        <v>0</v>
      </c>
      <c r="N602" s="1">
        <v>0</v>
      </c>
      <c r="O602" s="1">
        <v>0</v>
      </c>
      <c r="P602" s="1">
        <f>LN(B602)</f>
        <v>3.46573590279973</v>
      </c>
      <c r="Q602" s="1">
        <f>1-SUM(F602:J602)</f>
        <v>0</v>
      </c>
      <c r="R602" s="1" t="str">
        <f>IF(F602=1,"Napa valley",IF(G602=1,"Bay area",IF(H602=1,"Sonoma",IF(I602=1,"Sierra/foothills",IF(J602=1,"Mendocino/lake","Generic California")))))</f>
        <v>Sonoma</v>
      </c>
      <c r="S602" s="1" t="str">
        <f>IF(F602=1,"Napa valley",IF(H602=1,"Sonoma","Other"))</f>
        <v>Sonoma</v>
      </c>
      <c r="T602" s="1" t="str">
        <f>IF(M602=1,"Cabernet",IF(N602=1,"Merlot",IF(L602=1,"Pinot noir","Other")))</f>
        <v>Pinot noir</v>
      </c>
      <c r="U602" s="1" t="str">
        <f>IF(F602=1,B602,"")</f>
        <v/>
      </c>
      <c r="V602" s="1">
        <f>IF(F602=0,B602,"")</f>
        <v>32</v>
      </c>
      <c r="W602" s="1">
        <f>'Part B'!$B$150+SUMPRODUCT('Part B'!$B$164:$N$164,C602:O602)</f>
        <v>17.0380197625985</v>
      </c>
      <c r="X602" s="1">
        <f>B602-W602</f>
        <v>14.9619802374015</v>
      </c>
      <c r="Y602" s="1">
        <f>'Part B'!$B$179+SUMPRODUCT('Part B'!$B$193:$N$193,C602:O602)</f>
        <v>3.04247763118334</v>
      </c>
      <c r="Z602" s="1">
        <f>P602-Y602</f>
        <v>0.423258271616388</v>
      </c>
      <c r="AB602" s="1">
        <f>C602</f>
        <v>0.164</v>
      </c>
      <c r="AC602" s="1">
        <f>D602</f>
        <v>83</v>
      </c>
      <c r="AD602" s="1">
        <f>E602</f>
        <v>3</v>
      </c>
      <c r="AE602" s="1">
        <f>F602</f>
        <v>0</v>
      </c>
      <c r="AF602" s="1">
        <f>G602</f>
        <v>0</v>
      </c>
      <c r="AG602" s="1">
        <f>I602</f>
        <v>0</v>
      </c>
      <c r="AH602" s="1">
        <f>J602</f>
        <v>0</v>
      </c>
      <c r="AI602" s="1">
        <f>Q602</f>
        <v>0</v>
      </c>
      <c r="AJ602" s="1">
        <f>K602</f>
        <v>0</v>
      </c>
      <c r="AK602" s="1">
        <f>L602</f>
        <v>1</v>
      </c>
      <c r="AL602" s="1">
        <f>M602</f>
        <v>0</v>
      </c>
      <c r="AM602" s="1">
        <f>N602</f>
        <v>0</v>
      </c>
      <c r="AN602" s="1">
        <f>O602</f>
        <v>0</v>
      </c>
    </row>
    <row r="603">
      <c r="A603" s="1">
        <v>837</v>
      </c>
      <c r="B603" s="1">
        <v>32</v>
      </c>
      <c r="C603" s="1">
        <v>4.6</v>
      </c>
      <c r="D603" s="1">
        <v>88</v>
      </c>
      <c r="E603" s="1">
        <v>3</v>
      </c>
      <c r="F603" s="1">
        <v>1</v>
      </c>
      <c r="G603" s="1">
        <v>0</v>
      </c>
      <c r="H603" s="1">
        <v>0</v>
      </c>
      <c r="I603" s="1">
        <v>0</v>
      </c>
      <c r="J603" s="1">
        <v>0</v>
      </c>
      <c r="K603" s="1">
        <v>0</v>
      </c>
      <c r="L603" s="1">
        <v>0</v>
      </c>
      <c r="M603" s="1">
        <v>0</v>
      </c>
      <c r="N603" s="1">
        <v>1</v>
      </c>
      <c r="O603" s="1">
        <v>0</v>
      </c>
      <c r="P603" s="1">
        <f>LN(B603)</f>
        <v>3.46573590279973</v>
      </c>
      <c r="Q603" s="1">
        <f>1-SUM(F603:J603)</f>
        <v>0</v>
      </c>
      <c r="R603" s="1" t="str">
        <f>IF(F603=1,"Napa valley",IF(G603=1,"Bay area",IF(H603=1,"Sonoma",IF(I603=1,"Sierra/foothills",IF(J603=1,"Mendocino/lake","Generic California")))))</f>
        <v>Napa valley</v>
      </c>
      <c r="S603" s="1" t="str">
        <f>IF(F603=1,"Napa valley",IF(H603=1,"Sonoma","Other"))</f>
        <v>Napa valley</v>
      </c>
      <c r="T603" s="1" t="str">
        <f>IF(M603=1,"Cabernet",IF(N603=1,"Merlot",IF(L603=1,"Pinot noir","Other")))</f>
        <v>Merlot</v>
      </c>
      <c r="U603" s="1">
        <f>IF(F603=1,B603,"")</f>
        <v>32</v>
      </c>
      <c r="V603" s="1" t="str">
        <f>IF(F603=0,B603,"")</f>
        <v/>
      </c>
      <c r="W603" s="1">
        <f>'Part B'!$B$150+SUMPRODUCT('Part B'!$B$164:$N$164,C603:O603)</f>
        <v>38.4448655898058</v>
      </c>
      <c r="X603" s="1">
        <f>B603-W603</f>
        <v>-6.44486558980583</v>
      </c>
      <c r="Y603" s="1">
        <f>'Part B'!$B$179+SUMPRODUCT('Part B'!$B$193:$N$193,C603:O603)</f>
        <v>3.45908255001907</v>
      </c>
      <c r="Z603" s="1">
        <f>P603-Y603</f>
        <v>0.00665335278065937</v>
      </c>
      <c r="AB603" s="1">
        <f>C603</f>
        <v>4.6</v>
      </c>
      <c r="AC603" s="1">
        <f>D603</f>
        <v>88</v>
      </c>
      <c r="AD603" s="1">
        <f>E603</f>
        <v>3</v>
      </c>
      <c r="AE603" s="1">
        <f>F603</f>
        <v>1</v>
      </c>
      <c r="AF603" s="1">
        <f>G603</f>
        <v>0</v>
      </c>
      <c r="AG603" s="1">
        <f>I603</f>
        <v>0</v>
      </c>
      <c r="AH603" s="1">
        <f>J603</f>
        <v>0</v>
      </c>
      <c r="AI603" s="1">
        <f>Q603</f>
        <v>0</v>
      </c>
      <c r="AJ603" s="1">
        <f>K603</f>
        <v>0</v>
      </c>
      <c r="AK603" s="1">
        <f>L603</f>
        <v>0</v>
      </c>
      <c r="AL603" s="1">
        <f>M603</f>
        <v>0</v>
      </c>
      <c r="AM603" s="1">
        <f>N603</f>
        <v>1</v>
      </c>
      <c r="AN603" s="1">
        <f>O603</f>
        <v>0</v>
      </c>
    </row>
    <row r="604">
      <c r="A604" s="1">
        <v>838</v>
      </c>
      <c r="B604" s="1">
        <v>32</v>
      </c>
      <c r="C604" s="1">
        <v>0.224</v>
      </c>
      <c r="D604" s="1">
        <v>88</v>
      </c>
      <c r="E604" s="1">
        <v>3</v>
      </c>
      <c r="F604" s="1">
        <v>1</v>
      </c>
      <c r="G604" s="1">
        <v>0</v>
      </c>
      <c r="H604" s="1">
        <v>0</v>
      </c>
      <c r="I604" s="1">
        <v>0</v>
      </c>
      <c r="J604" s="1">
        <v>0</v>
      </c>
      <c r="K604" s="1">
        <v>0</v>
      </c>
      <c r="L604" s="1">
        <v>1</v>
      </c>
      <c r="M604" s="1">
        <v>0</v>
      </c>
      <c r="N604" s="1">
        <v>0</v>
      </c>
      <c r="O604" s="1">
        <v>0</v>
      </c>
      <c r="P604" s="1">
        <f>LN(B604)</f>
        <v>3.46573590279973</v>
      </c>
      <c r="Q604" s="1">
        <f>1-SUM(F604:J604)</f>
        <v>0</v>
      </c>
      <c r="R604" s="1" t="str">
        <f>IF(F604=1,"Napa valley",IF(G604=1,"Bay area",IF(H604=1,"Sonoma",IF(I604=1,"Sierra/foothills",IF(J604=1,"Mendocino/lake","Generic California")))))</f>
        <v>Napa valley</v>
      </c>
      <c r="S604" s="1" t="str">
        <f>IF(F604=1,"Napa valley",IF(H604=1,"Sonoma","Other"))</f>
        <v>Napa valley</v>
      </c>
      <c r="T604" s="1" t="str">
        <f>IF(M604=1,"Cabernet",IF(N604=1,"Merlot",IF(L604=1,"Pinot noir","Other")))</f>
        <v>Pinot noir</v>
      </c>
      <c r="U604" s="1">
        <f>IF(F604=1,B604,"")</f>
        <v>32</v>
      </c>
      <c r="V604" s="1" t="str">
        <f>IF(F604=0,B604,"")</f>
        <v/>
      </c>
      <c r="W604" s="1">
        <f>'Part B'!$B$150+SUMPRODUCT('Part B'!$B$164:$N$164,C604:O604)</f>
        <v>40.6542582180211</v>
      </c>
      <c r="X604" s="1">
        <f>B604-W604</f>
        <v>-8.65425821802114</v>
      </c>
      <c r="Y604" s="1">
        <f>'Part B'!$B$179+SUMPRODUCT('Part B'!$B$193:$N$193,C604:O604)</f>
        <v>3.53981529604194</v>
      </c>
      <c r="Z604" s="1">
        <f>P604-Y604</f>
        <v>-0.0740793932422101</v>
      </c>
      <c r="AB604" s="1">
        <f>C604</f>
        <v>0.224</v>
      </c>
      <c r="AC604" s="1">
        <f>D604</f>
        <v>88</v>
      </c>
      <c r="AD604" s="1">
        <f>E604</f>
        <v>3</v>
      </c>
      <c r="AE604" s="1">
        <f>F604</f>
        <v>1</v>
      </c>
      <c r="AF604" s="1">
        <f>G604</f>
        <v>0</v>
      </c>
      <c r="AG604" s="1">
        <f>I604</f>
        <v>0</v>
      </c>
      <c r="AH604" s="1">
        <f>J604</f>
        <v>0</v>
      </c>
      <c r="AI604" s="1">
        <f>Q604</f>
        <v>0</v>
      </c>
      <c r="AJ604" s="1">
        <f>K604</f>
        <v>0</v>
      </c>
      <c r="AK604" s="1">
        <f>L604</f>
        <v>1</v>
      </c>
      <c r="AL604" s="1">
        <f>M604</f>
        <v>0</v>
      </c>
      <c r="AM604" s="1">
        <f>N604</f>
        <v>0</v>
      </c>
      <c r="AN604" s="1">
        <f>O604</f>
        <v>0</v>
      </c>
    </row>
    <row r="605">
      <c r="A605" s="1">
        <v>839</v>
      </c>
      <c r="B605" s="1">
        <v>32</v>
      </c>
      <c r="C605" s="1">
        <v>0.16</v>
      </c>
      <c r="D605" s="1">
        <v>86</v>
      </c>
      <c r="E605" s="1">
        <v>3</v>
      </c>
      <c r="F605" s="1">
        <v>1</v>
      </c>
      <c r="G605" s="1">
        <v>0</v>
      </c>
      <c r="H605" s="1">
        <v>0</v>
      </c>
      <c r="I605" s="1">
        <v>0</v>
      </c>
      <c r="J605" s="1">
        <v>0</v>
      </c>
      <c r="K605" s="1">
        <v>0</v>
      </c>
      <c r="L605" s="1">
        <v>0</v>
      </c>
      <c r="M605" s="1">
        <v>0</v>
      </c>
      <c r="N605" s="1">
        <v>1</v>
      </c>
      <c r="O605" s="1">
        <v>0</v>
      </c>
      <c r="P605" s="1">
        <f>LN(B605)</f>
        <v>3.46573590279973</v>
      </c>
      <c r="Q605" s="1">
        <f>1-SUM(F605:J605)</f>
        <v>0</v>
      </c>
      <c r="R605" s="1" t="str">
        <f>IF(F605=1,"Napa valley",IF(G605=1,"Bay area",IF(H605=1,"Sonoma",IF(I605=1,"Sierra/foothills",IF(J605=1,"Mendocino/lake","Generic California")))))</f>
        <v>Napa valley</v>
      </c>
      <c r="S605" s="1" t="str">
        <f>IF(F605=1,"Napa valley",IF(H605=1,"Sonoma","Other"))</f>
        <v>Napa valley</v>
      </c>
      <c r="T605" s="1" t="str">
        <f>IF(M605=1,"Cabernet",IF(N605=1,"Merlot",IF(L605=1,"Pinot noir","Other")))</f>
        <v>Merlot</v>
      </c>
      <c r="U605" s="1">
        <f>IF(F605=1,B605,"")</f>
        <v>32</v>
      </c>
      <c r="V605" s="1" t="str">
        <f>IF(F605=0,B605,"")</f>
        <v/>
      </c>
      <c r="W605" s="1">
        <f>'Part B'!$B$150+SUMPRODUCT('Part B'!$B$164:$N$164,C605:O605)</f>
        <v>32.576088542242</v>
      </c>
      <c r="X605" s="1">
        <f>B605-W605</f>
        <v>-0.576088542241962</v>
      </c>
      <c r="Y605" s="1">
        <f>'Part B'!$B$179+SUMPRODUCT('Part B'!$B$193:$N$193,C605:O605)</f>
        <v>3.33815887054838</v>
      </c>
      <c r="Z605" s="1">
        <f>P605-Y605</f>
        <v>0.127577032251342</v>
      </c>
      <c r="AB605" s="1">
        <f>C605</f>
        <v>0.16</v>
      </c>
      <c r="AC605" s="1">
        <f>D605</f>
        <v>86</v>
      </c>
      <c r="AD605" s="1">
        <f>E605</f>
        <v>3</v>
      </c>
      <c r="AE605" s="1">
        <f>F605</f>
        <v>1</v>
      </c>
      <c r="AF605" s="1">
        <f>G605</f>
        <v>0</v>
      </c>
      <c r="AG605" s="1">
        <f>I605</f>
        <v>0</v>
      </c>
      <c r="AH605" s="1">
        <f>J605</f>
        <v>0</v>
      </c>
      <c r="AI605" s="1">
        <f>Q605</f>
        <v>0</v>
      </c>
      <c r="AJ605" s="1">
        <f>K605</f>
        <v>0</v>
      </c>
      <c r="AK605" s="1">
        <f>L605</f>
        <v>0</v>
      </c>
      <c r="AL605" s="1">
        <f>M605</f>
        <v>0</v>
      </c>
      <c r="AM605" s="1">
        <f>N605</f>
        <v>1</v>
      </c>
      <c r="AN605" s="1">
        <f>O605</f>
        <v>0</v>
      </c>
    </row>
    <row r="606">
      <c r="A606" s="1">
        <v>840</v>
      </c>
      <c r="B606" s="1">
        <v>32</v>
      </c>
      <c r="C606" s="1">
        <v>0.65</v>
      </c>
      <c r="D606" s="1">
        <v>91</v>
      </c>
      <c r="E606" s="1">
        <v>3</v>
      </c>
      <c r="F606" s="1">
        <v>1</v>
      </c>
      <c r="G606" s="1">
        <v>0</v>
      </c>
      <c r="H606" s="1">
        <v>0</v>
      </c>
      <c r="I606" s="1">
        <v>0</v>
      </c>
      <c r="J606" s="1">
        <v>0</v>
      </c>
      <c r="K606" s="1">
        <v>0</v>
      </c>
      <c r="L606" s="1">
        <v>0</v>
      </c>
      <c r="M606" s="1">
        <v>0</v>
      </c>
      <c r="N606" s="1">
        <v>1</v>
      </c>
      <c r="O606" s="1">
        <v>0</v>
      </c>
      <c r="P606" s="1">
        <f>LN(B606)</f>
        <v>3.46573590279973</v>
      </c>
      <c r="Q606" s="1">
        <f>1-SUM(F606:J606)</f>
        <v>0</v>
      </c>
      <c r="R606" s="1" t="str">
        <f>IF(F606=1,"Napa valley",IF(G606=1,"Bay area",IF(H606=1,"Sonoma",IF(I606=1,"Sierra/foothills",IF(J606=1,"Mendocino/lake","Generic California")))))</f>
        <v>Napa valley</v>
      </c>
      <c r="S606" s="1" t="str">
        <f>IF(F606=1,"Napa valley",IF(H606=1,"Sonoma","Other"))</f>
        <v>Napa valley</v>
      </c>
      <c r="T606" s="1" t="str">
        <f>IF(M606=1,"Cabernet",IF(N606=1,"Merlot",IF(L606=1,"Pinot noir","Other")))</f>
        <v>Merlot</v>
      </c>
      <c r="U606" s="1">
        <f>IF(F606=1,B606,"")</f>
        <v>32</v>
      </c>
      <c r="V606" s="1" t="str">
        <f>IF(F606=0,B606,"")</f>
        <v/>
      </c>
      <c r="W606" s="1">
        <f>'Part B'!$B$150+SUMPRODUCT('Part B'!$B$164:$N$164,C606:O606)</f>
        <v>48.2550662569265</v>
      </c>
      <c r="X606" s="1">
        <f>B606-W606</f>
        <v>-16.2550662569265</v>
      </c>
      <c r="Y606" s="1">
        <f>'Part B'!$B$179+SUMPRODUCT('Part B'!$B$193:$N$193,C606:O606)</f>
        <v>3.68586897163443</v>
      </c>
      <c r="Z606" s="1">
        <f>P606-Y606</f>
        <v>-0.220133068834701</v>
      </c>
      <c r="AB606" s="1">
        <f>C606</f>
        <v>0.65</v>
      </c>
      <c r="AC606" s="1">
        <f>D606</f>
        <v>91</v>
      </c>
      <c r="AD606" s="1">
        <f>E606</f>
        <v>3</v>
      </c>
      <c r="AE606" s="1">
        <f>F606</f>
        <v>1</v>
      </c>
      <c r="AF606" s="1">
        <f>G606</f>
        <v>0</v>
      </c>
      <c r="AG606" s="1">
        <f>I606</f>
        <v>0</v>
      </c>
      <c r="AH606" s="1">
        <f>J606</f>
        <v>0</v>
      </c>
      <c r="AI606" s="1">
        <f>Q606</f>
        <v>0</v>
      </c>
      <c r="AJ606" s="1">
        <f>K606</f>
        <v>0</v>
      </c>
      <c r="AK606" s="1">
        <f>L606</f>
        <v>0</v>
      </c>
      <c r="AL606" s="1">
        <f>M606</f>
        <v>0</v>
      </c>
      <c r="AM606" s="1">
        <f>N606</f>
        <v>1</v>
      </c>
      <c r="AN606" s="1">
        <f>O606</f>
        <v>0</v>
      </c>
    </row>
    <row r="607">
      <c r="A607" s="1">
        <v>841</v>
      </c>
      <c r="B607" s="1">
        <v>32</v>
      </c>
      <c r="C607" s="1">
        <v>2.836</v>
      </c>
      <c r="D607" s="1">
        <v>91</v>
      </c>
      <c r="E607" s="1">
        <v>3</v>
      </c>
      <c r="F607" s="1">
        <v>1</v>
      </c>
      <c r="G607" s="1">
        <v>0</v>
      </c>
      <c r="H607" s="1">
        <v>0</v>
      </c>
      <c r="I607" s="1">
        <v>0</v>
      </c>
      <c r="J607" s="1">
        <v>0</v>
      </c>
      <c r="K607" s="1">
        <v>0</v>
      </c>
      <c r="L607" s="1">
        <v>0</v>
      </c>
      <c r="M607" s="1">
        <v>1</v>
      </c>
      <c r="N607" s="1">
        <v>0</v>
      </c>
      <c r="O607" s="1">
        <v>0</v>
      </c>
      <c r="P607" s="1">
        <f>LN(B607)</f>
        <v>3.46573590279973</v>
      </c>
      <c r="Q607" s="1">
        <f>1-SUM(F607:J607)</f>
        <v>0</v>
      </c>
      <c r="R607" s="1" t="str">
        <f>IF(F607=1,"Napa valley",IF(G607=1,"Bay area",IF(H607=1,"Sonoma",IF(I607=1,"Sierra/foothills",IF(J607=1,"Mendocino/lake","Generic California")))))</f>
        <v>Napa valley</v>
      </c>
      <c r="S607" s="1" t="str">
        <f>IF(F607=1,"Napa valley",IF(H607=1,"Sonoma","Other"))</f>
        <v>Napa valley</v>
      </c>
      <c r="T607" s="1" t="str">
        <f>IF(M607=1,"Cabernet",IF(N607=1,"Merlot",IF(L607=1,"Pinot noir","Other")))</f>
        <v>Cabernet</v>
      </c>
      <c r="U607" s="1">
        <f>IF(F607=1,B607,"")</f>
        <v>32</v>
      </c>
      <c r="V607" s="1" t="str">
        <f>IF(F607=0,B607,"")</f>
        <v/>
      </c>
      <c r="W607" s="1">
        <f>'Part B'!$B$150+SUMPRODUCT('Part B'!$B$164:$N$164,C607:O607)</f>
        <v>53.0146288443418</v>
      </c>
      <c r="X607" s="1">
        <f>B607-W607</f>
        <v>-21.0146288443418</v>
      </c>
      <c r="Y607" s="1">
        <f>'Part B'!$B$179+SUMPRODUCT('Part B'!$B$193:$N$193,C607:O607)</f>
        <v>3.71299586137432</v>
      </c>
      <c r="Z607" s="1">
        <f>P607-Y607</f>
        <v>-0.24725995857459</v>
      </c>
      <c r="AB607" s="1">
        <f>C607</f>
        <v>2.836</v>
      </c>
      <c r="AC607" s="1">
        <f>D607</f>
        <v>91</v>
      </c>
      <c r="AD607" s="1">
        <f>E607</f>
        <v>3</v>
      </c>
      <c r="AE607" s="1">
        <f>F607</f>
        <v>1</v>
      </c>
      <c r="AF607" s="1">
        <f>G607</f>
        <v>0</v>
      </c>
      <c r="AG607" s="1">
        <f>I607</f>
        <v>0</v>
      </c>
      <c r="AH607" s="1">
        <f>J607</f>
        <v>0</v>
      </c>
      <c r="AI607" s="1">
        <f>Q607</f>
        <v>0</v>
      </c>
      <c r="AJ607" s="1">
        <f>K607</f>
        <v>0</v>
      </c>
      <c r="AK607" s="1">
        <f>L607</f>
        <v>0</v>
      </c>
      <c r="AL607" s="1">
        <f>M607</f>
        <v>1</v>
      </c>
      <c r="AM607" s="1">
        <f>N607</f>
        <v>0</v>
      </c>
      <c r="AN607" s="1">
        <f>O607</f>
        <v>0</v>
      </c>
    </row>
    <row r="608">
      <c r="A608" s="1">
        <v>843</v>
      </c>
      <c r="B608" s="1">
        <v>32</v>
      </c>
      <c r="C608" s="1">
        <v>0.15</v>
      </c>
      <c r="D608" s="1">
        <v>88</v>
      </c>
      <c r="E608" s="1">
        <v>2</v>
      </c>
      <c r="F608" s="1">
        <v>0</v>
      </c>
      <c r="G608" s="1">
        <v>0</v>
      </c>
      <c r="H608" s="1">
        <v>0</v>
      </c>
      <c r="I608" s="1">
        <v>0</v>
      </c>
      <c r="J608" s="1">
        <v>0</v>
      </c>
      <c r="K608" s="1">
        <v>0</v>
      </c>
      <c r="L608" s="1">
        <v>1</v>
      </c>
      <c r="M608" s="1">
        <v>0</v>
      </c>
      <c r="N608" s="1">
        <v>0</v>
      </c>
      <c r="O608" s="1">
        <v>0</v>
      </c>
      <c r="P608" s="1">
        <f>LN(B608)</f>
        <v>3.46573590279973</v>
      </c>
      <c r="Q608" s="1">
        <f>1-SUM(F608:J608)</f>
        <v>1</v>
      </c>
      <c r="R608" s="1" t="str">
        <f>IF(F608=1,"Napa valley",IF(G608=1,"Bay area",IF(H608=1,"Sonoma",IF(I608=1,"Sierra/foothills",IF(J608=1,"Mendocino/lake","Generic California")))))</f>
        <v>Generic California</v>
      </c>
      <c r="S608" s="1" t="str">
        <f>IF(F608=1,"Napa valley",IF(H608=1,"Sonoma","Other"))</f>
        <v>Other</v>
      </c>
      <c r="T608" s="1" t="str">
        <f>IF(M608=1,"Cabernet",IF(N608=1,"Merlot",IF(L608=1,"Pinot noir","Other")))</f>
        <v>Pinot noir</v>
      </c>
      <c r="U608" s="1" t="str">
        <f>IF(F608=1,B608,"")</f>
        <v/>
      </c>
      <c r="V608" s="1">
        <f>IF(F608=0,B608,"")</f>
        <v>32</v>
      </c>
      <c r="W608" s="1">
        <f>'Part B'!$B$150+SUMPRODUCT('Part B'!$B$164:$N$164,C608:O608)</f>
        <v>26.9806726452661</v>
      </c>
      <c r="X608" s="1">
        <f>B608-W608</f>
        <v>5.01932735473389</v>
      </c>
      <c r="Y608" s="1">
        <f>'Part B'!$B$179+SUMPRODUCT('Part B'!$B$193:$N$193,C608:O608)</f>
        <v>2.92732725169546</v>
      </c>
      <c r="Z608" s="1">
        <f>P608-Y608</f>
        <v>0.538408651104265</v>
      </c>
      <c r="AB608" s="1">
        <f>C608</f>
        <v>0.15</v>
      </c>
      <c r="AC608" s="1">
        <f>D608</f>
        <v>88</v>
      </c>
      <c r="AD608" s="1">
        <f>E608</f>
        <v>2</v>
      </c>
      <c r="AE608" s="1">
        <f>F608</f>
        <v>0</v>
      </c>
      <c r="AF608" s="1">
        <f>G608</f>
        <v>0</v>
      </c>
      <c r="AG608" s="1">
        <f>I608</f>
        <v>0</v>
      </c>
      <c r="AH608" s="1">
        <f>J608</f>
        <v>0</v>
      </c>
      <c r="AI608" s="1">
        <f>Q608</f>
        <v>1</v>
      </c>
      <c r="AJ608" s="1">
        <f>K608</f>
        <v>0</v>
      </c>
      <c r="AK608" s="1">
        <f>L608</f>
        <v>1</v>
      </c>
      <c r="AL608" s="1">
        <f>M608</f>
        <v>0</v>
      </c>
      <c r="AM608" s="1">
        <f>N608</f>
        <v>0</v>
      </c>
      <c r="AN608" s="1">
        <f>O608</f>
        <v>0</v>
      </c>
    </row>
    <row r="609">
      <c r="A609" s="1">
        <v>844</v>
      </c>
      <c r="B609" s="1">
        <v>32</v>
      </c>
      <c r="C609" s="1">
        <v>0.4</v>
      </c>
      <c r="D609" s="1">
        <v>87</v>
      </c>
      <c r="E609" s="1">
        <v>2</v>
      </c>
      <c r="F609" s="1">
        <v>0</v>
      </c>
      <c r="G609" s="1">
        <v>0</v>
      </c>
      <c r="H609" s="1">
        <v>1</v>
      </c>
      <c r="I609" s="1">
        <v>0</v>
      </c>
      <c r="J609" s="1">
        <v>0</v>
      </c>
      <c r="K609" s="1">
        <v>0</v>
      </c>
      <c r="L609" s="1">
        <v>1</v>
      </c>
      <c r="M609" s="1">
        <v>0</v>
      </c>
      <c r="N609" s="1">
        <v>0</v>
      </c>
      <c r="O609" s="1">
        <v>0</v>
      </c>
      <c r="P609" s="1">
        <f>LN(B609)</f>
        <v>3.46573590279973</v>
      </c>
      <c r="Q609" s="1">
        <f>1-SUM(F609:J609)</f>
        <v>0</v>
      </c>
      <c r="R609" s="1" t="str">
        <f>IF(F609=1,"Napa valley",IF(G609=1,"Bay area",IF(H609=1,"Sonoma",IF(I609=1,"Sierra/foothills",IF(J609=1,"Mendocino/lake","Generic California")))))</f>
        <v>Sonoma</v>
      </c>
      <c r="S609" s="1" t="str">
        <f>IF(F609=1,"Napa valley",IF(H609=1,"Sonoma","Other"))</f>
        <v>Sonoma</v>
      </c>
      <c r="T609" s="1" t="str">
        <f>IF(M609=1,"Cabernet",IF(N609=1,"Merlot",IF(L609=1,"Pinot noir","Other")))</f>
        <v>Pinot noir</v>
      </c>
      <c r="U609" s="1" t="str">
        <f>IF(F609=1,B609,"")</f>
        <v/>
      </c>
      <c r="V609" s="1">
        <f>IF(F609=0,B609,"")</f>
        <v>32</v>
      </c>
      <c r="W609" s="1">
        <f>'Part B'!$B$150+SUMPRODUCT('Part B'!$B$164:$N$164,C609:O609)</f>
        <v>22.9764037240303</v>
      </c>
      <c r="X609" s="1">
        <f>B609-W609</f>
        <v>9.02359627596968</v>
      </c>
      <c r="Y609" s="1">
        <f>'Part B'!$B$179+SUMPRODUCT('Part B'!$B$193:$N$193,C609:O609)</f>
        <v>3.1382279640852</v>
      </c>
      <c r="Z609" s="1">
        <f>P609-Y609</f>
        <v>0.327507938714531</v>
      </c>
      <c r="AB609" s="1">
        <f>C609</f>
        <v>0.4</v>
      </c>
      <c r="AC609" s="1">
        <f>D609</f>
        <v>87</v>
      </c>
      <c r="AD609" s="1">
        <f>E609</f>
        <v>2</v>
      </c>
      <c r="AE609" s="1">
        <f>F609</f>
        <v>0</v>
      </c>
      <c r="AF609" s="1">
        <f>G609</f>
        <v>0</v>
      </c>
      <c r="AG609" s="1">
        <f>I609</f>
        <v>0</v>
      </c>
      <c r="AH609" s="1">
        <f>J609</f>
        <v>0</v>
      </c>
      <c r="AI609" s="1">
        <f>Q609</f>
        <v>0</v>
      </c>
      <c r="AJ609" s="1">
        <f>K609</f>
        <v>0</v>
      </c>
      <c r="AK609" s="1">
        <f>L609</f>
        <v>1</v>
      </c>
      <c r="AL609" s="1">
        <f>M609</f>
        <v>0</v>
      </c>
      <c r="AM609" s="1">
        <f>N609</f>
        <v>0</v>
      </c>
      <c r="AN609" s="1">
        <f>O609</f>
        <v>0</v>
      </c>
    </row>
    <row r="610">
      <c r="A610" s="1">
        <v>847</v>
      </c>
      <c r="B610" s="1">
        <v>32</v>
      </c>
      <c r="C610" s="1">
        <v>0.9</v>
      </c>
      <c r="D610" s="1">
        <v>93</v>
      </c>
      <c r="E610" s="1">
        <v>2</v>
      </c>
      <c r="F610" s="1">
        <v>0</v>
      </c>
      <c r="G610" s="1">
        <v>0</v>
      </c>
      <c r="H610" s="1">
        <v>1</v>
      </c>
      <c r="I610" s="1">
        <v>0</v>
      </c>
      <c r="J610" s="1">
        <v>0</v>
      </c>
      <c r="K610" s="1">
        <v>0</v>
      </c>
      <c r="L610" s="1">
        <v>1</v>
      </c>
      <c r="M610" s="1">
        <v>0</v>
      </c>
      <c r="N610" s="1">
        <v>0</v>
      </c>
      <c r="O610" s="1">
        <v>0</v>
      </c>
      <c r="P610" s="1">
        <f>LN(B610)</f>
        <v>3.46573590279973</v>
      </c>
      <c r="Q610" s="1">
        <f>1-SUM(F610:J610)</f>
        <v>0</v>
      </c>
      <c r="R610" s="1" t="str">
        <f>IF(F610=1,"Napa valley",IF(G610=1,"Bay area",IF(H610=1,"Sonoma",IF(I610=1,"Sierra/foothills",IF(J610=1,"Mendocino/lake","Generic California")))))</f>
        <v>Sonoma</v>
      </c>
      <c r="S610" s="1" t="str">
        <f>IF(F610=1,"Napa valley",IF(H610=1,"Sonoma","Other"))</f>
        <v>Sonoma</v>
      </c>
      <c r="T610" s="1" t="str">
        <f>IF(M610=1,"Cabernet",IF(N610=1,"Merlot",IF(L610=1,"Pinot noir","Other")))</f>
        <v>Pinot noir</v>
      </c>
      <c r="U610" s="1" t="str">
        <f>IF(F610=1,B610,"")</f>
        <v/>
      </c>
      <c r="V610" s="1">
        <f>IF(F610=0,B610,"")</f>
        <v>32</v>
      </c>
      <c r="W610" s="1">
        <f>'Part B'!$B$150+SUMPRODUCT('Part B'!$B$164:$N$164,C610:O610)</f>
        <v>41.7995293933792</v>
      </c>
      <c r="X610" s="1">
        <f>B610-W610</f>
        <v>-9.7995293933792</v>
      </c>
      <c r="Y610" s="1">
        <f>'Part B'!$B$179+SUMPRODUCT('Part B'!$B$193:$N$193,C610:O610)</f>
        <v>3.55585664329721</v>
      </c>
      <c r="Z610" s="1">
        <f>P610-Y610</f>
        <v>-0.0901207404974875</v>
      </c>
      <c r="AB610" s="1">
        <f>C610</f>
        <v>0.9</v>
      </c>
      <c r="AC610" s="1">
        <f>D610</f>
        <v>93</v>
      </c>
      <c r="AD610" s="1">
        <f>E610</f>
        <v>2</v>
      </c>
      <c r="AE610" s="1">
        <f>F610</f>
        <v>0</v>
      </c>
      <c r="AF610" s="1">
        <f>G610</f>
        <v>0</v>
      </c>
      <c r="AG610" s="1">
        <f>I610</f>
        <v>0</v>
      </c>
      <c r="AH610" s="1">
        <f>J610</f>
        <v>0</v>
      </c>
      <c r="AI610" s="1">
        <f>Q610</f>
        <v>0</v>
      </c>
      <c r="AJ610" s="1">
        <f>K610</f>
        <v>0</v>
      </c>
      <c r="AK610" s="1">
        <f>L610</f>
        <v>1</v>
      </c>
      <c r="AL610" s="1">
        <f>M610</f>
        <v>0</v>
      </c>
      <c r="AM610" s="1">
        <f>N610</f>
        <v>0</v>
      </c>
      <c r="AN610" s="1">
        <f>O610</f>
        <v>0</v>
      </c>
    </row>
    <row r="611">
      <c r="A611" s="1">
        <v>848</v>
      </c>
      <c r="B611" s="1">
        <v>33</v>
      </c>
      <c r="C611" s="1">
        <v>8.264</v>
      </c>
      <c r="D611" s="1">
        <v>88</v>
      </c>
      <c r="E611" s="1">
        <v>4</v>
      </c>
      <c r="F611" s="1">
        <v>0</v>
      </c>
      <c r="G611" s="1">
        <v>0</v>
      </c>
      <c r="H611" s="1">
        <v>1</v>
      </c>
      <c r="I611" s="1">
        <v>0</v>
      </c>
      <c r="J611" s="1">
        <v>0</v>
      </c>
      <c r="K611" s="1">
        <v>0</v>
      </c>
      <c r="L611" s="1">
        <v>0</v>
      </c>
      <c r="M611" s="1">
        <v>1</v>
      </c>
      <c r="N611" s="1">
        <v>0</v>
      </c>
      <c r="O611" s="1">
        <v>0</v>
      </c>
      <c r="P611" s="1">
        <f>LN(B611)</f>
        <v>3.49650756146648</v>
      </c>
      <c r="Q611" s="1">
        <f>1-SUM(F611:J611)</f>
        <v>0</v>
      </c>
      <c r="R611" s="1" t="str">
        <f>IF(F611=1,"Napa valley",IF(G611=1,"Bay area",IF(H611=1,"Sonoma",IF(I611=1,"Sierra/foothills",IF(J611=1,"Mendocino/lake","Generic California")))))</f>
        <v>Sonoma</v>
      </c>
      <c r="S611" s="1" t="str">
        <f>IF(F611=1,"Napa valley",IF(H611=1,"Sonoma","Other"))</f>
        <v>Sonoma</v>
      </c>
      <c r="T611" s="1" t="str">
        <f>IF(M611=1,"Cabernet",IF(N611=1,"Merlot",IF(L611=1,"Pinot noir","Other")))</f>
        <v>Cabernet</v>
      </c>
      <c r="U611" s="1" t="str">
        <f>IF(F611=1,B611,"")</f>
        <v/>
      </c>
      <c r="V611" s="1">
        <f>IF(F611=0,B611,"")</f>
        <v>33</v>
      </c>
      <c r="W611" s="1">
        <f>'Part B'!$B$150+SUMPRODUCT('Part B'!$B$164:$N$164,C611:O611)</f>
        <v>41.7873025642887</v>
      </c>
      <c r="X611" s="1">
        <f>B611-W611</f>
        <v>-8.78730256428872</v>
      </c>
      <c r="Y611" s="1">
        <f>'Part B'!$B$179+SUMPRODUCT('Part B'!$B$193:$N$193,C611:O611)</f>
        <v>3.51518269605996</v>
      </c>
      <c r="Z611" s="1">
        <f>P611-Y611</f>
        <v>-0.0186751345934808</v>
      </c>
      <c r="AB611" s="1">
        <f>C611</f>
        <v>8.264</v>
      </c>
      <c r="AC611" s="1">
        <f>D611</f>
        <v>88</v>
      </c>
      <c r="AD611" s="1">
        <f>E611</f>
        <v>4</v>
      </c>
      <c r="AE611" s="1">
        <f>F611</f>
        <v>0</v>
      </c>
      <c r="AF611" s="1">
        <f>G611</f>
        <v>0</v>
      </c>
      <c r="AG611" s="1">
        <f>I611</f>
        <v>0</v>
      </c>
      <c r="AH611" s="1">
        <f>J611</f>
        <v>0</v>
      </c>
      <c r="AI611" s="1">
        <f>Q611</f>
        <v>0</v>
      </c>
      <c r="AJ611" s="1">
        <f>K611</f>
        <v>0</v>
      </c>
      <c r="AK611" s="1">
        <f>L611</f>
        <v>0</v>
      </c>
      <c r="AL611" s="1">
        <f>M611</f>
        <v>1</v>
      </c>
      <c r="AM611" s="1">
        <f>N611</f>
        <v>0</v>
      </c>
      <c r="AN611" s="1">
        <f>O611</f>
        <v>0</v>
      </c>
    </row>
    <row r="612">
      <c r="A612" s="1">
        <v>849</v>
      </c>
      <c r="B612" s="1">
        <v>33</v>
      </c>
      <c r="C612" s="1">
        <v>12</v>
      </c>
      <c r="D612" s="1">
        <v>93</v>
      </c>
      <c r="E612" s="1">
        <v>3</v>
      </c>
      <c r="F612" s="1">
        <v>1</v>
      </c>
      <c r="G612" s="1">
        <v>0</v>
      </c>
      <c r="H612" s="1">
        <v>0</v>
      </c>
      <c r="I612" s="1">
        <v>0</v>
      </c>
      <c r="J612" s="1">
        <v>0</v>
      </c>
      <c r="K612" s="1">
        <v>0</v>
      </c>
      <c r="L612" s="1">
        <v>0</v>
      </c>
      <c r="M612" s="1">
        <v>1</v>
      </c>
      <c r="N612" s="1">
        <v>0</v>
      </c>
      <c r="O612" s="1">
        <v>0</v>
      </c>
      <c r="P612" s="1">
        <f>LN(B612)</f>
        <v>3.49650756146648</v>
      </c>
      <c r="Q612" s="1">
        <f>1-SUM(F612:J612)</f>
        <v>0</v>
      </c>
      <c r="R612" s="1" t="str">
        <f>IF(F612=1,"Napa valley",IF(G612=1,"Bay area",IF(H612=1,"Sonoma",IF(I612=1,"Sierra/foothills",IF(J612=1,"Mendocino/lake","Generic California")))))</f>
        <v>Napa valley</v>
      </c>
      <c r="S612" s="1" t="str">
        <f>IF(F612=1,"Napa valley",IF(H612=1,"Sonoma","Other"))</f>
        <v>Napa valley</v>
      </c>
      <c r="T612" s="1" t="str">
        <f>IF(M612=1,"Cabernet",IF(N612=1,"Merlot",IF(L612=1,"Pinot noir","Other")))</f>
        <v>Cabernet</v>
      </c>
      <c r="U612" s="1">
        <f>IF(F612=1,B612,"")</f>
        <v>33</v>
      </c>
      <c r="V612" s="1" t="str">
        <f>IF(F612=0,B612,"")</f>
        <v/>
      </c>
      <c r="W612" s="1">
        <f>'Part B'!$B$150+SUMPRODUCT('Part B'!$B$164:$N$164,C612:O612)</f>
        <v>58.4350332441733</v>
      </c>
      <c r="X612" s="1">
        <f>B612-W612</f>
        <v>-25.4350332441733</v>
      </c>
      <c r="Y612" s="1">
        <f>'Part B'!$B$179+SUMPRODUCT('Part B'!$B$193:$N$193,C612:O612)</f>
        <v>3.81370522765162</v>
      </c>
      <c r="Z612" s="1">
        <f>P612-Y612</f>
        <v>-0.317197666185144</v>
      </c>
      <c r="AB612" s="1">
        <f>C612</f>
        <v>12</v>
      </c>
      <c r="AC612" s="1">
        <f>D612</f>
        <v>93</v>
      </c>
      <c r="AD612" s="1">
        <f>E612</f>
        <v>3</v>
      </c>
      <c r="AE612" s="1">
        <f>F612</f>
        <v>1</v>
      </c>
      <c r="AF612" s="1">
        <f>G612</f>
        <v>0</v>
      </c>
      <c r="AG612" s="1">
        <f>I612</f>
        <v>0</v>
      </c>
      <c r="AH612" s="1">
        <f>J612</f>
        <v>0</v>
      </c>
      <c r="AI612" s="1">
        <f>Q612</f>
        <v>0</v>
      </c>
      <c r="AJ612" s="1">
        <f>K612</f>
        <v>0</v>
      </c>
      <c r="AK612" s="1">
        <f>L612</f>
        <v>0</v>
      </c>
      <c r="AL612" s="1">
        <f>M612</f>
        <v>1</v>
      </c>
      <c r="AM612" s="1">
        <f>N612</f>
        <v>0</v>
      </c>
      <c r="AN612" s="1">
        <f>O612</f>
        <v>0</v>
      </c>
    </row>
    <row r="613">
      <c r="A613" s="1">
        <v>850</v>
      </c>
      <c r="B613" s="1">
        <v>33</v>
      </c>
      <c r="C613" s="1">
        <v>0.3</v>
      </c>
      <c r="D613" s="1">
        <v>89</v>
      </c>
      <c r="E613" s="1">
        <v>3</v>
      </c>
      <c r="F613" s="1">
        <v>1</v>
      </c>
      <c r="G613" s="1">
        <v>0</v>
      </c>
      <c r="H613" s="1">
        <v>0</v>
      </c>
      <c r="I613" s="1">
        <v>0</v>
      </c>
      <c r="J613" s="1">
        <v>0</v>
      </c>
      <c r="K613" s="1">
        <v>0</v>
      </c>
      <c r="L613" s="1">
        <v>0</v>
      </c>
      <c r="M613" s="1">
        <v>0</v>
      </c>
      <c r="N613" s="1">
        <v>1</v>
      </c>
      <c r="O613" s="1">
        <v>0</v>
      </c>
      <c r="P613" s="1">
        <f>LN(B613)</f>
        <v>3.49650756146648</v>
      </c>
      <c r="Q613" s="1">
        <f>1-SUM(F613:J613)</f>
        <v>0</v>
      </c>
      <c r="R613" s="1" t="str">
        <f>IF(F613=1,"Napa valley",IF(G613=1,"Bay area",IF(H613=1,"Sonoma",IF(I613=1,"Sierra/foothills",IF(J613=1,"Mendocino/lake","Generic California")))))</f>
        <v>Napa valley</v>
      </c>
      <c r="S613" s="1" t="str">
        <f>IF(F613=1,"Napa valley",IF(H613=1,"Sonoma","Other"))</f>
        <v>Napa valley</v>
      </c>
      <c r="T613" s="1" t="str">
        <f>IF(M613=1,"Cabernet",IF(N613=1,"Merlot",IF(L613=1,"Pinot noir","Other")))</f>
        <v>Merlot</v>
      </c>
      <c r="U613" s="1">
        <f>IF(F613=1,B613,"")</f>
        <v>33</v>
      </c>
      <c r="V613" s="1" t="str">
        <f>IF(F613=0,B613,"")</f>
        <v/>
      </c>
      <c r="W613" s="1">
        <f>'Part B'!$B$150+SUMPRODUCT('Part B'!$B$164:$N$164,C613:O613)</f>
        <v>41.9980918915757</v>
      </c>
      <c r="X613" s="1">
        <f>B613-W613</f>
        <v>-8.99809189157571</v>
      </c>
      <c r="Y613" s="1">
        <f>'Part B'!$B$179+SUMPRODUCT('Part B'!$B$193:$N$193,C613:O613)</f>
        <v>3.54744390754035</v>
      </c>
      <c r="Z613" s="1">
        <f>P613-Y613</f>
        <v>-0.0509363460738732</v>
      </c>
      <c r="AB613" s="1">
        <f>C613</f>
        <v>0.3</v>
      </c>
      <c r="AC613" s="1">
        <f>D613</f>
        <v>89</v>
      </c>
      <c r="AD613" s="1">
        <f>E613</f>
        <v>3</v>
      </c>
      <c r="AE613" s="1">
        <f>F613</f>
        <v>1</v>
      </c>
      <c r="AF613" s="1">
        <f>G613</f>
        <v>0</v>
      </c>
      <c r="AG613" s="1">
        <f>I613</f>
        <v>0</v>
      </c>
      <c r="AH613" s="1">
        <f>J613</f>
        <v>0</v>
      </c>
      <c r="AI613" s="1">
        <f>Q613</f>
        <v>0</v>
      </c>
      <c r="AJ613" s="1">
        <f>K613</f>
        <v>0</v>
      </c>
      <c r="AK613" s="1">
        <f>L613</f>
        <v>0</v>
      </c>
      <c r="AL613" s="1">
        <f>M613</f>
        <v>0</v>
      </c>
      <c r="AM613" s="1">
        <f>N613</f>
        <v>1</v>
      </c>
      <c r="AN613" s="1">
        <f>O613</f>
        <v>0</v>
      </c>
    </row>
    <row r="614">
      <c r="A614" s="1">
        <v>851</v>
      </c>
      <c r="B614" s="1">
        <v>33</v>
      </c>
      <c r="C614" s="1">
        <v>0.9</v>
      </c>
      <c r="D614" s="1">
        <v>83</v>
      </c>
      <c r="E614" s="1">
        <v>3</v>
      </c>
      <c r="F614" s="1">
        <v>0</v>
      </c>
      <c r="G614" s="1">
        <v>0</v>
      </c>
      <c r="H614" s="1">
        <v>1</v>
      </c>
      <c r="I614" s="1">
        <v>0</v>
      </c>
      <c r="J614" s="1">
        <v>0</v>
      </c>
      <c r="K614" s="1">
        <v>0</v>
      </c>
      <c r="L614" s="1">
        <v>1</v>
      </c>
      <c r="M614" s="1">
        <v>0</v>
      </c>
      <c r="N614" s="1">
        <v>0</v>
      </c>
      <c r="O614" s="1">
        <v>0</v>
      </c>
      <c r="P614" s="1">
        <f>LN(B614)</f>
        <v>3.49650756146648</v>
      </c>
      <c r="Q614" s="1">
        <f>1-SUM(F614:J614)</f>
        <v>0</v>
      </c>
      <c r="R614" s="1" t="str">
        <f>IF(F614=1,"Napa valley",IF(G614=1,"Bay area",IF(H614=1,"Sonoma",IF(I614=1,"Sierra/foothills",IF(J614=1,"Mendocino/lake","Generic California")))))</f>
        <v>Sonoma</v>
      </c>
      <c r="S614" s="1" t="str">
        <f>IF(F614=1,"Napa valley",IF(H614=1,"Sonoma","Other"))</f>
        <v>Sonoma</v>
      </c>
      <c r="T614" s="1" t="str">
        <f>IF(M614=1,"Cabernet",IF(N614=1,"Merlot",IF(L614=1,"Pinot noir","Other")))</f>
        <v>Pinot noir</v>
      </c>
      <c r="U614" s="1" t="str">
        <f>IF(F614=1,B614,"")</f>
        <v/>
      </c>
      <c r="V614" s="1">
        <f>IF(F614=0,B614,"")</f>
        <v>33</v>
      </c>
      <c r="W614" s="1">
        <f>'Part B'!$B$150+SUMPRODUCT('Part B'!$B$164:$N$164,C614:O614)</f>
        <v>16.9681632281507</v>
      </c>
      <c r="X614" s="1">
        <f>B614-W614</f>
        <v>16.0318367718493</v>
      </c>
      <c r="Y614" s="1">
        <f>'Part B'!$B$179+SUMPRODUCT('Part B'!$B$193:$N$193,C614:O614)</f>
        <v>3.03932823776456</v>
      </c>
      <c r="Z614" s="1">
        <f>P614-Y614</f>
        <v>0.457179323701924</v>
      </c>
      <c r="AB614" s="1">
        <f>C614</f>
        <v>0.9</v>
      </c>
      <c r="AC614" s="1">
        <f>D614</f>
        <v>83</v>
      </c>
      <c r="AD614" s="1">
        <f>E614</f>
        <v>3</v>
      </c>
      <c r="AE614" s="1">
        <f>F614</f>
        <v>0</v>
      </c>
      <c r="AF614" s="1">
        <f>G614</f>
        <v>0</v>
      </c>
      <c r="AG614" s="1">
        <f>I614</f>
        <v>0</v>
      </c>
      <c r="AH614" s="1">
        <f>J614</f>
        <v>0</v>
      </c>
      <c r="AI614" s="1">
        <f>Q614</f>
        <v>0</v>
      </c>
      <c r="AJ614" s="1">
        <f>K614</f>
        <v>0</v>
      </c>
      <c r="AK614" s="1">
        <f>L614</f>
        <v>1</v>
      </c>
      <c r="AL614" s="1">
        <f>M614</f>
        <v>0</v>
      </c>
      <c r="AM614" s="1">
        <f>N614</f>
        <v>0</v>
      </c>
      <c r="AN614" s="1">
        <f>O614</f>
        <v>0</v>
      </c>
    </row>
    <row r="615">
      <c r="A615" s="1">
        <v>852</v>
      </c>
      <c r="B615" s="1">
        <v>33</v>
      </c>
      <c r="C615" s="1">
        <v>3.571</v>
      </c>
      <c r="D615" s="1">
        <v>87</v>
      </c>
      <c r="E615" s="1">
        <v>3</v>
      </c>
      <c r="F615" s="1">
        <v>0</v>
      </c>
      <c r="G615" s="1">
        <v>0</v>
      </c>
      <c r="H615" s="1">
        <v>1</v>
      </c>
      <c r="I615" s="1">
        <v>0</v>
      </c>
      <c r="J615" s="1">
        <v>0</v>
      </c>
      <c r="K615" s="1">
        <v>0</v>
      </c>
      <c r="L615" s="1">
        <v>0</v>
      </c>
      <c r="M615" s="1">
        <v>1</v>
      </c>
      <c r="N615" s="1">
        <v>0</v>
      </c>
      <c r="O615" s="1">
        <v>0</v>
      </c>
      <c r="P615" s="1">
        <f>LN(B615)</f>
        <v>3.49650756146648</v>
      </c>
      <c r="Q615" s="1">
        <f>1-SUM(F615:J615)</f>
        <v>0</v>
      </c>
      <c r="R615" s="1" t="str">
        <f>IF(F615=1,"Napa valley",IF(G615=1,"Bay area",IF(H615=1,"Sonoma",IF(I615=1,"Sierra/foothills",IF(J615=1,"Mendocino/lake","Generic California")))))</f>
        <v>Sonoma</v>
      </c>
      <c r="S615" s="1" t="str">
        <f>IF(F615=1,"Napa valley",IF(H615=1,"Sonoma","Other"))</f>
        <v>Sonoma</v>
      </c>
      <c r="T615" s="1" t="str">
        <f>IF(M615=1,"Cabernet",IF(N615=1,"Merlot",IF(L615=1,"Pinot noir","Other")))</f>
        <v>Cabernet</v>
      </c>
      <c r="U615" s="1" t="str">
        <f>IF(F615=1,B615,"")</f>
        <v/>
      </c>
      <c r="V615" s="1">
        <f>IF(F615=0,B615,"")</f>
        <v>33</v>
      </c>
      <c r="W615" s="1">
        <f>'Part B'!$B$150+SUMPRODUCT('Part B'!$B$164:$N$164,C615:O615)</f>
        <v>32.4680310344239</v>
      </c>
      <c r="X615" s="1">
        <f>B615-W615</f>
        <v>0.531968965576141</v>
      </c>
      <c r="Y615" s="1">
        <f>'Part B'!$B$179+SUMPRODUCT('Part B'!$B$193:$N$193,C615:O615)</f>
        <v>3.2822177069328</v>
      </c>
      <c r="Z615" s="1">
        <f>P615-Y615</f>
        <v>0.214289854533678</v>
      </c>
      <c r="AB615" s="1">
        <f>C615</f>
        <v>3.571</v>
      </c>
      <c r="AC615" s="1">
        <f>D615</f>
        <v>87</v>
      </c>
      <c r="AD615" s="1">
        <f>E615</f>
        <v>3</v>
      </c>
      <c r="AE615" s="1">
        <f>F615</f>
        <v>0</v>
      </c>
      <c r="AF615" s="1">
        <f>G615</f>
        <v>0</v>
      </c>
      <c r="AG615" s="1">
        <f>I615</f>
        <v>0</v>
      </c>
      <c r="AH615" s="1">
        <f>J615</f>
        <v>0</v>
      </c>
      <c r="AI615" s="1">
        <f>Q615</f>
        <v>0</v>
      </c>
      <c r="AJ615" s="1">
        <f>K615</f>
        <v>0</v>
      </c>
      <c r="AK615" s="1">
        <f>L615</f>
        <v>0</v>
      </c>
      <c r="AL615" s="1">
        <f>M615</f>
        <v>1</v>
      </c>
      <c r="AM615" s="1">
        <f>N615</f>
        <v>0</v>
      </c>
      <c r="AN615" s="1">
        <f>O615</f>
        <v>0</v>
      </c>
    </row>
    <row r="616">
      <c r="A616" s="1">
        <v>854</v>
      </c>
      <c r="B616" s="1">
        <v>34</v>
      </c>
      <c r="C616" s="1">
        <v>0.1</v>
      </c>
      <c r="D616" s="1">
        <v>86</v>
      </c>
      <c r="E616" s="1">
        <v>4</v>
      </c>
      <c r="F616" s="1">
        <v>1</v>
      </c>
      <c r="G616" s="1">
        <v>0</v>
      </c>
      <c r="H616" s="1">
        <v>0</v>
      </c>
      <c r="I616" s="1">
        <v>0</v>
      </c>
      <c r="J616" s="1">
        <v>0</v>
      </c>
      <c r="K616" s="1">
        <v>0</v>
      </c>
      <c r="L616" s="1">
        <v>0</v>
      </c>
      <c r="M616" s="1">
        <v>0</v>
      </c>
      <c r="N616" s="1">
        <v>1</v>
      </c>
      <c r="O616" s="1">
        <v>0</v>
      </c>
      <c r="P616" s="1">
        <f>LN(B616)</f>
        <v>3.52636052461616</v>
      </c>
      <c r="Q616" s="1">
        <f>1-SUM(F616:J616)</f>
        <v>0</v>
      </c>
      <c r="R616" s="1" t="str">
        <f>IF(F616=1,"Napa valley",IF(G616=1,"Bay area",IF(H616=1,"Sonoma",IF(I616=1,"Sierra/foothills",IF(J616=1,"Mendocino/lake","Generic California")))))</f>
        <v>Napa valley</v>
      </c>
      <c r="S616" s="1" t="str">
        <f>IF(F616=1,"Napa valley",IF(H616=1,"Sonoma","Other"))</f>
        <v>Napa valley</v>
      </c>
      <c r="T616" s="1" t="str">
        <f>IF(M616=1,"Cabernet",IF(N616=1,"Merlot",IF(L616=1,"Pinot noir","Other")))</f>
        <v>Merlot</v>
      </c>
      <c r="U616" s="1">
        <f>IF(F616=1,B616,"")</f>
        <v>34</v>
      </c>
      <c r="V616" s="1" t="str">
        <f>IF(F616=0,B616,"")</f>
        <v/>
      </c>
      <c r="W616" s="1">
        <f>'Part B'!$B$150+SUMPRODUCT('Part B'!$B$164:$N$164,C616:O616)</f>
        <v>39.2013881267978</v>
      </c>
      <c r="X616" s="1">
        <f>B616-W616</f>
        <v>-5.20138812679784</v>
      </c>
      <c r="Y616" s="1">
        <f>'Part B'!$B$179+SUMPRODUCT('Part B'!$B$193:$N$193,C616:O616)</f>
        <v>3.5215008970187</v>
      </c>
      <c r="Z616" s="1">
        <f>P616-Y616</f>
        <v>0.00485962759746261</v>
      </c>
      <c r="AB616" s="1">
        <f>C616</f>
        <v>0.1</v>
      </c>
      <c r="AC616" s="1">
        <f>D616</f>
        <v>86</v>
      </c>
      <c r="AD616" s="1">
        <f>E616</f>
        <v>4</v>
      </c>
      <c r="AE616" s="1">
        <f>F616</f>
        <v>1</v>
      </c>
      <c r="AF616" s="1">
        <f>G616</f>
        <v>0</v>
      </c>
      <c r="AG616" s="1">
        <f>I616</f>
        <v>0</v>
      </c>
      <c r="AH616" s="1">
        <f>J616</f>
        <v>0</v>
      </c>
      <c r="AI616" s="1">
        <f>Q616</f>
        <v>0</v>
      </c>
      <c r="AJ616" s="1">
        <f>K616</f>
        <v>0</v>
      </c>
      <c r="AK616" s="1">
        <f>L616</f>
        <v>0</v>
      </c>
      <c r="AL616" s="1">
        <f>M616</f>
        <v>0</v>
      </c>
      <c r="AM616" s="1">
        <f>N616</f>
        <v>1</v>
      </c>
      <c r="AN616" s="1">
        <f>O616</f>
        <v>0</v>
      </c>
    </row>
    <row r="617">
      <c r="A617" s="1">
        <v>855</v>
      </c>
      <c r="B617" s="1">
        <v>35</v>
      </c>
      <c r="C617" s="1">
        <v>0.9</v>
      </c>
      <c r="D617" s="1">
        <v>90</v>
      </c>
      <c r="E617" s="1">
        <v>5</v>
      </c>
      <c r="F617" s="1">
        <v>0</v>
      </c>
      <c r="G617" s="1">
        <v>0</v>
      </c>
      <c r="H617" s="1">
        <v>1</v>
      </c>
      <c r="I617" s="1">
        <v>0</v>
      </c>
      <c r="J617" s="1">
        <v>0</v>
      </c>
      <c r="K617" s="1">
        <v>1</v>
      </c>
      <c r="L617" s="1">
        <v>0</v>
      </c>
      <c r="M617" s="1">
        <v>0</v>
      </c>
      <c r="N617" s="1">
        <v>0</v>
      </c>
      <c r="O617" s="1">
        <v>0</v>
      </c>
      <c r="P617" s="1">
        <f>LN(B617)</f>
        <v>3.55534806148941</v>
      </c>
      <c r="Q617" s="1">
        <f>1-SUM(F617:J617)</f>
        <v>0</v>
      </c>
      <c r="R617" s="1" t="str">
        <f>IF(F617=1,"Napa valley",IF(G617=1,"Bay area",IF(H617=1,"Sonoma",IF(I617=1,"Sierra/foothills",IF(J617=1,"Mendocino/lake","Generic California")))))</f>
        <v>Sonoma</v>
      </c>
      <c r="S617" s="1" t="str">
        <f>IF(F617=1,"Napa valley",IF(H617=1,"Sonoma","Other"))</f>
        <v>Sonoma</v>
      </c>
      <c r="T617" s="1" t="str">
        <f>IF(M617=1,"Cabernet",IF(N617=1,"Merlot",IF(L617=1,"Pinot noir","Other")))</f>
        <v>Other</v>
      </c>
      <c r="U617" s="1" t="str">
        <f>IF(F617=1,B617,"")</f>
        <v/>
      </c>
      <c r="V617" s="1">
        <f>IF(F617=0,B617,"")</f>
        <v>35</v>
      </c>
      <c r="W617" s="1">
        <f>'Part B'!$B$150+SUMPRODUCT('Part B'!$B$164:$N$164,C617:O617)</f>
        <v>63.0565862720938</v>
      </c>
      <c r="X617" s="1">
        <f>B617-W617</f>
        <v>-28.0565862720938</v>
      </c>
      <c r="Y617" s="1">
        <f>'Part B'!$B$179+SUMPRODUCT('Part B'!$B$193:$N$193,C617:O617)</f>
        <v>4.02729357018662</v>
      </c>
      <c r="Z617" s="1">
        <f>P617-Y617</f>
        <v>-0.471945508697211</v>
      </c>
      <c r="AB617" s="1">
        <f>C617</f>
        <v>0.9</v>
      </c>
      <c r="AC617" s="1">
        <f>D617</f>
        <v>90</v>
      </c>
      <c r="AD617" s="1">
        <f>E617</f>
        <v>5</v>
      </c>
      <c r="AE617" s="1">
        <f>F617</f>
        <v>0</v>
      </c>
      <c r="AF617" s="1">
        <f>G617</f>
        <v>0</v>
      </c>
      <c r="AG617" s="1">
        <f>I617</f>
        <v>0</v>
      </c>
      <c r="AH617" s="1">
        <f>J617</f>
        <v>0</v>
      </c>
      <c r="AI617" s="1">
        <f>Q617</f>
        <v>0</v>
      </c>
      <c r="AJ617" s="1">
        <f>K617</f>
        <v>1</v>
      </c>
      <c r="AK617" s="1">
        <f>L617</f>
        <v>0</v>
      </c>
      <c r="AL617" s="1">
        <f>M617</f>
        <v>0</v>
      </c>
      <c r="AM617" s="1">
        <f>N617</f>
        <v>0</v>
      </c>
      <c r="AN617" s="1">
        <f>O617</f>
        <v>0</v>
      </c>
    </row>
    <row r="618">
      <c r="A618" s="1">
        <v>856</v>
      </c>
      <c r="B618" s="1">
        <v>34</v>
      </c>
      <c r="C618" s="1">
        <v>1.06</v>
      </c>
      <c r="D618" s="1">
        <v>91</v>
      </c>
      <c r="E618" s="1">
        <v>3</v>
      </c>
      <c r="F618" s="1">
        <v>1</v>
      </c>
      <c r="G618" s="1">
        <v>0</v>
      </c>
      <c r="H618" s="1">
        <v>0</v>
      </c>
      <c r="I618" s="1">
        <v>0</v>
      </c>
      <c r="J618" s="1">
        <v>0</v>
      </c>
      <c r="K618" s="1">
        <v>1</v>
      </c>
      <c r="L618" s="1">
        <v>0</v>
      </c>
      <c r="M618" s="1">
        <v>0</v>
      </c>
      <c r="N618" s="1">
        <v>0</v>
      </c>
      <c r="O618" s="1">
        <v>0</v>
      </c>
      <c r="P618" s="1">
        <f>LN(B618)</f>
        <v>3.52636052461616</v>
      </c>
      <c r="Q618" s="1">
        <f>1-SUM(F618:J618)</f>
        <v>0</v>
      </c>
      <c r="R618" s="1" t="str">
        <f>IF(F618=1,"Napa valley",IF(G618=1,"Bay area",IF(H618=1,"Sonoma",IF(I618=1,"Sierra/foothills",IF(J618=1,"Mendocino/lake","Generic California")))))</f>
        <v>Napa valley</v>
      </c>
      <c r="S618" s="1" t="str">
        <f>IF(F618=1,"Napa valley",IF(H618=1,"Sonoma","Other"))</f>
        <v>Napa valley</v>
      </c>
      <c r="T618" s="1" t="str">
        <f>IF(M618=1,"Cabernet",IF(N618=1,"Merlot",IF(L618=1,"Pinot noir","Other")))</f>
        <v>Other</v>
      </c>
      <c r="U618" s="1">
        <f>IF(F618=1,B618,"")</f>
        <v>34</v>
      </c>
      <c r="V618" s="1" t="str">
        <f>IF(F618=0,B618,"")</f>
        <v/>
      </c>
      <c r="W618" s="1">
        <f>'Part B'!$B$150+SUMPRODUCT('Part B'!$B$164:$N$164,C618:O618)</f>
        <v>60.8437354643548</v>
      </c>
      <c r="X618" s="1">
        <f>B618-W618</f>
        <v>-26.8437354643548</v>
      </c>
      <c r="Y618" s="1">
        <f>'Part B'!$B$179+SUMPRODUCT('Part B'!$B$193:$N$193,C618:O618)</f>
        <v>3.87818728825779</v>
      </c>
      <c r="Z618" s="1">
        <f>P618-Y618</f>
        <v>-0.351826763641629</v>
      </c>
      <c r="AB618" s="1">
        <f>C618</f>
        <v>1.06</v>
      </c>
      <c r="AC618" s="1">
        <f>D618</f>
        <v>91</v>
      </c>
      <c r="AD618" s="1">
        <f>E618</f>
        <v>3</v>
      </c>
      <c r="AE618" s="1">
        <f>F618</f>
        <v>1</v>
      </c>
      <c r="AF618" s="1">
        <f>G618</f>
        <v>0</v>
      </c>
      <c r="AG618" s="1">
        <f>I618</f>
        <v>0</v>
      </c>
      <c r="AH618" s="1">
        <f>J618</f>
        <v>0</v>
      </c>
      <c r="AI618" s="1">
        <f>Q618</f>
        <v>0</v>
      </c>
      <c r="AJ618" s="1">
        <f>K618</f>
        <v>1</v>
      </c>
      <c r="AK618" s="1">
        <f>L618</f>
        <v>0</v>
      </c>
      <c r="AL618" s="1">
        <f>M618</f>
        <v>0</v>
      </c>
      <c r="AM618" s="1">
        <f>N618</f>
        <v>0</v>
      </c>
      <c r="AN618" s="1">
        <f>O618</f>
        <v>0</v>
      </c>
    </row>
    <row r="619">
      <c r="A619" s="1">
        <v>857</v>
      </c>
      <c r="B619" s="1">
        <v>34</v>
      </c>
      <c r="C619" s="1">
        <v>0.65</v>
      </c>
      <c r="D619" s="1">
        <v>91</v>
      </c>
      <c r="E619" s="1">
        <v>3</v>
      </c>
      <c r="F619" s="1">
        <v>1</v>
      </c>
      <c r="G619" s="1">
        <v>0</v>
      </c>
      <c r="H619" s="1">
        <v>0</v>
      </c>
      <c r="I619" s="1">
        <v>0</v>
      </c>
      <c r="J619" s="1">
        <v>0</v>
      </c>
      <c r="K619" s="1">
        <v>0</v>
      </c>
      <c r="L619" s="1">
        <v>0</v>
      </c>
      <c r="M619" s="1">
        <v>1</v>
      </c>
      <c r="N619" s="1">
        <v>0</v>
      </c>
      <c r="O619" s="1">
        <v>0</v>
      </c>
      <c r="P619" s="1">
        <f>LN(B619)</f>
        <v>3.52636052461616</v>
      </c>
      <c r="Q619" s="1">
        <f>1-SUM(F619:J619)</f>
        <v>0</v>
      </c>
      <c r="R619" s="1" t="str">
        <f>IF(F619=1,"Napa valley",IF(G619=1,"Bay area",IF(H619=1,"Sonoma",IF(I619=1,"Sierra/foothills",IF(J619=1,"Mendocino/lake","Generic California")))))</f>
        <v>Napa valley</v>
      </c>
      <c r="S619" s="1" t="str">
        <f>IF(F619=1,"Napa valley",IF(H619=1,"Sonoma","Other"))</f>
        <v>Napa valley</v>
      </c>
      <c r="T619" s="1" t="str">
        <f>IF(M619=1,"Cabernet",IF(N619=1,"Merlot",IF(L619=1,"Pinot noir","Other")))</f>
        <v>Cabernet</v>
      </c>
      <c r="U619" s="1">
        <f>IF(F619=1,B619,"")</f>
        <v>34</v>
      </c>
      <c r="V619" s="1" t="str">
        <f>IF(F619=0,B619,"")</f>
        <v/>
      </c>
      <c r="W619" s="1">
        <f>'Part B'!$B$150+SUMPRODUCT('Part B'!$B$164:$N$164,C619:O619)</f>
        <v>53.2221103447531</v>
      </c>
      <c r="X619" s="1">
        <f>B619-W619</f>
        <v>-19.2221103447531</v>
      </c>
      <c r="Y619" s="1">
        <f>'Part B'!$B$179+SUMPRODUCT('Part B'!$B$193:$N$193,C619:O619)</f>
        <v>3.72234990215347</v>
      </c>
      <c r="Z619" s="1">
        <f>P619-Y619</f>
        <v>-0.195989377537308</v>
      </c>
      <c r="AB619" s="1">
        <f>C619</f>
        <v>0.65</v>
      </c>
      <c r="AC619" s="1">
        <f>D619</f>
        <v>91</v>
      </c>
      <c r="AD619" s="1">
        <f>E619</f>
        <v>3</v>
      </c>
      <c r="AE619" s="1">
        <f>F619</f>
        <v>1</v>
      </c>
      <c r="AF619" s="1">
        <f>G619</f>
        <v>0</v>
      </c>
      <c r="AG619" s="1">
        <f>I619</f>
        <v>0</v>
      </c>
      <c r="AH619" s="1">
        <f>J619</f>
        <v>0</v>
      </c>
      <c r="AI619" s="1">
        <f>Q619</f>
        <v>0</v>
      </c>
      <c r="AJ619" s="1">
        <f>K619</f>
        <v>0</v>
      </c>
      <c r="AK619" s="1">
        <f>L619</f>
        <v>0</v>
      </c>
      <c r="AL619" s="1">
        <f>M619</f>
        <v>1</v>
      </c>
      <c r="AM619" s="1">
        <f>N619</f>
        <v>0</v>
      </c>
      <c r="AN619" s="1">
        <f>O619</f>
        <v>0</v>
      </c>
    </row>
    <row r="620">
      <c r="A620" s="1">
        <v>859</v>
      </c>
      <c r="B620" s="1">
        <v>34</v>
      </c>
      <c r="C620" s="1">
        <v>9.8</v>
      </c>
      <c r="D620" s="1">
        <v>91</v>
      </c>
      <c r="E620" s="1">
        <v>3</v>
      </c>
      <c r="F620" s="1">
        <v>0</v>
      </c>
      <c r="G620" s="1">
        <v>0</v>
      </c>
      <c r="H620" s="1">
        <v>1</v>
      </c>
      <c r="I620" s="1">
        <v>0</v>
      </c>
      <c r="J620" s="1">
        <v>0</v>
      </c>
      <c r="K620" s="1">
        <v>0</v>
      </c>
      <c r="L620" s="1">
        <v>0</v>
      </c>
      <c r="M620" s="1">
        <v>1</v>
      </c>
      <c r="N620" s="1">
        <v>0</v>
      </c>
      <c r="O620" s="1">
        <v>0</v>
      </c>
      <c r="P620" s="1">
        <f>LN(B620)</f>
        <v>3.52636052461616</v>
      </c>
      <c r="Q620" s="1">
        <f>1-SUM(F620:J620)</f>
        <v>0</v>
      </c>
      <c r="R620" s="1" t="str">
        <f>IF(F620=1,"Napa valley",IF(G620=1,"Bay area",IF(H620=1,"Sonoma",IF(I620=1,"Sierra/foothills",IF(J620=1,"Mendocino/lake","Generic California")))))</f>
        <v>Sonoma</v>
      </c>
      <c r="S620" s="1" t="str">
        <f>IF(F620=1,"Napa valley",IF(H620=1,"Sonoma","Other"))</f>
        <v>Sonoma</v>
      </c>
      <c r="T620" s="1" t="str">
        <f>IF(M620=1,"Cabernet",IF(N620=1,"Merlot",IF(L620=1,"Pinot noir","Other")))</f>
        <v>Cabernet</v>
      </c>
      <c r="U620" s="1" t="str">
        <f>IF(F620=1,B620,"")</f>
        <v/>
      </c>
      <c r="V620" s="1">
        <f>IF(F620=0,B620,"")</f>
        <v>34</v>
      </c>
      <c r="W620" s="1">
        <f>'Part B'!$B$150+SUMPRODUCT('Part B'!$B$164:$N$164,C620:O620)</f>
        <v>44.4572015328409</v>
      </c>
      <c r="X620" s="1">
        <f>B620-W620</f>
        <v>-10.4572015328409</v>
      </c>
      <c r="Y620" s="1">
        <f>'Part B'!$B$179+SUMPRODUCT('Part B'!$B$193:$N$193,C620:O620)</f>
        <v>3.53540887287578</v>
      </c>
      <c r="Z620" s="1">
        <f>P620-Y620</f>
        <v>-0.00904834825962286</v>
      </c>
      <c r="AB620" s="1">
        <f>C620</f>
        <v>9.8</v>
      </c>
      <c r="AC620" s="1">
        <f>D620</f>
        <v>91</v>
      </c>
      <c r="AD620" s="1">
        <f>E620</f>
        <v>3</v>
      </c>
      <c r="AE620" s="1">
        <f>F620</f>
        <v>0</v>
      </c>
      <c r="AF620" s="1">
        <f>G620</f>
        <v>0</v>
      </c>
      <c r="AG620" s="1">
        <f>I620</f>
        <v>0</v>
      </c>
      <c r="AH620" s="1">
        <f>J620</f>
        <v>0</v>
      </c>
      <c r="AI620" s="1">
        <f>Q620</f>
        <v>0</v>
      </c>
      <c r="AJ620" s="1">
        <f>K620</f>
        <v>0</v>
      </c>
      <c r="AK620" s="1">
        <f>L620</f>
        <v>0</v>
      </c>
      <c r="AL620" s="1">
        <f>M620</f>
        <v>1</v>
      </c>
      <c r="AM620" s="1">
        <f>N620</f>
        <v>0</v>
      </c>
      <c r="AN620" s="1">
        <f>O620</f>
        <v>0</v>
      </c>
    </row>
    <row r="621">
      <c r="A621" s="1">
        <v>861</v>
      </c>
      <c r="B621" s="1">
        <v>35</v>
      </c>
      <c r="C621" s="1">
        <v>1.64</v>
      </c>
      <c r="D621" s="1">
        <v>87</v>
      </c>
      <c r="E621" s="1">
        <v>4</v>
      </c>
      <c r="F621" s="1">
        <v>0</v>
      </c>
      <c r="G621" s="1">
        <v>0</v>
      </c>
      <c r="H621" s="1">
        <v>1</v>
      </c>
      <c r="I621" s="1">
        <v>0</v>
      </c>
      <c r="J621" s="1">
        <v>0</v>
      </c>
      <c r="K621" s="1">
        <v>0</v>
      </c>
      <c r="L621" s="1">
        <v>0</v>
      </c>
      <c r="M621" s="1">
        <v>1</v>
      </c>
      <c r="N621" s="1">
        <v>0</v>
      </c>
      <c r="O621" s="1">
        <v>0</v>
      </c>
      <c r="P621" s="1">
        <f>LN(B621)</f>
        <v>3.55534806148941</v>
      </c>
      <c r="Q621" s="1">
        <f>1-SUM(F621:J621)</f>
        <v>0</v>
      </c>
      <c r="R621" s="1" t="str">
        <f>IF(F621=1,"Napa valley",IF(G621=1,"Bay area",IF(H621=1,"Sonoma",IF(I621=1,"Sierra/foothills",IF(J621=1,"Mendocino/lake","Generic California")))))</f>
        <v>Sonoma</v>
      </c>
      <c r="S621" s="1" t="str">
        <f>IF(F621=1,"Napa valley",IF(H621=1,"Sonoma","Other"))</f>
        <v>Sonoma</v>
      </c>
      <c r="T621" s="1" t="str">
        <f>IF(M621=1,"Cabernet",IF(N621=1,"Merlot",IF(L621=1,"Pinot noir","Other")))</f>
        <v>Cabernet</v>
      </c>
      <c r="U621" s="1" t="str">
        <f>IF(F621=1,B621,"")</f>
        <v/>
      </c>
      <c r="V621" s="1">
        <f>IF(F621=0,B621,"")</f>
        <v>35</v>
      </c>
      <c r="W621" s="1">
        <f>'Part B'!$B$150+SUMPRODUCT('Part B'!$B$164:$N$164,C621:O621)</f>
        <v>39.2709142819576</v>
      </c>
      <c r="X621" s="1">
        <f>B621-W621</f>
        <v>-4.27091428195757</v>
      </c>
      <c r="Y621" s="1">
        <f>'Part B'!$B$179+SUMPRODUCT('Part B'!$B$193:$N$193,C621:O621)</f>
        <v>3.47356586803157</v>
      </c>
      <c r="Z621" s="1">
        <f>P621-Y621</f>
        <v>0.0817821934578453</v>
      </c>
      <c r="AB621" s="1">
        <f>C621</f>
        <v>1.64</v>
      </c>
      <c r="AC621" s="1">
        <f>D621</f>
        <v>87</v>
      </c>
      <c r="AD621" s="1">
        <f>E621</f>
        <v>4</v>
      </c>
      <c r="AE621" s="1">
        <f>F621</f>
        <v>0</v>
      </c>
      <c r="AF621" s="1">
        <f>G621</f>
        <v>0</v>
      </c>
      <c r="AG621" s="1">
        <f>I621</f>
        <v>0</v>
      </c>
      <c r="AH621" s="1">
        <f>J621</f>
        <v>0</v>
      </c>
      <c r="AI621" s="1">
        <f>Q621</f>
        <v>0</v>
      </c>
      <c r="AJ621" s="1">
        <f>K621</f>
        <v>0</v>
      </c>
      <c r="AK621" s="1">
        <f>L621</f>
        <v>0</v>
      </c>
      <c r="AL621" s="1">
        <f>M621</f>
        <v>1</v>
      </c>
      <c r="AM621" s="1">
        <f>N621</f>
        <v>0</v>
      </c>
      <c r="AN621" s="1">
        <f>O621</f>
        <v>0</v>
      </c>
    </row>
    <row r="622">
      <c r="A622" s="1">
        <v>862</v>
      </c>
      <c r="B622" s="1">
        <v>35</v>
      </c>
      <c r="C622" s="1">
        <v>2</v>
      </c>
      <c r="D622" s="1">
        <v>88</v>
      </c>
      <c r="E622" s="1">
        <v>4</v>
      </c>
      <c r="F622" s="1">
        <v>0</v>
      </c>
      <c r="G622" s="1">
        <v>0</v>
      </c>
      <c r="H622" s="1">
        <v>1</v>
      </c>
      <c r="I622" s="1">
        <v>0</v>
      </c>
      <c r="J622" s="1">
        <v>0</v>
      </c>
      <c r="K622" s="1">
        <v>0</v>
      </c>
      <c r="L622" s="1">
        <v>0</v>
      </c>
      <c r="M622" s="1">
        <v>1</v>
      </c>
      <c r="N622" s="1">
        <v>0</v>
      </c>
      <c r="O622" s="1">
        <v>0</v>
      </c>
      <c r="P622" s="1">
        <f>LN(B622)</f>
        <v>3.55534806148941</v>
      </c>
      <c r="Q622" s="1">
        <f>1-SUM(F622:J622)</f>
        <v>0</v>
      </c>
      <c r="R622" s="1" t="str">
        <f>IF(F622=1,"Napa valley",IF(G622=1,"Bay area",IF(H622=1,"Sonoma",IF(I622=1,"Sierra/foothills",IF(J622=1,"Mendocino/lake","Generic California")))))</f>
        <v>Sonoma</v>
      </c>
      <c r="S622" s="1" t="str">
        <f>IF(F622=1,"Napa valley",IF(H622=1,"Sonoma","Other"))</f>
        <v>Sonoma</v>
      </c>
      <c r="T622" s="1" t="str">
        <f>IF(M622=1,"Cabernet",IF(N622=1,"Merlot",IF(L622=1,"Pinot noir","Other")))</f>
        <v>Cabernet</v>
      </c>
      <c r="U622" s="1" t="str">
        <f>IF(F622=1,B622,"")</f>
        <v/>
      </c>
      <c r="V622" s="1">
        <f>IF(F622=0,B622,"")</f>
        <v>35</v>
      </c>
      <c r="W622" s="1">
        <f>'Part B'!$B$150+SUMPRODUCT('Part B'!$B$164:$N$164,C622:O622)</f>
        <v>42.3818424172513</v>
      </c>
      <c r="X622" s="1">
        <f>B622-W622</f>
        <v>-7.38184241725133</v>
      </c>
      <c r="Y622" s="1">
        <f>'Part B'!$B$179+SUMPRODUCT('Part B'!$B$193:$N$193,C622:O622)</f>
        <v>3.54198677265676</v>
      </c>
      <c r="Z622" s="1">
        <f>P622-Y622</f>
        <v>0.0133612888326486</v>
      </c>
      <c r="AB622" s="1">
        <f>C622</f>
        <v>2</v>
      </c>
      <c r="AC622" s="1">
        <f>D622</f>
        <v>88</v>
      </c>
      <c r="AD622" s="1">
        <f>E622</f>
        <v>4</v>
      </c>
      <c r="AE622" s="1">
        <f>F622</f>
        <v>0</v>
      </c>
      <c r="AF622" s="1">
        <f>G622</f>
        <v>0</v>
      </c>
      <c r="AG622" s="1">
        <f>I622</f>
        <v>0</v>
      </c>
      <c r="AH622" s="1">
        <f>J622</f>
        <v>0</v>
      </c>
      <c r="AI622" s="1">
        <f>Q622</f>
        <v>0</v>
      </c>
      <c r="AJ622" s="1">
        <f>K622</f>
        <v>0</v>
      </c>
      <c r="AK622" s="1">
        <f>L622</f>
        <v>0</v>
      </c>
      <c r="AL622" s="1">
        <f>M622</f>
        <v>1</v>
      </c>
      <c r="AM622" s="1">
        <f>N622</f>
        <v>0</v>
      </c>
      <c r="AN622" s="1">
        <f>O622</f>
        <v>0</v>
      </c>
    </row>
    <row r="623">
      <c r="A623" s="1">
        <v>863</v>
      </c>
      <c r="B623" s="1">
        <v>35</v>
      </c>
      <c r="C623" s="1">
        <v>0.34</v>
      </c>
      <c r="D623" s="1">
        <v>87</v>
      </c>
      <c r="E623" s="1">
        <v>4</v>
      </c>
      <c r="F623" s="1">
        <v>0</v>
      </c>
      <c r="G623" s="1">
        <v>1</v>
      </c>
      <c r="H623" s="1">
        <v>0</v>
      </c>
      <c r="I623" s="1">
        <v>0</v>
      </c>
      <c r="J623" s="1">
        <v>0</v>
      </c>
      <c r="K623" s="1">
        <v>0</v>
      </c>
      <c r="L623" s="1">
        <v>0</v>
      </c>
      <c r="M623" s="1">
        <v>1</v>
      </c>
      <c r="N623" s="1">
        <v>0</v>
      </c>
      <c r="O623" s="1">
        <v>0</v>
      </c>
      <c r="P623" s="1">
        <f>LN(B623)</f>
        <v>3.55534806148941</v>
      </c>
      <c r="Q623" s="1">
        <f>1-SUM(F623:J623)</f>
        <v>0</v>
      </c>
      <c r="R623" s="1" t="str">
        <f>IF(F623=1,"Napa valley",IF(G623=1,"Bay area",IF(H623=1,"Sonoma",IF(I623=1,"Sierra/foothills",IF(J623=1,"Mendocino/lake","Generic California")))))</f>
        <v>Bay area</v>
      </c>
      <c r="S623" s="1" t="str">
        <f>IF(F623=1,"Napa valley",IF(H623=1,"Sonoma","Other"))</f>
        <v>Other</v>
      </c>
      <c r="T623" s="1" t="str">
        <f>IF(M623=1,"Cabernet",IF(N623=1,"Merlot",IF(L623=1,"Pinot noir","Other")))</f>
        <v>Cabernet</v>
      </c>
      <c r="U623" s="1" t="str">
        <f>IF(F623=1,B623,"")</f>
        <v/>
      </c>
      <c r="V623" s="1">
        <f>IF(F623=0,B623,"")</f>
        <v>35</v>
      </c>
      <c r="W623" s="1">
        <f>'Part B'!$B$150+SUMPRODUCT('Part B'!$B$164:$N$164,C623:O623)</f>
        <v>42.5086232958716</v>
      </c>
      <c r="X623" s="1">
        <f>B623-W623</f>
        <v>-7.50862329587159</v>
      </c>
      <c r="Y623" s="1">
        <f>'Part B'!$B$179+SUMPRODUCT('Part B'!$B$193:$N$193,C623:O623)</f>
        <v>3.45218378013472</v>
      </c>
      <c r="Z623" s="1">
        <f>P623-Y623</f>
        <v>0.103164281354695</v>
      </c>
      <c r="AB623" s="1">
        <f>C623</f>
        <v>0.34</v>
      </c>
      <c r="AC623" s="1">
        <f>D623</f>
        <v>87</v>
      </c>
      <c r="AD623" s="1">
        <f>E623</f>
        <v>4</v>
      </c>
      <c r="AE623" s="1">
        <f>F623</f>
        <v>0</v>
      </c>
      <c r="AF623" s="1">
        <f>G623</f>
        <v>1</v>
      </c>
      <c r="AG623" s="1">
        <f>I623</f>
        <v>0</v>
      </c>
      <c r="AH623" s="1">
        <f>J623</f>
        <v>0</v>
      </c>
      <c r="AI623" s="1">
        <f>Q623</f>
        <v>0</v>
      </c>
      <c r="AJ623" s="1">
        <f>K623</f>
        <v>0</v>
      </c>
      <c r="AK623" s="1">
        <f>L623</f>
        <v>0</v>
      </c>
      <c r="AL623" s="1">
        <f>M623</f>
        <v>1</v>
      </c>
      <c r="AM623" s="1">
        <f>N623</f>
        <v>0</v>
      </c>
      <c r="AN623" s="1">
        <f>O623</f>
        <v>0</v>
      </c>
    </row>
    <row r="624">
      <c r="A624" s="1">
        <v>864</v>
      </c>
      <c r="B624" s="1">
        <v>35</v>
      </c>
      <c r="C624" s="1">
        <v>0.72</v>
      </c>
      <c r="D624" s="1">
        <v>87</v>
      </c>
      <c r="E624" s="1">
        <v>4</v>
      </c>
      <c r="F624" s="1">
        <v>0</v>
      </c>
      <c r="G624" s="1">
        <v>0</v>
      </c>
      <c r="H624" s="1">
        <v>1</v>
      </c>
      <c r="I624" s="1">
        <v>0</v>
      </c>
      <c r="J624" s="1">
        <v>0</v>
      </c>
      <c r="K624" s="1">
        <v>0</v>
      </c>
      <c r="L624" s="1">
        <v>1</v>
      </c>
      <c r="M624" s="1">
        <v>0</v>
      </c>
      <c r="N624" s="1">
        <v>0</v>
      </c>
      <c r="O624" s="1">
        <v>0</v>
      </c>
      <c r="P624" s="1">
        <f>LN(B624)</f>
        <v>3.55534806148941</v>
      </c>
      <c r="Q624" s="1">
        <f>1-SUM(F624:J624)</f>
        <v>0</v>
      </c>
      <c r="R624" s="1" t="str">
        <f>IF(F624=1,"Napa valley",IF(G624=1,"Bay area",IF(H624=1,"Sonoma",IF(I624=1,"Sierra/foothills",IF(J624=1,"Mendocino/lake","Generic California")))))</f>
        <v>Sonoma</v>
      </c>
      <c r="S624" s="1" t="str">
        <f>IF(F624=1,"Napa valley",IF(H624=1,"Sonoma","Other"))</f>
        <v>Sonoma</v>
      </c>
      <c r="T624" s="1" t="str">
        <f>IF(M624=1,"Cabernet",IF(N624=1,"Merlot",IF(L624=1,"Pinot noir","Other")))</f>
        <v>Pinot noir</v>
      </c>
      <c r="U624" s="1" t="str">
        <f>IF(F624=1,B624,"")</f>
        <v/>
      </c>
      <c r="V624" s="1">
        <f>IF(F624=0,B624,"")</f>
        <v>35</v>
      </c>
      <c r="W624" s="1">
        <f>'Part B'!$B$150+SUMPRODUCT('Part B'!$B$164:$N$164,C624:O624)</f>
        <v>36.1852408345048</v>
      </c>
      <c r="X624" s="1">
        <f>B624-W624</f>
        <v>-1.18524083450484</v>
      </c>
      <c r="Y624" s="1">
        <f>'Part B'!$B$179+SUMPRODUCT('Part B'!$B$193:$N$193,C624:O624)</f>
        <v>3.50302922748199</v>
      </c>
      <c r="Z624" s="1">
        <f>P624-Y624</f>
        <v>0.0523188340074268</v>
      </c>
      <c r="AB624" s="1">
        <f>C624</f>
        <v>0.72</v>
      </c>
      <c r="AC624" s="1">
        <f>D624</f>
        <v>87</v>
      </c>
      <c r="AD624" s="1">
        <f>E624</f>
        <v>4</v>
      </c>
      <c r="AE624" s="1">
        <f>F624</f>
        <v>0</v>
      </c>
      <c r="AF624" s="1">
        <f>G624</f>
        <v>0</v>
      </c>
      <c r="AG624" s="1">
        <f>I624</f>
        <v>0</v>
      </c>
      <c r="AH624" s="1">
        <f>J624</f>
        <v>0</v>
      </c>
      <c r="AI624" s="1">
        <f>Q624</f>
        <v>0</v>
      </c>
      <c r="AJ624" s="1">
        <f>K624</f>
        <v>0</v>
      </c>
      <c r="AK624" s="1">
        <f>L624</f>
        <v>1</v>
      </c>
      <c r="AL624" s="1">
        <f>M624</f>
        <v>0</v>
      </c>
      <c r="AM624" s="1">
        <f>N624</f>
        <v>0</v>
      </c>
      <c r="AN624" s="1">
        <f>O624</f>
        <v>0</v>
      </c>
    </row>
    <row r="625">
      <c r="A625" s="1">
        <v>866</v>
      </c>
      <c r="B625" s="1">
        <v>35</v>
      </c>
      <c r="C625" s="1">
        <v>0.5</v>
      </c>
      <c r="D625" s="1">
        <v>82</v>
      </c>
      <c r="E625" s="1">
        <v>3</v>
      </c>
      <c r="F625" s="1">
        <v>0</v>
      </c>
      <c r="G625" s="1">
        <v>0</v>
      </c>
      <c r="H625" s="1">
        <v>1</v>
      </c>
      <c r="I625" s="1">
        <v>0</v>
      </c>
      <c r="J625" s="1">
        <v>0</v>
      </c>
      <c r="K625" s="1">
        <v>0</v>
      </c>
      <c r="L625" s="1">
        <v>0</v>
      </c>
      <c r="M625" s="1">
        <v>1</v>
      </c>
      <c r="N625" s="1">
        <v>0</v>
      </c>
      <c r="O625" s="1">
        <v>0</v>
      </c>
      <c r="P625" s="1">
        <f>LN(B625)</f>
        <v>3.55534806148941</v>
      </c>
      <c r="Q625" s="1">
        <f>1-SUM(F625:J625)</f>
        <v>0</v>
      </c>
      <c r="R625" s="1" t="str">
        <f>IF(F625=1,"Napa valley",IF(G625=1,"Bay area",IF(H625=1,"Sonoma",IF(I625=1,"Sierra/foothills",IF(J625=1,"Mendocino/lake","Generic California")))))</f>
        <v>Sonoma</v>
      </c>
      <c r="S625" s="1" t="str">
        <f>IF(F625=1,"Napa valley",IF(H625=1,"Sonoma","Other"))</f>
        <v>Sonoma</v>
      </c>
      <c r="T625" s="1" t="str">
        <f>IF(M625=1,"Cabernet",IF(N625=1,"Merlot",IF(L625=1,"Pinot noir","Other")))</f>
        <v>Cabernet</v>
      </c>
      <c r="U625" s="1" t="str">
        <f>IF(F625=1,B625,"")</f>
        <v/>
      </c>
      <c r="V625" s="1">
        <f>IF(F625=0,B625,"")</f>
        <v>35</v>
      </c>
      <c r="W625" s="1">
        <f>'Part B'!$B$150+SUMPRODUCT('Part B'!$B$164:$N$164,C625:O625)</f>
        <v>17.0340257591545</v>
      </c>
      <c r="X625" s="1">
        <f>B625-W625</f>
        <v>17.9659742408455</v>
      </c>
      <c r="Y625" s="1">
        <f>'Part B'!$B$179+SUMPRODUCT('Part B'!$B$193:$N$193,C625:O625)</f>
        <v>2.94555187814822</v>
      </c>
      <c r="Z625" s="1">
        <f>P625-Y625</f>
        <v>0.609796183341192</v>
      </c>
      <c r="AB625" s="1">
        <f>C625</f>
        <v>0.5</v>
      </c>
      <c r="AC625" s="1">
        <f>D625</f>
        <v>82</v>
      </c>
      <c r="AD625" s="1">
        <f>E625</f>
        <v>3</v>
      </c>
      <c r="AE625" s="1">
        <f>F625</f>
        <v>0</v>
      </c>
      <c r="AF625" s="1">
        <f>G625</f>
        <v>0</v>
      </c>
      <c r="AG625" s="1">
        <f>I625</f>
        <v>0</v>
      </c>
      <c r="AH625" s="1">
        <f>J625</f>
        <v>0</v>
      </c>
      <c r="AI625" s="1">
        <f>Q625</f>
        <v>0</v>
      </c>
      <c r="AJ625" s="1">
        <f>K625</f>
        <v>0</v>
      </c>
      <c r="AK625" s="1">
        <f>L625</f>
        <v>0</v>
      </c>
      <c r="AL625" s="1">
        <f>M625</f>
        <v>1</v>
      </c>
      <c r="AM625" s="1">
        <f>N625</f>
        <v>0</v>
      </c>
      <c r="AN625" s="1">
        <f>O625</f>
        <v>0</v>
      </c>
    </row>
    <row r="626">
      <c r="A626" s="1">
        <v>867</v>
      </c>
      <c r="B626" s="1">
        <v>35</v>
      </c>
      <c r="C626" s="1">
        <v>1.018</v>
      </c>
      <c r="D626" s="1">
        <v>87</v>
      </c>
      <c r="E626" s="1">
        <v>3</v>
      </c>
      <c r="F626" s="1">
        <v>0</v>
      </c>
      <c r="G626" s="1">
        <v>0</v>
      </c>
      <c r="H626" s="1">
        <v>1</v>
      </c>
      <c r="I626" s="1">
        <v>0</v>
      </c>
      <c r="J626" s="1">
        <v>0</v>
      </c>
      <c r="K626" s="1">
        <v>0</v>
      </c>
      <c r="L626" s="1">
        <v>0</v>
      </c>
      <c r="M626" s="1">
        <v>0</v>
      </c>
      <c r="N626" s="1">
        <v>1</v>
      </c>
      <c r="O626" s="1">
        <v>0</v>
      </c>
      <c r="P626" s="1">
        <f>LN(B626)</f>
        <v>3.55534806148941</v>
      </c>
      <c r="Q626" s="1">
        <f>1-SUM(F626:J626)</f>
        <v>0</v>
      </c>
      <c r="R626" s="1" t="str">
        <f>IF(F626=1,"Napa valley",IF(G626=1,"Bay area",IF(H626=1,"Sonoma",IF(I626=1,"Sierra/foothills",IF(J626=1,"Mendocino/lake","Generic California")))))</f>
        <v>Sonoma</v>
      </c>
      <c r="S626" s="1" t="str">
        <f>IF(F626=1,"Napa valley",IF(H626=1,"Sonoma","Other"))</f>
        <v>Sonoma</v>
      </c>
      <c r="T626" s="1" t="str">
        <f>IF(M626=1,"Cabernet",IF(N626=1,"Merlot",IF(L626=1,"Pinot noir","Other")))</f>
        <v>Merlot</v>
      </c>
      <c r="U626" s="1" t="str">
        <f>IF(F626=1,B626,"")</f>
        <v/>
      </c>
      <c r="V626" s="1">
        <f>IF(F626=0,B626,"")</f>
        <v>35</v>
      </c>
      <c r="W626" s="1">
        <f>'Part B'!$B$150+SUMPRODUCT('Part B'!$B$164:$N$164,C626:O626)</f>
        <v>27.7433018004628</v>
      </c>
      <c r="X626" s="1">
        <f>B626-W626</f>
        <v>7.2566981995372</v>
      </c>
      <c r="Y626" s="1">
        <f>'Part B'!$B$179+SUMPRODUCT('Part B'!$B$193:$N$193,C626:O626)</f>
        <v>3.25666123483516</v>
      </c>
      <c r="Z626" s="1">
        <f>P626-Y626</f>
        <v>0.298686826654255</v>
      </c>
      <c r="AB626" s="1">
        <f>C626</f>
        <v>1.018</v>
      </c>
      <c r="AC626" s="1">
        <f>D626</f>
        <v>87</v>
      </c>
      <c r="AD626" s="1">
        <f>E626</f>
        <v>3</v>
      </c>
      <c r="AE626" s="1">
        <f>F626</f>
        <v>0</v>
      </c>
      <c r="AF626" s="1">
        <f>G626</f>
        <v>0</v>
      </c>
      <c r="AG626" s="1">
        <f>I626</f>
        <v>0</v>
      </c>
      <c r="AH626" s="1">
        <f>J626</f>
        <v>0</v>
      </c>
      <c r="AI626" s="1">
        <f>Q626</f>
        <v>0</v>
      </c>
      <c r="AJ626" s="1">
        <f>K626</f>
        <v>0</v>
      </c>
      <c r="AK626" s="1">
        <f>L626</f>
        <v>0</v>
      </c>
      <c r="AL626" s="1">
        <f>M626</f>
        <v>0</v>
      </c>
      <c r="AM626" s="1">
        <f>N626</f>
        <v>1</v>
      </c>
      <c r="AN626" s="1">
        <f>O626</f>
        <v>0</v>
      </c>
    </row>
    <row r="627">
      <c r="A627" s="1">
        <v>869</v>
      </c>
      <c r="B627" s="1">
        <v>35</v>
      </c>
      <c r="C627" s="1">
        <v>1.3</v>
      </c>
      <c r="D627" s="1">
        <v>88</v>
      </c>
      <c r="E627" s="1">
        <v>3</v>
      </c>
      <c r="F627" s="1">
        <v>1</v>
      </c>
      <c r="G627" s="1">
        <v>0</v>
      </c>
      <c r="H627" s="1">
        <v>0</v>
      </c>
      <c r="I627" s="1">
        <v>0</v>
      </c>
      <c r="J627" s="1">
        <v>0</v>
      </c>
      <c r="K627" s="1">
        <v>0</v>
      </c>
      <c r="L627" s="1">
        <v>0</v>
      </c>
      <c r="M627" s="1">
        <v>1</v>
      </c>
      <c r="N627" s="1">
        <v>0</v>
      </c>
      <c r="O627" s="1">
        <v>0</v>
      </c>
      <c r="P627" s="1">
        <f>LN(B627)</f>
        <v>3.55534806148941</v>
      </c>
      <c r="Q627" s="1">
        <f>1-SUM(F627:J627)</f>
        <v>0</v>
      </c>
      <c r="R627" s="1" t="str">
        <f>IF(F627=1,"Napa valley",IF(G627=1,"Bay area",IF(H627=1,"Sonoma",IF(I627=1,"Sierra/foothills",IF(J627=1,"Mendocino/lake","Generic California")))))</f>
        <v>Napa valley</v>
      </c>
      <c r="S627" s="1" t="str">
        <f>IF(F627=1,"Napa valley",IF(H627=1,"Sonoma","Other"))</f>
        <v>Napa valley</v>
      </c>
      <c r="T627" s="1" t="str">
        <f>IF(M627=1,"Cabernet",IF(N627=1,"Merlot",IF(L627=1,"Pinot noir","Other")))</f>
        <v>Cabernet</v>
      </c>
      <c r="U627" s="1">
        <f>IF(F627=1,B627,"")</f>
        <v>35</v>
      </c>
      <c r="V627" s="1" t="str">
        <f>IF(F627=0,B627,"")</f>
        <v/>
      </c>
      <c r="W627" s="1">
        <f>'Part B'!$B$150+SUMPRODUCT('Part B'!$B$164:$N$164,C627:O627)</f>
        <v>43.7251251174116</v>
      </c>
      <c r="X627" s="1">
        <f>B627-W627</f>
        <v>-8.72512511741161</v>
      </c>
      <c r="Y627" s="1">
        <f>'Part B'!$B$179+SUMPRODUCT('Part B'!$B$193:$N$193,C627:O627)</f>
        <v>3.50968440211688</v>
      </c>
      <c r="Z627" s="1">
        <f>P627-Y627</f>
        <v>0.0456636593725288</v>
      </c>
      <c r="AB627" s="1">
        <f>C627</f>
        <v>1.3</v>
      </c>
      <c r="AC627" s="1">
        <f>D627</f>
        <v>88</v>
      </c>
      <c r="AD627" s="1">
        <f>E627</f>
        <v>3</v>
      </c>
      <c r="AE627" s="1">
        <f>F627</f>
        <v>1</v>
      </c>
      <c r="AF627" s="1">
        <f>G627</f>
        <v>0</v>
      </c>
      <c r="AG627" s="1">
        <f>I627</f>
        <v>0</v>
      </c>
      <c r="AH627" s="1">
        <f>J627</f>
        <v>0</v>
      </c>
      <c r="AI627" s="1">
        <f>Q627</f>
        <v>0</v>
      </c>
      <c r="AJ627" s="1">
        <f>K627</f>
        <v>0</v>
      </c>
      <c r="AK627" s="1">
        <f>L627</f>
        <v>0</v>
      </c>
      <c r="AL627" s="1">
        <f>M627</f>
        <v>1</v>
      </c>
      <c r="AM627" s="1">
        <f>N627</f>
        <v>0</v>
      </c>
      <c r="AN627" s="1">
        <f>O627</f>
        <v>0</v>
      </c>
    </row>
    <row r="628">
      <c r="A628" s="1">
        <v>870</v>
      </c>
      <c r="B628" s="1">
        <v>35</v>
      </c>
      <c r="C628" s="1">
        <v>0.9</v>
      </c>
      <c r="D628" s="1">
        <v>87</v>
      </c>
      <c r="E628" s="1">
        <v>3</v>
      </c>
      <c r="F628" s="1">
        <v>1</v>
      </c>
      <c r="G628" s="1">
        <v>0</v>
      </c>
      <c r="H628" s="1">
        <v>0</v>
      </c>
      <c r="I628" s="1">
        <v>0</v>
      </c>
      <c r="J628" s="1">
        <v>0</v>
      </c>
      <c r="K628" s="1">
        <v>0</v>
      </c>
      <c r="L628" s="1">
        <v>0</v>
      </c>
      <c r="M628" s="1">
        <v>1</v>
      </c>
      <c r="N628" s="1">
        <v>0</v>
      </c>
      <c r="O628" s="1">
        <v>0</v>
      </c>
      <c r="P628" s="1">
        <f>LN(B628)</f>
        <v>3.55534806148941</v>
      </c>
      <c r="Q628" s="1">
        <f>1-SUM(F628:J628)</f>
        <v>0</v>
      </c>
      <c r="R628" s="1" t="str">
        <f>IF(F628=1,"Napa valley",IF(G628=1,"Bay area",IF(H628=1,"Sonoma",IF(I628=1,"Sierra/foothills",IF(J628=1,"Mendocino/lake","Generic California")))))</f>
        <v>Napa valley</v>
      </c>
      <c r="S628" s="1" t="str">
        <f>IF(F628=1,"Napa valley",IF(H628=1,"Sonoma","Other"))</f>
        <v>Napa valley</v>
      </c>
      <c r="T628" s="1" t="str">
        <f>IF(M628=1,"Cabernet",IF(N628=1,"Merlot",IF(L628=1,"Pinot noir","Other")))</f>
        <v>Cabernet</v>
      </c>
      <c r="U628" s="1">
        <f>IF(F628=1,B628,"")</f>
        <v>35</v>
      </c>
      <c r="V628" s="1" t="str">
        <f>IF(F628=0,B628,"")</f>
        <v/>
      </c>
      <c r="W628" s="1">
        <f>'Part B'!$B$150+SUMPRODUCT('Part B'!$B$164:$N$164,C628:O628)</f>
        <v>40.617993532903</v>
      </c>
      <c r="X628" s="1">
        <f>B628-W628</f>
        <v>-5.61799353290297</v>
      </c>
      <c r="Y628" s="1">
        <f>'Part B'!$B$179+SUMPRODUCT('Part B'!$B$193:$N$193,C628:O628)</f>
        <v>3.44143466017749</v>
      </c>
      <c r="Z628" s="1">
        <f>P628-Y628</f>
        <v>0.113913401311922</v>
      </c>
      <c r="AB628" s="1">
        <f>C628</f>
        <v>0.9</v>
      </c>
      <c r="AC628" s="1">
        <f>D628</f>
        <v>87</v>
      </c>
      <c r="AD628" s="1">
        <f>E628</f>
        <v>3</v>
      </c>
      <c r="AE628" s="1">
        <f>F628</f>
        <v>1</v>
      </c>
      <c r="AF628" s="1">
        <f>G628</f>
        <v>0</v>
      </c>
      <c r="AG628" s="1">
        <f>I628</f>
        <v>0</v>
      </c>
      <c r="AH628" s="1">
        <f>J628</f>
        <v>0</v>
      </c>
      <c r="AI628" s="1">
        <f>Q628</f>
        <v>0</v>
      </c>
      <c r="AJ628" s="1">
        <f>K628</f>
        <v>0</v>
      </c>
      <c r="AK628" s="1">
        <f>L628</f>
        <v>0</v>
      </c>
      <c r="AL628" s="1">
        <f>M628</f>
        <v>1</v>
      </c>
      <c r="AM628" s="1">
        <f>N628</f>
        <v>0</v>
      </c>
      <c r="AN628" s="1">
        <f>O628</f>
        <v>0</v>
      </c>
    </row>
    <row r="629">
      <c r="A629" s="1">
        <v>871</v>
      </c>
      <c r="B629" s="1">
        <v>35</v>
      </c>
      <c r="C629" s="1">
        <v>1.8</v>
      </c>
      <c r="D629" s="1">
        <v>91</v>
      </c>
      <c r="E629" s="1">
        <v>3</v>
      </c>
      <c r="F629" s="1">
        <v>1</v>
      </c>
      <c r="G629" s="1">
        <v>0</v>
      </c>
      <c r="H629" s="1">
        <v>0</v>
      </c>
      <c r="I629" s="1">
        <v>0</v>
      </c>
      <c r="J629" s="1">
        <v>0</v>
      </c>
      <c r="K629" s="1">
        <v>0</v>
      </c>
      <c r="L629" s="1">
        <v>0</v>
      </c>
      <c r="M629" s="1">
        <v>0</v>
      </c>
      <c r="N629" s="1">
        <v>0</v>
      </c>
      <c r="O629" s="1">
        <v>0</v>
      </c>
      <c r="P629" s="1">
        <f>LN(B629)</f>
        <v>3.55534806148941</v>
      </c>
      <c r="Q629" s="1">
        <f>1-SUM(F629:J629)</f>
        <v>0</v>
      </c>
      <c r="R629" s="1" t="str">
        <f>IF(F629=1,"Napa valley",IF(G629=1,"Bay area",IF(H629=1,"Sonoma",IF(I629=1,"Sierra/foothills",IF(J629=1,"Mendocino/lake","Generic California")))))</f>
        <v>Napa valley</v>
      </c>
      <c r="S629" s="1" t="str">
        <f>IF(F629=1,"Napa valley",IF(H629=1,"Sonoma","Other"))</f>
        <v>Napa valley</v>
      </c>
      <c r="T629" s="1" t="str">
        <f>IF(M629=1,"Cabernet",IF(N629=1,"Merlot",IF(L629=1,"Pinot noir","Other")))</f>
        <v>Other</v>
      </c>
      <c r="U629" s="1">
        <f>IF(F629=1,B629,"")</f>
        <v>35</v>
      </c>
      <c r="V629" s="1" t="str">
        <f>IF(F629=0,B629,"")</f>
        <v/>
      </c>
      <c r="W629" s="1">
        <f>'Part B'!$B$150+SUMPRODUCT('Part B'!$B$164:$N$164,C629:O629)</f>
        <v>40.4857058674884</v>
      </c>
      <c r="X629" s="1">
        <f>B629-W629</f>
        <v>-5.48570586748838</v>
      </c>
      <c r="Y629" s="1">
        <f>'Part B'!$B$179+SUMPRODUCT('Part B'!$B$193:$N$193,C629:O629)</f>
        <v>3.39643331454925</v>
      </c>
      <c r="Z629" s="1">
        <f>P629-Y629</f>
        <v>0.158914746940162</v>
      </c>
      <c r="AB629" s="1">
        <f>C629</f>
        <v>1.8</v>
      </c>
      <c r="AC629" s="1">
        <f>D629</f>
        <v>91</v>
      </c>
      <c r="AD629" s="1">
        <f>E629</f>
        <v>3</v>
      </c>
      <c r="AE629" s="1">
        <f>F629</f>
        <v>1</v>
      </c>
      <c r="AF629" s="1">
        <f>G629</f>
        <v>0</v>
      </c>
      <c r="AG629" s="1">
        <f>I629</f>
        <v>0</v>
      </c>
      <c r="AH629" s="1">
        <f>J629</f>
        <v>0</v>
      </c>
      <c r="AI629" s="1">
        <f>Q629</f>
        <v>0</v>
      </c>
      <c r="AJ629" s="1">
        <f>K629</f>
        <v>0</v>
      </c>
      <c r="AK629" s="1">
        <f>L629</f>
        <v>0</v>
      </c>
      <c r="AL629" s="1">
        <f>M629</f>
        <v>0</v>
      </c>
      <c r="AM629" s="1">
        <f>N629</f>
        <v>0</v>
      </c>
      <c r="AN629" s="1">
        <f>O629</f>
        <v>0</v>
      </c>
    </row>
    <row r="630">
      <c r="A630" s="1">
        <v>872</v>
      </c>
      <c r="B630" s="1">
        <v>35</v>
      </c>
      <c r="C630" s="1">
        <v>0.15</v>
      </c>
      <c r="D630" s="1">
        <v>92</v>
      </c>
      <c r="E630" s="1">
        <v>3</v>
      </c>
      <c r="F630" s="1">
        <v>0</v>
      </c>
      <c r="G630" s="1">
        <v>0</v>
      </c>
      <c r="H630" s="1">
        <v>1</v>
      </c>
      <c r="I630" s="1">
        <v>0</v>
      </c>
      <c r="J630" s="1">
        <v>0</v>
      </c>
      <c r="K630" s="1">
        <v>0</v>
      </c>
      <c r="L630" s="1">
        <v>1</v>
      </c>
      <c r="M630" s="1">
        <v>0</v>
      </c>
      <c r="N630" s="1">
        <v>0</v>
      </c>
      <c r="O630" s="1">
        <v>0</v>
      </c>
      <c r="P630" s="1">
        <f>LN(B630)</f>
        <v>3.55534806148941</v>
      </c>
      <c r="Q630" s="1">
        <f>1-SUM(F630:J630)</f>
        <v>0</v>
      </c>
      <c r="R630" s="1" t="str">
        <f>IF(F630=1,"Napa valley",IF(G630=1,"Bay area",IF(H630=1,"Sonoma",IF(I630=1,"Sierra/foothills",IF(J630=1,"Mendocino/lake","Generic California")))))</f>
        <v>Sonoma</v>
      </c>
      <c r="S630" s="1" t="str">
        <f>IF(F630=1,"Napa valley",IF(H630=1,"Sonoma","Other"))</f>
        <v>Sonoma</v>
      </c>
      <c r="T630" s="1" t="str">
        <f>IF(M630=1,"Cabernet",IF(N630=1,"Merlot",IF(L630=1,"Pinot noir","Other")))</f>
        <v>Pinot noir</v>
      </c>
      <c r="U630" s="1" t="str">
        <f>IF(F630=1,B630,"")</f>
        <v/>
      </c>
      <c r="V630" s="1">
        <f>IF(F630=0,B630,"")</f>
        <v>35</v>
      </c>
      <c r="W630" s="1">
        <f>'Part B'!$B$150+SUMPRODUCT('Part B'!$B$164:$N$164,C630:O630)</f>
        <v>45.3452223866192</v>
      </c>
      <c r="X630" s="1">
        <f>B630-W630</f>
        <v>-10.3452223866192</v>
      </c>
      <c r="Y630" s="1">
        <f>'Part B'!$B$179+SUMPRODUCT('Part B'!$B$193:$N$193,C630:O630)</f>
        <v>3.67218985730021</v>
      </c>
      <c r="Z630" s="1">
        <f>P630-Y630</f>
        <v>-0.116841795810795</v>
      </c>
      <c r="AB630" s="1">
        <f>C630</f>
        <v>0.15</v>
      </c>
      <c r="AC630" s="1">
        <f>D630</f>
        <v>92</v>
      </c>
      <c r="AD630" s="1">
        <f>E630</f>
        <v>3</v>
      </c>
      <c r="AE630" s="1">
        <f>F630</f>
        <v>0</v>
      </c>
      <c r="AF630" s="1">
        <f>G630</f>
        <v>0</v>
      </c>
      <c r="AG630" s="1">
        <f>I630</f>
        <v>0</v>
      </c>
      <c r="AH630" s="1">
        <f>J630</f>
        <v>0</v>
      </c>
      <c r="AI630" s="1">
        <f>Q630</f>
        <v>0</v>
      </c>
      <c r="AJ630" s="1">
        <f>K630</f>
        <v>0</v>
      </c>
      <c r="AK630" s="1">
        <f>L630</f>
        <v>1</v>
      </c>
      <c r="AL630" s="1">
        <f>M630</f>
        <v>0</v>
      </c>
      <c r="AM630" s="1">
        <f>N630</f>
        <v>0</v>
      </c>
      <c r="AN630" s="1">
        <f>O630</f>
        <v>0</v>
      </c>
    </row>
    <row r="631">
      <c r="A631" s="1">
        <v>873</v>
      </c>
      <c r="B631" s="1">
        <v>35</v>
      </c>
      <c r="C631" s="1">
        <v>1.488</v>
      </c>
      <c r="D631" s="1">
        <v>88</v>
      </c>
      <c r="E631" s="1">
        <v>3</v>
      </c>
      <c r="F631" s="1">
        <v>1</v>
      </c>
      <c r="G631" s="1">
        <v>0</v>
      </c>
      <c r="H631" s="1">
        <v>0</v>
      </c>
      <c r="I631" s="1">
        <v>0</v>
      </c>
      <c r="J631" s="1">
        <v>0</v>
      </c>
      <c r="K631" s="1">
        <v>0</v>
      </c>
      <c r="L631" s="1">
        <v>0</v>
      </c>
      <c r="M631" s="1">
        <v>1</v>
      </c>
      <c r="N631" s="1">
        <v>0</v>
      </c>
      <c r="O631" s="1">
        <v>0</v>
      </c>
      <c r="P631" s="1">
        <f>LN(B631)</f>
        <v>3.55534806148941</v>
      </c>
      <c r="Q631" s="1">
        <f>1-SUM(F631:J631)</f>
        <v>0</v>
      </c>
      <c r="R631" s="1" t="str">
        <f>IF(F631=1,"Napa valley",IF(G631=1,"Bay area",IF(H631=1,"Sonoma",IF(I631=1,"Sierra/foothills",IF(J631=1,"Mendocino/lake","Generic California")))))</f>
        <v>Napa valley</v>
      </c>
      <c r="S631" s="1" t="str">
        <f>IF(F631=1,"Napa valley",IF(H631=1,"Sonoma","Other"))</f>
        <v>Napa valley</v>
      </c>
      <c r="T631" s="1" t="str">
        <f>IF(M631=1,"Cabernet",IF(N631=1,"Merlot",IF(L631=1,"Pinot noir","Other")))</f>
        <v>Cabernet</v>
      </c>
      <c r="U631" s="1">
        <f>IF(F631=1,B631,"")</f>
        <v>35</v>
      </c>
      <c r="V631" s="1" t="str">
        <f>IF(F631=0,B631,"")</f>
        <v/>
      </c>
      <c r="W631" s="1">
        <f>'Part B'!$B$150+SUMPRODUCT('Part B'!$B$164:$N$164,C631:O631)</f>
        <v>43.7072813287211</v>
      </c>
      <c r="X631" s="1">
        <f>B631-W631</f>
        <v>-8.70728132872114</v>
      </c>
      <c r="Y631" s="1">
        <f>'Part B'!$B$179+SUMPRODUCT('Part B'!$B$193:$N$193,C631:O631)</f>
        <v>3.50887993749361</v>
      </c>
      <c r="Z631" s="1">
        <f>P631-Y631</f>
        <v>0.0464681239958042</v>
      </c>
      <c r="AB631" s="1">
        <f>C631</f>
        <v>1.488</v>
      </c>
      <c r="AC631" s="1">
        <f>D631</f>
        <v>88</v>
      </c>
      <c r="AD631" s="1">
        <f>E631</f>
        <v>3</v>
      </c>
      <c r="AE631" s="1">
        <f>F631</f>
        <v>1</v>
      </c>
      <c r="AF631" s="1">
        <f>G631</f>
        <v>0</v>
      </c>
      <c r="AG631" s="1">
        <f>I631</f>
        <v>0</v>
      </c>
      <c r="AH631" s="1">
        <f>J631</f>
        <v>0</v>
      </c>
      <c r="AI631" s="1">
        <f>Q631</f>
        <v>0</v>
      </c>
      <c r="AJ631" s="1">
        <f>K631</f>
        <v>0</v>
      </c>
      <c r="AK631" s="1">
        <f>L631</f>
        <v>0</v>
      </c>
      <c r="AL631" s="1">
        <f>M631</f>
        <v>1</v>
      </c>
      <c r="AM631" s="1">
        <f>N631</f>
        <v>0</v>
      </c>
      <c r="AN631" s="1">
        <f>O631</f>
        <v>0</v>
      </c>
    </row>
    <row r="632">
      <c r="A632" s="1">
        <v>874</v>
      </c>
      <c r="B632" s="1">
        <v>35</v>
      </c>
      <c r="C632" s="1">
        <v>1.3</v>
      </c>
      <c r="D632" s="1">
        <v>89</v>
      </c>
      <c r="E632" s="1">
        <v>3</v>
      </c>
      <c r="F632" s="1">
        <v>0</v>
      </c>
      <c r="G632" s="1">
        <v>0</v>
      </c>
      <c r="H632" s="1">
        <v>1</v>
      </c>
      <c r="I632" s="1">
        <v>0</v>
      </c>
      <c r="J632" s="1">
        <v>0</v>
      </c>
      <c r="K632" s="1">
        <v>0</v>
      </c>
      <c r="L632" s="1">
        <v>0</v>
      </c>
      <c r="M632" s="1">
        <v>1</v>
      </c>
      <c r="N632" s="1">
        <v>0</v>
      </c>
      <c r="O632" s="1">
        <v>0</v>
      </c>
      <c r="P632" s="1">
        <f>LN(B632)</f>
        <v>3.55534806148941</v>
      </c>
      <c r="Q632" s="1">
        <f>1-SUM(F632:J632)</f>
        <v>0</v>
      </c>
      <c r="R632" s="1" t="str">
        <f>IF(F632=1,"Napa valley",IF(G632=1,"Bay area",IF(H632=1,"Sonoma",IF(I632=1,"Sierra/foothills",IF(J632=1,"Mendocino/lake","Generic California")))))</f>
        <v>Sonoma</v>
      </c>
      <c r="S632" s="1" t="str">
        <f>IF(F632=1,"Napa valley",IF(H632=1,"Sonoma","Other"))</f>
        <v>Sonoma</v>
      </c>
      <c r="T632" s="1" t="str">
        <f>IF(M632=1,"Cabernet",IF(N632=1,"Merlot",IF(L632=1,"Pinot noir","Other")))</f>
        <v>Cabernet</v>
      </c>
      <c r="U632" s="1" t="str">
        <f>IF(F632=1,B632,"")</f>
        <v/>
      </c>
      <c r="V632" s="1">
        <f>IF(F632=0,B632,"")</f>
        <v>35</v>
      </c>
      <c r="W632" s="1">
        <f>'Part B'!$B$150+SUMPRODUCT('Part B'!$B$164:$N$164,C632:O632)</f>
        <v>38.973774389975</v>
      </c>
      <c r="X632" s="1">
        <f>B632-W632</f>
        <v>-3.97377438997501</v>
      </c>
      <c r="Y632" s="1">
        <f>'Part B'!$B$179+SUMPRODUCT('Part B'!$B$193:$N$193,C632:O632)</f>
        <v>3.43185820601414</v>
      </c>
      <c r="Z632" s="1">
        <f>P632-Y632</f>
        <v>0.123489855475273</v>
      </c>
      <c r="AB632" s="1">
        <f>C632</f>
        <v>1.3</v>
      </c>
      <c r="AC632" s="1">
        <f>D632</f>
        <v>89</v>
      </c>
      <c r="AD632" s="1">
        <f>E632</f>
        <v>3</v>
      </c>
      <c r="AE632" s="1">
        <f>F632</f>
        <v>0</v>
      </c>
      <c r="AF632" s="1">
        <f>G632</f>
        <v>0</v>
      </c>
      <c r="AG632" s="1">
        <f>I632</f>
        <v>0</v>
      </c>
      <c r="AH632" s="1">
        <f>J632</f>
        <v>0</v>
      </c>
      <c r="AI632" s="1">
        <f>Q632</f>
        <v>0</v>
      </c>
      <c r="AJ632" s="1">
        <f>K632</f>
        <v>0</v>
      </c>
      <c r="AK632" s="1">
        <f>L632</f>
        <v>0</v>
      </c>
      <c r="AL632" s="1">
        <f>M632</f>
        <v>1</v>
      </c>
      <c r="AM632" s="1">
        <f>N632</f>
        <v>0</v>
      </c>
      <c r="AN632" s="1">
        <f>O632</f>
        <v>0</v>
      </c>
    </row>
    <row r="633">
      <c r="A633" s="1">
        <v>875</v>
      </c>
      <c r="B633" s="1">
        <v>35</v>
      </c>
      <c r="C633" s="1">
        <v>0.99</v>
      </c>
      <c r="D633" s="1">
        <v>88</v>
      </c>
      <c r="E633" s="1">
        <v>3</v>
      </c>
      <c r="F633" s="1">
        <v>0</v>
      </c>
      <c r="G633" s="1">
        <v>0</v>
      </c>
      <c r="H633" s="1">
        <v>1</v>
      </c>
      <c r="I633" s="1">
        <v>0</v>
      </c>
      <c r="J633" s="1">
        <v>0</v>
      </c>
      <c r="K633" s="1">
        <v>0</v>
      </c>
      <c r="L633" s="1">
        <v>0</v>
      </c>
      <c r="M633" s="1">
        <v>1</v>
      </c>
      <c r="N633" s="1">
        <v>0</v>
      </c>
      <c r="O633" s="1">
        <v>0</v>
      </c>
      <c r="P633" s="1">
        <f>LN(B633)</f>
        <v>3.55534806148941</v>
      </c>
      <c r="Q633" s="1">
        <f>1-SUM(F633:J633)</f>
        <v>0</v>
      </c>
      <c r="R633" s="1" t="str">
        <f>IF(F633=1,"Napa valley",IF(G633=1,"Bay area",IF(H633=1,"Sonoma",IF(I633=1,"Sierra/foothills",IF(J633=1,"Mendocino/lake","Generic California")))))</f>
        <v>Sonoma</v>
      </c>
      <c r="S633" s="1" t="str">
        <f>IF(F633=1,"Napa valley",IF(H633=1,"Sonoma","Other"))</f>
        <v>Sonoma</v>
      </c>
      <c r="T633" s="1" t="str">
        <f>IF(M633=1,"Cabernet",IF(N633=1,"Merlot",IF(L633=1,"Pinot noir","Other")))</f>
        <v>Cabernet</v>
      </c>
      <c r="U633" s="1" t="str">
        <f>IF(F633=1,B633,"")</f>
        <v/>
      </c>
      <c r="V633" s="1">
        <f>IF(F633=0,B633,"")</f>
        <v>35</v>
      </c>
      <c r="W633" s="1">
        <f>'Part B'!$B$150+SUMPRODUCT('Part B'!$B$164:$N$164,C633:O633)</f>
        <v>35.8581005661996</v>
      </c>
      <c r="X633" s="1">
        <f>B633-W633</f>
        <v>-0.858100566199653</v>
      </c>
      <c r="Y633" s="1">
        <f>'Part B'!$B$179+SUMPRODUCT('Part B'!$B$193:$N$193,C633:O633)</f>
        <v>3.36322334803169</v>
      </c>
      <c r="Z633" s="1">
        <f>P633-Y633</f>
        <v>0.192124713457724</v>
      </c>
      <c r="AB633" s="1">
        <f>C633</f>
        <v>0.99</v>
      </c>
      <c r="AC633" s="1">
        <f>D633</f>
        <v>88</v>
      </c>
      <c r="AD633" s="1">
        <f>E633</f>
        <v>3</v>
      </c>
      <c r="AE633" s="1">
        <f>F633</f>
        <v>0</v>
      </c>
      <c r="AF633" s="1">
        <f>G633</f>
        <v>0</v>
      </c>
      <c r="AG633" s="1">
        <f>I633</f>
        <v>0</v>
      </c>
      <c r="AH633" s="1">
        <f>J633</f>
        <v>0</v>
      </c>
      <c r="AI633" s="1">
        <f>Q633</f>
        <v>0</v>
      </c>
      <c r="AJ633" s="1">
        <f>K633</f>
        <v>0</v>
      </c>
      <c r="AK633" s="1">
        <f>L633</f>
        <v>0</v>
      </c>
      <c r="AL633" s="1">
        <f>M633</f>
        <v>1</v>
      </c>
      <c r="AM633" s="1">
        <f>N633</f>
        <v>0</v>
      </c>
      <c r="AN633" s="1">
        <f>O633</f>
        <v>0</v>
      </c>
    </row>
    <row r="634">
      <c r="A634" s="1">
        <v>876</v>
      </c>
      <c r="B634" s="1">
        <v>35</v>
      </c>
      <c r="C634" s="1">
        <v>0.386</v>
      </c>
      <c r="D634" s="1">
        <v>87</v>
      </c>
      <c r="E634" s="1">
        <v>3</v>
      </c>
      <c r="F634" s="1">
        <v>0</v>
      </c>
      <c r="G634" s="1">
        <v>1</v>
      </c>
      <c r="H634" s="1">
        <v>0</v>
      </c>
      <c r="I634" s="1">
        <v>0</v>
      </c>
      <c r="J634" s="1">
        <v>0</v>
      </c>
      <c r="K634" s="1">
        <v>0</v>
      </c>
      <c r="L634" s="1">
        <v>1</v>
      </c>
      <c r="M634" s="1">
        <v>0</v>
      </c>
      <c r="N634" s="1">
        <v>0</v>
      </c>
      <c r="O634" s="1">
        <v>0</v>
      </c>
      <c r="P634" s="1">
        <f>LN(B634)</f>
        <v>3.55534806148941</v>
      </c>
      <c r="Q634" s="1">
        <f>1-SUM(F634:J634)</f>
        <v>0</v>
      </c>
      <c r="R634" s="1" t="str">
        <f>IF(F634=1,"Napa valley",IF(G634=1,"Bay area",IF(H634=1,"Sonoma",IF(I634=1,"Sierra/foothills",IF(J634=1,"Mendocino/lake","Generic California")))))</f>
        <v>Bay area</v>
      </c>
      <c r="S634" s="1" t="str">
        <f>IF(F634=1,"Napa valley",IF(H634=1,"Sonoma","Other"))</f>
        <v>Other</v>
      </c>
      <c r="T634" s="1" t="str">
        <f>IF(M634=1,"Cabernet",IF(N634=1,"Merlot",IF(L634=1,"Pinot noir","Other")))</f>
        <v>Pinot noir</v>
      </c>
      <c r="U634" s="1" t="str">
        <f>IF(F634=1,B634,"")</f>
        <v/>
      </c>
      <c r="V634" s="1">
        <f>IF(F634=0,B634,"")</f>
        <v>35</v>
      </c>
      <c r="W634" s="1">
        <f>'Part B'!$B$150+SUMPRODUCT('Part B'!$B$164:$N$164,C634:O634)</f>
        <v>32.7116583885782</v>
      </c>
      <c r="X634" s="1">
        <f>B634-W634</f>
        <v>2.2883416114218</v>
      </c>
      <c r="Y634" s="1">
        <f>'Part B'!$B$179+SUMPRODUCT('Part B'!$B$193:$N$193,C634:O634)</f>
        <v>3.29442827828138</v>
      </c>
      <c r="Z634" s="1">
        <f>P634-Y634</f>
        <v>0.260919783208036</v>
      </c>
      <c r="AB634" s="1">
        <f>C634</f>
        <v>0.386</v>
      </c>
      <c r="AC634" s="1">
        <f>D634</f>
        <v>87</v>
      </c>
      <c r="AD634" s="1">
        <f>E634</f>
        <v>3</v>
      </c>
      <c r="AE634" s="1">
        <f>F634</f>
        <v>0</v>
      </c>
      <c r="AF634" s="1">
        <f>G634</f>
        <v>1</v>
      </c>
      <c r="AG634" s="1">
        <f>I634</f>
        <v>0</v>
      </c>
      <c r="AH634" s="1">
        <f>J634</f>
        <v>0</v>
      </c>
      <c r="AI634" s="1">
        <f>Q634</f>
        <v>0</v>
      </c>
      <c r="AJ634" s="1">
        <f>K634</f>
        <v>0</v>
      </c>
      <c r="AK634" s="1">
        <f>L634</f>
        <v>1</v>
      </c>
      <c r="AL634" s="1">
        <f>M634</f>
        <v>0</v>
      </c>
      <c r="AM634" s="1">
        <f>N634</f>
        <v>0</v>
      </c>
      <c r="AN634" s="1">
        <f>O634</f>
        <v>0</v>
      </c>
    </row>
    <row r="635">
      <c r="A635" s="1">
        <v>877</v>
      </c>
      <c r="B635" s="1">
        <v>35</v>
      </c>
      <c r="C635" s="1">
        <v>1.7</v>
      </c>
      <c r="D635" s="1">
        <v>90</v>
      </c>
      <c r="E635" s="1">
        <v>3</v>
      </c>
      <c r="F635" s="1">
        <v>0</v>
      </c>
      <c r="G635" s="1">
        <v>0</v>
      </c>
      <c r="H635" s="1">
        <v>1</v>
      </c>
      <c r="I635" s="1">
        <v>0</v>
      </c>
      <c r="J635" s="1">
        <v>0</v>
      </c>
      <c r="K635" s="1">
        <v>0</v>
      </c>
      <c r="L635" s="1">
        <v>0</v>
      </c>
      <c r="M635" s="1">
        <v>1</v>
      </c>
      <c r="N635" s="1">
        <v>0</v>
      </c>
      <c r="O635" s="1">
        <v>0</v>
      </c>
      <c r="P635" s="1">
        <f>LN(B635)</f>
        <v>3.55534806148941</v>
      </c>
      <c r="Q635" s="1">
        <f>1-SUM(F635:J635)</f>
        <v>0</v>
      </c>
      <c r="R635" s="1" t="str">
        <f>IF(F635=1,"Napa valley",IF(G635=1,"Bay area",IF(H635=1,"Sonoma",IF(I635=1,"Sierra/foothills",IF(J635=1,"Mendocino/lake","Generic California")))))</f>
        <v>Sonoma</v>
      </c>
      <c r="S635" s="1" t="str">
        <f>IF(F635=1,"Napa valley",IF(H635=1,"Sonoma","Other"))</f>
        <v>Sonoma</v>
      </c>
      <c r="T635" s="1" t="str">
        <f>IF(M635=1,"Cabernet",IF(N635=1,"Merlot",IF(L635=1,"Pinot noir","Other")))</f>
        <v>Cabernet</v>
      </c>
      <c r="U635" s="1" t="str">
        <f>IF(F635=1,B635,"")</f>
        <v/>
      </c>
      <c r="V635" s="1">
        <f>IF(F635=0,B635,"")</f>
        <v>35</v>
      </c>
      <c r="W635" s="1">
        <f>'Part B'!$B$150+SUMPRODUCT('Part B'!$B$164:$N$164,C635:O635)</f>
        <v>42.0809059744836</v>
      </c>
      <c r="X635" s="1">
        <f>B635-W635</f>
        <v>-7.08090597448364</v>
      </c>
      <c r="Y635" s="1">
        <f>'Part B'!$B$179+SUMPRODUCT('Part B'!$B$193:$N$193,C635:O635)</f>
        <v>3.50010794795353</v>
      </c>
      <c r="Z635" s="1">
        <f>P635-Y635</f>
        <v>0.0552401135358793</v>
      </c>
      <c r="AB635" s="1">
        <f>C635</f>
        <v>1.7</v>
      </c>
      <c r="AC635" s="1">
        <f>D635</f>
        <v>90</v>
      </c>
      <c r="AD635" s="1">
        <f>E635</f>
        <v>3</v>
      </c>
      <c r="AE635" s="1">
        <f>F635</f>
        <v>0</v>
      </c>
      <c r="AF635" s="1">
        <f>G635</f>
        <v>0</v>
      </c>
      <c r="AG635" s="1">
        <f>I635</f>
        <v>0</v>
      </c>
      <c r="AH635" s="1">
        <f>J635</f>
        <v>0</v>
      </c>
      <c r="AI635" s="1">
        <f>Q635</f>
        <v>0</v>
      </c>
      <c r="AJ635" s="1">
        <f>K635</f>
        <v>0</v>
      </c>
      <c r="AK635" s="1">
        <f>L635</f>
        <v>0</v>
      </c>
      <c r="AL635" s="1">
        <f>M635</f>
        <v>1</v>
      </c>
      <c r="AM635" s="1">
        <f>N635</f>
        <v>0</v>
      </c>
      <c r="AN635" s="1">
        <f>O635</f>
        <v>0</v>
      </c>
    </row>
    <row r="636">
      <c r="A636" s="1">
        <v>878</v>
      </c>
      <c r="B636" s="1">
        <v>35</v>
      </c>
      <c r="C636" s="1">
        <v>1.7</v>
      </c>
      <c r="D636" s="1">
        <v>92</v>
      </c>
      <c r="E636" s="1">
        <v>3</v>
      </c>
      <c r="F636" s="1">
        <v>1</v>
      </c>
      <c r="G636" s="1">
        <v>0</v>
      </c>
      <c r="H636" s="1">
        <v>0</v>
      </c>
      <c r="I636" s="1">
        <v>0</v>
      </c>
      <c r="J636" s="1">
        <v>0</v>
      </c>
      <c r="K636" s="1">
        <v>0</v>
      </c>
      <c r="L636" s="1">
        <v>0</v>
      </c>
      <c r="M636" s="1">
        <v>1</v>
      </c>
      <c r="N636" s="1">
        <v>0</v>
      </c>
      <c r="O636" s="1">
        <v>0</v>
      </c>
      <c r="P636" s="1">
        <f>LN(B636)</f>
        <v>3.55534806148941</v>
      </c>
      <c r="Q636" s="1">
        <f>1-SUM(F636:J636)</f>
        <v>0</v>
      </c>
      <c r="R636" s="1" t="str">
        <f>IF(F636=1,"Napa valley",IF(G636=1,"Bay area",IF(H636=1,"Sonoma",IF(I636=1,"Sierra/foothills",IF(J636=1,"Mendocino/lake","Generic California")))))</f>
        <v>Napa valley</v>
      </c>
      <c r="S636" s="1" t="str">
        <f>IF(F636=1,"Napa valley",IF(H636=1,"Sonoma","Other"))</f>
        <v>Napa valley</v>
      </c>
      <c r="T636" s="1" t="str">
        <f>IF(M636=1,"Cabernet",IF(N636=1,"Merlot",IF(L636=1,"Pinot noir","Other")))</f>
        <v>Cabernet</v>
      </c>
      <c r="U636" s="1">
        <f>IF(F636=1,B636,"")</f>
        <v>35</v>
      </c>
      <c r="V636" s="1" t="str">
        <f>IF(F636=0,B636,"")</f>
        <v/>
      </c>
      <c r="W636" s="1">
        <f>'Part B'!$B$150+SUMPRODUCT('Part B'!$B$164:$N$164,C636:O636)</f>
        <v>56.2675479790022</v>
      </c>
      <c r="X636" s="1">
        <f>B636-W636</f>
        <v>-21.2675479790022</v>
      </c>
      <c r="Y636" s="1">
        <f>'Part B'!$B$179+SUMPRODUCT('Part B'!$B$193:$N$193,C636:O636)</f>
        <v>3.78781825044856</v>
      </c>
      <c r="Z636" s="1">
        <f>P636-Y636</f>
        <v>-0.232470188959145</v>
      </c>
      <c r="AB636" s="1">
        <f>C636</f>
        <v>1.7</v>
      </c>
      <c r="AC636" s="1">
        <f>D636</f>
        <v>92</v>
      </c>
      <c r="AD636" s="1">
        <f>E636</f>
        <v>3</v>
      </c>
      <c r="AE636" s="1">
        <f>F636</f>
        <v>1</v>
      </c>
      <c r="AF636" s="1">
        <f>G636</f>
        <v>0</v>
      </c>
      <c r="AG636" s="1">
        <f>I636</f>
        <v>0</v>
      </c>
      <c r="AH636" s="1">
        <f>J636</f>
        <v>0</v>
      </c>
      <c r="AI636" s="1">
        <f>Q636</f>
        <v>0</v>
      </c>
      <c r="AJ636" s="1">
        <f>K636</f>
        <v>0</v>
      </c>
      <c r="AK636" s="1">
        <f>L636</f>
        <v>0</v>
      </c>
      <c r="AL636" s="1">
        <f>M636</f>
        <v>1</v>
      </c>
      <c r="AM636" s="1">
        <f>N636</f>
        <v>0</v>
      </c>
      <c r="AN636" s="1">
        <f>O636</f>
        <v>0</v>
      </c>
    </row>
    <row r="637">
      <c r="A637" s="1">
        <v>879</v>
      </c>
      <c r="B637" s="1">
        <v>35</v>
      </c>
      <c r="C637" s="1">
        <v>0.27</v>
      </c>
      <c r="D637" s="1">
        <v>86</v>
      </c>
      <c r="E637" s="1">
        <v>3</v>
      </c>
      <c r="F637" s="1">
        <v>1</v>
      </c>
      <c r="G637" s="1">
        <v>0</v>
      </c>
      <c r="H637" s="1">
        <v>0</v>
      </c>
      <c r="I637" s="1">
        <v>0</v>
      </c>
      <c r="J637" s="1">
        <v>0</v>
      </c>
      <c r="K637" s="1">
        <v>0</v>
      </c>
      <c r="L637" s="1">
        <v>0</v>
      </c>
      <c r="M637" s="1">
        <v>0</v>
      </c>
      <c r="N637" s="1">
        <v>1</v>
      </c>
      <c r="O637" s="1">
        <v>0</v>
      </c>
      <c r="P637" s="1">
        <f>LN(B637)</f>
        <v>3.55534806148941</v>
      </c>
      <c r="Q637" s="1">
        <f>1-SUM(F637:J637)</f>
        <v>0</v>
      </c>
      <c r="R637" s="1" t="str">
        <f>IF(F637=1,"Napa valley",IF(G637=1,"Bay area",IF(H637=1,"Sonoma",IF(I637=1,"Sierra/foothills",IF(J637=1,"Mendocino/lake","Generic California")))))</f>
        <v>Napa valley</v>
      </c>
      <c r="S637" s="1" t="str">
        <f>IF(F637=1,"Napa valley",IF(H637=1,"Sonoma","Other"))</f>
        <v>Napa valley</v>
      </c>
      <c r="T637" s="1" t="str">
        <f>IF(M637=1,"Cabernet",IF(N637=1,"Merlot",IF(L637=1,"Pinot noir","Other")))</f>
        <v>Merlot</v>
      </c>
      <c r="U637" s="1">
        <f>IF(F637=1,B637,"")</f>
        <v>35</v>
      </c>
      <c r="V637" s="1" t="str">
        <f>IF(F637=0,B637,"")</f>
        <v/>
      </c>
      <c r="W637" s="1">
        <f>'Part B'!$B$150+SUMPRODUCT('Part B'!$B$164:$N$164,C637:O637)</f>
        <v>32.5656480275827</v>
      </c>
      <c r="X637" s="1">
        <f>B637-W637</f>
        <v>2.43435197241735</v>
      </c>
      <c r="Y637" s="1">
        <f>'Part B'!$B$179+SUMPRODUCT('Part B'!$B$193:$N$193,C637:O637)</f>
        <v>3.33768817316243</v>
      </c>
      <c r="Z637" s="1">
        <f>P637-Y637</f>
        <v>0.217659888326988</v>
      </c>
      <c r="AB637" s="1">
        <f>C637</f>
        <v>0.27</v>
      </c>
      <c r="AC637" s="1">
        <f>D637</f>
        <v>86</v>
      </c>
      <c r="AD637" s="1">
        <f>E637</f>
        <v>3</v>
      </c>
      <c r="AE637" s="1">
        <f>F637</f>
        <v>1</v>
      </c>
      <c r="AF637" s="1">
        <f>G637</f>
        <v>0</v>
      </c>
      <c r="AG637" s="1">
        <f>I637</f>
        <v>0</v>
      </c>
      <c r="AH637" s="1">
        <f>J637</f>
        <v>0</v>
      </c>
      <c r="AI637" s="1">
        <f>Q637</f>
        <v>0</v>
      </c>
      <c r="AJ637" s="1">
        <f>K637</f>
        <v>0</v>
      </c>
      <c r="AK637" s="1">
        <f>L637</f>
        <v>0</v>
      </c>
      <c r="AL637" s="1">
        <f>M637</f>
        <v>0</v>
      </c>
      <c r="AM637" s="1">
        <f>N637</f>
        <v>1</v>
      </c>
      <c r="AN637" s="1">
        <f>O637</f>
        <v>0</v>
      </c>
    </row>
    <row r="638">
      <c r="A638" s="1">
        <v>880</v>
      </c>
      <c r="B638" s="1">
        <v>35</v>
      </c>
      <c r="C638" s="1">
        <v>0.508</v>
      </c>
      <c r="D638" s="1">
        <v>87</v>
      </c>
      <c r="E638" s="1">
        <v>3</v>
      </c>
      <c r="F638" s="1">
        <v>1</v>
      </c>
      <c r="G638" s="1">
        <v>0</v>
      </c>
      <c r="H638" s="1">
        <v>0</v>
      </c>
      <c r="I638" s="1">
        <v>0</v>
      </c>
      <c r="J638" s="1">
        <v>0</v>
      </c>
      <c r="K638" s="1">
        <v>0</v>
      </c>
      <c r="L638" s="1">
        <v>0</v>
      </c>
      <c r="M638" s="1">
        <v>0</v>
      </c>
      <c r="N638" s="1">
        <v>1</v>
      </c>
      <c r="O638" s="1">
        <v>0</v>
      </c>
      <c r="P638" s="1">
        <f>LN(B638)</f>
        <v>3.55534806148941</v>
      </c>
      <c r="Q638" s="1">
        <f>1-SUM(F638:J638)</f>
        <v>0</v>
      </c>
      <c r="R638" s="1" t="str">
        <f>IF(F638=1,"Napa valley",IF(G638=1,"Bay area",IF(H638=1,"Sonoma",IF(I638=1,"Sierra/foothills",IF(J638=1,"Mendocino/lake","Generic California")))))</f>
        <v>Napa valley</v>
      </c>
      <c r="S638" s="1" t="str">
        <f>IF(F638=1,"Napa valley",IF(H638=1,"Sonoma","Other"))</f>
        <v>Napa valley</v>
      </c>
      <c r="T638" s="1" t="str">
        <f>IF(M638=1,"Cabernet",IF(N638=1,"Merlot",IF(L638=1,"Pinot noir","Other")))</f>
        <v>Merlot</v>
      </c>
      <c r="U638" s="1">
        <f>IF(F638=1,B638,"")</f>
        <v>35</v>
      </c>
      <c r="V638" s="1" t="str">
        <f>IF(F638=0,B638,"")</f>
        <v/>
      </c>
      <c r="W638" s="1">
        <f>'Part B'!$B$150+SUMPRODUCT('Part B'!$B$164:$N$164,C638:O638)</f>
        <v>35.6881556427713</v>
      </c>
      <c r="X638" s="1">
        <f>B638-W638</f>
        <v>-0.688155642771335</v>
      </c>
      <c r="Y638" s="1">
        <f>'Part B'!$B$179+SUMPRODUCT('Part B'!$B$193:$N$193,C638:O638)</f>
        <v>3.40663112397932</v>
      </c>
      <c r="Z638" s="1">
        <f>P638-Y638</f>
        <v>0.148716937510092</v>
      </c>
      <c r="AB638" s="1">
        <f>C638</f>
        <v>0.508</v>
      </c>
      <c r="AC638" s="1">
        <f>D638</f>
        <v>87</v>
      </c>
      <c r="AD638" s="1">
        <f>E638</f>
        <v>3</v>
      </c>
      <c r="AE638" s="1">
        <f>F638</f>
        <v>1</v>
      </c>
      <c r="AF638" s="1">
        <f>G638</f>
        <v>0</v>
      </c>
      <c r="AG638" s="1">
        <f>I638</f>
        <v>0</v>
      </c>
      <c r="AH638" s="1">
        <f>J638</f>
        <v>0</v>
      </c>
      <c r="AI638" s="1">
        <f>Q638</f>
        <v>0</v>
      </c>
      <c r="AJ638" s="1">
        <f>K638</f>
        <v>0</v>
      </c>
      <c r="AK638" s="1">
        <f>L638</f>
        <v>0</v>
      </c>
      <c r="AL638" s="1">
        <f>M638</f>
        <v>0</v>
      </c>
      <c r="AM638" s="1">
        <f>N638</f>
        <v>1</v>
      </c>
      <c r="AN638" s="1">
        <f>O638</f>
        <v>0</v>
      </c>
    </row>
    <row r="639">
      <c r="A639" s="1">
        <v>881</v>
      </c>
      <c r="B639" s="1">
        <v>35</v>
      </c>
      <c r="C639" s="1">
        <v>12.8</v>
      </c>
      <c r="D639" s="1">
        <v>85</v>
      </c>
      <c r="E639" s="1">
        <v>3</v>
      </c>
      <c r="F639" s="1">
        <v>1</v>
      </c>
      <c r="G639" s="1">
        <v>0</v>
      </c>
      <c r="H639" s="1">
        <v>0</v>
      </c>
      <c r="I639" s="1">
        <v>0</v>
      </c>
      <c r="J639" s="1">
        <v>0</v>
      </c>
      <c r="K639" s="1">
        <v>0</v>
      </c>
      <c r="L639" s="1">
        <v>0</v>
      </c>
      <c r="M639" s="1">
        <v>0</v>
      </c>
      <c r="N639" s="1">
        <v>1</v>
      </c>
      <c r="O639" s="1">
        <v>0</v>
      </c>
      <c r="P639" s="1">
        <f>LN(B639)</f>
        <v>3.55534806148941</v>
      </c>
      <c r="Q639" s="1">
        <f>1-SUM(F639:J639)</f>
        <v>0</v>
      </c>
      <c r="R639" s="1" t="str">
        <f>IF(F639=1,"Napa valley",IF(G639=1,"Bay area",IF(H639=1,"Sonoma",IF(I639=1,"Sierra/foothills",IF(J639=1,"Mendocino/lake","Generic California")))))</f>
        <v>Napa valley</v>
      </c>
      <c r="S639" s="1" t="str">
        <f>IF(F639=1,"Napa valley",IF(H639=1,"Sonoma","Other"))</f>
        <v>Napa valley</v>
      </c>
      <c r="T639" s="1" t="str">
        <f>IF(M639=1,"Cabernet",IF(N639=1,"Merlot",IF(L639=1,"Pinot noir","Other")))</f>
        <v>Merlot</v>
      </c>
      <c r="U639" s="1">
        <f>IF(F639=1,B639,"")</f>
        <v>35</v>
      </c>
      <c r="V639" s="1" t="str">
        <f>IF(F639=0,B639,"")</f>
        <v/>
      </c>
      <c r="W639" s="1">
        <f>'Part B'!$B$150+SUMPRODUCT('Part B'!$B$164:$N$164,C639:O639)</f>
        <v>28.2312814017574</v>
      </c>
      <c r="X639" s="1">
        <f>B639-W639</f>
        <v>6.76871859824257</v>
      </c>
      <c r="Y639" s="1">
        <f>'Part B'!$B$179+SUMPRODUCT('Part B'!$B$193:$N$193,C639:O639)</f>
        <v>3.2141100930371</v>
      </c>
      <c r="Z639" s="1">
        <f>P639-Y639</f>
        <v>0.341237968452311</v>
      </c>
      <c r="AB639" s="1">
        <f>C639</f>
        <v>12.8</v>
      </c>
      <c r="AC639" s="1">
        <f>D639</f>
        <v>85</v>
      </c>
      <c r="AD639" s="1">
        <f>E639</f>
        <v>3</v>
      </c>
      <c r="AE639" s="1">
        <f>F639</f>
        <v>1</v>
      </c>
      <c r="AF639" s="1">
        <f>G639</f>
        <v>0</v>
      </c>
      <c r="AG639" s="1">
        <f>I639</f>
        <v>0</v>
      </c>
      <c r="AH639" s="1">
        <f>J639</f>
        <v>0</v>
      </c>
      <c r="AI639" s="1">
        <f>Q639</f>
        <v>0</v>
      </c>
      <c r="AJ639" s="1">
        <f>K639</f>
        <v>0</v>
      </c>
      <c r="AK639" s="1">
        <f>L639</f>
        <v>0</v>
      </c>
      <c r="AL639" s="1">
        <f>M639</f>
        <v>0</v>
      </c>
      <c r="AM639" s="1">
        <f>N639</f>
        <v>1</v>
      </c>
      <c r="AN639" s="1">
        <f>O639</f>
        <v>0</v>
      </c>
    </row>
    <row r="640">
      <c r="A640" s="1">
        <v>882</v>
      </c>
      <c r="B640" s="1">
        <v>35</v>
      </c>
      <c r="C640" s="1">
        <v>0.8</v>
      </c>
      <c r="D640" s="1">
        <v>87</v>
      </c>
      <c r="E640" s="1">
        <v>3</v>
      </c>
      <c r="F640" s="1">
        <v>1</v>
      </c>
      <c r="G640" s="1">
        <v>0</v>
      </c>
      <c r="H640" s="1">
        <v>0</v>
      </c>
      <c r="I640" s="1">
        <v>0</v>
      </c>
      <c r="J640" s="1">
        <v>0</v>
      </c>
      <c r="K640" s="1">
        <v>0</v>
      </c>
      <c r="L640" s="1">
        <v>0</v>
      </c>
      <c r="M640" s="1">
        <v>0</v>
      </c>
      <c r="N640" s="1">
        <v>1</v>
      </c>
      <c r="O640" s="1">
        <v>0</v>
      </c>
      <c r="P640" s="1">
        <f>LN(B640)</f>
        <v>3.55534806148941</v>
      </c>
      <c r="Q640" s="1">
        <f>1-SUM(F640:J640)</f>
        <v>0</v>
      </c>
      <c r="R640" s="1" t="str">
        <f>IF(F640=1,"Napa valley",IF(G640=1,"Bay area",IF(H640=1,"Sonoma",IF(I640=1,"Sierra/foothills",IF(J640=1,"Mendocino/lake","Generic California")))))</f>
        <v>Napa valley</v>
      </c>
      <c r="S640" s="1" t="str">
        <f>IF(F640=1,"Napa valley",IF(H640=1,"Sonoma","Other"))</f>
        <v>Napa valley</v>
      </c>
      <c r="T640" s="1" t="str">
        <f>IF(M640=1,"Cabernet",IF(N640=1,"Merlot",IF(L640=1,"Pinot noir","Other")))</f>
        <v>Merlot</v>
      </c>
      <c r="U640" s="1">
        <f>IF(F640=1,B640,"")</f>
        <v>35</v>
      </c>
      <c r="V640" s="1" t="str">
        <f>IF(F640=0,B640,"")</f>
        <v/>
      </c>
      <c r="W640" s="1">
        <f>'Part B'!$B$150+SUMPRODUCT('Part B'!$B$164:$N$164,C640:O640)</f>
        <v>35.6604408220394</v>
      </c>
      <c r="X640" s="1">
        <f>B640-W640</f>
        <v>-0.660440822039391</v>
      </c>
      <c r="Y640" s="1">
        <f>'Part B'!$B$179+SUMPRODUCT('Part B'!$B$193:$N$193,C640:O640)</f>
        <v>3.40538163637296</v>
      </c>
      <c r="Z640" s="1">
        <f>P640-Y640</f>
        <v>0.149966425116455</v>
      </c>
      <c r="AB640" s="1">
        <f>C640</f>
        <v>0.8</v>
      </c>
      <c r="AC640" s="1">
        <f>D640</f>
        <v>87</v>
      </c>
      <c r="AD640" s="1">
        <f>E640</f>
        <v>3</v>
      </c>
      <c r="AE640" s="1">
        <f>F640</f>
        <v>1</v>
      </c>
      <c r="AF640" s="1">
        <f>G640</f>
        <v>0</v>
      </c>
      <c r="AG640" s="1">
        <f>I640</f>
        <v>0</v>
      </c>
      <c r="AH640" s="1">
        <f>J640</f>
        <v>0</v>
      </c>
      <c r="AI640" s="1">
        <f>Q640</f>
        <v>0</v>
      </c>
      <c r="AJ640" s="1">
        <f>K640</f>
        <v>0</v>
      </c>
      <c r="AK640" s="1">
        <f>L640</f>
        <v>0</v>
      </c>
      <c r="AL640" s="1">
        <f>M640</f>
        <v>0</v>
      </c>
      <c r="AM640" s="1">
        <f>N640</f>
        <v>1</v>
      </c>
      <c r="AN640" s="1">
        <f>O640</f>
        <v>0</v>
      </c>
    </row>
    <row r="641">
      <c r="A641" s="1">
        <v>883</v>
      </c>
      <c r="B641" s="1">
        <v>35</v>
      </c>
      <c r="C641" s="1">
        <v>0.65</v>
      </c>
      <c r="D641" s="1">
        <v>88</v>
      </c>
      <c r="E641" s="1">
        <v>3</v>
      </c>
      <c r="F641" s="1">
        <v>1</v>
      </c>
      <c r="G641" s="1">
        <v>0</v>
      </c>
      <c r="H641" s="1">
        <v>0</v>
      </c>
      <c r="I641" s="1">
        <v>0</v>
      </c>
      <c r="J641" s="1">
        <v>0</v>
      </c>
      <c r="K641" s="1">
        <v>0</v>
      </c>
      <c r="L641" s="1">
        <v>0</v>
      </c>
      <c r="M641" s="1">
        <v>1</v>
      </c>
      <c r="N641" s="1">
        <v>0</v>
      </c>
      <c r="O641" s="1">
        <v>0</v>
      </c>
      <c r="P641" s="1">
        <f>LN(B641)</f>
        <v>3.55534806148941</v>
      </c>
      <c r="Q641" s="1">
        <f>1-SUM(F641:J641)</f>
        <v>0</v>
      </c>
      <c r="R641" s="1" t="str">
        <f>IF(F641=1,"Napa valley",IF(G641=1,"Bay area",IF(H641=1,"Sonoma",IF(I641=1,"Sierra/foothills",IF(J641=1,"Mendocino/lake","Generic California")))))</f>
        <v>Napa valley</v>
      </c>
      <c r="S641" s="1" t="str">
        <f>IF(F641=1,"Napa valley",IF(H641=1,"Sonoma","Other"))</f>
        <v>Napa valley</v>
      </c>
      <c r="T641" s="1" t="str">
        <f>IF(M641=1,"Cabernet",IF(N641=1,"Merlot",IF(L641=1,"Pinot noir","Other")))</f>
        <v>Cabernet</v>
      </c>
      <c r="U641" s="1">
        <f>IF(F641=1,B641,"")</f>
        <v>35</v>
      </c>
      <c r="V641" s="1" t="str">
        <f>IF(F641=0,B641,"")</f>
        <v/>
      </c>
      <c r="W641" s="1">
        <f>'Part B'!$B$150+SUMPRODUCT('Part B'!$B$164:$N$164,C641:O641)</f>
        <v>43.7868190676711</v>
      </c>
      <c r="X641" s="1">
        <f>B641-W641</f>
        <v>-8.7868190676711</v>
      </c>
      <c r="Y641" s="1">
        <f>'Part B'!$B$179+SUMPRODUCT('Part B'!$B$193:$N$193,C641:O641)</f>
        <v>3.51246579576119</v>
      </c>
      <c r="Z641" s="1">
        <f>P641-Y641</f>
        <v>0.0428822657282244</v>
      </c>
      <c r="AB641" s="1">
        <f>C641</f>
        <v>0.65</v>
      </c>
      <c r="AC641" s="1">
        <f>D641</f>
        <v>88</v>
      </c>
      <c r="AD641" s="1">
        <f>E641</f>
        <v>3</v>
      </c>
      <c r="AE641" s="1">
        <f>F641</f>
        <v>1</v>
      </c>
      <c r="AF641" s="1">
        <f>G641</f>
        <v>0</v>
      </c>
      <c r="AG641" s="1">
        <f>I641</f>
        <v>0</v>
      </c>
      <c r="AH641" s="1">
        <f>J641</f>
        <v>0</v>
      </c>
      <c r="AI641" s="1">
        <f>Q641</f>
        <v>0</v>
      </c>
      <c r="AJ641" s="1">
        <f>K641</f>
        <v>0</v>
      </c>
      <c r="AK641" s="1">
        <f>L641</f>
        <v>0</v>
      </c>
      <c r="AL641" s="1">
        <f>M641</f>
        <v>1</v>
      </c>
      <c r="AM641" s="1">
        <f>N641</f>
        <v>0</v>
      </c>
      <c r="AN641" s="1">
        <f>O641</f>
        <v>0</v>
      </c>
    </row>
    <row r="642">
      <c r="A642" s="1">
        <v>884</v>
      </c>
      <c r="B642" s="1">
        <v>36</v>
      </c>
      <c r="C642" s="1">
        <v>6.463</v>
      </c>
      <c r="D642" s="1">
        <v>86</v>
      </c>
      <c r="E642" s="1">
        <v>4</v>
      </c>
      <c r="F642" s="1">
        <v>0</v>
      </c>
      <c r="G642" s="1">
        <v>1</v>
      </c>
      <c r="H642" s="1">
        <v>0</v>
      </c>
      <c r="I642" s="1">
        <v>0</v>
      </c>
      <c r="J642" s="1">
        <v>0</v>
      </c>
      <c r="K642" s="1">
        <v>1</v>
      </c>
      <c r="L642" s="1">
        <v>0</v>
      </c>
      <c r="M642" s="1">
        <v>0</v>
      </c>
      <c r="N642" s="1">
        <v>0</v>
      </c>
      <c r="O642" s="1">
        <v>0</v>
      </c>
      <c r="P642" s="1">
        <f>LN(B642)</f>
        <v>3.58351893845611</v>
      </c>
      <c r="Q642" s="1">
        <f>1-SUM(F642:J642)</f>
        <v>0</v>
      </c>
      <c r="R642" s="1" t="str">
        <f>IF(F642=1,"Napa valley",IF(G642=1,"Bay area",IF(H642=1,"Sonoma",IF(I642=1,"Sierra/foothills",IF(J642=1,"Mendocino/lake","Generic California")))))</f>
        <v>Bay area</v>
      </c>
      <c r="S642" s="1" t="str">
        <f>IF(F642=1,"Napa valley",IF(H642=1,"Sonoma","Other"))</f>
        <v>Other</v>
      </c>
      <c r="T642" s="1" t="str">
        <f>IF(M642=1,"Cabernet",IF(N642=1,"Merlot",IF(L642=1,"Pinot noir","Other")))</f>
        <v>Other</v>
      </c>
      <c r="U642" s="1" t="str">
        <f>IF(F642=1,B642,"")</f>
        <v/>
      </c>
      <c r="V642" s="1">
        <f>IF(F642=0,B642,"")</f>
        <v>36</v>
      </c>
      <c r="W642" s="1">
        <f>'Part B'!$B$150+SUMPRODUCT('Part B'!$B$164:$N$164,C642:O642)</f>
        <v>46.4429089572162</v>
      </c>
      <c r="X642" s="1">
        <f>B642-W642</f>
        <v>-10.4429089572162</v>
      </c>
      <c r="Y642" s="1">
        <f>'Part B'!$B$179+SUMPRODUCT('Part B'!$B$193:$N$193,C642:O642)</f>
        <v>3.51361348684175</v>
      </c>
      <c r="Z642" s="1">
        <f>P642-Y642</f>
        <v>0.0699054516143596</v>
      </c>
      <c r="AB642" s="1">
        <f>C642</f>
        <v>6.463</v>
      </c>
      <c r="AC642" s="1">
        <f>D642</f>
        <v>86</v>
      </c>
      <c r="AD642" s="1">
        <f>E642</f>
        <v>4</v>
      </c>
      <c r="AE642" s="1">
        <f>F642</f>
        <v>0</v>
      </c>
      <c r="AF642" s="1">
        <f>G642</f>
        <v>1</v>
      </c>
      <c r="AG642" s="1">
        <f>I642</f>
        <v>0</v>
      </c>
      <c r="AH642" s="1">
        <f>J642</f>
        <v>0</v>
      </c>
      <c r="AI642" s="1">
        <f>Q642</f>
        <v>0</v>
      </c>
      <c r="AJ642" s="1">
        <f>K642</f>
        <v>1</v>
      </c>
      <c r="AK642" s="1">
        <f>L642</f>
        <v>0</v>
      </c>
      <c r="AL642" s="1">
        <f>M642</f>
        <v>0</v>
      </c>
      <c r="AM642" s="1">
        <f>N642</f>
        <v>0</v>
      </c>
      <c r="AN642" s="1">
        <f>O642</f>
        <v>0</v>
      </c>
    </row>
    <row r="643">
      <c r="A643" s="1">
        <v>886</v>
      </c>
      <c r="B643" s="1">
        <v>35</v>
      </c>
      <c r="C643" s="1">
        <v>0.38</v>
      </c>
      <c r="D643" s="1">
        <v>85</v>
      </c>
      <c r="E643" s="1">
        <v>2</v>
      </c>
      <c r="F643" s="1">
        <v>1</v>
      </c>
      <c r="G643" s="1">
        <v>0</v>
      </c>
      <c r="H643" s="1">
        <v>0</v>
      </c>
      <c r="I643" s="1">
        <v>0</v>
      </c>
      <c r="J643" s="1">
        <v>0</v>
      </c>
      <c r="K643" s="1">
        <v>0</v>
      </c>
      <c r="L643" s="1">
        <v>0</v>
      </c>
      <c r="M643" s="1">
        <v>0</v>
      </c>
      <c r="N643" s="1">
        <v>1</v>
      </c>
      <c r="O643" s="1">
        <v>0</v>
      </c>
      <c r="P643" s="1">
        <f>LN(B643)</f>
        <v>3.55534806148941</v>
      </c>
      <c r="Q643" s="1">
        <f>1-SUM(F643:J643)</f>
        <v>0</v>
      </c>
      <c r="R643" s="1" t="str">
        <f>IF(F643=1,"Napa valley",IF(G643=1,"Bay area",IF(H643=1,"Sonoma",IF(I643=1,"Sierra/foothills",IF(J643=1,"Mendocino/lake","Generic California")))))</f>
        <v>Napa valley</v>
      </c>
      <c r="S643" s="1" t="str">
        <f>IF(F643=1,"Napa valley",IF(H643=1,"Sonoma","Other"))</f>
        <v>Napa valley</v>
      </c>
      <c r="T643" s="1" t="str">
        <f>IF(M643=1,"Cabernet",IF(N643=1,"Merlot",IF(L643=1,"Pinot noir","Other")))</f>
        <v>Merlot</v>
      </c>
      <c r="U643" s="1">
        <f>IF(F643=1,B643,"")</f>
        <v>35</v>
      </c>
      <c r="V643" s="1" t="str">
        <f>IF(F643=0,B643,"")</f>
        <v/>
      </c>
      <c r="W643" s="1">
        <f>'Part B'!$B$150+SUMPRODUCT('Part B'!$B$164:$N$164,C643:O643)</f>
        <v>22.7905056621846</v>
      </c>
      <c r="X643" s="1">
        <f>B643-W643</f>
        <v>12.2094943378154</v>
      </c>
      <c r="Y643" s="1">
        <f>'Part B'!$B$179+SUMPRODUCT('Part B'!$B$193:$N$193,C643:O643)</f>
        <v>3.08417082453743</v>
      </c>
      <c r="Z643" s="1">
        <f>P643-Y643</f>
        <v>0.471177236951983</v>
      </c>
      <c r="AB643" s="1">
        <f>C643</f>
        <v>0.38</v>
      </c>
      <c r="AC643" s="1">
        <f>D643</f>
        <v>85</v>
      </c>
      <c r="AD643" s="1">
        <f>E643</f>
        <v>2</v>
      </c>
      <c r="AE643" s="1">
        <f>F643</f>
        <v>1</v>
      </c>
      <c r="AF643" s="1">
        <f>G643</f>
        <v>0</v>
      </c>
      <c r="AG643" s="1">
        <f>I643</f>
        <v>0</v>
      </c>
      <c r="AH643" s="1">
        <f>J643</f>
        <v>0</v>
      </c>
      <c r="AI643" s="1">
        <f>Q643</f>
        <v>0</v>
      </c>
      <c r="AJ643" s="1">
        <f>K643</f>
        <v>0</v>
      </c>
      <c r="AK643" s="1">
        <f>L643</f>
        <v>0</v>
      </c>
      <c r="AL643" s="1">
        <f>M643</f>
        <v>0</v>
      </c>
      <c r="AM643" s="1">
        <f>N643</f>
        <v>1</v>
      </c>
      <c r="AN643" s="1">
        <f>O643</f>
        <v>0</v>
      </c>
    </row>
    <row r="644">
      <c r="A644" s="1">
        <v>887</v>
      </c>
      <c r="B644" s="1">
        <v>35</v>
      </c>
      <c r="C644" s="1">
        <v>0.275</v>
      </c>
      <c r="D644" s="1">
        <v>91</v>
      </c>
      <c r="E644" s="1">
        <v>2</v>
      </c>
      <c r="F644" s="1">
        <v>1</v>
      </c>
      <c r="G644" s="1">
        <v>0</v>
      </c>
      <c r="H644" s="1">
        <v>0</v>
      </c>
      <c r="I644" s="1">
        <v>0</v>
      </c>
      <c r="J644" s="1">
        <v>0</v>
      </c>
      <c r="K644" s="1">
        <v>0</v>
      </c>
      <c r="L644" s="1">
        <v>0</v>
      </c>
      <c r="M644" s="1">
        <v>0</v>
      </c>
      <c r="N644" s="1">
        <v>1</v>
      </c>
      <c r="O644" s="1">
        <v>0</v>
      </c>
      <c r="P644" s="1">
        <f>LN(B644)</f>
        <v>3.55534806148941</v>
      </c>
      <c r="Q644" s="1">
        <f>1-SUM(F644:J644)</f>
        <v>0</v>
      </c>
      <c r="R644" s="1" t="str">
        <f>IF(F644=1,"Napa valley",IF(G644=1,"Bay area",IF(H644=1,"Sonoma",IF(I644=1,"Sierra/foothills",IF(J644=1,"Mendocino/lake","Generic California")))))</f>
        <v>Napa valley</v>
      </c>
      <c r="S644" s="1" t="str">
        <f>IF(F644=1,"Napa valley",IF(H644=1,"Sonoma","Other"))</f>
        <v>Napa valley</v>
      </c>
      <c r="T644" s="1" t="str">
        <f>IF(M644=1,"Cabernet",IF(N644=1,"Merlot",IF(L644=1,"Pinot noir","Other")))</f>
        <v>Merlot</v>
      </c>
      <c r="U644" s="1">
        <f>IF(F644=1,B644,"")</f>
        <v>35</v>
      </c>
      <c r="V644" s="1" t="str">
        <f>IF(F644=0,B644,"")</f>
        <v/>
      </c>
      <c r="W644" s="1">
        <f>'Part B'!$B$150+SUMPRODUCT('Part B'!$B$164:$N$164,C644:O644)</f>
        <v>41.6710541621597</v>
      </c>
      <c r="X644" s="1">
        <f>B644-W644</f>
        <v>-6.67105416215969</v>
      </c>
      <c r="Y644" s="1">
        <f>'Part B'!$B$179+SUMPRODUCT('Part B'!$B$193:$N$193,C644:O644)</f>
        <v>3.50438833937222</v>
      </c>
      <c r="Z644" s="1">
        <f>P644-Y644</f>
        <v>0.0509597221171894</v>
      </c>
      <c r="AB644" s="1">
        <f>C644</f>
        <v>0.275</v>
      </c>
      <c r="AC644" s="1">
        <f>D644</f>
        <v>91</v>
      </c>
      <c r="AD644" s="1">
        <f>E644</f>
        <v>2</v>
      </c>
      <c r="AE644" s="1">
        <f>F644</f>
        <v>1</v>
      </c>
      <c r="AF644" s="1">
        <f>G644</f>
        <v>0</v>
      </c>
      <c r="AG644" s="1">
        <f>I644</f>
        <v>0</v>
      </c>
      <c r="AH644" s="1">
        <f>J644</f>
        <v>0</v>
      </c>
      <c r="AI644" s="1">
        <f>Q644</f>
        <v>0</v>
      </c>
      <c r="AJ644" s="1">
        <f>K644</f>
        <v>0</v>
      </c>
      <c r="AK644" s="1">
        <f>L644</f>
        <v>0</v>
      </c>
      <c r="AL644" s="1">
        <f>M644</f>
        <v>0</v>
      </c>
      <c r="AM644" s="1">
        <f>N644</f>
        <v>1</v>
      </c>
      <c r="AN644" s="1">
        <f>O644</f>
        <v>0</v>
      </c>
    </row>
    <row r="645">
      <c r="A645" s="1">
        <v>888</v>
      </c>
      <c r="B645" s="1">
        <v>35</v>
      </c>
      <c r="C645" s="1">
        <v>0.3</v>
      </c>
      <c r="D645" s="1">
        <v>86</v>
      </c>
      <c r="E645" s="1">
        <v>2</v>
      </c>
      <c r="F645" s="1">
        <v>0</v>
      </c>
      <c r="G645" s="1">
        <v>0</v>
      </c>
      <c r="H645" s="1">
        <v>0</v>
      </c>
      <c r="I645" s="1">
        <v>0</v>
      </c>
      <c r="J645" s="1">
        <v>1</v>
      </c>
      <c r="K645" s="1">
        <v>0</v>
      </c>
      <c r="L645" s="1">
        <v>1</v>
      </c>
      <c r="M645" s="1">
        <v>0</v>
      </c>
      <c r="N645" s="1">
        <v>0</v>
      </c>
      <c r="O645" s="1">
        <v>0</v>
      </c>
      <c r="P645" s="1">
        <f>LN(B645)</f>
        <v>3.55534806148941</v>
      </c>
      <c r="Q645" s="1">
        <f>1-SUM(F645:J645)</f>
        <v>0</v>
      </c>
      <c r="R645" s="1" t="str">
        <f>IF(F645=1,"Napa valley",IF(G645=1,"Bay area",IF(H645=1,"Sonoma",IF(I645=1,"Sierra/foothills",IF(J645=1,"Mendocino/lake","Generic California")))))</f>
        <v>Mendocino/lake</v>
      </c>
      <c r="S645" s="1" t="str">
        <f>IF(F645=1,"Napa valley",IF(H645=1,"Sonoma","Other"))</f>
        <v>Other</v>
      </c>
      <c r="T645" s="1" t="str">
        <f>IF(M645=1,"Cabernet",IF(N645=1,"Merlot",IF(L645=1,"Pinot noir","Other")))</f>
        <v>Pinot noir</v>
      </c>
      <c r="U645" s="1" t="str">
        <f>IF(F645=1,B645,"")</f>
        <v/>
      </c>
      <c r="V645" s="1">
        <f>IF(F645=0,B645,"")</f>
        <v>35</v>
      </c>
      <c r="W645" s="1">
        <f>'Part B'!$B$150+SUMPRODUCT('Part B'!$B$164:$N$164,C645:O645)</f>
        <v>21.5577809541029</v>
      </c>
      <c r="X645" s="1">
        <f>B645-W645</f>
        <v>13.4422190458971</v>
      </c>
      <c r="Y645" s="1">
        <f>'Part B'!$B$179+SUMPRODUCT('Part B'!$B$193:$N$193,C645:O645)</f>
        <v>3.0239895629539</v>
      </c>
      <c r="Z645" s="1">
        <f>P645-Y645</f>
        <v>0.531358498535508</v>
      </c>
      <c r="AB645" s="1">
        <f>C645</f>
        <v>0.3</v>
      </c>
      <c r="AC645" s="1">
        <f>D645</f>
        <v>86</v>
      </c>
      <c r="AD645" s="1">
        <f>E645</f>
        <v>2</v>
      </c>
      <c r="AE645" s="1">
        <f>F645</f>
        <v>0</v>
      </c>
      <c r="AF645" s="1">
        <f>G645</f>
        <v>0</v>
      </c>
      <c r="AG645" s="1">
        <f>I645</f>
        <v>0</v>
      </c>
      <c r="AH645" s="1">
        <f>J645</f>
        <v>1</v>
      </c>
      <c r="AI645" s="1">
        <f>Q645</f>
        <v>0</v>
      </c>
      <c r="AJ645" s="1">
        <f>K645</f>
        <v>0</v>
      </c>
      <c r="AK645" s="1">
        <f>L645</f>
        <v>1</v>
      </c>
      <c r="AL645" s="1">
        <f>M645</f>
        <v>0</v>
      </c>
      <c r="AM645" s="1">
        <f>N645</f>
        <v>0</v>
      </c>
      <c r="AN645" s="1">
        <f>O645</f>
        <v>0</v>
      </c>
    </row>
    <row r="646">
      <c r="A646" s="1">
        <v>889</v>
      </c>
      <c r="B646" s="1">
        <v>35</v>
      </c>
      <c r="C646" s="1">
        <v>0.9</v>
      </c>
      <c r="D646" s="1">
        <v>93</v>
      </c>
      <c r="E646" s="1">
        <v>2</v>
      </c>
      <c r="F646" s="1">
        <v>1</v>
      </c>
      <c r="G646" s="1">
        <v>0</v>
      </c>
      <c r="H646" s="1">
        <v>0</v>
      </c>
      <c r="I646" s="1">
        <v>0</v>
      </c>
      <c r="J646" s="1">
        <v>0</v>
      </c>
      <c r="K646" s="1">
        <v>1</v>
      </c>
      <c r="L646" s="1">
        <v>0</v>
      </c>
      <c r="M646" s="1">
        <v>0</v>
      </c>
      <c r="N646" s="1">
        <v>0</v>
      </c>
      <c r="O646" s="1">
        <v>0</v>
      </c>
      <c r="P646" s="1">
        <f>LN(B646)</f>
        <v>3.55534806148941</v>
      </c>
      <c r="Q646" s="1">
        <f>1-SUM(F646:J646)</f>
        <v>0</v>
      </c>
      <c r="R646" s="1" t="str">
        <f>IF(F646=1,"Napa valley",IF(G646=1,"Bay area",IF(H646=1,"Sonoma",IF(I646=1,"Sierra/foothills",IF(J646=1,"Mendocino/lake","Generic California")))))</f>
        <v>Napa valley</v>
      </c>
      <c r="S646" s="1" t="str">
        <f>IF(F646=1,"Napa valley",IF(H646=1,"Sonoma","Other"))</f>
        <v>Napa valley</v>
      </c>
      <c r="T646" s="1" t="str">
        <f>IF(M646=1,"Cabernet",IF(N646=1,"Merlot",IF(L646=1,"Pinot noir","Other")))</f>
        <v>Other</v>
      </c>
      <c r="U646" s="1">
        <f>IF(F646=1,B646,"")</f>
        <v>35</v>
      </c>
      <c r="V646" s="1" t="str">
        <f>IF(F646=0,B646,"")</f>
        <v/>
      </c>
      <c r="W646" s="1">
        <f>'Part B'!$B$150+SUMPRODUCT('Part B'!$B$164:$N$164,C646:O646)</f>
        <v>60.5295110938388</v>
      </c>
      <c r="X646" s="1">
        <f>B646-W646</f>
        <v>-25.5295110938388</v>
      </c>
      <c r="Y646" s="1">
        <f>'Part B'!$B$179+SUMPRODUCT('Part B'!$B$193:$N$193,C646:O646)</f>
        <v>3.83570939415425</v>
      </c>
      <c r="Z646" s="1">
        <f>P646-Y646</f>
        <v>-0.280361332664834</v>
      </c>
      <c r="AB646" s="1">
        <f>C646</f>
        <v>0.9</v>
      </c>
      <c r="AC646" s="1">
        <f>D646</f>
        <v>93</v>
      </c>
      <c r="AD646" s="1">
        <f>E646</f>
        <v>2</v>
      </c>
      <c r="AE646" s="1">
        <f>F646</f>
        <v>1</v>
      </c>
      <c r="AF646" s="1">
        <f>G646</f>
        <v>0</v>
      </c>
      <c r="AG646" s="1">
        <f>I646</f>
        <v>0</v>
      </c>
      <c r="AH646" s="1">
        <f>J646</f>
        <v>0</v>
      </c>
      <c r="AI646" s="1">
        <f>Q646</f>
        <v>0</v>
      </c>
      <c r="AJ646" s="1">
        <f>K646</f>
        <v>1</v>
      </c>
      <c r="AK646" s="1">
        <f>L646</f>
        <v>0</v>
      </c>
      <c r="AL646" s="1">
        <f>M646</f>
        <v>0</v>
      </c>
      <c r="AM646" s="1">
        <f>N646</f>
        <v>0</v>
      </c>
      <c r="AN646" s="1">
        <f>O646</f>
        <v>0</v>
      </c>
    </row>
    <row r="647">
      <c r="A647" s="1">
        <v>890</v>
      </c>
      <c r="B647" s="1">
        <v>35</v>
      </c>
      <c r="C647" s="1">
        <v>0.411</v>
      </c>
      <c r="D647" s="1">
        <v>85</v>
      </c>
      <c r="E647" s="1">
        <v>2</v>
      </c>
      <c r="F647" s="1">
        <v>0</v>
      </c>
      <c r="G647" s="1">
        <v>1</v>
      </c>
      <c r="H647" s="1">
        <v>0</v>
      </c>
      <c r="I647" s="1">
        <v>0</v>
      </c>
      <c r="J647" s="1">
        <v>0</v>
      </c>
      <c r="K647" s="1">
        <v>0</v>
      </c>
      <c r="L647" s="1">
        <v>0</v>
      </c>
      <c r="M647" s="1">
        <v>1</v>
      </c>
      <c r="N647" s="1">
        <v>0</v>
      </c>
      <c r="O647" s="1">
        <v>0</v>
      </c>
      <c r="P647" s="1">
        <f>LN(B647)</f>
        <v>3.55534806148941</v>
      </c>
      <c r="Q647" s="1">
        <f>1-SUM(F647:J647)</f>
        <v>0</v>
      </c>
      <c r="R647" s="1" t="str">
        <f>IF(F647=1,"Napa valley",IF(G647=1,"Bay area",IF(H647=1,"Sonoma",IF(I647=1,"Sierra/foothills",IF(J647=1,"Mendocino/lake","Generic California")))))</f>
        <v>Bay area</v>
      </c>
      <c r="S647" s="1" t="str">
        <f>IF(F647=1,"Napa valley",IF(H647=1,"Sonoma","Other"))</f>
        <v>Other</v>
      </c>
      <c r="T647" s="1" t="str">
        <f>IF(M647=1,"Cabernet",IF(N647=1,"Merlot",IF(L647=1,"Pinot noir","Other")))</f>
        <v>Cabernet</v>
      </c>
      <c r="U647" s="1" t="str">
        <f>IF(F647=1,B647,"")</f>
        <v/>
      </c>
      <c r="V647" s="1">
        <f>IF(F647=0,B647,"")</f>
        <v>35</v>
      </c>
      <c r="W647" s="1">
        <f>'Part B'!$B$150+SUMPRODUCT('Part B'!$B$164:$N$164,C647:O647)</f>
        <v>22.9724807167505</v>
      </c>
      <c r="X647" s="1">
        <f>B647-W647</f>
        <v>12.0275192832495</v>
      </c>
      <c r="Y647" s="1">
        <f>'Part B'!$B$179+SUMPRODUCT('Part B'!$B$193:$N$193,C647:O647)</f>
        <v>2.94578666388935</v>
      </c>
      <c r="Z647" s="1">
        <f>P647-Y647</f>
        <v>0.609561397600067</v>
      </c>
      <c r="AB647" s="1">
        <f>C647</f>
        <v>0.411</v>
      </c>
      <c r="AC647" s="1">
        <f>D647</f>
        <v>85</v>
      </c>
      <c r="AD647" s="1">
        <f>E647</f>
        <v>2</v>
      </c>
      <c r="AE647" s="1">
        <f>F647</f>
        <v>0</v>
      </c>
      <c r="AF647" s="1">
        <f>G647</f>
        <v>1</v>
      </c>
      <c r="AG647" s="1">
        <f>I647</f>
        <v>0</v>
      </c>
      <c r="AH647" s="1">
        <f>J647</f>
        <v>0</v>
      </c>
      <c r="AI647" s="1">
        <f>Q647</f>
        <v>0</v>
      </c>
      <c r="AJ647" s="1">
        <f>K647</f>
        <v>0</v>
      </c>
      <c r="AK647" s="1">
        <f>L647</f>
        <v>0</v>
      </c>
      <c r="AL647" s="1">
        <f>M647</f>
        <v>1</v>
      </c>
      <c r="AM647" s="1">
        <f>N647</f>
        <v>0</v>
      </c>
      <c r="AN647" s="1">
        <f>O647</f>
        <v>0</v>
      </c>
    </row>
    <row r="648">
      <c r="A648" s="1">
        <v>891</v>
      </c>
      <c r="B648" s="1">
        <v>35</v>
      </c>
      <c r="C648" s="1">
        <v>0.9</v>
      </c>
      <c r="D648" s="1">
        <v>94</v>
      </c>
      <c r="E648" s="1">
        <v>2</v>
      </c>
      <c r="F648" s="1">
        <v>1</v>
      </c>
      <c r="G648" s="1">
        <v>0</v>
      </c>
      <c r="H648" s="1">
        <v>0</v>
      </c>
      <c r="I648" s="1">
        <v>0</v>
      </c>
      <c r="J648" s="1">
        <v>0</v>
      </c>
      <c r="K648" s="1">
        <v>0</v>
      </c>
      <c r="L648" s="1">
        <v>0</v>
      </c>
      <c r="M648" s="1">
        <v>0</v>
      </c>
      <c r="N648" s="1">
        <v>0</v>
      </c>
      <c r="O648" s="1">
        <v>0</v>
      </c>
      <c r="P648" s="1">
        <f>LN(B648)</f>
        <v>3.55534806148941</v>
      </c>
      <c r="Q648" s="1">
        <f>1-SUM(F648:J648)</f>
        <v>0</v>
      </c>
      <c r="R648" s="1" t="str">
        <f>IF(F648=1,"Napa valley",IF(G648=1,"Bay area",IF(H648=1,"Sonoma",IF(I648=1,"Sierra/foothills",IF(J648=1,"Mendocino/lake","Generic California")))))</f>
        <v>Napa valley</v>
      </c>
      <c r="S648" s="1" t="str">
        <f>IF(F648=1,"Napa valley",IF(H648=1,"Sonoma","Other"))</f>
        <v>Napa valley</v>
      </c>
      <c r="T648" s="1" t="str">
        <f>IF(M648=1,"Cabernet",IF(N648=1,"Merlot",IF(L648=1,"Pinot noir","Other")))</f>
        <v>Other</v>
      </c>
      <c r="U648" s="1">
        <f>IF(F648=1,B648,"")</f>
        <v>35</v>
      </c>
      <c r="V648" s="1" t="str">
        <f>IF(F648=0,B648,"")</f>
        <v/>
      </c>
      <c r="W648" s="1">
        <f>'Part B'!$B$150+SUMPRODUCT('Part B'!$B$164:$N$164,C648:O648)</f>
        <v>43.3868147788593</v>
      </c>
      <c r="X648" s="1">
        <f>B648-W648</f>
        <v>-8.38681477885928</v>
      </c>
      <c r="Y648" s="1">
        <f>'Part B'!$B$179+SUMPRODUCT('Part B'!$B$193:$N$193,C648:O648)</f>
        <v>3.4270832989305</v>
      </c>
      <c r="Z648" s="1">
        <f>P648-Y648</f>
        <v>0.128264762558917</v>
      </c>
      <c r="AB648" s="1">
        <f>C648</f>
        <v>0.9</v>
      </c>
      <c r="AC648" s="1">
        <f>D648</f>
        <v>94</v>
      </c>
      <c r="AD648" s="1">
        <f>E648</f>
        <v>2</v>
      </c>
      <c r="AE648" s="1">
        <f>F648</f>
        <v>1</v>
      </c>
      <c r="AF648" s="1">
        <f>G648</f>
        <v>0</v>
      </c>
      <c r="AG648" s="1">
        <f>I648</f>
        <v>0</v>
      </c>
      <c r="AH648" s="1">
        <f>J648</f>
        <v>0</v>
      </c>
      <c r="AI648" s="1">
        <f>Q648</f>
        <v>0</v>
      </c>
      <c r="AJ648" s="1">
        <f>K648</f>
        <v>0</v>
      </c>
      <c r="AK648" s="1">
        <f>L648</f>
        <v>0</v>
      </c>
      <c r="AL648" s="1">
        <f>M648</f>
        <v>0</v>
      </c>
      <c r="AM648" s="1">
        <f>N648</f>
        <v>0</v>
      </c>
      <c r="AN648" s="1">
        <f>O648</f>
        <v>0</v>
      </c>
    </row>
    <row r="649">
      <c r="A649" s="1">
        <v>892</v>
      </c>
      <c r="B649" s="1">
        <v>36</v>
      </c>
      <c r="C649" s="1">
        <v>1.596</v>
      </c>
      <c r="D649" s="1">
        <v>87</v>
      </c>
      <c r="E649" s="1">
        <v>3</v>
      </c>
      <c r="F649" s="1">
        <v>0</v>
      </c>
      <c r="G649" s="1">
        <v>0</v>
      </c>
      <c r="H649" s="1">
        <v>1</v>
      </c>
      <c r="I649" s="1">
        <v>0</v>
      </c>
      <c r="J649" s="1">
        <v>0</v>
      </c>
      <c r="K649" s="1">
        <v>0</v>
      </c>
      <c r="L649" s="1">
        <v>0</v>
      </c>
      <c r="M649" s="1">
        <v>0</v>
      </c>
      <c r="N649" s="1">
        <v>1</v>
      </c>
      <c r="O649" s="1">
        <v>0</v>
      </c>
      <c r="P649" s="1">
        <f>LN(B649)</f>
        <v>3.58351893845611</v>
      </c>
      <c r="Q649" s="1">
        <f>1-SUM(F649:J649)</f>
        <v>0</v>
      </c>
      <c r="R649" s="1" t="str">
        <f>IF(F649=1,"Napa valley",IF(G649=1,"Bay area",IF(H649=1,"Sonoma",IF(I649=1,"Sierra/foothills",IF(J649=1,"Mendocino/lake","Generic California")))))</f>
        <v>Sonoma</v>
      </c>
      <c r="S649" s="1" t="str">
        <f>IF(F649=1,"Napa valley",IF(H649=1,"Sonoma","Other"))</f>
        <v>Sonoma</v>
      </c>
      <c r="T649" s="1" t="str">
        <f>IF(M649=1,"Cabernet",IF(N649=1,"Merlot",IF(L649=1,"Pinot noir","Other")))</f>
        <v>Merlot</v>
      </c>
      <c r="U649" s="1" t="str">
        <f>IF(F649=1,B649,"")</f>
        <v/>
      </c>
      <c r="V649" s="1">
        <f>IF(F649=0,B649,"")</f>
        <v>36</v>
      </c>
      <c r="W649" s="1">
        <f>'Part B'!$B$150+SUMPRODUCT('Part B'!$B$164:$N$164,C649:O649)</f>
        <v>27.6884416416166</v>
      </c>
      <c r="X649" s="1">
        <f>B649-W649</f>
        <v>8.31155835838337</v>
      </c>
      <c r="Y649" s="1">
        <f>'Part B'!$B$179+SUMPRODUCT('Part B'!$B$193:$N$193,C649:O649)</f>
        <v>3.2541879340253</v>
      </c>
      <c r="Z649" s="1">
        <f>P649-Y649</f>
        <v>0.329331004430809</v>
      </c>
      <c r="AB649" s="1">
        <f>C649</f>
        <v>1.596</v>
      </c>
      <c r="AC649" s="1">
        <f>D649</f>
        <v>87</v>
      </c>
      <c r="AD649" s="1">
        <f>E649</f>
        <v>3</v>
      </c>
      <c r="AE649" s="1">
        <f>F649</f>
        <v>0</v>
      </c>
      <c r="AF649" s="1">
        <f>G649</f>
        <v>0</v>
      </c>
      <c r="AG649" s="1">
        <f>I649</f>
        <v>0</v>
      </c>
      <c r="AH649" s="1">
        <f>J649</f>
        <v>0</v>
      </c>
      <c r="AI649" s="1">
        <f>Q649</f>
        <v>0</v>
      </c>
      <c r="AJ649" s="1">
        <f>K649</f>
        <v>0</v>
      </c>
      <c r="AK649" s="1">
        <f>L649</f>
        <v>0</v>
      </c>
      <c r="AL649" s="1">
        <f>M649</f>
        <v>0</v>
      </c>
      <c r="AM649" s="1">
        <f>N649</f>
        <v>1</v>
      </c>
      <c r="AN649" s="1">
        <f>O649</f>
        <v>0</v>
      </c>
    </row>
    <row r="650">
      <c r="A650" s="1">
        <v>893</v>
      </c>
      <c r="B650" s="1">
        <v>36</v>
      </c>
      <c r="C650" s="1">
        <v>0.565</v>
      </c>
      <c r="D650" s="1">
        <v>88</v>
      </c>
      <c r="E650" s="1">
        <v>3</v>
      </c>
      <c r="F650" s="1">
        <v>1</v>
      </c>
      <c r="G650" s="1">
        <v>0</v>
      </c>
      <c r="H650" s="1">
        <v>0</v>
      </c>
      <c r="I650" s="1">
        <v>0</v>
      </c>
      <c r="J650" s="1">
        <v>0</v>
      </c>
      <c r="K650" s="1">
        <v>0</v>
      </c>
      <c r="L650" s="1">
        <v>0</v>
      </c>
      <c r="M650" s="1">
        <v>1</v>
      </c>
      <c r="N650" s="1">
        <v>0</v>
      </c>
      <c r="O650" s="1">
        <v>0</v>
      </c>
      <c r="P650" s="1">
        <f>LN(B650)</f>
        <v>3.58351893845611</v>
      </c>
      <c r="Q650" s="1">
        <f>1-SUM(F650:J650)</f>
        <v>0</v>
      </c>
      <c r="R650" s="1" t="str">
        <f>IF(F650=1,"Napa valley",IF(G650=1,"Bay area",IF(H650=1,"Sonoma",IF(I650=1,"Sierra/foothills",IF(J650=1,"Mendocino/lake","Generic California")))))</f>
        <v>Napa valley</v>
      </c>
      <c r="S650" s="1" t="str">
        <f>IF(F650=1,"Napa valley",IF(H650=1,"Sonoma","Other"))</f>
        <v>Napa valley</v>
      </c>
      <c r="T650" s="1" t="str">
        <f>IF(M650=1,"Cabernet",IF(N650=1,"Merlot",IF(L650=1,"Pinot noir","Other")))</f>
        <v>Cabernet</v>
      </c>
      <c r="U650" s="1">
        <f>IF(F650=1,B650,"")</f>
        <v>36</v>
      </c>
      <c r="V650" s="1" t="str">
        <f>IF(F650=0,B650,"")</f>
        <v/>
      </c>
      <c r="W650" s="1">
        <f>'Part B'!$B$150+SUMPRODUCT('Part B'!$B$164:$N$164,C650:O650)</f>
        <v>43.7948867380896</v>
      </c>
      <c r="X650" s="1">
        <f>B650-W650</f>
        <v>-7.79488673808964</v>
      </c>
      <c r="Y650" s="1">
        <f>'Part B'!$B$179+SUMPRODUCT('Part B'!$B$193:$N$193,C650:O650)</f>
        <v>3.51282951646852</v>
      </c>
      <c r="Z650" s="1">
        <f>P650-Y650</f>
        <v>0.0706894219875887</v>
      </c>
      <c r="AB650" s="1">
        <f>C650</f>
        <v>0.565</v>
      </c>
      <c r="AC650" s="1">
        <f>D650</f>
        <v>88</v>
      </c>
      <c r="AD650" s="1">
        <f>E650</f>
        <v>3</v>
      </c>
      <c r="AE650" s="1">
        <f>F650</f>
        <v>1</v>
      </c>
      <c r="AF650" s="1">
        <f>G650</f>
        <v>0</v>
      </c>
      <c r="AG650" s="1">
        <f>I650</f>
        <v>0</v>
      </c>
      <c r="AH650" s="1">
        <f>J650</f>
        <v>0</v>
      </c>
      <c r="AI650" s="1">
        <f>Q650</f>
        <v>0</v>
      </c>
      <c r="AJ650" s="1">
        <f>K650</f>
        <v>0</v>
      </c>
      <c r="AK650" s="1">
        <f>L650</f>
        <v>0</v>
      </c>
      <c r="AL650" s="1">
        <f>M650</f>
        <v>1</v>
      </c>
      <c r="AM650" s="1">
        <f>N650</f>
        <v>0</v>
      </c>
      <c r="AN650" s="1">
        <f>O650</f>
        <v>0</v>
      </c>
    </row>
    <row r="651">
      <c r="A651" s="1">
        <v>894</v>
      </c>
      <c r="B651" s="1">
        <v>36</v>
      </c>
      <c r="C651" s="1">
        <v>0.25</v>
      </c>
      <c r="D651" s="1">
        <v>87</v>
      </c>
      <c r="E651" s="1">
        <v>3</v>
      </c>
      <c r="F651" s="1">
        <v>0</v>
      </c>
      <c r="G651" s="1">
        <v>0</v>
      </c>
      <c r="H651" s="1">
        <v>1</v>
      </c>
      <c r="I651" s="1">
        <v>0</v>
      </c>
      <c r="J651" s="1">
        <v>0</v>
      </c>
      <c r="K651" s="1">
        <v>0</v>
      </c>
      <c r="L651" s="1">
        <v>1</v>
      </c>
      <c r="M651" s="1">
        <v>0</v>
      </c>
      <c r="N651" s="1">
        <v>0</v>
      </c>
      <c r="O651" s="1">
        <v>0</v>
      </c>
      <c r="P651" s="1">
        <f>LN(B651)</f>
        <v>3.58351893845611</v>
      </c>
      <c r="Q651" s="1">
        <f>1-SUM(F651:J651)</f>
        <v>0</v>
      </c>
      <c r="R651" s="1" t="str">
        <f>IF(F651=1,"Napa valley",IF(G651=1,"Bay area",IF(H651=1,"Sonoma",IF(I651=1,"Sierra/foothills",IF(J651=1,"Mendocino/lake","Generic California")))))</f>
        <v>Sonoma</v>
      </c>
      <c r="S651" s="1" t="str">
        <f>IF(F651=1,"Napa valley",IF(H651=1,"Sonoma","Other"))</f>
        <v>Sonoma</v>
      </c>
      <c r="T651" s="1" t="str">
        <f>IF(M651=1,"Cabernet",IF(N651=1,"Merlot",IF(L651=1,"Pinot noir","Other")))</f>
        <v>Pinot noir</v>
      </c>
      <c r="U651" s="1" t="str">
        <f>IF(F651=1,B651,"")</f>
        <v/>
      </c>
      <c r="V651" s="1">
        <f>IF(F651=0,B651,"")</f>
        <v>36</v>
      </c>
      <c r="W651" s="1">
        <f>'Part B'!$B$150+SUMPRODUCT('Part B'!$B$164:$N$164,C651:O651)</f>
        <v>29.6102455478529</v>
      </c>
      <c r="X651" s="1">
        <f>B651-W651</f>
        <v>6.38975445214709</v>
      </c>
      <c r="Y651" s="1">
        <f>'Part B'!$B$179+SUMPRODUCT('Part B'!$B$193:$N$193,C651:O651)</f>
        <v>3.32195510659857</v>
      </c>
      <c r="Z651" s="1">
        <f>P651-Y651</f>
        <v>0.261563831857543</v>
      </c>
      <c r="AB651" s="1">
        <f>C651</f>
        <v>0.25</v>
      </c>
      <c r="AC651" s="1">
        <f>D651</f>
        <v>87</v>
      </c>
      <c r="AD651" s="1">
        <f>E651</f>
        <v>3</v>
      </c>
      <c r="AE651" s="1">
        <f>F651</f>
        <v>0</v>
      </c>
      <c r="AF651" s="1">
        <f>G651</f>
        <v>0</v>
      </c>
      <c r="AG651" s="1">
        <f>I651</f>
        <v>0</v>
      </c>
      <c r="AH651" s="1">
        <f>J651</f>
        <v>0</v>
      </c>
      <c r="AI651" s="1">
        <f>Q651</f>
        <v>0</v>
      </c>
      <c r="AJ651" s="1">
        <f>K651</f>
        <v>0</v>
      </c>
      <c r="AK651" s="1">
        <f>L651</f>
        <v>1</v>
      </c>
      <c r="AL651" s="1">
        <f>M651</f>
        <v>0</v>
      </c>
      <c r="AM651" s="1">
        <f>N651</f>
        <v>0</v>
      </c>
      <c r="AN651" s="1">
        <f>O651</f>
        <v>0</v>
      </c>
    </row>
    <row r="652">
      <c r="A652" s="1">
        <v>896</v>
      </c>
      <c r="B652" s="1">
        <v>36</v>
      </c>
      <c r="C652" s="1">
        <v>1.5</v>
      </c>
      <c r="D652" s="1">
        <v>93</v>
      </c>
      <c r="E652" s="1">
        <v>3</v>
      </c>
      <c r="F652" s="1">
        <v>1</v>
      </c>
      <c r="G652" s="1">
        <v>0</v>
      </c>
      <c r="H652" s="1">
        <v>0</v>
      </c>
      <c r="I652" s="1">
        <v>0</v>
      </c>
      <c r="J652" s="1">
        <v>0</v>
      </c>
      <c r="K652" s="1">
        <v>0</v>
      </c>
      <c r="L652" s="1">
        <v>0</v>
      </c>
      <c r="M652" s="1">
        <v>1</v>
      </c>
      <c r="N652" s="1">
        <v>0</v>
      </c>
      <c r="O652" s="1">
        <v>0</v>
      </c>
      <c r="P652" s="1">
        <f>LN(B652)</f>
        <v>3.58351893845611</v>
      </c>
      <c r="Q652" s="1">
        <f>1-SUM(F652:J652)</f>
        <v>0</v>
      </c>
      <c r="R652" s="1" t="str">
        <f>IF(F652=1,"Napa valley",IF(G652=1,"Bay area",IF(H652=1,"Sonoma",IF(I652=1,"Sierra/foothills",IF(J652=1,"Mendocino/lake","Generic California")))))</f>
        <v>Napa valley</v>
      </c>
      <c r="S652" s="1" t="str">
        <f>IF(F652=1,"Napa valley",IF(H652=1,"Sonoma","Other"))</f>
        <v>Napa valley</v>
      </c>
      <c r="T652" s="1" t="str">
        <f>IF(M652=1,"Cabernet",IF(N652=1,"Merlot",IF(L652=1,"Pinot noir","Other")))</f>
        <v>Cabernet</v>
      </c>
      <c r="U652" s="1">
        <f>IF(F652=1,B652,"")</f>
        <v>36</v>
      </c>
      <c r="V652" s="1" t="str">
        <f>IF(F652=0,B652,"")</f>
        <v/>
      </c>
      <c r="W652" s="1">
        <f>'Part B'!$B$150+SUMPRODUCT('Part B'!$B$164:$N$164,C652:O652)</f>
        <v>59.4316278252888</v>
      </c>
      <c r="X652" s="1">
        <f>B652-W652</f>
        <v>-23.4316278252888</v>
      </c>
      <c r="Y652" s="1">
        <f>'Part B'!$B$179+SUMPRODUCT('Part B'!$B$193:$N$193,C652:O652)</f>
        <v>3.858635432675</v>
      </c>
      <c r="Z652" s="1">
        <f>P652-Y652</f>
        <v>-0.275116494218891</v>
      </c>
      <c r="AB652" s="1">
        <f>C652</f>
        <v>1.5</v>
      </c>
      <c r="AC652" s="1">
        <f>D652</f>
        <v>93</v>
      </c>
      <c r="AD652" s="1">
        <f>E652</f>
        <v>3</v>
      </c>
      <c r="AE652" s="1">
        <f>F652</f>
        <v>1</v>
      </c>
      <c r="AF652" s="1">
        <f>G652</f>
        <v>0</v>
      </c>
      <c r="AG652" s="1">
        <f>I652</f>
        <v>0</v>
      </c>
      <c r="AH652" s="1">
        <f>J652</f>
        <v>0</v>
      </c>
      <c r="AI652" s="1">
        <f>Q652</f>
        <v>0</v>
      </c>
      <c r="AJ652" s="1">
        <f>K652</f>
        <v>0</v>
      </c>
      <c r="AK652" s="1">
        <f>L652</f>
        <v>0</v>
      </c>
      <c r="AL652" s="1">
        <f>M652</f>
        <v>1</v>
      </c>
      <c r="AM652" s="1">
        <f>N652</f>
        <v>0</v>
      </c>
      <c r="AN652" s="1">
        <f>O652</f>
        <v>0</v>
      </c>
    </row>
    <row r="653">
      <c r="A653" s="1">
        <v>897</v>
      </c>
      <c r="B653" s="1">
        <v>36</v>
      </c>
      <c r="C653" s="1">
        <v>0.9</v>
      </c>
      <c r="D653" s="1">
        <v>90</v>
      </c>
      <c r="E653" s="1">
        <v>2</v>
      </c>
      <c r="F653" s="1">
        <v>0</v>
      </c>
      <c r="G653" s="1">
        <v>0</v>
      </c>
      <c r="H653" s="1">
        <v>1</v>
      </c>
      <c r="I653" s="1">
        <v>0</v>
      </c>
      <c r="J653" s="1">
        <v>0</v>
      </c>
      <c r="K653" s="1">
        <v>0</v>
      </c>
      <c r="L653" s="1">
        <v>1</v>
      </c>
      <c r="M653" s="1">
        <v>0</v>
      </c>
      <c r="N653" s="1">
        <v>0</v>
      </c>
      <c r="O653" s="1">
        <v>0</v>
      </c>
      <c r="P653" s="1">
        <f>LN(B653)</f>
        <v>3.58351893845611</v>
      </c>
      <c r="Q653" s="1">
        <f>1-SUM(F653:J653)</f>
        <v>0</v>
      </c>
      <c r="R653" s="1" t="str">
        <f>IF(F653=1,"Napa valley",IF(G653=1,"Bay area",IF(H653=1,"Sonoma",IF(I653=1,"Sierra/foothills",IF(J653=1,"Mendocino/lake","Generic California")))))</f>
        <v>Sonoma</v>
      </c>
      <c r="S653" s="1" t="str">
        <f>IF(F653=1,"Napa valley",IF(H653=1,"Sonoma","Other"))</f>
        <v>Sonoma</v>
      </c>
      <c r="T653" s="1" t="str">
        <f>IF(M653=1,"Cabernet",IF(N653=1,"Merlot",IF(L653=1,"Pinot noir","Other")))</f>
        <v>Pinot noir</v>
      </c>
      <c r="U653" s="1" t="str">
        <f>IF(F653=1,B653,"")</f>
        <v/>
      </c>
      <c r="V653" s="1">
        <f>IF(F653=0,B653,"")</f>
        <v>36</v>
      </c>
      <c r="W653" s="1">
        <f>'Part B'!$B$150+SUMPRODUCT('Part B'!$B$164:$N$164,C653:O653)</f>
        <v>32.3642381162973</v>
      </c>
      <c r="X653" s="1">
        <f>B653-W653</f>
        <v>3.63576188370274</v>
      </c>
      <c r="Y653" s="1">
        <f>'Part B'!$B$179+SUMPRODUCT('Part B'!$B$193:$N$193,C653:O653)</f>
        <v>3.34597253690493</v>
      </c>
      <c r="Z653" s="1">
        <f>P653-Y653</f>
        <v>0.237546401551175</v>
      </c>
      <c r="AB653" s="1">
        <f>C653</f>
        <v>0.9</v>
      </c>
      <c r="AC653" s="1">
        <f>D653</f>
        <v>90</v>
      </c>
      <c r="AD653" s="1">
        <f>E653</f>
        <v>2</v>
      </c>
      <c r="AE653" s="1">
        <f>F653</f>
        <v>0</v>
      </c>
      <c r="AF653" s="1">
        <f>G653</f>
        <v>0</v>
      </c>
      <c r="AG653" s="1">
        <f>I653</f>
        <v>0</v>
      </c>
      <c r="AH653" s="1">
        <f>J653</f>
        <v>0</v>
      </c>
      <c r="AI653" s="1">
        <f>Q653</f>
        <v>0</v>
      </c>
      <c r="AJ653" s="1">
        <f>K653</f>
        <v>0</v>
      </c>
      <c r="AK653" s="1">
        <f>L653</f>
        <v>1</v>
      </c>
      <c r="AL653" s="1">
        <f>M653</f>
        <v>0</v>
      </c>
      <c r="AM653" s="1">
        <f>N653</f>
        <v>0</v>
      </c>
      <c r="AN653" s="1">
        <f>O653</f>
        <v>0</v>
      </c>
    </row>
    <row r="654">
      <c r="A654" s="1">
        <v>898</v>
      </c>
      <c r="B654" s="1">
        <v>38</v>
      </c>
      <c r="C654" s="1">
        <v>0.675</v>
      </c>
      <c r="D654" s="1">
        <v>80</v>
      </c>
      <c r="E654" s="1">
        <v>5</v>
      </c>
      <c r="F654" s="1">
        <v>1</v>
      </c>
      <c r="G654" s="1">
        <v>0</v>
      </c>
      <c r="H654" s="1">
        <v>0</v>
      </c>
      <c r="I654" s="1">
        <v>0</v>
      </c>
      <c r="J654" s="1">
        <v>0</v>
      </c>
      <c r="K654" s="1">
        <v>0</v>
      </c>
      <c r="L654" s="1">
        <v>0</v>
      </c>
      <c r="M654" s="1">
        <v>1</v>
      </c>
      <c r="N654" s="1">
        <v>0</v>
      </c>
      <c r="O654" s="1">
        <v>0</v>
      </c>
      <c r="P654" s="1">
        <f>LN(B654)</f>
        <v>3.63758615972639</v>
      </c>
      <c r="Q654" s="1">
        <f>1-SUM(F654:J654)</f>
        <v>0</v>
      </c>
      <c r="R654" s="1" t="str">
        <f>IF(F654=1,"Napa valley",IF(G654=1,"Bay area",IF(H654=1,"Sonoma",IF(I654=1,"Sierra/foothills",IF(J654=1,"Mendocino/lake","Generic California")))))</f>
        <v>Napa valley</v>
      </c>
      <c r="S654" s="1" t="str">
        <f>IF(F654=1,"Napa valley",IF(H654=1,"Sonoma","Other"))</f>
        <v>Napa valley</v>
      </c>
      <c r="T654" s="1" t="str">
        <f>IF(M654=1,"Cabernet",IF(N654=1,"Merlot",IF(L654=1,"Pinot noir","Other")))</f>
        <v>Cabernet</v>
      </c>
      <c r="U654" s="1">
        <f>IF(F654=1,B654,"")</f>
        <v>38</v>
      </c>
      <c r="V654" s="1" t="str">
        <f>IF(F654=0,B654,"")</f>
        <v/>
      </c>
      <c r="W654" s="1">
        <f>'Part B'!$B$150+SUMPRODUCT('Part B'!$B$164:$N$164,C654:O654)</f>
        <v>31.8628790013013</v>
      </c>
      <c r="X654" s="1">
        <f>B654-W654</f>
        <v>6.13712099869872</v>
      </c>
      <c r="Y654" s="1">
        <f>'Part B'!$B$179+SUMPRODUCT('Part B'!$B$193:$N$193,C654:O654)</f>
        <v>3.31883843358637</v>
      </c>
      <c r="Z654" s="1">
        <f>P654-Y654</f>
        <v>0.318747726140018</v>
      </c>
      <c r="AB654" s="1">
        <f>C654</f>
        <v>0.675</v>
      </c>
      <c r="AC654" s="1">
        <f>D654</f>
        <v>80</v>
      </c>
      <c r="AD654" s="1">
        <f>E654</f>
        <v>5</v>
      </c>
      <c r="AE654" s="1">
        <f>F654</f>
        <v>1</v>
      </c>
      <c r="AF654" s="1">
        <f>G654</f>
        <v>0</v>
      </c>
      <c r="AG654" s="1">
        <f>I654</f>
        <v>0</v>
      </c>
      <c r="AH654" s="1">
        <f>J654</f>
        <v>0</v>
      </c>
      <c r="AI654" s="1">
        <f>Q654</f>
        <v>0</v>
      </c>
      <c r="AJ654" s="1">
        <f>K654</f>
        <v>0</v>
      </c>
      <c r="AK654" s="1">
        <f>L654</f>
        <v>0</v>
      </c>
      <c r="AL654" s="1">
        <f>M654</f>
        <v>1</v>
      </c>
      <c r="AM654" s="1">
        <f>N654</f>
        <v>0</v>
      </c>
      <c r="AN654" s="1">
        <f>O654</f>
        <v>0</v>
      </c>
    </row>
    <row r="655">
      <c r="A655" s="1">
        <v>900</v>
      </c>
      <c r="B655" s="1">
        <v>38</v>
      </c>
      <c r="C655" s="1">
        <v>2.6</v>
      </c>
      <c r="D655" s="1">
        <v>93</v>
      </c>
      <c r="E655" s="1">
        <v>4</v>
      </c>
      <c r="F655" s="1">
        <v>1</v>
      </c>
      <c r="G655" s="1">
        <v>0</v>
      </c>
      <c r="H655" s="1">
        <v>0</v>
      </c>
      <c r="I655" s="1">
        <v>0</v>
      </c>
      <c r="J655" s="1">
        <v>0</v>
      </c>
      <c r="K655" s="1">
        <v>0</v>
      </c>
      <c r="L655" s="1">
        <v>0</v>
      </c>
      <c r="M655" s="1">
        <v>1</v>
      </c>
      <c r="N655" s="1">
        <v>0</v>
      </c>
      <c r="O655" s="1">
        <v>0</v>
      </c>
      <c r="P655" s="1">
        <f>LN(B655)</f>
        <v>3.63758615972639</v>
      </c>
      <c r="Q655" s="1">
        <f>1-SUM(F655:J655)</f>
        <v>0</v>
      </c>
      <c r="R655" s="1" t="str">
        <f>IF(F655=1,"Napa valley",IF(G655=1,"Bay area",IF(H655=1,"Sonoma",IF(I655=1,"Sierra/foothills",IF(J655=1,"Mendocino/lake","Generic California")))))</f>
        <v>Napa valley</v>
      </c>
      <c r="S655" s="1" t="str">
        <f>IF(F655=1,"Napa valley",IF(H655=1,"Sonoma","Other"))</f>
        <v>Napa valley</v>
      </c>
      <c r="T655" s="1" t="str">
        <f>IF(M655=1,"Cabernet",IF(N655=1,"Merlot",IF(L655=1,"Pinot noir","Other")))</f>
        <v>Cabernet</v>
      </c>
      <c r="U655" s="1">
        <f>IF(F655=1,B655,"")</f>
        <v>38</v>
      </c>
      <c r="V655" s="1" t="str">
        <f>IF(F655=0,B655,"")</f>
        <v/>
      </c>
      <c r="W655" s="1">
        <f>'Part B'!$B$150+SUMPRODUCT('Part B'!$B$164:$N$164,C655:O655)</f>
        <v>65.9468274370738</v>
      </c>
      <c r="X655" s="1">
        <f>B655-W655</f>
        <v>-27.9468274370738</v>
      </c>
      <c r="Y655" s="1">
        <f>'Part B'!$B$179+SUMPRODUCT('Part B'!$B$193:$N$193,C655:O655)</f>
        <v>4.03701374125702</v>
      </c>
      <c r="Z655" s="1">
        <f>P655-Y655</f>
        <v>-0.399427581530633</v>
      </c>
      <c r="AB655" s="1">
        <f>C655</f>
        <v>2.6</v>
      </c>
      <c r="AC655" s="1">
        <f>D655</f>
        <v>93</v>
      </c>
      <c r="AD655" s="1">
        <f>E655</f>
        <v>4</v>
      </c>
      <c r="AE655" s="1">
        <f>F655</f>
        <v>1</v>
      </c>
      <c r="AF655" s="1">
        <f>G655</f>
        <v>0</v>
      </c>
      <c r="AG655" s="1">
        <f>I655</f>
        <v>0</v>
      </c>
      <c r="AH655" s="1">
        <f>J655</f>
        <v>0</v>
      </c>
      <c r="AI655" s="1">
        <f>Q655</f>
        <v>0</v>
      </c>
      <c r="AJ655" s="1">
        <f>K655</f>
        <v>0</v>
      </c>
      <c r="AK655" s="1">
        <f>L655</f>
        <v>0</v>
      </c>
      <c r="AL655" s="1">
        <f>M655</f>
        <v>1</v>
      </c>
      <c r="AM655" s="1">
        <f>N655</f>
        <v>0</v>
      </c>
      <c r="AN655" s="1">
        <f>O655</f>
        <v>0</v>
      </c>
    </row>
    <row r="656">
      <c r="A656" s="1">
        <v>901</v>
      </c>
      <c r="B656" s="1">
        <v>38</v>
      </c>
      <c r="C656" s="1">
        <v>50</v>
      </c>
      <c r="D656" s="1">
        <v>88</v>
      </c>
      <c r="E656" s="1">
        <v>4</v>
      </c>
      <c r="F656" s="1">
        <v>0</v>
      </c>
      <c r="G656" s="1">
        <v>0</v>
      </c>
      <c r="H656" s="1">
        <v>1</v>
      </c>
      <c r="I656" s="1">
        <v>0</v>
      </c>
      <c r="J656" s="1">
        <v>0</v>
      </c>
      <c r="K656" s="1">
        <v>0</v>
      </c>
      <c r="L656" s="1">
        <v>0</v>
      </c>
      <c r="M656" s="1">
        <v>1</v>
      </c>
      <c r="N656" s="1">
        <v>0</v>
      </c>
      <c r="O656" s="1">
        <v>0</v>
      </c>
      <c r="P656" s="1">
        <f>LN(B656)</f>
        <v>3.63758615972639</v>
      </c>
      <c r="Q656" s="1">
        <f>1-SUM(F656:J656)</f>
        <v>0</v>
      </c>
      <c r="R656" s="1" t="str">
        <f>IF(F656=1,"Napa valley",IF(G656=1,"Bay area",IF(H656=1,"Sonoma",IF(I656=1,"Sierra/foothills",IF(J656=1,"Mendocino/lake","Generic California")))))</f>
        <v>Sonoma</v>
      </c>
      <c r="S656" s="1" t="str">
        <f>IF(F656=1,"Napa valley",IF(H656=1,"Sonoma","Other"))</f>
        <v>Sonoma</v>
      </c>
      <c r="T656" s="1" t="str">
        <f>IF(M656=1,"Cabernet",IF(N656=1,"Merlot",IF(L656=1,"Pinot noir","Other")))</f>
        <v>Cabernet</v>
      </c>
      <c r="U656" s="1" t="str">
        <f>IF(F656=1,B656,"")</f>
        <v/>
      </c>
      <c r="V656" s="1">
        <f>IF(F656=0,B656,"")</f>
        <v>38</v>
      </c>
      <c r="W656" s="1">
        <f>'Part B'!$B$150+SUMPRODUCT('Part B'!$B$164:$N$164,C656:O656)</f>
        <v>37.8259814750089</v>
      </c>
      <c r="X656" s="1">
        <f>B656-W656</f>
        <v>0.174018524991084</v>
      </c>
      <c r="Y656" s="1">
        <f>'Part B'!$B$179+SUMPRODUCT('Part B'!$B$193:$N$193,C656:O656)</f>
        <v>3.33659154969275</v>
      </c>
      <c r="Z656" s="1">
        <f>P656-Y656</f>
        <v>0.300994610033631</v>
      </c>
      <c r="AB656" s="1">
        <f>C656</f>
        <v>50</v>
      </c>
      <c r="AC656" s="1">
        <f>D656</f>
        <v>88</v>
      </c>
      <c r="AD656" s="1">
        <f>E656</f>
        <v>4</v>
      </c>
      <c r="AE656" s="1">
        <f>F656</f>
        <v>0</v>
      </c>
      <c r="AF656" s="1">
        <f>G656</f>
        <v>0</v>
      </c>
      <c r="AG656" s="1">
        <f>I656</f>
        <v>0</v>
      </c>
      <c r="AH656" s="1">
        <f>J656</f>
        <v>0</v>
      </c>
      <c r="AI656" s="1">
        <f>Q656</f>
        <v>0</v>
      </c>
      <c r="AJ656" s="1">
        <f>K656</f>
        <v>0</v>
      </c>
      <c r="AK656" s="1">
        <f>L656</f>
        <v>0</v>
      </c>
      <c r="AL656" s="1">
        <f>M656</f>
        <v>1</v>
      </c>
      <c r="AM656" s="1">
        <f>N656</f>
        <v>0</v>
      </c>
      <c r="AN656" s="1">
        <f>O656</f>
        <v>0</v>
      </c>
    </row>
    <row r="657">
      <c r="A657" s="1">
        <v>902</v>
      </c>
      <c r="B657" s="1">
        <v>38</v>
      </c>
      <c r="C657" s="1">
        <v>0.496</v>
      </c>
      <c r="D657" s="1">
        <v>88</v>
      </c>
      <c r="E657" s="1">
        <v>4</v>
      </c>
      <c r="F657" s="1">
        <v>0</v>
      </c>
      <c r="G657" s="1">
        <v>1</v>
      </c>
      <c r="H657" s="1">
        <v>0</v>
      </c>
      <c r="I657" s="1">
        <v>0</v>
      </c>
      <c r="J657" s="1">
        <v>0</v>
      </c>
      <c r="K657" s="1">
        <v>0</v>
      </c>
      <c r="L657" s="1">
        <v>0</v>
      </c>
      <c r="M657" s="1">
        <v>1</v>
      </c>
      <c r="N657" s="1">
        <v>0</v>
      </c>
      <c r="O657" s="1">
        <v>0</v>
      </c>
      <c r="P657" s="1">
        <f>LN(B657)</f>
        <v>3.63758615972639</v>
      </c>
      <c r="Q657" s="1">
        <f>1-SUM(F657:J657)</f>
        <v>0</v>
      </c>
      <c r="R657" s="1" t="str">
        <f>IF(F657=1,"Napa valley",IF(G657=1,"Bay area",IF(H657=1,"Sonoma",IF(I657=1,"Sierra/foothills",IF(J657=1,"Mendocino/lake","Generic California")))))</f>
        <v>Bay area</v>
      </c>
      <c r="S657" s="1" t="str">
        <f>IF(F657=1,"Napa valley",IF(H657=1,"Sonoma","Other"))</f>
        <v>Other</v>
      </c>
      <c r="T657" s="1" t="str">
        <f>IF(M657=1,"Cabernet",IF(N657=1,"Merlot",IF(L657=1,"Pinot noir","Other")))</f>
        <v>Cabernet</v>
      </c>
      <c r="U657" s="1" t="str">
        <f>IF(F657=1,B657,"")</f>
        <v/>
      </c>
      <c r="V657" s="1">
        <f>IF(F657=0,B657,"")</f>
        <v>38</v>
      </c>
      <c r="W657" s="1">
        <f>'Part B'!$B$150+SUMPRODUCT('Part B'!$B$164:$N$164,C657:O657)</f>
        <v>45.63891384017</v>
      </c>
      <c r="X657" s="1">
        <f>B657-W657</f>
        <v>-7.63891384016995</v>
      </c>
      <c r="Y657" s="1">
        <f>'Part B'!$B$179+SUMPRODUCT('Part B'!$B$193:$N$193,C657:O657)</f>
        <v>3.52147761445751</v>
      </c>
      <c r="Z657" s="1">
        <f>P657-Y657</f>
        <v>0.116108545268873</v>
      </c>
      <c r="AB657" s="1">
        <f>C657</f>
        <v>0.496</v>
      </c>
      <c r="AC657" s="1">
        <f>D657</f>
        <v>88</v>
      </c>
      <c r="AD657" s="1">
        <f>E657</f>
        <v>4</v>
      </c>
      <c r="AE657" s="1">
        <f>F657</f>
        <v>0</v>
      </c>
      <c r="AF657" s="1">
        <f>G657</f>
        <v>1</v>
      </c>
      <c r="AG657" s="1">
        <f>I657</f>
        <v>0</v>
      </c>
      <c r="AH657" s="1">
        <f>J657</f>
        <v>0</v>
      </c>
      <c r="AI657" s="1">
        <f>Q657</f>
        <v>0</v>
      </c>
      <c r="AJ657" s="1">
        <f>K657</f>
        <v>0</v>
      </c>
      <c r="AK657" s="1">
        <f>L657</f>
        <v>0</v>
      </c>
      <c r="AL657" s="1">
        <f>M657</f>
        <v>1</v>
      </c>
      <c r="AM657" s="1">
        <f>N657</f>
        <v>0</v>
      </c>
      <c r="AN657" s="1">
        <f>O657</f>
        <v>0</v>
      </c>
    </row>
    <row r="658">
      <c r="A658" s="1">
        <v>905</v>
      </c>
      <c r="B658" s="1">
        <v>38</v>
      </c>
      <c r="C658" s="1">
        <v>0.75</v>
      </c>
      <c r="D658" s="1">
        <v>88</v>
      </c>
      <c r="E658" s="1">
        <v>3</v>
      </c>
      <c r="F658" s="1">
        <v>1</v>
      </c>
      <c r="G658" s="1">
        <v>0</v>
      </c>
      <c r="H658" s="1">
        <v>0</v>
      </c>
      <c r="I658" s="1">
        <v>0</v>
      </c>
      <c r="J658" s="1">
        <v>0</v>
      </c>
      <c r="K658" s="1">
        <v>0</v>
      </c>
      <c r="L658" s="1">
        <v>1</v>
      </c>
      <c r="M658" s="1">
        <v>0</v>
      </c>
      <c r="N658" s="1">
        <v>0</v>
      </c>
      <c r="O658" s="1">
        <v>0</v>
      </c>
      <c r="P658" s="1">
        <f>LN(B658)</f>
        <v>3.63758615972639</v>
      </c>
      <c r="Q658" s="1">
        <f>1-SUM(F658:J658)</f>
        <v>0</v>
      </c>
      <c r="R658" s="1" t="str">
        <f>IF(F658=1,"Napa valley",IF(G658=1,"Bay area",IF(H658=1,"Sonoma",IF(I658=1,"Sierra/foothills",IF(J658=1,"Mendocino/lake","Generic California")))))</f>
        <v>Napa valley</v>
      </c>
      <c r="S658" s="1" t="str">
        <f>IF(F658=1,"Napa valley",IF(H658=1,"Sonoma","Other"))</f>
        <v>Napa valley</v>
      </c>
      <c r="T658" s="1" t="str">
        <f>IF(M658=1,"Cabernet",IF(N658=1,"Merlot",IF(L658=1,"Pinot noir","Other")))</f>
        <v>Pinot noir</v>
      </c>
      <c r="U658" s="1">
        <f>IF(F658=1,B658,"")</f>
        <v>38</v>
      </c>
      <c r="V658" s="1" t="str">
        <f>IF(F658=0,B658,"")</f>
        <v/>
      </c>
      <c r="W658" s="1">
        <f>'Part B'!$B$150+SUMPRODUCT('Part B'!$B$164:$N$164,C658:O658)</f>
        <v>40.6043335751958</v>
      </c>
      <c r="X658" s="1">
        <f>B658-W658</f>
        <v>-2.60433357519577</v>
      </c>
      <c r="Y658" s="1">
        <f>'Part B'!$B$179+SUMPRODUCT('Part B'!$B$193:$N$193,C658:O658)</f>
        <v>3.53756450672362</v>
      </c>
      <c r="Z658" s="1">
        <f>P658-Y658</f>
        <v>0.100021653002763</v>
      </c>
      <c r="AB658" s="1">
        <f>C658</f>
        <v>0.75</v>
      </c>
      <c r="AC658" s="1">
        <f>D658</f>
        <v>88</v>
      </c>
      <c r="AD658" s="1">
        <f>E658</f>
        <v>3</v>
      </c>
      <c r="AE658" s="1">
        <f>F658</f>
        <v>1</v>
      </c>
      <c r="AF658" s="1">
        <f>G658</f>
        <v>0</v>
      </c>
      <c r="AG658" s="1">
        <f>I658</f>
        <v>0</v>
      </c>
      <c r="AH658" s="1">
        <f>J658</f>
        <v>0</v>
      </c>
      <c r="AI658" s="1">
        <f>Q658</f>
        <v>0</v>
      </c>
      <c r="AJ658" s="1">
        <f>K658</f>
        <v>0</v>
      </c>
      <c r="AK658" s="1">
        <f>L658</f>
        <v>1</v>
      </c>
      <c r="AL658" s="1">
        <f>M658</f>
        <v>0</v>
      </c>
      <c r="AM658" s="1">
        <f>N658</f>
        <v>0</v>
      </c>
      <c r="AN658" s="1">
        <f>O658</f>
        <v>0</v>
      </c>
    </row>
    <row r="659">
      <c r="A659" s="1">
        <v>906</v>
      </c>
      <c r="B659" s="1">
        <v>38</v>
      </c>
      <c r="C659" s="1">
        <v>0.28</v>
      </c>
      <c r="D659" s="1">
        <v>89</v>
      </c>
      <c r="E659" s="1">
        <v>3</v>
      </c>
      <c r="F659" s="1">
        <v>0</v>
      </c>
      <c r="G659" s="1">
        <v>1</v>
      </c>
      <c r="H659" s="1">
        <v>0</v>
      </c>
      <c r="I659" s="1">
        <v>0</v>
      </c>
      <c r="J659" s="1">
        <v>0</v>
      </c>
      <c r="K659" s="1">
        <v>0</v>
      </c>
      <c r="L659" s="1">
        <v>0</v>
      </c>
      <c r="M659" s="1">
        <v>0</v>
      </c>
      <c r="N659" s="1">
        <v>0</v>
      </c>
      <c r="O659" s="1">
        <v>0</v>
      </c>
      <c r="P659" s="1">
        <f>LN(B659)</f>
        <v>3.63758615972639</v>
      </c>
      <c r="Q659" s="1">
        <f>1-SUM(F659:J659)</f>
        <v>0</v>
      </c>
      <c r="R659" s="1" t="str">
        <f>IF(F659=1,"Napa valley",IF(G659=1,"Bay area",IF(H659=1,"Sonoma",IF(I659=1,"Sierra/foothills",IF(J659=1,"Mendocino/lake","Generic California")))))</f>
        <v>Bay area</v>
      </c>
      <c r="S659" s="1" t="str">
        <f>IF(F659=1,"Napa valley",IF(H659=1,"Sonoma","Other"))</f>
        <v>Other</v>
      </c>
      <c r="T659" s="1" t="str">
        <f>IF(M659=1,"Cabernet",IF(N659=1,"Merlot",IF(L659=1,"Pinot noir","Other")))</f>
        <v>Other</v>
      </c>
      <c r="U659" s="1" t="str">
        <f>IF(F659=1,B659,"")</f>
        <v/>
      </c>
      <c r="V659" s="1">
        <f>IF(F659=0,B659,"")</f>
        <v>38</v>
      </c>
      <c r="W659" s="1">
        <f>'Part B'!$B$150+SUMPRODUCT('Part B'!$B$164:$N$164,C659:O659)</f>
        <v>29.5576539062025</v>
      </c>
      <c r="X659" s="1">
        <f>B659-W659</f>
        <v>8.44234609379754</v>
      </c>
      <c r="Y659" s="1">
        <f>'Part B'!$B$179+SUMPRODUCT('Part B'!$B$193:$N$193,C659:O659)</f>
        <v>3.0882823189293</v>
      </c>
      <c r="Z659" s="1">
        <f>P659-Y659</f>
        <v>0.54930384079709</v>
      </c>
      <c r="AB659" s="1">
        <f>C659</f>
        <v>0.28</v>
      </c>
      <c r="AC659" s="1">
        <f>D659</f>
        <v>89</v>
      </c>
      <c r="AD659" s="1">
        <f>E659</f>
        <v>3</v>
      </c>
      <c r="AE659" s="1">
        <f>F659</f>
        <v>0</v>
      </c>
      <c r="AF659" s="1">
        <f>G659</f>
        <v>1</v>
      </c>
      <c r="AG659" s="1">
        <f>I659</f>
        <v>0</v>
      </c>
      <c r="AH659" s="1">
        <f>J659</f>
        <v>0</v>
      </c>
      <c r="AI659" s="1">
        <f>Q659</f>
        <v>0</v>
      </c>
      <c r="AJ659" s="1">
        <f>K659</f>
        <v>0</v>
      </c>
      <c r="AK659" s="1">
        <f>L659</f>
        <v>0</v>
      </c>
      <c r="AL659" s="1">
        <f>M659</f>
        <v>0</v>
      </c>
      <c r="AM659" s="1">
        <f>N659</f>
        <v>0</v>
      </c>
      <c r="AN659" s="1">
        <f>O659</f>
        <v>0</v>
      </c>
    </row>
    <row r="660">
      <c r="A660" s="1">
        <v>907</v>
      </c>
      <c r="B660" s="1">
        <v>38</v>
      </c>
      <c r="C660" s="1">
        <v>0.93</v>
      </c>
      <c r="D660" s="1">
        <v>89</v>
      </c>
      <c r="E660" s="1">
        <v>3</v>
      </c>
      <c r="F660" s="1">
        <v>1</v>
      </c>
      <c r="G660" s="1">
        <v>0</v>
      </c>
      <c r="H660" s="1">
        <v>0</v>
      </c>
      <c r="I660" s="1">
        <v>0</v>
      </c>
      <c r="J660" s="1">
        <v>0</v>
      </c>
      <c r="K660" s="1">
        <v>0</v>
      </c>
      <c r="L660" s="1">
        <v>0</v>
      </c>
      <c r="M660" s="1">
        <v>1</v>
      </c>
      <c r="N660" s="1">
        <v>0</v>
      </c>
      <c r="O660" s="1">
        <v>0</v>
      </c>
      <c r="P660" s="1">
        <f>LN(B660)</f>
        <v>3.63758615972639</v>
      </c>
      <c r="Q660" s="1">
        <f>1-SUM(F660:J660)</f>
        <v>0</v>
      </c>
      <c r="R660" s="1" t="str">
        <f>IF(F660=1,"Napa valley",IF(G660=1,"Bay area",IF(H660=1,"Sonoma",IF(I660=1,"Sierra/foothills",IF(J660=1,"Mendocino/lake","Generic California")))))</f>
        <v>Napa valley</v>
      </c>
      <c r="S660" s="1" t="str">
        <f>IF(F660=1,"Napa valley",IF(H660=1,"Sonoma","Other"))</f>
        <v>Napa valley</v>
      </c>
      <c r="T660" s="1" t="str">
        <f>IF(M660=1,"Cabernet",IF(N660=1,"Merlot",IF(L660=1,"Pinot noir","Other")))</f>
        <v>Cabernet</v>
      </c>
      <c r="U660" s="1">
        <f>IF(F660=1,B660,"")</f>
        <v>38</v>
      </c>
      <c r="V660" s="1" t="str">
        <f>IF(F660=0,B660,"")</f>
        <v/>
      </c>
      <c r="W660" s="1">
        <f>'Part B'!$B$150+SUMPRODUCT('Part B'!$B$164:$N$164,C660:O660)</f>
        <v>46.9053403045354</v>
      </c>
      <c r="X660" s="1">
        <f>B660-W660</f>
        <v>-8.9053403045354</v>
      </c>
      <c r="Y660" s="1">
        <f>'Part B'!$B$179+SUMPRODUCT('Part B'!$B$193:$N$193,C660:O660)</f>
        <v>3.58122902575799</v>
      </c>
      <c r="Z660" s="1">
        <f>P660-Y660</f>
        <v>0.056357133968393</v>
      </c>
      <c r="AB660" s="1">
        <f>C660</f>
        <v>0.93</v>
      </c>
      <c r="AC660" s="1">
        <f>D660</f>
        <v>89</v>
      </c>
      <c r="AD660" s="1">
        <f>E660</f>
        <v>3</v>
      </c>
      <c r="AE660" s="1">
        <f>F660</f>
        <v>1</v>
      </c>
      <c r="AF660" s="1">
        <f>G660</f>
        <v>0</v>
      </c>
      <c r="AG660" s="1">
        <f>I660</f>
        <v>0</v>
      </c>
      <c r="AH660" s="1">
        <f>J660</f>
        <v>0</v>
      </c>
      <c r="AI660" s="1">
        <f>Q660</f>
        <v>0</v>
      </c>
      <c r="AJ660" s="1">
        <f>K660</f>
        <v>0</v>
      </c>
      <c r="AK660" s="1">
        <f>L660</f>
        <v>0</v>
      </c>
      <c r="AL660" s="1">
        <f>M660</f>
        <v>1</v>
      </c>
      <c r="AM660" s="1">
        <f>N660</f>
        <v>0</v>
      </c>
      <c r="AN660" s="1">
        <f>O660</f>
        <v>0</v>
      </c>
    </row>
    <row r="661">
      <c r="A661" s="1">
        <v>908</v>
      </c>
      <c r="B661" s="1">
        <v>38</v>
      </c>
      <c r="C661" s="1">
        <v>1.64</v>
      </c>
      <c r="D661" s="1">
        <v>88</v>
      </c>
      <c r="E661" s="1">
        <v>3</v>
      </c>
      <c r="F661" s="1">
        <v>1</v>
      </c>
      <c r="G661" s="1">
        <v>0</v>
      </c>
      <c r="H661" s="1">
        <v>0</v>
      </c>
      <c r="I661" s="1">
        <v>0</v>
      </c>
      <c r="J661" s="1">
        <v>0</v>
      </c>
      <c r="K661" s="1">
        <v>0</v>
      </c>
      <c r="L661" s="1">
        <v>0</v>
      </c>
      <c r="M661" s="1">
        <v>1</v>
      </c>
      <c r="N661" s="1">
        <v>0</v>
      </c>
      <c r="O661" s="1">
        <v>0</v>
      </c>
      <c r="P661" s="1">
        <f>LN(B661)</f>
        <v>3.63758615972639</v>
      </c>
      <c r="Q661" s="1">
        <f>1-SUM(F661:J661)</f>
        <v>0</v>
      </c>
      <c r="R661" s="1" t="str">
        <f>IF(F661=1,"Napa valley",IF(G661=1,"Bay area",IF(H661=1,"Sonoma",IF(I661=1,"Sierra/foothills",IF(J661=1,"Mendocino/lake","Generic California")))))</f>
        <v>Napa valley</v>
      </c>
      <c r="S661" s="1" t="str">
        <f>IF(F661=1,"Napa valley",IF(H661=1,"Sonoma","Other"))</f>
        <v>Napa valley</v>
      </c>
      <c r="T661" s="1" t="str">
        <f>IF(M661=1,"Cabernet",IF(N661=1,"Merlot",IF(L661=1,"Pinot noir","Other")))</f>
        <v>Cabernet</v>
      </c>
      <c r="U661" s="1">
        <f>IF(F661=1,B661,"")</f>
        <v>38</v>
      </c>
      <c r="V661" s="1" t="str">
        <f>IF(F661=0,B661,"")</f>
        <v/>
      </c>
      <c r="W661" s="1">
        <f>'Part B'!$B$150+SUMPRODUCT('Part B'!$B$164:$N$164,C661:O661)</f>
        <v>43.6928544357374</v>
      </c>
      <c r="X661" s="1">
        <f>B661-W661</f>
        <v>-5.69285443573739</v>
      </c>
      <c r="Y661" s="1">
        <f>'Part B'!$B$179+SUMPRODUCT('Part B'!$B$193:$N$193,C661:O661)</f>
        <v>3.50822951928756</v>
      </c>
      <c r="Z661" s="1">
        <f>P661-Y661</f>
        <v>0.12935664043883</v>
      </c>
      <c r="AB661" s="1">
        <f>C661</f>
        <v>1.64</v>
      </c>
      <c r="AC661" s="1">
        <f>D661</f>
        <v>88</v>
      </c>
      <c r="AD661" s="1">
        <f>E661</f>
        <v>3</v>
      </c>
      <c r="AE661" s="1">
        <f>F661</f>
        <v>1</v>
      </c>
      <c r="AF661" s="1">
        <f>G661</f>
        <v>0</v>
      </c>
      <c r="AG661" s="1">
        <f>I661</f>
        <v>0</v>
      </c>
      <c r="AH661" s="1">
        <f>J661</f>
        <v>0</v>
      </c>
      <c r="AI661" s="1">
        <f>Q661</f>
        <v>0</v>
      </c>
      <c r="AJ661" s="1">
        <f>K661</f>
        <v>0</v>
      </c>
      <c r="AK661" s="1">
        <f>L661</f>
        <v>0</v>
      </c>
      <c r="AL661" s="1">
        <f>M661</f>
        <v>1</v>
      </c>
      <c r="AM661" s="1">
        <f>N661</f>
        <v>0</v>
      </c>
      <c r="AN661" s="1">
        <f>O661</f>
        <v>0</v>
      </c>
    </row>
    <row r="662">
      <c r="A662" s="1">
        <v>909</v>
      </c>
      <c r="B662" s="1">
        <v>39</v>
      </c>
      <c r="C662" s="1">
        <v>0.38</v>
      </c>
      <c r="D662" s="1">
        <v>82</v>
      </c>
      <c r="E662" s="1">
        <v>4</v>
      </c>
      <c r="F662" s="1">
        <v>0</v>
      </c>
      <c r="G662" s="1">
        <v>0</v>
      </c>
      <c r="H662" s="1">
        <v>0</v>
      </c>
      <c r="I662" s="1">
        <v>1</v>
      </c>
      <c r="J662" s="1">
        <v>0</v>
      </c>
      <c r="K662" s="1">
        <v>0</v>
      </c>
      <c r="L662" s="1">
        <v>0</v>
      </c>
      <c r="M662" s="1">
        <v>1</v>
      </c>
      <c r="N662" s="1">
        <v>0</v>
      </c>
      <c r="O662" s="1">
        <v>0</v>
      </c>
      <c r="P662" s="1">
        <f>LN(B662)</f>
        <v>3.66356164612965</v>
      </c>
      <c r="Q662" s="1">
        <f>1-SUM(F662:J662)</f>
        <v>0</v>
      </c>
      <c r="R662" s="1" t="str">
        <f>IF(F662=1,"Napa valley",IF(G662=1,"Bay area",IF(H662=1,"Sonoma",IF(I662=1,"Sierra/foothills",IF(J662=1,"Mendocino/lake","Generic California")))))</f>
        <v>Sierra/foothills</v>
      </c>
      <c r="S662" s="1" t="str">
        <f>IF(F662=1,"Napa valley",IF(H662=1,"Sonoma","Other"))</f>
        <v>Other</v>
      </c>
      <c r="T662" s="1" t="str">
        <f>IF(M662=1,"Cabernet",IF(N662=1,"Merlot",IF(L662=1,"Pinot noir","Other")))</f>
        <v>Cabernet</v>
      </c>
      <c r="U662" s="1" t="str">
        <f>IF(F662=1,B662,"")</f>
        <v/>
      </c>
      <c r="V662" s="1">
        <f>IF(F662=0,B662,"")</f>
        <v>39</v>
      </c>
      <c r="W662" s="1">
        <f>'Part B'!$B$150+SUMPRODUCT('Part B'!$B$164:$N$164,C662:O662)</f>
        <v>29.5244363322374</v>
      </c>
      <c r="X662" s="1">
        <f>B662-W662</f>
        <v>9.47556366776263</v>
      </c>
      <c r="Y662" s="1">
        <f>'Part B'!$B$179+SUMPRODUCT('Part B'!$B$193:$N$193,C662:O662)</f>
        <v>3.0984533176596</v>
      </c>
      <c r="Z662" s="1">
        <f>P662-Y662</f>
        <v>0.565108328470048</v>
      </c>
      <c r="AB662" s="1">
        <f>C662</f>
        <v>0.38</v>
      </c>
      <c r="AC662" s="1">
        <f>D662</f>
        <v>82</v>
      </c>
      <c r="AD662" s="1">
        <f>E662</f>
        <v>4</v>
      </c>
      <c r="AE662" s="1">
        <f>F662</f>
        <v>0</v>
      </c>
      <c r="AF662" s="1">
        <f>G662</f>
        <v>0</v>
      </c>
      <c r="AG662" s="1">
        <f>I662</f>
        <v>1</v>
      </c>
      <c r="AH662" s="1">
        <f>J662</f>
        <v>0</v>
      </c>
      <c r="AI662" s="1">
        <f>Q662</f>
        <v>0</v>
      </c>
      <c r="AJ662" s="1">
        <f>K662</f>
        <v>0</v>
      </c>
      <c r="AK662" s="1">
        <f>L662</f>
        <v>0</v>
      </c>
      <c r="AL662" s="1">
        <f>M662</f>
        <v>1</v>
      </c>
      <c r="AM662" s="1">
        <f>N662</f>
        <v>0</v>
      </c>
      <c r="AN662" s="1">
        <f>O662</f>
        <v>0</v>
      </c>
    </row>
    <row r="663">
      <c r="A663" s="1">
        <v>910</v>
      </c>
      <c r="B663" s="1">
        <v>38</v>
      </c>
      <c r="C663" s="1">
        <v>0.171</v>
      </c>
      <c r="D663" s="1">
        <v>89</v>
      </c>
      <c r="E663" s="1">
        <v>2</v>
      </c>
      <c r="F663" s="1">
        <v>0</v>
      </c>
      <c r="G663" s="1">
        <v>0</v>
      </c>
      <c r="H663" s="1">
        <v>1</v>
      </c>
      <c r="I663" s="1">
        <v>0</v>
      </c>
      <c r="J663" s="1">
        <v>0</v>
      </c>
      <c r="K663" s="1">
        <v>0</v>
      </c>
      <c r="L663" s="1">
        <v>1</v>
      </c>
      <c r="M663" s="1">
        <v>0</v>
      </c>
      <c r="N663" s="1">
        <v>0</v>
      </c>
      <c r="O663" s="1">
        <v>0</v>
      </c>
      <c r="P663" s="1">
        <f>LN(B663)</f>
        <v>3.63758615972639</v>
      </c>
      <c r="Q663" s="1">
        <f>1-SUM(F663:J663)</f>
        <v>0</v>
      </c>
      <c r="R663" s="1" t="str">
        <f>IF(F663=1,"Napa valley",IF(G663=1,"Bay area",IF(H663=1,"Sonoma",IF(I663=1,"Sierra/foothills",IF(J663=1,"Mendocino/lake","Generic California")))))</f>
        <v>Sonoma</v>
      </c>
      <c r="S663" s="1" t="str">
        <f>IF(F663=1,"Napa valley",IF(H663=1,"Sonoma","Other"))</f>
        <v>Sonoma</v>
      </c>
      <c r="T663" s="1" t="str">
        <f>IF(M663=1,"Cabernet",IF(N663=1,"Merlot",IF(L663=1,"Pinot noir","Other")))</f>
        <v>Pinot noir</v>
      </c>
      <c r="U663" s="1" t="str">
        <f>IF(F663=1,B663,"")</f>
        <v/>
      </c>
      <c r="V663" s="1">
        <f>IF(F663=0,B663,"")</f>
        <v>38</v>
      </c>
      <c r="W663" s="1">
        <f>'Part B'!$B$150+SUMPRODUCT('Part B'!$B$164:$N$164,C663:O663)</f>
        <v>29.2883331619969</v>
      </c>
      <c r="X663" s="1">
        <f>B663-W663</f>
        <v>8.71166683800305</v>
      </c>
      <c r="Y663" s="1">
        <f>'Part B'!$B$179+SUMPRODUCT('Part B'!$B$193:$N$193,C663:O663)</f>
        <v>3.27913060805627</v>
      </c>
      <c r="Z663" s="1">
        <f>P663-Y663</f>
        <v>0.358455551670112</v>
      </c>
      <c r="AB663" s="1">
        <f>C663</f>
        <v>0.171</v>
      </c>
      <c r="AC663" s="1">
        <f>D663</f>
        <v>89</v>
      </c>
      <c r="AD663" s="1">
        <f>E663</f>
        <v>2</v>
      </c>
      <c r="AE663" s="1">
        <f>F663</f>
        <v>0</v>
      </c>
      <c r="AF663" s="1">
        <f>G663</f>
        <v>0</v>
      </c>
      <c r="AG663" s="1">
        <f>I663</f>
        <v>0</v>
      </c>
      <c r="AH663" s="1">
        <f>J663</f>
        <v>0</v>
      </c>
      <c r="AI663" s="1">
        <f>Q663</f>
        <v>0</v>
      </c>
      <c r="AJ663" s="1">
        <f>K663</f>
        <v>0</v>
      </c>
      <c r="AK663" s="1">
        <f>L663</f>
        <v>1</v>
      </c>
      <c r="AL663" s="1">
        <f>M663</f>
        <v>0</v>
      </c>
      <c r="AM663" s="1">
        <f>N663</f>
        <v>0</v>
      </c>
      <c r="AN663" s="1">
        <f>O663</f>
        <v>0</v>
      </c>
    </row>
    <row r="664">
      <c r="A664" s="1">
        <v>911</v>
      </c>
      <c r="B664" s="1">
        <v>40</v>
      </c>
      <c r="C664" s="1">
        <v>0.8</v>
      </c>
      <c r="D664" s="1">
        <v>89</v>
      </c>
      <c r="E664" s="1">
        <v>5</v>
      </c>
      <c r="F664" s="1">
        <v>1</v>
      </c>
      <c r="G664" s="1">
        <v>0</v>
      </c>
      <c r="H664" s="1">
        <v>0</v>
      </c>
      <c r="I664" s="1">
        <v>0</v>
      </c>
      <c r="J664" s="1">
        <v>0</v>
      </c>
      <c r="K664" s="1">
        <v>1</v>
      </c>
      <c r="L664" s="1">
        <v>0</v>
      </c>
      <c r="M664" s="1">
        <v>0</v>
      </c>
      <c r="N664" s="1">
        <v>0</v>
      </c>
      <c r="O664" s="1">
        <v>0</v>
      </c>
      <c r="P664" s="1">
        <f>LN(B664)</f>
        <v>3.68887945411394</v>
      </c>
      <c r="Q664" s="1">
        <f>1-SUM(F664:J664)</f>
        <v>0</v>
      </c>
      <c r="R664" s="1" t="str">
        <f>IF(F664=1,"Napa valley",IF(G664=1,"Bay area",IF(H664=1,"Sonoma",IF(I664=1,"Sierra/foothills",IF(J664=1,"Mendocino/lake","Generic California")))))</f>
        <v>Napa valley</v>
      </c>
      <c r="S664" s="1" t="str">
        <f>IF(F664=1,"Napa valley",IF(H664=1,"Sonoma","Other"))</f>
        <v>Napa valley</v>
      </c>
      <c r="T664" s="1" t="str">
        <f>IF(M664=1,"Cabernet",IF(N664=1,"Merlot",IF(L664=1,"Pinot noir","Other")))</f>
        <v>Other</v>
      </c>
      <c r="U664" s="1">
        <f>IF(F664=1,B664,"")</f>
        <v>40</v>
      </c>
      <c r="V664" s="1" t="str">
        <f>IF(F664=0,B664,"")</f>
        <v/>
      </c>
      <c r="W664" s="1">
        <f>'Part B'!$B$150+SUMPRODUCT('Part B'!$B$164:$N$164,C664:O664)</f>
        <v>67.8174283764934</v>
      </c>
      <c r="X664" s="1">
        <f>B664-W664</f>
        <v>-27.8174283764934</v>
      </c>
      <c r="Y664" s="1">
        <f>'Part B'!$B$179+SUMPRODUCT('Part B'!$B$193:$N$193,C664:O664)</f>
        <v>4.10554767300388</v>
      </c>
      <c r="Z664" s="1">
        <f>P664-Y664</f>
        <v>-0.416668218889941</v>
      </c>
      <c r="AB664" s="1">
        <f>C664</f>
        <v>0.8</v>
      </c>
      <c r="AC664" s="1">
        <f>D664</f>
        <v>89</v>
      </c>
      <c r="AD664" s="1">
        <f>E664</f>
        <v>5</v>
      </c>
      <c r="AE664" s="1">
        <f>F664</f>
        <v>1</v>
      </c>
      <c r="AF664" s="1">
        <f>G664</f>
        <v>0</v>
      </c>
      <c r="AG664" s="1">
        <f>I664</f>
        <v>0</v>
      </c>
      <c r="AH664" s="1">
        <f>J664</f>
        <v>0</v>
      </c>
      <c r="AI664" s="1">
        <f>Q664</f>
        <v>0</v>
      </c>
      <c r="AJ664" s="1">
        <f>K664</f>
        <v>1</v>
      </c>
      <c r="AK664" s="1">
        <f>L664</f>
        <v>0</v>
      </c>
      <c r="AL664" s="1">
        <f>M664</f>
        <v>0</v>
      </c>
      <c r="AM664" s="1">
        <f>N664</f>
        <v>0</v>
      </c>
      <c r="AN664" s="1">
        <f>O664</f>
        <v>0</v>
      </c>
    </row>
    <row r="665">
      <c r="A665" s="1">
        <v>912</v>
      </c>
      <c r="B665" s="1">
        <v>39</v>
      </c>
      <c r="C665" s="1">
        <v>0.85</v>
      </c>
      <c r="D665" s="1">
        <v>90</v>
      </c>
      <c r="E665" s="1">
        <v>3</v>
      </c>
      <c r="F665" s="1">
        <v>1</v>
      </c>
      <c r="G665" s="1">
        <v>0</v>
      </c>
      <c r="H665" s="1">
        <v>0</v>
      </c>
      <c r="I665" s="1">
        <v>0</v>
      </c>
      <c r="J665" s="1">
        <v>0</v>
      </c>
      <c r="K665" s="1">
        <v>0</v>
      </c>
      <c r="L665" s="1">
        <v>0</v>
      </c>
      <c r="M665" s="1">
        <v>1</v>
      </c>
      <c r="N665" s="1">
        <v>0</v>
      </c>
      <c r="O665" s="1">
        <v>0</v>
      </c>
      <c r="P665" s="1">
        <f>LN(B665)</f>
        <v>3.66356164612965</v>
      </c>
      <c r="Q665" s="1">
        <f>1-SUM(F665:J665)</f>
        <v>0</v>
      </c>
      <c r="R665" s="1" t="str">
        <f>IF(F665=1,"Napa valley",IF(G665=1,"Bay area",IF(H665=1,"Sonoma",IF(I665=1,"Sierra/foothills",IF(J665=1,"Mendocino/lake","Generic California")))))</f>
        <v>Napa valley</v>
      </c>
      <c r="S665" s="1" t="str">
        <f>IF(F665=1,"Napa valley",IF(H665=1,"Sonoma","Other"))</f>
        <v>Napa valley</v>
      </c>
      <c r="T665" s="1" t="str">
        <f>IF(M665=1,"Cabernet",IF(N665=1,"Merlot",IF(L665=1,"Pinot noir","Other")))</f>
        <v>Cabernet</v>
      </c>
      <c r="U665" s="1">
        <f>IF(F665=1,B665,"")</f>
        <v>39</v>
      </c>
      <c r="V665" s="1" t="str">
        <f>IF(F665=0,B665,"")</f>
        <v/>
      </c>
      <c r="W665" s="1">
        <f>'Part B'!$B$150+SUMPRODUCT('Part B'!$B$164:$N$164,C665:O665)</f>
        <v>50.0580304984664</v>
      </c>
      <c r="X665" s="1">
        <f>B665-W665</f>
        <v>-11.0580304984664</v>
      </c>
      <c r="Y665" s="1">
        <f>'Part B'!$B$179+SUMPRODUCT('Part B'!$B$193:$N$193,C665:O665)</f>
        <v>3.65153271992703</v>
      </c>
      <c r="Z665" s="1">
        <f>P665-Y665</f>
        <v>0.0120289262026203</v>
      </c>
      <c r="AB665" s="1">
        <f>C665</f>
        <v>0.85</v>
      </c>
      <c r="AC665" s="1">
        <f>D665</f>
        <v>90</v>
      </c>
      <c r="AD665" s="1">
        <f>E665</f>
        <v>3</v>
      </c>
      <c r="AE665" s="1">
        <f>F665</f>
        <v>1</v>
      </c>
      <c r="AF665" s="1">
        <f>G665</f>
        <v>0</v>
      </c>
      <c r="AG665" s="1">
        <f>I665</f>
        <v>0</v>
      </c>
      <c r="AH665" s="1">
        <f>J665</f>
        <v>0</v>
      </c>
      <c r="AI665" s="1">
        <f>Q665</f>
        <v>0</v>
      </c>
      <c r="AJ665" s="1">
        <f>K665</f>
        <v>0</v>
      </c>
      <c r="AK665" s="1">
        <f>L665</f>
        <v>0</v>
      </c>
      <c r="AL665" s="1">
        <f>M665</f>
        <v>1</v>
      </c>
      <c r="AM665" s="1">
        <f>N665</f>
        <v>0</v>
      </c>
      <c r="AN665" s="1">
        <f>O665</f>
        <v>0</v>
      </c>
    </row>
    <row r="666">
      <c r="A666" s="1">
        <v>913</v>
      </c>
      <c r="B666" s="1">
        <v>40</v>
      </c>
      <c r="C666" s="1">
        <v>0.324</v>
      </c>
      <c r="D666" s="1">
        <v>90</v>
      </c>
      <c r="E666" s="1">
        <v>4</v>
      </c>
      <c r="F666" s="1">
        <v>0</v>
      </c>
      <c r="G666" s="1">
        <v>0</v>
      </c>
      <c r="H666" s="1">
        <v>1</v>
      </c>
      <c r="I666" s="1">
        <v>0</v>
      </c>
      <c r="J666" s="1">
        <v>0</v>
      </c>
      <c r="K666" s="1">
        <v>0</v>
      </c>
      <c r="L666" s="1">
        <v>0</v>
      </c>
      <c r="M666" s="1">
        <v>0</v>
      </c>
      <c r="N666" s="1">
        <v>0</v>
      </c>
      <c r="O666" s="1">
        <v>1</v>
      </c>
      <c r="P666" s="1">
        <f>LN(B666)</f>
        <v>3.68887945411394</v>
      </c>
      <c r="Q666" s="1">
        <f>1-SUM(F666:J666)</f>
        <v>0</v>
      </c>
      <c r="R666" s="1" t="str">
        <f>IF(F666=1,"Napa valley",IF(G666=1,"Bay area",IF(H666=1,"Sonoma",IF(I666=1,"Sierra/foothills",IF(J666=1,"Mendocino/lake","Generic California")))))</f>
        <v>Sonoma</v>
      </c>
      <c r="S666" s="1" t="str">
        <f>IF(F666=1,"Napa valley",IF(H666=1,"Sonoma","Other"))</f>
        <v>Sonoma</v>
      </c>
      <c r="T666" s="1" t="str">
        <f>IF(M666=1,"Cabernet",IF(N666=1,"Merlot",IF(L666=1,"Pinot noir","Other")))</f>
        <v>Other</v>
      </c>
      <c r="U666" s="1" t="str">
        <f>IF(F666=1,B666,"")</f>
        <v/>
      </c>
      <c r="V666" s="1">
        <f>IF(F666=0,B666,"")</f>
        <v>40</v>
      </c>
      <c r="W666" s="1">
        <f>'Part B'!$B$150+SUMPRODUCT('Part B'!$B$164:$N$164,C666:O666)</f>
        <v>35.7975712371164</v>
      </c>
      <c r="X666" s="1">
        <f>B666-W666</f>
        <v>4.20242876288359</v>
      </c>
      <c r="Y666" s="1">
        <f>'Part B'!$B$179+SUMPRODUCT('Part B'!$B$193:$N$193,C666:O666)</f>
        <v>3.41131951763957</v>
      </c>
      <c r="Z666" s="1">
        <f>P666-Y666</f>
        <v>0.277559936474366</v>
      </c>
      <c r="AB666" s="1">
        <f>C666</f>
        <v>0.324</v>
      </c>
      <c r="AC666" s="1">
        <f>D666</f>
        <v>90</v>
      </c>
      <c r="AD666" s="1">
        <f>E666</f>
        <v>4</v>
      </c>
      <c r="AE666" s="1">
        <f>F666</f>
        <v>0</v>
      </c>
      <c r="AF666" s="1">
        <f>G666</f>
        <v>0</v>
      </c>
      <c r="AG666" s="1">
        <f>I666</f>
        <v>0</v>
      </c>
      <c r="AH666" s="1">
        <f>J666</f>
        <v>0</v>
      </c>
      <c r="AI666" s="1">
        <f>Q666</f>
        <v>0</v>
      </c>
      <c r="AJ666" s="1">
        <f>K666</f>
        <v>0</v>
      </c>
      <c r="AK666" s="1">
        <f>L666</f>
        <v>0</v>
      </c>
      <c r="AL666" s="1">
        <f>M666</f>
        <v>0</v>
      </c>
      <c r="AM666" s="1">
        <f>N666</f>
        <v>0</v>
      </c>
      <c r="AN666" s="1">
        <f>O666</f>
        <v>1</v>
      </c>
    </row>
    <row r="667">
      <c r="A667" s="1">
        <v>914</v>
      </c>
      <c r="B667" s="1">
        <v>40</v>
      </c>
      <c r="C667" s="1">
        <v>1.672</v>
      </c>
      <c r="D667" s="1">
        <v>89</v>
      </c>
      <c r="E667" s="1">
        <v>4</v>
      </c>
      <c r="F667" s="1">
        <v>1</v>
      </c>
      <c r="G667" s="1">
        <v>0</v>
      </c>
      <c r="H667" s="1">
        <v>0</v>
      </c>
      <c r="I667" s="1">
        <v>0</v>
      </c>
      <c r="J667" s="1">
        <v>0</v>
      </c>
      <c r="K667" s="1">
        <v>0</v>
      </c>
      <c r="L667" s="1">
        <v>0</v>
      </c>
      <c r="M667" s="1">
        <v>1</v>
      </c>
      <c r="N667" s="1">
        <v>0</v>
      </c>
      <c r="O667" s="1">
        <v>0</v>
      </c>
      <c r="P667" s="1">
        <f>LN(B667)</f>
        <v>3.68887945411394</v>
      </c>
      <c r="Q667" s="1">
        <f>1-SUM(F667:J667)</f>
        <v>0</v>
      </c>
      <c r="R667" s="1" t="str">
        <f>IF(F667=1,"Napa valley",IF(G667=1,"Bay area",IF(H667=1,"Sonoma",IF(I667=1,"Sierra/foothills",IF(J667=1,"Mendocino/lake","Generic California")))))</f>
        <v>Napa valley</v>
      </c>
      <c r="S667" s="1" t="str">
        <f>IF(F667=1,"Napa valley",IF(H667=1,"Sonoma","Other"))</f>
        <v>Napa valley</v>
      </c>
      <c r="T667" s="1" t="str">
        <f>IF(M667=1,"Cabernet",IF(N667=1,"Merlot",IF(L667=1,"Pinot noir","Other")))</f>
        <v>Cabernet</v>
      </c>
      <c r="U667" s="1">
        <f>IF(F667=1,B667,"")</f>
        <v>40</v>
      </c>
      <c r="V667" s="1" t="str">
        <f>IF(F667=0,B667,"")</f>
        <v/>
      </c>
      <c r="W667" s="1">
        <f>'Part B'!$B$150+SUMPRODUCT('Part B'!$B$164:$N$164,C667:O667)</f>
        <v>53.4545190458479</v>
      </c>
      <c r="X667" s="1">
        <f>B667-W667</f>
        <v>-13.4545190458479</v>
      </c>
      <c r="Y667" s="1">
        <f>'Part B'!$B$179+SUMPRODUCT('Part B'!$B$193:$N$193,C667:O667)</f>
        <v>3.76113924037795</v>
      </c>
      <c r="Z667" s="1">
        <f>P667-Y667</f>
        <v>-0.0722597862640142</v>
      </c>
      <c r="AB667" s="1">
        <f>C667</f>
        <v>1.672</v>
      </c>
      <c r="AC667" s="1">
        <f>D667</f>
        <v>89</v>
      </c>
      <c r="AD667" s="1">
        <f>E667</f>
        <v>4</v>
      </c>
      <c r="AE667" s="1">
        <f>F667</f>
        <v>1</v>
      </c>
      <c r="AF667" s="1">
        <f>G667</f>
        <v>0</v>
      </c>
      <c r="AG667" s="1">
        <f>I667</f>
        <v>0</v>
      </c>
      <c r="AH667" s="1">
        <f>J667</f>
        <v>0</v>
      </c>
      <c r="AI667" s="1">
        <f>Q667</f>
        <v>0</v>
      </c>
      <c r="AJ667" s="1">
        <f>K667</f>
        <v>0</v>
      </c>
      <c r="AK667" s="1">
        <f>L667</f>
        <v>0</v>
      </c>
      <c r="AL667" s="1">
        <f>M667</f>
        <v>1</v>
      </c>
      <c r="AM667" s="1">
        <f>N667</f>
        <v>0</v>
      </c>
      <c r="AN667" s="1">
        <f>O667</f>
        <v>0</v>
      </c>
    </row>
    <row r="668">
      <c r="A668" s="1">
        <v>915</v>
      </c>
      <c r="B668" s="1">
        <v>40</v>
      </c>
      <c r="C668" s="1">
        <v>0.262</v>
      </c>
      <c r="D668" s="1">
        <v>88</v>
      </c>
      <c r="E668" s="1">
        <v>4</v>
      </c>
      <c r="F668" s="1">
        <v>1</v>
      </c>
      <c r="G668" s="1">
        <v>0</v>
      </c>
      <c r="H668" s="1">
        <v>0</v>
      </c>
      <c r="I668" s="1">
        <v>0</v>
      </c>
      <c r="J668" s="1">
        <v>0</v>
      </c>
      <c r="K668" s="1">
        <v>0</v>
      </c>
      <c r="L668" s="1">
        <v>0</v>
      </c>
      <c r="M668" s="1">
        <v>1</v>
      </c>
      <c r="N668" s="1">
        <v>0</v>
      </c>
      <c r="O668" s="1">
        <v>0</v>
      </c>
      <c r="P668" s="1">
        <f>LN(B668)</f>
        <v>3.68887945411394</v>
      </c>
      <c r="Q668" s="1">
        <f>1-SUM(F668:J668)</f>
        <v>0</v>
      </c>
      <c r="R668" s="1" t="str">
        <f>IF(F668=1,"Napa valley",IF(G668=1,"Bay area",IF(H668=1,"Sonoma",IF(I668=1,"Sierra/foothills",IF(J668=1,"Mendocino/lake","Generic California")))))</f>
        <v>Napa valley</v>
      </c>
      <c r="S668" s="1" t="str">
        <f>IF(F668=1,"Napa valley",IF(H668=1,"Sonoma","Other"))</f>
        <v>Napa valley</v>
      </c>
      <c r="T668" s="1" t="str">
        <f>IF(M668=1,"Cabernet",IF(N668=1,"Merlot",IF(L668=1,"Pinot noir","Other")))</f>
        <v>Cabernet</v>
      </c>
      <c r="U668" s="1">
        <f>IF(F668=1,B668,"")</f>
        <v>40</v>
      </c>
      <c r="V668" s="1" t="str">
        <f>IF(F668=0,B668,"")</f>
        <v/>
      </c>
      <c r="W668" s="1">
        <f>'Part B'!$B$150+SUMPRODUCT('Part B'!$B$164:$N$164,C668:O668)</f>
        <v>50.4432503686656</v>
      </c>
      <c r="X668" s="1">
        <f>B668-W668</f>
        <v>-10.4432503686656</v>
      </c>
      <c r="Y668" s="1">
        <f>'Part B'!$B$179+SUMPRODUCT('Part B'!$B$193:$N$193,C668:O668)</f>
        <v>3.69721135625509</v>
      </c>
      <c r="Z668" s="1">
        <f>P668-Y668</f>
        <v>-0.00833190214115431</v>
      </c>
      <c r="AB668" s="1">
        <f>C668</f>
        <v>0.262</v>
      </c>
      <c r="AC668" s="1">
        <f>D668</f>
        <v>88</v>
      </c>
      <c r="AD668" s="1">
        <f>E668</f>
        <v>4</v>
      </c>
      <c r="AE668" s="1">
        <f>F668</f>
        <v>1</v>
      </c>
      <c r="AF668" s="1">
        <f>G668</f>
        <v>0</v>
      </c>
      <c r="AG668" s="1">
        <f>I668</f>
        <v>0</v>
      </c>
      <c r="AH668" s="1">
        <f>J668</f>
        <v>0</v>
      </c>
      <c r="AI668" s="1">
        <f>Q668</f>
        <v>0</v>
      </c>
      <c r="AJ668" s="1">
        <f>K668</f>
        <v>0</v>
      </c>
      <c r="AK668" s="1">
        <f>L668</f>
        <v>0</v>
      </c>
      <c r="AL668" s="1">
        <f>M668</f>
        <v>1</v>
      </c>
      <c r="AM668" s="1">
        <f>N668</f>
        <v>0</v>
      </c>
      <c r="AN668" s="1">
        <f>O668</f>
        <v>0</v>
      </c>
    </row>
    <row r="669">
      <c r="A669" s="1">
        <v>916</v>
      </c>
      <c r="B669" s="1">
        <v>40</v>
      </c>
      <c r="C669" s="1">
        <v>0.7</v>
      </c>
      <c r="D669" s="1">
        <v>87</v>
      </c>
      <c r="E669" s="1">
        <v>4</v>
      </c>
      <c r="F669" s="1">
        <v>0</v>
      </c>
      <c r="G669" s="1">
        <v>0</v>
      </c>
      <c r="H669" s="1">
        <v>1</v>
      </c>
      <c r="I669" s="1">
        <v>0</v>
      </c>
      <c r="J669" s="1">
        <v>0</v>
      </c>
      <c r="K669" s="1">
        <v>0</v>
      </c>
      <c r="L669" s="1">
        <v>0</v>
      </c>
      <c r="M669" s="1">
        <v>1</v>
      </c>
      <c r="N669" s="1">
        <v>0</v>
      </c>
      <c r="O669" s="1">
        <v>0</v>
      </c>
      <c r="P669" s="1">
        <f>LN(B669)</f>
        <v>3.68887945411394</v>
      </c>
      <c r="Q669" s="1">
        <f>1-SUM(F669:J669)</f>
        <v>0</v>
      </c>
      <c r="R669" s="1" t="str">
        <f>IF(F669=1,"Napa valley",IF(G669=1,"Bay area",IF(H669=1,"Sonoma",IF(I669=1,"Sierra/foothills",IF(J669=1,"Mendocino/lake","Generic California")))))</f>
        <v>Sonoma</v>
      </c>
      <c r="S669" s="1" t="str">
        <f>IF(F669=1,"Napa valley",IF(H669=1,"Sonoma","Other"))</f>
        <v>Sonoma</v>
      </c>
      <c r="T669" s="1" t="str">
        <f>IF(M669=1,"Cabernet",IF(N669=1,"Merlot",IF(L669=1,"Pinot noir","Other")))</f>
        <v>Cabernet</v>
      </c>
      <c r="U669" s="1" t="str">
        <f>IF(F669=1,B669,"")</f>
        <v/>
      </c>
      <c r="V669" s="1">
        <f>IF(F669=0,B669,"")</f>
        <v>40</v>
      </c>
      <c r="W669" s="1">
        <f>'Part B'!$B$150+SUMPRODUCT('Part B'!$B$164:$N$164,C669:O669)</f>
        <v>39.3601332254098</v>
      </c>
      <c r="X669" s="1">
        <f>B669-W669</f>
        <v>0.639866774590189</v>
      </c>
      <c r="Y669" s="1">
        <f>'Part B'!$B$179+SUMPRODUCT('Part B'!$B$193:$N$193,C669:O669)</f>
        <v>3.47758819114795</v>
      </c>
      <c r="Z669" s="1">
        <f>P669-Y669</f>
        <v>0.21129126296599</v>
      </c>
      <c r="AB669" s="1">
        <f>C669</f>
        <v>0.7</v>
      </c>
      <c r="AC669" s="1">
        <f>D669</f>
        <v>87</v>
      </c>
      <c r="AD669" s="1">
        <f>E669</f>
        <v>4</v>
      </c>
      <c r="AE669" s="1">
        <f>F669</f>
        <v>0</v>
      </c>
      <c r="AF669" s="1">
        <f>G669</f>
        <v>0</v>
      </c>
      <c r="AG669" s="1">
        <f>I669</f>
        <v>0</v>
      </c>
      <c r="AH669" s="1">
        <f>J669</f>
        <v>0</v>
      </c>
      <c r="AI669" s="1">
        <f>Q669</f>
        <v>0</v>
      </c>
      <c r="AJ669" s="1">
        <f>K669</f>
        <v>0</v>
      </c>
      <c r="AK669" s="1">
        <f>L669</f>
        <v>0</v>
      </c>
      <c r="AL669" s="1">
        <f>M669</f>
        <v>1</v>
      </c>
      <c r="AM669" s="1">
        <f>N669</f>
        <v>0</v>
      </c>
      <c r="AN669" s="1">
        <f>O669</f>
        <v>0</v>
      </c>
    </row>
    <row r="670">
      <c r="A670" s="1">
        <v>917</v>
      </c>
      <c r="B670" s="1">
        <v>40</v>
      </c>
      <c r="C670" s="1">
        <v>1.9</v>
      </c>
      <c r="D670" s="1">
        <v>86</v>
      </c>
      <c r="E670" s="1">
        <v>4</v>
      </c>
      <c r="F670" s="1">
        <v>1</v>
      </c>
      <c r="G670" s="1">
        <v>0</v>
      </c>
      <c r="H670" s="1">
        <v>0</v>
      </c>
      <c r="I670" s="1">
        <v>0</v>
      </c>
      <c r="J670" s="1">
        <v>0</v>
      </c>
      <c r="K670" s="1">
        <v>1</v>
      </c>
      <c r="L670" s="1">
        <v>0</v>
      </c>
      <c r="M670" s="1">
        <v>0</v>
      </c>
      <c r="N670" s="1">
        <v>0</v>
      </c>
      <c r="O670" s="1">
        <v>0</v>
      </c>
      <c r="P670" s="1">
        <f>LN(B670)</f>
        <v>3.68887945411394</v>
      </c>
      <c r="Q670" s="1">
        <f>1-SUM(F670:J670)</f>
        <v>0</v>
      </c>
      <c r="R670" s="1" t="str">
        <f>IF(F670=1,"Napa valley",IF(G670=1,"Bay area",IF(H670=1,"Sonoma",IF(I670=1,"Sierra/foothills",IF(J670=1,"Mendocino/lake","Generic California")))))</f>
        <v>Napa valley</v>
      </c>
      <c r="S670" s="1" t="str">
        <f>IF(F670=1,"Napa valley",IF(H670=1,"Sonoma","Other"))</f>
        <v>Napa valley</v>
      </c>
      <c r="T670" s="1" t="str">
        <f>IF(M670=1,"Cabernet",IF(N670=1,"Merlot",IF(L670=1,"Pinot noir","Other")))</f>
        <v>Other</v>
      </c>
      <c r="U670" s="1">
        <f>IF(F670=1,B670,"")</f>
        <v>40</v>
      </c>
      <c r="V670" s="1" t="str">
        <f>IF(F670=0,B670,"")</f>
        <v/>
      </c>
      <c r="W670" s="1">
        <f>'Part B'!$B$150+SUMPRODUCT('Part B'!$B$164:$N$164,C670:O670)</f>
        <v>51.6581271944404</v>
      </c>
      <c r="X670" s="1">
        <f>B670-W670</f>
        <v>-11.6581271944404</v>
      </c>
      <c r="Y670" s="1">
        <f>'Part B'!$B$179+SUMPRODUCT('Part B'!$B$193:$N$193,C670:O670)</f>
        <v>3.7078713103104</v>
      </c>
      <c r="Z670" s="1">
        <f>P670-Y670</f>
        <v>-0.0189918561964597</v>
      </c>
      <c r="AB670" s="1">
        <f>C670</f>
        <v>1.9</v>
      </c>
      <c r="AC670" s="1">
        <f>D670</f>
        <v>86</v>
      </c>
      <c r="AD670" s="1">
        <f>E670</f>
        <v>4</v>
      </c>
      <c r="AE670" s="1">
        <f>F670</f>
        <v>1</v>
      </c>
      <c r="AF670" s="1">
        <f>G670</f>
        <v>0</v>
      </c>
      <c r="AG670" s="1">
        <f>I670</f>
        <v>0</v>
      </c>
      <c r="AH670" s="1">
        <f>J670</f>
        <v>0</v>
      </c>
      <c r="AI670" s="1">
        <f>Q670</f>
        <v>0</v>
      </c>
      <c r="AJ670" s="1">
        <f>K670</f>
        <v>1</v>
      </c>
      <c r="AK670" s="1">
        <f>L670</f>
        <v>0</v>
      </c>
      <c r="AL670" s="1">
        <f>M670</f>
        <v>0</v>
      </c>
      <c r="AM670" s="1">
        <f>N670</f>
        <v>0</v>
      </c>
      <c r="AN670" s="1">
        <f>O670</f>
        <v>0</v>
      </c>
    </row>
    <row r="671">
      <c r="A671" s="1">
        <v>918</v>
      </c>
      <c r="B671" s="1">
        <v>40</v>
      </c>
      <c r="C671" s="1">
        <v>0.25</v>
      </c>
      <c r="D671" s="1">
        <v>87</v>
      </c>
      <c r="E671" s="1">
        <v>3</v>
      </c>
      <c r="F671" s="1">
        <v>1</v>
      </c>
      <c r="G671" s="1">
        <v>0</v>
      </c>
      <c r="H671" s="1">
        <v>0</v>
      </c>
      <c r="I671" s="1">
        <v>0</v>
      </c>
      <c r="J671" s="1">
        <v>0</v>
      </c>
      <c r="K671" s="1">
        <v>0</v>
      </c>
      <c r="L671" s="1">
        <v>1</v>
      </c>
      <c r="M671" s="1">
        <v>0</v>
      </c>
      <c r="N671" s="1">
        <v>0</v>
      </c>
      <c r="O671" s="1">
        <v>0</v>
      </c>
      <c r="P671" s="1">
        <f>LN(B671)</f>
        <v>3.68887945411394</v>
      </c>
      <c r="Q671" s="1">
        <f>1-SUM(F671:J671)</f>
        <v>0</v>
      </c>
      <c r="R671" s="1" t="str">
        <f>IF(F671=1,"Napa valley",IF(G671=1,"Bay area",IF(H671=1,"Sonoma",IF(I671=1,"Sierra/foothills",IF(J671=1,"Mendocino/lake","Generic California")))))</f>
        <v>Napa valley</v>
      </c>
      <c r="S671" s="1" t="str">
        <f>IF(F671=1,"Napa valley",IF(H671=1,"Sonoma","Other"))</f>
        <v>Napa valley</v>
      </c>
      <c r="T671" s="1" t="str">
        <f>IF(M671=1,"Cabernet",IF(N671=1,"Merlot",IF(L671=1,"Pinot noir","Other")))</f>
        <v>Pinot noir</v>
      </c>
      <c r="U671" s="1">
        <f>IF(F671=1,B671,"")</f>
        <v>40</v>
      </c>
      <c r="V671" s="1" t="str">
        <f>IF(F671=0,B671,"")</f>
        <v/>
      </c>
      <c r="W671" s="1">
        <f>'Part B'!$B$150+SUMPRODUCT('Part B'!$B$164:$N$164,C671:O671)</f>
        <v>37.5066933676501</v>
      </c>
      <c r="X671" s="1">
        <f>B671-W671</f>
        <v>2.49330663234986</v>
      </c>
      <c r="Y671" s="1">
        <f>'Part B'!$B$179+SUMPRODUCT('Part B'!$B$193:$N$193,C671:O671)</f>
        <v>3.46974267149874</v>
      </c>
      <c r="Z671" s="1">
        <f>P671-Y671</f>
        <v>0.219136782615199</v>
      </c>
      <c r="AB671" s="1">
        <f>C671</f>
        <v>0.25</v>
      </c>
      <c r="AC671" s="1">
        <f>D671</f>
        <v>87</v>
      </c>
      <c r="AD671" s="1">
        <f>E671</f>
        <v>3</v>
      </c>
      <c r="AE671" s="1">
        <f>F671</f>
        <v>1</v>
      </c>
      <c r="AF671" s="1">
        <f>G671</f>
        <v>0</v>
      </c>
      <c r="AG671" s="1">
        <f>I671</f>
        <v>0</v>
      </c>
      <c r="AH671" s="1">
        <f>J671</f>
        <v>0</v>
      </c>
      <c r="AI671" s="1">
        <f>Q671</f>
        <v>0</v>
      </c>
      <c r="AJ671" s="1">
        <f>K671</f>
        <v>0</v>
      </c>
      <c r="AK671" s="1">
        <f>L671</f>
        <v>1</v>
      </c>
      <c r="AL671" s="1">
        <f>M671</f>
        <v>0</v>
      </c>
      <c r="AM671" s="1">
        <f>N671</f>
        <v>0</v>
      </c>
      <c r="AN671" s="1">
        <f>O671</f>
        <v>0</v>
      </c>
    </row>
    <row r="672">
      <c r="A672" s="1">
        <v>919</v>
      </c>
      <c r="B672" s="1">
        <v>40</v>
      </c>
      <c r="C672" s="1">
        <v>5.706</v>
      </c>
      <c r="D672" s="1">
        <v>90</v>
      </c>
      <c r="E672" s="1">
        <v>3</v>
      </c>
      <c r="F672" s="1">
        <v>0</v>
      </c>
      <c r="G672" s="1">
        <v>0</v>
      </c>
      <c r="H672" s="1">
        <v>1</v>
      </c>
      <c r="I672" s="1">
        <v>0</v>
      </c>
      <c r="J672" s="1">
        <v>0</v>
      </c>
      <c r="K672" s="1">
        <v>1</v>
      </c>
      <c r="L672" s="1">
        <v>0</v>
      </c>
      <c r="M672" s="1">
        <v>0</v>
      </c>
      <c r="N672" s="1">
        <v>0</v>
      </c>
      <c r="O672" s="1">
        <v>0</v>
      </c>
      <c r="P672" s="1">
        <f>LN(B672)</f>
        <v>3.68887945411394</v>
      </c>
      <c r="Q672" s="1">
        <f>1-SUM(F672:J672)</f>
        <v>0</v>
      </c>
      <c r="R672" s="1" t="str">
        <f>IF(F672=1,"Napa valley",IF(G672=1,"Bay area",IF(H672=1,"Sonoma",IF(I672=1,"Sierra/foothills",IF(J672=1,"Mendocino/lake","Generic California")))))</f>
        <v>Sonoma</v>
      </c>
      <c r="S672" s="1" t="str">
        <f>IF(F672=1,"Napa valley",IF(H672=1,"Sonoma","Other"))</f>
        <v>Sonoma</v>
      </c>
      <c r="T672" s="1" t="str">
        <f>IF(M672=1,"Cabernet",IF(N672=1,"Merlot",IF(L672=1,"Pinot noir","Other")))</f>
        <v>Other</v>
      </c>
      <c r="U672" s="1" t="str">
        <f>IF(F672=1,B672,"")</f>
        <v/>
      </c>
      <c r="V672" s="1">
        <f>IF(F672=0,B672,"")</f>
        <v>40</v>
      </c>
      <c r="W672" s="1">
        <f>'Part B'!$B$150+SUMPRODUCT('Part B'!$B$164:$N$164,C672:O672)</f>
        <v>49.3612211784957</v>
      </c>
      <c r="X672" s="1">
        <f>B672-W672</f>
        <v>-9.36122117849567</v>
      </c>
      <c r="Y672" s="1">
        <f>'Part B'!$B$179+SUMPRODUCT('Part B'!$B$193:$N$193,C672:O672)</f>
        <v>3.64055780860413</v>
      </c>
      <c r="Z672" s="1">
        <f>P672-Y672</f>
        <v>0.0483216455098012</v>
      </c>
      <c r="AB672" s="1">
        <f>C672</f>
        <v>5.706</v>
      </c>
      <c r="AC672" s="1">
        <f>D672</f>
        <v>90</v>
      </c>
      <c r="AD672" s="1">
        <f>E672</f>
        <v>3</v>
      </c>
      <c r="AE672" s="1">
        <f>F672</f>
        <v>0</v>
      </c>
      <c r="AF672" s="1">
        <f>G672</f>
        <v>0</v>
      </c>
      <c r="AG672" s="1">
        <f>I672</f>
        <v>0</v>
      </c>
      <c r="AH672" s="1">
        <f>J672</f>
        <v>0</v>
      </c>
      <c r="AI672" s="1">
        <f>Q672</f>
        <v>0</v>
      </c>
      <c r="AJ672" s="1">
        <f>K672</f>
        <v>1</v>
      </c>
      <c r="AK672" s="1">
        <f>L672</f>
        <v>0</v>
      </c>
      <c r="AL672" s="1">
        <f>M672</f>
        <v>0</v>
      </c>
      <c r="AM672" s="1">
        <f>N672</f>
        <v>0</v>
      </c>
      <c r="AN672" s="1">
        <f>O672</f>
        <v>0</v>
      </c>
    </row>
    <row r="673">
      <c r="A673" s="1">
        <v>921</v>
      </c>
      <c r="B673" s="1">
        <v>40</v>
      </c>
      <c r="C673" s="1">
        <v>0.16</v>
      </c>
      <c r="D673" s="1">
        <v>85</v>
      </c>
      <c r="E673" s="1">
        <v>3</v>
      </c>
      <c r="F673" s="1">
        <v>0</v>
      </c>
      <c r="G673" s="1">
        <v>0</v>
      </c>
      <c r="H673" s="1">
        <v>1</v>
      </c>
      <c r="I673" s="1">
        <v>0</v>
      </c>
      <c r="J673" s="1">
        <v>0</v>
      </c>
      <c r="K673" s="1">
        <v>0</v>
      </c>
      <c r="L673" s="1">
        <v>1</v>
      </c>
      <c r="M673" s="1">
        <v>0</v>
      </c>
      <c r="N673" s="1">
        <v>0</v>
      </c>
      <c r="O673" s="1">
        <v>0</v>
      </c>
      <c r="P673" s="1">
        <f>LN(B673)</f>
        <v>3.68887945411394</v>
      </c>
      <c r="Q673" s="1">
        <f>1-SUM(F673:J673)</f>
        <v>0</v>
      </c>
      <c r="R673" s="1" t="str">
        <f>IF(F673=1,"Napa valley",IF(G673=1,"Bay area",IF(H673=1,"Sonoma",IF(I673=1,"Sierra/foothills",IF(J673=1,"Mendocino/lake","Generic California")))))</f>
        <v>Sonoma</v>
      </c>
      <c r="S673" s="1" t="str">
        <f>IF(F673=1,"Napa valley",IF(H673=1,"Sonoma","Other"))</f>
        <v>Sonoma</v>
      </c>
      <c r="T673" s="1" t="str">
        <f>IF(M673=1,"Cabernet",IF(N673=1,"Merlot",IF(L673=1,"Pinot noir","Other")))</f>
        <v>Pinot noir</v>
      </c>
      <c r="U673" s="1" t="str">
        <f>IF(F673=1,B673,"")</f>
        <v/>
      </c>
      <c r="V673" s="1">
        <f>IF(F673=0,B673,"")</f>
        <v>40</v>
      </c>
      <c r="W673" s="1">
        <f>'Part B'!$B$150+SUMPRODUCT('Part B'!$B$164:$N$164,C673:O673)</f>
        <v>23.3285936023983</v>
      </c>
      <c r="X673" s="1">
        <f>B673-W673</f>
        <v>16.6714063976017</v>
      </c>
      <c r="Y673" s="1">
        <f>'Part B'!$B$179+SUMPRODUCT('Part B'!$B$193:$N$193,C673:O673)</f>
        <v>3.18241748504677</v>
      </c>
      <c r="Z673" s="1">
        <f>P673-Y673</f>
        <v>0.506461969067165</v>
      </c>
      <c r="AB673" s="1">
        <f>C673</f>
        <v>0.16</v>
      </c>
      <c r="AC673" s="1">
        <f>D673</f>
        <v>85</v>
      </c>
      <c r="AD673" s="1">
        <f>E673</f>
        <v>3</v>
      </c>
      <c r="AE673" s="1">
        <f>F673</f>
        <v>0</v>
      </c>
      <c r="AF673" s="1">
        <f>G673</f>
        <v>0</v>
      </c>
      <c r="AG673" s="1">
        <f>I673</f>
        <v>0</v>
      </c>
      <c r="AH673" s="1">
        <f>J673</f>
        <v>0</v>
      </c>
      <c r="AI673" s="1">
        <f>Q673</f>
        <v>0</v>
      </c>
      <c r="AJ673" s="1">
        <f>K673</f>
        <v>0</v>
      </c>
      <c r="AK673" s="1">
        <f>L673</f>
        <v>1</v>
      </c>
      <c r="AL673" s="1">
        <f>M673</f>
        <v>0</v>
      </c>
      <c r="AM673" s="1">
        <f>N673</f>
        <v>0</v>
      </c>
      <c r="AN673" s="1">
        <f>O673</f>
        <v>0</v>
      </c>
    </row>
    <row r="674">
      <c r="A674" s="1">
        <v>922</v>
      </c>
      <c r="B674" s="1">
        <v>40</v>
      </c>
      <c r="C674" s="1">
        <v>0.37</v>
      </c>
      <c r="D674" s="1">
        <v>87</v>
      </c>
      <c r="E674" s="1">
        <v>3</v>
      </c>
      <c r="F674" s="1">
        <v>1</v>
      </c>
      <c r="G674" s="1">
        <v>0</v>
      </c>
      <c r="H674" s="1">
        <v>0</v>
      </c>
      <c r="I674" s="1">
        <v>0</v>
      </c>
      <c r="J674" s="1">
        <v>0</v>
      </c>
      <c r="K674" s="1">
        <v>0</v>
      </c>
      <c r="L674" s="1">
        <v>0</v>
      </c>
      <c r="M674" s="1">
        <v>0</v>
      </c>
      <c r="N674" s="1">
        <v>0</v>
      </c>
      <c r="O674" s="1">
        <v>1</v>
      </c>
      <c r="P674" s="1">
        <f>LN(B674)</f>
        <v>3.68887945411394</v>
      </c>
      <c r="Q674" s="1">
        <f>1-SUM(F674:J674)</f>
        <v>0</v>
      </c>
      <c r="R674" s="1" t="str">
        <f>IF(F674=1,"Napa valley",IF(G674=1,"Bay area",IF(H674=1,"Sonoma",IF(I674=1,"Sierra/foothills",IF(J674=1,"Mendocino/lake","Generic California")))))</f>
        <v>Napa valley</v>
      </c>
      <c r="S674" s="1" t="str">
        <f>IF(F674=1,"Napa valley",IF(H674=1,"Sonoma","Other"))</f>
        <v>Napa valley</v>
      </c>
      <c r="T674" s="1" t="str">
        <f>IF(M674=1,"Cabernet",IF(N674=1,"Merlot",IF(L674=1,"Pinot noir","Other")))</f>
        <v>Other</v>
      </c>
      <c r="U674" s="1">
        <f>IF(F674=1,B674,"")</f>
        <v>40</v>
      </c>
      <c r="V674" s="1" t="str">
        <f>IF(F674=0,B674,"")</f>
        <v/>
      </c>
      <c r="W674" s="1">
        <f>'Part B'!$B$150+SUMPRODUCT('Part B'!$B$164:$N$164,C674:O674)</f>
        <v>27.6347569880507</v>
      </c>
      <c r="X674" s="1">
        <f>B674-W674</f>
        <v>12.3652430119493</v>
      </c>
      <c r="Y674" s="1">
        <f>'Part B'!$B$179+SUMPRODUCT('Part B'!$B$193:$N$193,C674:O674)</f>
        <v>3.16594085661718</v>
      </c>
      <c r="Z674" s="1">
        <f>P674-Y674</f>
        <v>0.522938597496759</v>
      </c>
      <c r="AB674" s="1">
        <f>C674</f>
        <v>0.37</v>
      </c>
      <c r="AC674" s="1">
        <f>D674</f>
        <v>87</v>
      </c>
      <c r="AD674" s="1">
        <f>E674</f>
        <v>3</v>
      </c>
      <c r="AE674" s="1">
        <f>F674</f>
        <v>1</v>
      </c>
      <c r="AF674" s="1">
        <f>G674</f>
        <v>0</v>
      </c>
      <c r="AG674" s="1">
        <f>I674</f>
        <v>0</v>
      </c>
      <c r="AH674" s="1">
        <f>J674</f>
        <v>0</v>
      </c>
      <c r="AI674" s="1">
        <f>Q674</f>
        <v>0</v>
      </c>
      <c r="AJ674" s="1">
        <f>K674</f>
        <v>0</v>
      </c>
      <c r="AK674" s="1">
        <f>L674</f>
        <v>0</v>
      </c>
      <c r="AL674" s="1">
        <f>M674</f>
        <v>0</v>
      </c>
      <c r="AM674" s="1">
        <f>N674</f>
        <v>0</v>
      </c>
      <c r="AN674" s="1">
        <f>O674</f>
        <v>1</v>
      </c>
    </row>
    <row r="675">
      <c r="A675" s="1">
        <v>923</v>
      </c>
      <c r="B675" s="1">
        <v>40</v>
      </c>
      <c r="C675" s="1">
        <v>1.8</v>
      </c>
      <c r="D675" s="1">
        <v>93</v>
      </c>
      <c r="E675" s="1">
        <v>3</v>
      </c>
      <c r="F675" s="1">
        <v>1</v>
      </c>
      <c r="G675" s="1">
        <v>0</v>
      </c>
      <c r="H675" s="1">
        <v>0</v>
      </c>
      <c r="I675" s="1">
        <v>0</v>
      </c>
      <c r="J675" s="1">
        <v>0</v>
      </c>
      <c r="K675" s="1">
        <v>0</v>
      </c>
      <c r="L675" s="1">
        <v>0</v>
      </c>
      <c r="M675" s="1">
        <v>1</v>
      </c>
      <c r="N675" s="1">
        <v>0</v>
      </c>
      <c r="O675" s="1">
        <v>0</v>
      </c>
      <c r="P675" s="1">
        <f>LN(B675)</f>
        <v>3.68887945411394</v>
      </c>
      <c r="Q675" s="1">
        <f>1-SUM(F675:J675)</f>
        <v>0</v>
      </c>
      <c r="R675" s="1" t="str">
        <f>IF(F675=1,"Napa valley",IF(G675=1,"Bay area",IF(H675=1,"Sonoma",IF(I675=1,"Sierra/foothills",IF(J675=1,"Mendocino/lake","Generic California")))))</f>
        <v>Napa valley</v>
      </c>
      <c r="S675" s="1" t="str">
        <f>IF(F675=1,"Napa valley",IF(H675=1,"Sonoma","Other"))</f>
        <v>Napa valley</v>
      </c>
      <c r="T675" s="1" t="str">
        <f>IF(M675=1,"Cabernet",IF(N675=1,"Merlot",IF(L675=1,"Pinot noir","Other")))</f>
        <v>Cabernet</v>
      </c>
      <c r="U675" s="1">
        <f>IF(F675=1,B675,"")</f>
        <v>40</v>
      </c>
      <c r="V675" s="1" t="str">
        <f>IF(F675=0,B675,"")</f>
        <v/>
      </c>
      <c r="W675" s="1">
        <f>'Part B'!$B$150+SUMPRODUCT('Part B'!$B$164:$N$164,C675:O675)</f>
        <v>59.4031536943998</v>
      </c>
      <c r="X675" s="1">
        <f>B675-W675</f>
        <v>-19.4031536943998</v>
      </c>
      <c r="Y675" s="1">
        <f>'Part B'!$B$179+SUMPRODUCT('Part B'!$B$193:$N$193,C675:O675)</f>
        <v>3.85735171253148</v>
      </c>
      <c r="Z675" s="1">
        <f>P675-Y675</f>
        <v>-0.168472258417541</v>
      </c>
      <c r="AB675" s="1">
        <f>C675</f>
        <v>1.8</v>
      </c>
      <c r="AC675" s="1">
        <f>D675</f>
        <v>93</v>
      </c>
      <c r="AD675" s="1">
        <f>E675</f>
        <v>3</v>
      </c>
      <c r="AE675" s="1">
        <f>F675</f>
        <v>1</v>
      </c>
      <c r="AF675" s="1">
        <f>G675</f>
        <v>0</v>
      </c>
      <c r="AG675" s="1">
        <f>I675</f>
        <v>0</v>
      </c>
      <c r="AH675" s="1">
        <f>J675</f>
        <v>0</v>
      </c>
      <c r="AI675" s="1">
        <f>Q675</f>
        <v>0</v>
      </c>
      <c r="AJ675" s="1">
        <f>K675</f>
        <v>0</v>
      </c>
      <c r="AK675" s="1">
        <f>L675</f>
        <v>0</v>
      </c>
      <c r="AL675" s="1">
        <f>M675</f>
        <v>1</v>
      </c>
      <c r="AM675" s="1">
        <f>N675</f>
        <v>0</v>
      </c>
      <c r="AN675" s="1">
        <f>O675</f>
        <v>0</v>
      </c>
    </row>
    <row r="676">
      <c r="A676" s="1">
        <v>924</v>
      </c>
      <c r="B676" s="1">
        <v>40</v>
      </c>
      <c r="C676" s="1">
        <v>1.2</v>
      </c>
      <c r="D676" s="1">
        <v>89</v>
      </c>
      <c r="E676" s="1">
        <v>3</v>
      </c>
      <c r="F676" s="1">
        <v>1</v>
      </c>
      <c r="G676" s="1">
        <v>0</v>
      </c>
      <c r="H676" s="1">
        <v>0</v>
      </c>
      <c r="I676" s="1">
        <v>0</v>
      </c>
      <c r="J676" s="1">
        <v>0</v>
      </c>
      <c r="K676" s="1">
        <v>0</v>
      </c>
      <c r="L676" s="1">
        <v>0</v>
      </c>
      <c r="M676" s="1">
        <v>1</v>
      </c>
      <c r="N676" s="1">
        <v>0</v>
      </c>
      <c r="O676" s="1">
        <v>0</v>
      </c>
      <c r="P676" s="1">
        <f>LN(B676)</f>
        <v>3.68887945411394</v>
      </c>
      <c r="Q676" s="1">
        <f>1-SUM(F676:J676)</f>
        <v>0</v>
      </c>
      <c r="R676" s="1" t="str">
        <f>IF(F676=1,"Napa valley",IF(G676=1,"Bay area",IF(H676=1,"Sonoma",IF(I676=1,"Sierra/foothills",IF(J676=1,"Mendocino/lake","Generic California")))))</f>
        <v>Napa valley</v>
      </c>
      <c r="S676" s="1" t="str">
        <f>IF(F676=1,"Napa valley",IF(H676=1,"Sonoma","Other"))</f>
        <v>Napa valley</v>
      </c>
      <c r="T676" s="1" t="str">
        <f>IF(M676=1,"Cabernet",IF(N676=1,"Merlot",IF(L676=1,"Pinot noir","Other")))</f>
        <v>Cabernet</v>
      </c>
      <c r="U676" s="1">
        <f>IF(F676=1,B676,"")</f>
        <v>40</v>
      </c>
      <c r="V676" s="1" t="str">
        <f>IF(F676=0,B676,"")</f>
        <v/>
      </c>
      <c r="W676" s="1">
        <f>'Part B'!$B$150+SUMPRODUCT('Part B'!$B$164:$N$164,C676:O676)</f>
        <v>46.8797135867353</v>
      </c>
      <c r="X676" s="1">
        <f>B676-W676</f>
        <v>-6.87971358673525</v>
      </c>
      <c r="Y676" s="1">
        <f>'Part B'!$B$179+SUMPRODUCT('Part B'!$B$193:$N$193,C676:O676)</f>
        <v>3.58007367762882</v>
      </c>
      <c r="Z676" s="1">
        <f>P676-Y676</f>
        <v>0.108805776485116</v>
      </c>
      <c r="AB676" s="1">
        <f>C676</f>
        <v>1.2</v>
      </c>
      <c r="AC676" s="1">
        <f>D676</f>
        <v>89</v>
      </c>
      <c r="AD676" s="1">
        <f>E676</f>
        <v>3</v>
      </c>
      <c r="AE676" s="1">
        <f>F676</f>
        <v>1</v>
      </c>
      <c r="AF676" s="1">
        <f>G676</f>
        <v>0</v>
      </c>
      <c r="AG676" s="1">
        <f>I676</f>
        <v>0</v>
      </c>
      <c r="AH676" s="1">
        <f>J676</f>
        <v>0</v>
      </c>
      <c r="AI676" s="1">
        <f>Q676</f>
        <v>0</v>
      </c>
      <c r="AJ676" s="1">
        <f>K676</f>
        <v>0</v>
      </c>
      <c r="AK676" s="1">
        <f>L676</f>
        <v>0</v>
      </c>
      <c r="AL676" s="1">
        <f>M676</f>
        <v>1</v>
      </c>
      <c r="AM676" s="1">
        <f>N676</f>
        <v>0</v>
      </c>
      <c r="AN676" s="1">
        <f>O676</f>
        <v>0</v>
      </c>
    </row>
    <row r="677">
      <c r="A677" s="1">
        <v>925</v>
      </c>
      <c r="B677" s="1">
        <v>40</v>
      </c>
      <c r="C677" s="1">
        <v>0.3</v>
      </c>
      <c r="D677" s="1">
        <v>90</v>
      </c>
      <c r="E677" s="1">
        <v>3</v>
      </c>
      <c r="F677" s="1">
        <v>1</v>
      </c>
      <c r="G677" s="1">
        <v>0</v>
      </c>
      <c r="H677" s="1">
        <v>0</v>
      </c>
      <c r="I677" s="1">
        <v>0</v>
      </c>
      <c r="J677" s="1">
        <v>0</v>
      </c>
      <c r="K677" s="1">
        <v>0</v>
      </c>
      <c r="L677" s="1">
        <v>0</v>
      </c>
      <c r="M677" s="1">
        <v>1</v>
      </c>
      <c r="N677" s="1">
        <v>0</v>
      </c>
      <c r="O677" s="1">
        <v>0</v>
      </c>
      <c r="P677" s="1">
        <f>LN(B677)</f>
        <v>3.68887945411394</v>
      </c>
      <c r="Q677" s="1">
        <f>1-SUM(F677:J677)</f>
        <v>0</v>
      </c>
      <c r="R677" s="1" t="str">
        <f>IF(F677=1,"Napa valley",IF(G677=1,"Bay area",IF(H677=1,"Sonoma",IF(I677=1,"Sierra/foothills",IF(J677=1,"Mendocino/lake","Generic California")))))</f>
        <v>Napa valley</v>
      </c>
      <c r="S677" s="1" t="str">
        <f>IF(F677=1,"Napa valley",IF(H677=1,"Sonoma","Other"))</f>
        <v>Napa valley</v>
      </c>
      <c r="T677" s="1" t="str">
        <f>IF(M677=1,"Cabernet",IF(N677=1,"Merlot",IF(L677=1,"Pinot noir","Other")))</f>
        <v>Cabernet</v>
      </c>
      <c r="U677" s="1">
        <f>IF(F677=1,B677,"")</f>
        <v>40</v>
      </c>
      <c r="V677" s="1" t="str">
        <f>IF(F677=0,B677,"")</f>
        <v/>
      </c>
      <c r="W677" s="1">
        <f>'Part B'!$B$150+SUMPRODUCT('Part B'!$B$164:$N$164,C677:O677)</f>
        <v>50.1102330717629</v>
      </c>
      <c r="X677" s="1">
        <f>B677-W677</f>
        <v>-10.1102330717629</v>
      </c>
      <c r="Y677" s="1">
        <f>'Part B'!$B$179+SUMPRODUCT('Part B'!$B$193:$N$193,C677:O677)</f>
        <v>3.65388620685682</v>
      </c>
      <c r="Z677" s="1">
        <f>P677-Y677</f>
        <v>0.0349932472571139</v>
      </c>
      <c r="AB677" s="1">
        <f>C677</f>
        <v>0.3</v>
      </c>
      <c r="AC677" s="1">
        <f>D677</f>
        <v>90</v>
      </c>
      <c r="AD677" s="1">
        <f>E677</f>
        <v>3</v>
      </c>
      <c r="AE677" s="1">
        <f>F677</f>
        <v>1</v>
      </c>
      <c r="AF677" s="1">
        <f>G677</f>
        <v>0</v>
      </c>
      <c r="AG677" s="1">
        <f>I677</f>
        <v>0</v>
      </c>
      <c r="AH677" s="1">
        <f>J677</f>
        <v>0</v>
      </c>
      <c r="AI677" s="1">
        <f>Q677</f>
        <v>0</v>
      </c>
      <c r="AJ677" s="1">
        <f>K677</f>
        <v>0</v>
      </c>
      <c r="AK677" s="1">
        <f>L677</f>
        <v>0</v>
      </c>
      <c r="AL677" s="1">
        <f>M677</f>
        <v>1</v>
      </c>
      <c r="AM677" s="1">
        <f>N677</f>
        <v>0</v>
      </c>
      <c r="AN677" s="1">
        <f>O677</f>
        <v>0</v>
      </c>
    </row>
    <row r="678">
      <c r="A678" s="1">
        <v>926</v>
      </c>
      <c r="B678" s="1">
        <v>40</v>
      </c>
      <c r="C678" s="1">
        <v>1.632</v>
      </c>
      <c r="D678" s="1">
        <v>93</v>
      </c>
      <c r="E678" s="1">
        <v>3</v>
      </c>
      <c r="F678" s="1">
        <v>1</v>
      </c>
      <c r="G678" s="1">
        <v>0</v>
      </c>
      <c r="H678" s="1">
        <v>0</v>
      </c>
      <c r="I678" s="1">
        <v>0</v>
      </c>
      <c r="J678" s="1">
        <v>0</v>
      </c>
      <c r="K678" s="1">
        <v>0</v>
      </c>
      <c r="L678" s="1">
        <v>0</v>
      </c>
      <c r="M678" s="1">
        <v>1</v>
      </c>
      <c r="N678" s="1">
        <v>0</v>
      </c>
      <c r="O678" s="1">
        <v>0</v>
      </c>
      <c r="P678" s="1">
        <f>LN(B678)</f>
        <v>3.68887945411394</v>
      </c>
      <c r="Q678" s="1">
        <f>1-SUM(F678:J678)</f>
        <v>0</v>
      </c>
      <c r="R678" s="1" t="str">
        <f>IF(F678=1,"Napa valley",IF(G678=1,"Bay area",IF(H678=1,"Sonoma",IF(I678=1,"Sierra/foothills",IF(J678=1,"Mendocino/lake","Generic California")))))</f>
        <v>Napa valley</v>
      </c>
      <c r="S678" s="1" t="str">
        <f>IF(F678=1,"Napa valley",IF(H678=1,"Sonoma","Other"))</f>
        <v>Napa valley</v>
      </c>
      <c r="T678" s="1" t="str">
        <f>IF(M678=1,"Cabernet",IF(N678=1,"Merlot",IF(L678=1,"Pinot noir","Other")))</f>
        <v>Cabernet</v>
      </c>
      <c r="U678" s="1">
        <f>IF(F678=1,B678,"")</f>
        <v>40</v>
      </c>
      <c r="V678" s="1" t="str">
        <f>IF(F678=0,B678,"")</f>
        <v/>
      </c>
      <c r="W678" s="1">
        <f>'Part B'!$B$150+SUMPRODUCT('Part B'!$B$164:$N$164,C678:O678)</f>
        <v>59.4190992076977</v>
      </c>
      <c r="X678" s="1">
        <f>B678-W678</f>
        <v>-19.4190992076977</v>
      </c>
      <c r="Y678" s="1">
        <f>'Part B'!$B$179+SUMPRODUCT('Part B'!$B$193:$N$193,C678:O678)</f>
        <v>3.85807059581185</v>
      </c>
      <c r="Z678" s="1">
        <f>P678-Y678</f>
        <v>-0.169191141697914</v>
      </c>
      <c r="AB678" s="1">
        <f>C678</f>
        <v>1.632</v>
      </c>
      <c r="AC678" s="1">
        <f>D678</f>
        <v>93</v>
      </c>
      <c r="AD678" s="1">
        <f>E678</f>
        <v>3</v>
      </c>
      <c r="AE678" s="1">
        <f>F678</f>
        <v>1</v>
      </c>
      <c r="AF678" s="1">
        <f>G678</f>
        <v>0</v>
      </c>
      <c r="AG678" s="1">
        <f>I678</f>
        <v>0</v>
      </c>
      <c r="AH678" s="1">
        <f>J678</f>
        <v>0</v>
      </c>
      <c r="AI678" s="1">
        <f>Q678</f>
        <v>0</v>
      </c>
      <c r="AJ678" s="1">
        <f>K678</f>
        <v>0</v>
      </c>
      <c r="AK678" s="1">
        <f>L678</f>
        <v>0</v>
      </c>
      <c r="AL678" s="1">
        <f>M678</f>
        <v>1</v>
      </c>
      <c r="AM678" s="1">
        <f>N678</f>
        <v>0</v>
      </c>
      <c r="AN678" s="1">
        <f>O678</f>
        <v>0</v>
      </c>
    </row>
    <row r="679">
      <c r="A679" s="1">
        <v>927</v>
      </c>
      <c r="B679" s="1">
        <v>40</v>
      </c>
      <c r="C679" s="1">
        <v>0.576</v>
      </c>
      <c r="D679" s="1">
        <v>88</v>
      </c>
      <c r="E679" s="1">
        <v>3</v>
      </c>
      <c r="F679" s="1">
        <v>0</v>
      </c>
      <c r="G679" s="1">
        <v>1</v>
      </c>
      <c r="H679" s="1">
        <v>0</v>
      </c>
      <c r="I679" s="1">
        <v>0</v>
      </c>
      <c r="J679" s="1">
        <v>0</v>
      </c>
      <c r="K679" s="1">
        <v>0</v>
      </c>
      <c r="L679" s="1">
        <v>0</v>
      </c>
      <c r="M679" s="1">
        <v>0</v>
      </c>
      <c r="N679" s="1">
        <v>1</v>
      </c>
      <c r="O679" s="1">
        <v>0</v>
      </c>
      <c r="P679" s="1">
        <f>LN(B679)</f>
        <v>3.68887945411394</v>
      </c>
      <c r="Q679" s="1">
        <f>1-SUM(F679:J679)</f>
        <v>0</v>
      </c>
      <c r="R679" s="1" t="str">
        <f>IF(F679=1,"Napa valley",IF(G679=1,"Bay area",IF(H679=1,"Sonoma",IF(I679=1,"Sierra/foothills",IF(J679=1,"Mendocino/lake","Generic California")))))</f>
        <v>Bay area</v>
      </c>
      <c r="S679" s="1" t="str">
        <f>IF(F679=1,"Napa valley",IF(H679=1,"Sonoma","Other"))</f>
        <v>Other</v>
      </c>
      <c r="T679" s="1" t="str">
        <f>IF(M679=1,"Cabernet",IF(N679=1,"Merlot",IF(L679=1,"Pinot noir","Other")))</f>
        <v>Merlot</v>
      </c>
      <c r="U679" s="1" t="str">
        <f>IF(F679=1,B679,"")</f>
        <v/>
      </c>
      <c r="V679" s="1">
        <f>IF(F679=0,B679,"")</f>
        <v>40</v>
      </c>
      <c r="W679" s="1">
        <f>'Part B'!$B$150+SUMPRODUCT('Part B'!$B$164:$N$164,C679:O679)</f>
        <v>34.0446718923949</v>
      </c>
      <c r="X679" s="1">
        <f>B679-W679</f>
        <v>5.95532810760511</v>
      </c>
      <c r="Y679" s="1">
        <f>'Part B'!$B$179+SUMPRODUCT('Part B'!$B$193:$N$193,C679:O679)</f>
        <v>3.30156907612525</v>
      </c>
      <c r="Z679" s="1">
        <f>P679-Y679</f>
        <v>0.387310377988682</v>
      </c>
      <c r="AB679" s="1">
        <f>C679</f>
        <v>0.576</v>
      </c>
      <c r="AC679" s="1">
        <f>D679</f>
        <v>88</v>
      </c>
      <c r="AD679" s="1">
        <f>E679</f>
        <v>3</v>
      </c>
      <c r="AE679" s="1">
        <f>F679</f>
        <v>0</v>
      </c>
      <c r="AF679" s="1">
        <f>G679</f>
        <v>1</v>
      </c>
      <c r="AG679" s="1">
        <f>I679</f>
        <v>0</v>
      </c>
      <c r="AH679" s="1">
        <f>J679</f>
        <v>0</v>
      </c>
      <c r="AI679" s="1">
        <f>Q679</f>
        <v>0</v>
      </c>
      <c r="AJ679" s="1">
        <f>K679</f>
        <v>0</v>
      </c>
      <c r="AK679" s="1">
        <f>L679</f>
        <v>0</v>
      </c>
      <c r="AL679" s="1">
        <f>M679</f>
        <v>0</v>
      </c>
      <c r="AM679" s="1">
        <f>N679</f>
        <v>1</v>
      </c>
      <c r="AN679" s="1">
        <f>O679</f>
        <v>0</v>
      </c>
    </row>
    <row r="680">
      <c r="A680" s="1">
        <v>928</v>
      </c>
      <c r="B680" s="1">
        <v>40</v>
      </c>
      <c r="C680" s="1">
        <v>1</v>
      </c>
      <c r="D680" s="1">
        <v>89</v>
      </c>
      <c r="E680" s="1">
        <v>3</v>
      </c>
      <c r="F680" s="1">
        <v>1</v>
      </c>
      <c r="G680" s="1">
        <v>0</v>
      </c>
      <c r="H680" s="1">
        <v>0</v>
      </c>
      <c r="I680" s="1">
        <v>0</v>
      </c>
      <c r="J680" s="1">
        <v>0</v>
      </c>
      <c r="K680" s="1">
        <v>0</v>
      </c>
      <c r="L680" s="1">
        <v>0</v>
      </c>
      <c r="M680" s="1">
        <v>1</v>
      </c>
      <c r="N680" s="1">
        <v>0</v>
      </c>
      <c r="O680" s="1">
        <v>0</v>
      </c>
      <c r="P680" s="1">
        <f>LN(B680)</f>
        <v>3.68887945411394</v>
      </c>
      <c r="Q680" s="1">
        <f>1-SUM(F680:J680)</f>
        <v>0</v>
      </c>
      <c r="R680" s="1" t="str">
        <f>IF(F680=1,"Napa valley",IF(G680=1,"Bay area",IF(H680=1,"Sonoma",IF(I680=1,"Sierra/foothills",IF(J680=1,"Mendocino/lake","Generic California")))))</f>
        <v>Napa valley</v>
      </c>
      <c r="S680" s="1" t="str">
        <f>IF(F680=1,"Napa valley",IF(H680=1,"Sonoma","Other"))</f>
        <v>Napa valley</v>
      </c>
      <c r="T680" s="1" t="str">
        <f>IF(M680=1,"Cabernet",IF(N680=1,"Merlot",IF(L680=1,"Pinot noir","Other")))</f>
        <v>Cabernet</v>
      </c>
      <c r="U680" s="1">
        <f>IF(F680=1,B680,"")</f>
        <v>40</v>
      </c>
      <c r="V680" s="1" t="str">
        <f>IF(F680=0,B680,"")</f>
        <v/>
      </c>
      <c r="W680" s="1">
        <f>'Part B'!$B$150+SUMPRODUCT('Part B'!$B$164:$N$164,C680:O680)</f>
        <v>46.8986963406613</v>
      </c>
      <c r="X680" s="1">
        <f>B680-W680</f>
        <v>-6.89869634066127</v>
      </c>
      <c r="Y680" s="1">
        <f>'Part B'!$B$179+SUMPRODUCT('Part B'!$B$193:$N$193,C680:O680)</f>
        <v>3.58092949105784</v>
      </c>
      <c r="Z680" s="1">
        <f>P680-Y680</f>
        <v>0.107949963056099</v>
      </c>
      <c r="AB680" s="1">
        <f>C680</f>
        <v>1</v>
      </c>
      <c r="AC680" s="1">
        <f>D680</f>
        <v>89</v>
      </c>
      <c r="AD680" s="1">
        <f>E680</f>
        <v>3</v>
      </c>
      <c r="AE680" s="1">
        <f>F680</f>
        <v>1</v>
      </c>
      <c r="AF680" s="1">
        <f>G680</f>
        <v>0</v>
      </c>
      <c r="AG680" s="1">
        <f>I680</f>
        <v>0</v>
      </c>
      <c r="AH680" s="1">
        <f>J680</f>
        <v>0</v>
      </c>
      <c r="AI680" s="1">
        <f>Q680</f>
        <v>0</v>
      </c>
      <c r="AJ680" s="1">
        <f>K680</f>
        <v>0</v>
      </c>
      <c r="AK680" s="1">
        <f>L680</f>
        <v>0</v>
      </c>
      <c r="AL680" s="1">
        <f>M680</f>
        <v>1</v>
      </c>
      <c r="AM680" s="1">
        <f>N680</f>
        <v>0</v>
      </c>
      <c r="AN680" s="1">
        <f>O680</f>
        <v>0</v>
      </c>
    </row>
    <row r="681">
      <c r="A681" s="1">
        <v>930</v>
      </c>
      <c r="B681" s="1">
        <v>40</v>
      </c>
      <c r="C681" s="1">
        <v>0.45</v>
      </c>
      <c r="D681" s="1">
        <v>88</v>
      </c>
      <c r="E681" s="1">
        <v>3</v>
      </c>
      <c r="F681" s="1">
        <v>1</v>
      </c>
      <c r="G681" s="1">
        <v>0</v>
      </c>
      <c r="H681" s="1">
        <v>0</v>
      </c>
      <c r="I681" s="1">
        <v>0</v>
      </c>
      <c r="J681" s="1">
        <v>0</v>
      </c>
      <c r="K681" s="1">
        <v>0</v>
      </c>
      <c r="L681" s="1">
        <v>0</v>
      </c>
      <c r="M681" s="1">
        <v>1</v>
      </c>
      <c r="N681" s="1">
        <v>0</v>
      </c>
      <c r="O681" s="1">
        <v>0</v>
      </c>
      <c r="P681" s="1">
        <f>LN(B681)</f>
        <v>3.68887945411394</v>
      </c>
      <c r="Q681" s="1">
        <f>1-SUM(F681:J681)</f>
        <v>0</v>
      </c>
      <c r="R681" s="1" t="str">
        <f>IF(F681=1,"Napa valley",IF(G681=1,"Bay area",IF(H681=1,"Sonoma",IF(I681=1,"Sierra/foothills",IF(J681=1,"Mendocino/lake","Generic California")))))</f>
        <v>Napa valley</v>
      </c>
      <c r="S681" s="1" t="str">
        <f>IF(F681=1,"Napa valley",IF(H681=1,"Sonoma","Other"))</f>
        <v>Napa valley</v>
      </c>
      <c r="T681" s="1" t="str">
        <f>IF(M681=1,"Cabernet",IF(N681=1,"Merlot",IF(L681=1,"Pinot noir","Other")))</f>
        <v>Cabernet</v>
      </c>
      <c r="U681" s="1">
        <f>IF(F681=1,B681,"")</f>
        <v>40</v>
      </c>
      <c r="V681" s="1" t="str">
        <f>IF(F681=0,B681,"")</f>
        <v/>
      </c>
      <c r="W681" s="1">
        <f>'Part B'!$B$150+SUMPRODUCT('Part B'!$B$164:$N$164,C681:O681)</f>
        <v>43.8058018215971</v>
      </c>
      <c r="X681" s="1">
        <f>B681-W681</f>
        <v>-3.80580182159713</v>
      </c>
      <c r="Y681" s="1">
        <f>'Part B'!$B$179+SUMPRODUCT('Part B'!$B$193:$N$193,C681:O681)</f>
        <v>3.51332160919021</v>
      </c>
      <c r="Z681" s="1">
        <f>P681-Y681</f>
        <v>0.175557844923731</v>
      </c>
      <c r="AB681" s="1">
        <f>C681</f>
        <v>0.45</v>
      </c>
      <c r="AC681" s="1">
        <f>D681</f>
        <v>88</v>
      </c>
      <c r="AD681" s="1">
        <f>E681</f>
        <v>3</v>
      </c>
      <c r="AE681" s="1">
        <f>F681</f>
        <v>1</v>
      </c>
      <c r="AF681" s="1">
        <f>G681</f>
        <v>0</v>
      </c>
      <c r="AG681" s="1">
        <f>I681</f>
        <v>0</v>
      </c>
      <c r="AH681" s="1">
        <f>J681</f>
        <v>0</v>
      </c>
      <c r="AI681" s="1">
        <f>Q681</f>
        <v>0</v>
      </c>
      <c r="AJ681" s="1">
        <f>K681</f>
        <v>0</v>
      </c>
      <c r="AK681" s="1">
        <f>L681</f>
        <v>0</v>
      </c>
      <c r="AL681" s="1">
        <f>M681</f>
        <v>1</v>
      </c>
      <c r="AM681" s="1">
        <f>N681</f>
        <v>0</v>
      </c>
      <c r="AN681" s="1">
        <f>O681</f>
        <v>0</v>
      </c>
    </row>
    <row r="682">
      <c r="A682" s="1">
        <v>931</v>
      </c>
      <c r="B682" s="1">
        <v>40</v>
      </c>
      <c r="C682" s="1">
        <v>0.475</v>
      </c>
      <c r="D682" s="1">
        <v>89</v>
      </c>
      <c r="E682" s="1">
        <v>3</v>
      </c>
      <c r="F682" s="1">
        <v>1</v>
      </c>
      <c r="G682" s="1">
        <v>0</v>
      </c>
      <c r="H682" s="1">
        <v>0</v>
      </c>
      <c r="I682" s="1">
        <v>0</v>
      </c>
      <c r="J682" s="1">
        <v>0</v>
      </c>
      <c r="K682" s="1">
        <v>0</v>
      </c>
      <c r="L682" s="1">
        <v>0</v>
      </c>
      <c r="M682" s="1">
        <v>0</v>
      </c>
      <c r="N682" s="1">
        <v>1</v>
      </c>
      <c r="O682" s="1">
        <v>0</v>
      </c>
      <c r="P682" s="1">
        <f>LN(B682)</f>
        <v>3.68887945411394</v>
      </c>
      <c r="Q682" s="1">
        <f>1-SUM(F682:J682)</f>
        <v>0</v>
      </c>
      <c r="R682" s="1" t="str">
        <f>IF(F682=1,"Napa valley",IF(G682=1,"Bay area",IF(H682=1,"Sonoma",IF(I682=1,"Sierra/foothills",IF(J682=1,"Mendocino/lake","Generic California")))))</f>
        <v>Napa valley</v>
      </c>
      <c r="S682" s="1" t="str">
        <f>IF(F682=1,"Napa valley",IF(H682=1,"Sonoma","Other"))</f>
        <v>Napa valley</v>
      </c>
      <c r="T682" s="1" t="str">
        <f>IF(M682=1,"Cabernet",IF(N682=1,"Merlot",IF(L682=1,"Pinot noir","Other")))</f>
        <v>Merlot</v>
      </c>
      <c r="U682" s="1">
        <f>IF(F682=1,B682,"")</f>
        <v>40</v>
      </c>
      <c r="V682" s="1" t="str">
        <f>IF(F682=0,B682,"")</f>
        <v/>
      </c>
      <c r="W682" s="1">
        <f>'Part B'!$B$150+SUMPRODUCT('Part B'!$B$164:$N$164,C682:O682)</f>
        <v>41.9814819818905</v>
      </c>
      <c r="X682" s="1">
        <f>B682-W682</f>
        <v>-1.98148198189045</v>
      </c>
      <c r="Y682" s="1">
        <f>'Part B'!$B$179+SUMPRODUCT('Part B'!$B$193:$N$193,C682:O682)</f>
        <v>3.54669507078996</v>
      </c>
      <c r="Z682" s="1">
        <f>P682-Y682</f>
        <v>0.142184383323972</v>
      </c>
      <c r="AB682" s="1">
        <f>C682</f>
        <v>0.475</v>
      </c>
      <c r="AC682" s="1">
        <f>D682</f>
        <v>89</v>
      </c>
      <c r="AD682" s="1">
        <f>E682</f>
        <v>3</v>
      </c>
      <c r="AE682" s="1">
        <f>F682</f>
        <v>1</v>
      </c>
      <c r="AF682" s="1">
        <f>G682</f>
        <v>0</v>
      </c>
      <c r="AG682" s="1">
        <f>I682</f>
        <v>0</v>
      </c>
      <c r="AH682" s="1">
        <f>J682</f>
        <v>0</v>
      </c>
      <c r="AI682" s="1">
        <f>Q682</f>
        <v>0</v>
      </c>
      <c r="AJ682" s="1">
        <f>K682</f>
        <v>0</v>
      </c>
      <c r="AK682" s="1">
        <f>L682</f>
        <v>0</v>
      </c>
      <c r="AL682" s="1">
        <f>M682</f>
        <v>0</v>
      </c>
      <c r="AM682" s="1">
        <f>N682</f>
        <v>1</v>
      </c>
      <c r="AN682" s="1">
        <f>O682</f>
        <v>0</v>
      </c>
    </row>
    <row r="683">
      <c r="A683" s="1">
        <v>932</v>
      </c>
      <c r="B683" s="1">
        <v>40</v>
      </c>
      <c r="C683" s="1">
        <v>0.1</v>
      </c>
      <c r="D683" s="1">
        <v>84</v>
      </c>
      <c r="E683" s="1">
        <v>3</v>
      </c>
      <c r="F683" s="1">
        <v>1</v>
      </c>
      <c r="G683" s="1">
        <v>0</v>
      </c>
      <c r="H683" s="1">
        <v>0</v>
      </c>
      <c r="I683" s="1">
        <v>0</v>
      </c>
      <c r="J683" s="1">
        <v>0</v>
      </c>
      <c r="K683" s="1">
        <v>0</v>
      </c>
      <c r="L683" s="1">
        <v>1</v>
      </c>
      <c r="M683" s="1">
        <v>0</v>
      </c>
      <c r="N683" s="1">
        <v>0</v>
      </c>
      <c r="O683" s="1">
        <v>0</v>
      </c>
      <c r="P683" s="1">
        <f>LN(B683)</f>
        <v>3.68887945411394</v>
      </c>
      <c r="Q683" s="1">
        <f>1-SUM(F683:J683)</f>
        <v>0</v>
      </c>
      <c r="R683" s="1" t="str">
        <f>IF(F683=1,"Napa valley",IF(G683=1,"Bay area",IF(H683=1,"Sonoma",IF(I683=1,"Sierra/foothills",IF(J683=1,"Mendocino/lake","Generic California")))))</f>
        <v>Napa valley</v>
      </c>
      <c r="S683" s="1" t="str">
        <f>IF(F683=1,"Napa valley",IF(H683=1,"Sonoma","Other"))</f>
        <v>Napa valley</v>
      </c>
      <c r="T683" s="1" t="str">
        <f>IF(M683=1,"Cabernet",IF(N683=1,"Merlot",IF(L683=1,"Pinot noir","Other")))</f>
        <v>Pinot noir</v>
      </c>
      <c r="U683" s="1">
        <f>IF(F683=1,B683,"")</f>
        <v>40</v>
      </c>
      <c r="V683" s="1" t="str">
        <f>IF(F683=0,B683,"")</f>
        <v/>
      </c>
      <c r="W683" s="1">
        <f>'Part B'!$B$150+SUMPRODUCT('Part B'!$B$164:$N$164,C683:O683)</f>
        <v>28.0856391560127</v>
      </c>
      <c r="X683" s="1">
        <f>B683-W683</f>
        <v>11.9143608439873</v>
      </c>
      <c r="Y683" s="1">
        <f>'Part B'!$B$179+SUMPRODUCT('Part B'!$B$193:$N$193,C683:O683)</f>
        <v>3.26050042517822</v>
      </c>
      <c r="Z683" s="1">
        <f>P683-Y683</f>
        <v>0.428379028935715</v>
      </c>
      <c r="AB683" s="1">
        <f>C683</f>
        <v>0.1</v>
      </c>
      <c r="AC683" s="1">
        <f>D683</f>
        <v>84</v>
      </c>
      <c r="AD683" s="1">
        <f>E683</f>
        <v>3</v>
      </c>
      <c r="AE683" s="1">
        <f>F683</f>
        <v>1</v>
      </c>
      <c r="AF683" s="1">
        <f>G683</f>
        <v>0</v>
      </c>
      <c r="AG683" s="1">
        <f>I683</f>
        <v>0</v>
      </c>
      <c r="AH683" s="1">
        <f>J683</f>
        <v>0</v>
      </c>
      <c r="AI683" s="1">
        <f>Q683</f>
        <v>0</v>
      </c>
      <c r="AJ683" s="1">
        <f>K683</f>
        <v>0</v>
      </c>
      <c r="AK683" s="1">
        <f>L683</f>
        <v>1</v>
      </c>
      <c r="AL683" s="1">
        <f>M683</f>
        <v>0</v>
      </c>
      <c r="AM683" s="1">
        <f>N683</f>
        <v>0</v>
      </c>
      <c r="AN683" s="1">
        <f>O683</f>
        <v>0</v>
      </c>
    </row>
    <row r="684">
      <c r="A684" s="1">
        <v>933</v>
      </c>
      <c r="B684" s="1">
        <v>40</v>
      </c>
      <c r="C684" s="1">
        <v>0.563</v>
      </c>
      <c r="D684" s="1">
        <v>88</v>
      </c>
      <c r="E684" s="1">
        <v>3</v>
      </c>
      <c r="F684" s="1">
        <v>0</v>
      </c>
      <c r="G684" s="1">
        <v>0</v>
      </c>
      <c r="H684" s="1">
        <v>1</v>
      </c>
      <c r="I684" s="1">
        <v>0</v>
      </c>
      <c r="J684" s="1">
        <v>0</v>
      </c>
      <c r="K684" s="1">
        <v>0</v>
      </c>
      <c r="L684" s="1">
        <v>0</v>
      </c>
      <c r="M684" s="1">
        <v>1</v>
      </c>
      <c r="N684" s="1">
        <v>0</v>
      </c>
      <c r="O684" s="1">
        <v>0</v>
      </c>
      <c r="P684" s="1">
        <f>LN(B684)</f>
        <v>3.68887945411394</v>
      </c>
      <c r="Q684" s="1">
        <f>1-SUM(F684:J684)</f>
        <v>0</v>
      </c>
      <c r="R684" s="1" t="str">
        <f>IF(F684=1,"Napa valley",IF(G684=1,"Bay area",IF(H684=1,"Sonoma",IF(I684=1,"Sierra/foothills",IF(J684=1,"Mendocino/lake","Generic California")))))</f>
        <v>Sonoma</v>
      </c>
      <c r="S684" s="1" t="str">
        <f>IF(F684=1,"Napa valley",IF(H684=1,"Sonoma","Other"))</f>
        <v>Sonoma</v>
      </c>
      <c r="T684" s="1" t="str">
        <f>IF(M684=1,"Cabernet",IF(N684=1,"Merlot",IF(L684=1,"Pinot noir","Other")))</f>
        <v>Cabernet</v>
      </c>
      <c r="U684" s="1" t="str">
        <f>IF(F684=1,B684,"")</f>
        <v/>
      </c>
      <c r="V684" s="1">
        <f>IF(F684=0,B684,"")</f>
        <v>40</v>
      </c>
      <c r="W684" s="1">
        <f>'Part B'!$B$150+SUMPRODUCT('Part B'!$B$164:$N$164,C684:O684)</f>
        <v>35.8986287458317</v>
      </c>
      <c r="X684" s="1">
        <f>B684-W684</f>
        <v>4.10137125416833</v>
      </c>
      <c r="Y684" s="1">
        <f>'Part B'!$B$179+SUMPRODUCT('Part B'!$B$193:$N$193,C684:O684)</f>
        <v>3.36505050970264</v>
      </c>
      <c r="Z684" s="1">
        <f>P684-Y684</f>
        <v>0.323828944411296</v>
      </c>
      <c r="AB684" s="1">
        <f>C684</f>
        <v>0.563</v>
      </c>
      <c r="AC684" s="1">
        <f>D684</f>
        <v>88</v>
      </c>
      <c r="AD684" s="1">
        <f>E684</f>
        <v>3</v>
      </c>
      <c r="AE684" s="1">
        <f>F684</f>
        <v>0</v>
      </c>
      <c r="AF684" s="1">
        <f>G684</f>
        <v>0</v>
      </c>
      <c r="AG684" s="1">
        <f>I684</f>
        <v>0</v>
      </c>
      <c r="AH684" s="1">
        <f>J684</f>
        <v>0</v>
      </c>
      <c r="AI684" s="1">
        <f>Q684</f>
        <v>0</v>
      </c>
      <c r="AJ684" s="1">
        <f>K684</f>
        <v>0</v>
      </c>
      <c r="AK684" s="1">
        <f>L684</f>
        <v>0</v>
      </c>
      <c r="AL684" s="1">
        <f>M684</f>
        <v>1</v>
      </c>
      <c r="AM684" s="1">
        <f>N684</f>
        <v>0</v>
      </c>
      <c r="AN684" s="1">
        <f>O684</f>
        <v>0</v>
      </c>
    </row>
    <row r="685">
      <c r="A685" s="1">
        <v>934</v>
      </c>
      <c r="B685" s="1">
        <v>40</v>
      </c>
      <c r="C685" s="1">
        <v>0.93</v>
      </c>
      <c r="D685" s="1">
        <v>92</v>
      </c>
      <c r="E685" s="1">
        <v>3</v>
      </c>
      <c r="F685" s="1">
        <v>1</v>
      </c>
      <c r="G685" s="1">
        <v>0</v>
      </c>
      <c r="H685" s="1">
        <v>0</v>
      </c>
      <c r="I685" s="1">
        <v>0</v>
      </c>
      <c r="J685" s="1">
        <v>0</v>
      </c>
      <c r="K685" s="1">
        <v>0</v>
      </c>
      <c r="L685" s="1">
        <v>0</v>
      </c>
      <c r="M685" s="1">
        <v>1</v>
      </c>
      <c r="N685" s="1">
        <v>0</v>
      </c>
      <c r="O685" s="1">
        <v>0</v>
      </c>
      <c r="P685" s="1">
        <f>LN(B685)</f>
        <v>3.68887945411394</v>
      </c>
      <c r="Q685" s="1">
        <f>1-SUM(F685:J685)</f>
        <v>0</v>
      </c>
      <c r="R685" s="1" t="str">
        <f>IF(F685=1,"Napa valley",IF(G685=1,"Bay area",IF(H685=1,"Sonoma",IF(I685=1,"Sierra/foothills",IF(J685=1,"Mendocino/lake","Generic California")))))</f>
        <v>Napa valley</v>
      </c>
      <c r="S685" s="1" t="str">
        <f>IF(F685=1,"Napa valley",IF(H685=1,"Sonoma","Other"))</f>
        <v>Napa valley</v>
      </c>
      <c r="T685" s="1" t="str">
        <f>IF(M685=1,"Cabernet",IF(N685=1,"Merlot",IF(L685=1,"Pinot noir","Other")))</f>
        <v>Cabernet</v>
      </c>
      <c r="U685" s="1">
        <f>IF(F685=1,B685,"")</f>
        <v>40</v>
      </c>
      <c r="V685" s="1" t="str">
        <f>IF(F685=0,B685,"")</f>
        <v/>
      </c>
      <c r="W685" s="1">
        <f>'Part B'!$B$150+SUMPRODUCT('Part B'!$B$164:$N$164,C685:O685)</f>
        <v>56.3406315816173</v>
      </c>
      <c r="X685" s="1">
        <f>B685-W685</f>
        <v>-16.3406315816173</v>
      </c>
      <c r="Y685" s="1">
        <f>'Part B'!$B$179+SUMPRODUCT('Part B'!$B$193:$N$193,C685:O685)</f>
        <v>3.79111313215027</v>
      </c>
      <c r="Z685" s="1">
        <f>P685-Y685</f>
        <v>-0.102233678036336</v>
      </c>
      <c r="AB685" s="1">
        <f>C685</f>
        <v>0.93</v>
      </c>
      <c r="AC685" s="1">
        <f>D685</f>
        <v>92</v>
      </c>
      <c r="AD685" s="1">
        <f>E685</f>
        <v>3</v>
      </c>
      <c r="AE685" s="1">
        <f>F685</f>
        <v>1</v>
      </c>
      <c r="AF685" s="1">
        <f>G685</f>
        <v>0</v>
      </c>
      <c r="AG685" s="1">
        <f>I685</f>
        <v>0</v>
      </c>
      <c r="AH685" s="1">
        <f>J685</f>
        <v>0</v>
      </c>
      <c r="AI685" s="1">
        <f>Q685</f>
        <v>0</v>
      </c>
      <c r="AJ685" s="1">
        <f>K685</f>
        <v>0</v>
      </c>
      <c r="AK685" s="1">
        <f>L685</f>
        <v>0</v>
      </c>
      <c r="AL685" s="1">
        <f>M685</f>
        <v>1</v>
      </c>
      <c r="AM685" s="1">
        <f>N685</f>
        <v>0</v>
      </c>
      <c r="AN685" s="1">
        <f>O685</f>
        <v>0</v>
      </c>
    </row>
    <row r="686">
      <c r="A686" s="1">
        <v>935</v>
      </c>
      <c r="B686" s="1">
        <v>40</v>
      </c>
      <c r="C686" s="1">
        <v>1.3</v>
      </c>
      <c r="D686" s="1">
        <v>89</v>
      </c>
      <c r="E686" s="1">
        <v>3</v>
      </c>
      <c r="F686" s="1">
        <v>1</v>
      </c>
      <c r="G686" s="1">
        <v>0</v>
      </c>
      <c r="H686" s="1">
        <v>0</v>
      </c>
      <c r="I686" s="1">
        <v>0</v>
      </c>
      <c r="J686" s="1">
        <v>0</v>
      </c>
      <c r="K686" s="1">
        <v>0</v>
      </c>
      <c r="L686" s="1">
        <v>0</v>
      </c>
      <c r="M686" s="1">
        <v>1</v>
      </c>
      <c r="N686" s="1">
        <v>0</v>
      </c>
      <c r="O686" s="1">
        <v>0</v>
      </c>
      <c r="P686" s="1">
        <f>LN(B686)</f>
        <v>3.68887945411394</v>
      </c>
      <c r="Q686" s="1">
        <f>1-SUM(F686:J686)</f>
        <v>0</v>
      </c>
      <c r="R686" s="1" t="str">
        <f>IF(F686=1,"Napa valley",IF(G686=1,"Bay area",IF(H686=1,"Sonoma",IF(I686=1,"Sierra/foothills",IF(J686=1,"Mendocino/lake","Generic California")))))</f>
        <v>Napa valley</v>
      </c>
      <c r="S686" s="1" t="str">
        <f>IF(F686=1,"Napa valley",IF(H686=1,"Sonoma","Other"))</f>
        <v>Napa valley</v>
      </c>
      <c r="T686" s="1" t="str">
        <f>IF(M686=1,"Cabernet",IF(N686=1,"Merlot",IF(L686=1,"Pinot noir","Other")))</f>
        <v>Cabernet</v>
      </c>
      <c r="U686" s="1">
        <f>IF(F686=1,B686,"")</f>
        <v>40</v>
      </c>
      <c r="V686" s="1" t="str">
        <f>IF(F686=0,B686,"")</f>
        <v/>
      </c>
      <c r="W686" s="1">
        <f>'Part B'!$B$150+SUMPRODUCT('Part B'!$B$164:$N$164,C686:O686)</f>
        <v>46.8702222097723</v>
      </c>
      <c r="X686" s="1">
        <f>B686-W686</f>
        <v>-6.87022220977229</v>
      </c>
      <c r="Y686" s="1">
        <f>'Part B'!$B$179+SUMPRODUCT('Part B'!$B$193:$N$193,C686:O686)</f>
        <v>3.57964577091431</v>
      </c>
      <c r="Z686" s="1">
        <f>P686-Y686</f>
        <v>0.109233683199624</v>
      </c>
      <c r="AB686" s="1">
        <f>C686</f>
        <v>1.3</v>
      </c>
      <c r="AC686" s="1">
        <f>D686</f>
        <v>89</v>
      </c>
      <c r="AD686" s="1">
        <f>E686</f>
        <v>3</v>
      </c>
      <c r="AE686" s="1">
        <f>F686</f>
        <v>1</v>
      </c>
      <c r="AF686" s="1">
        <f>G686</f>
        <v>0</v>
      </c>
      <c r="AG686" s="1">
        <f>I686</f>
        <v>0</v>
      </c>
      <c r="AH686" s="1">
        <f>J686</f>
        <v>0</v>
      </c>
      <c r="AI686" s="1">
        <f>Q686</f>
        <v>0</v>
      </c>
      <c r="AJ686" s="1">
        <f>K686</f>
        <v>0</v>
      </c>
      <c r="AK686" s="1">
        <f>L686</f>
        <v>0</v>
      </c>
      <c r="AL686" s="1">
        <f>M686</f>
        <v>1</v>
      </c>
      <c r="AM686" s="1">
        <f>N686</f>
        <v>0</v>
      </c>
      <c r="AN686" s="1">
        <f>O686</f>
        <v>0</v>
      </c>
    </row>
    <row r="687">
      <c r="A687" s="1">
        <v>936</v>
      </c>
      <c r="B687" s="1">
        <v>40</v>
      </c>
      <c r="C687" s="1">
        <v>0.31</v>
      </c>
      <c r="D687" s="1">
        <v>85</v>
      </c>
      <c r="E687" s="1">
        <v>3</v>
      </c>
      <c r="F687" s="1">
        <v>0</v>
      </c>
      <c r="G687" s="1">
        <v>1</v>
      </c>
      <c r="H687" s="1">
        <v>0</v>
      </c>
      <c r="I687" s="1">
        <v>0</v>
      </c>
      <c r="J687" s="1">
        <v>0</v>
      </c>
      <c r="K687" s="1">
        <v>0</v>
      </c>
      <c r="L687" s="1">
        <v>0</v>
      </c>
      <c r="M687" s="1">
        <v>1</v>
      </c>
      <c r="N687" s="1">
        <v>0</v>
      </c>
      <c r="O687" s="1">
        <v>0</v>
      </c>
      <c r="P687" s="1">
        <f>LN(B687)</f>
        <v>3.68887945411394</v>
      </c>
      <c r="Q687" s="1">
        <f>1-SUM(F687:J687)</f>
        <v>0</v>
      </c>
      <c r="R687" s="1" t="str">
        <f>IF(F687=1,"Napa valley",IF(G687=1,"Bay area",IF(H687=1,"Sonoma",IF(I687=1,"Sierra/foothills",IF(J687=1,"Mendocino/lake","Generic California")))))</f>
        <v>Bay area</v>
      </c>
      <c r="S687" s="1" t="str">
        <f>IF(F687=1,"Napa valley",IF(H687=1,"Sonoma","Other"))</f>
        <v>Other</v>
      </c>
      <c r="T687" s="1" t="str">
        <f>IF(M687=1,"Cabernet",IF(N687=1,"Merlot",IF(L687=1,"Pinot noir","Other")))</f>
        <v>Cabernet</v>
      </c>
      <c r="U687" s="1" t="str">
        <f>IF(F687=1,B687,"")</f>
        <v/>
      </c>
      <c r="V687" s="1">
        <f>IF(F687=0,B687,"")</f>
        <v>40</v>
      </c>
      <c r="W687" s="1">
        <f>'Part B'!$B$150+SUMPRODUCT('Part B'!$B$164:$N$164,C687:O687)</f>
        <v>29.6016717658611</v>
      </c>
      <c r="X687" s="1">
        <f>B687-W687</f>
        <v>10.3983282341389</v>
      </c>
      <c r="Y687" s="1">
        <f>'Part B'!$B$179+SUMPRODUCT('Part B'!$B$193:$N$193,C687:O687)</f>
        <v>3.12930413211261</v>
      </c>
      <c r="Z687" s="1">
        <f>P687-Y687</f>
        <v>0.559575322001327</v>
      </c>
      <c r="AB687" s="1">
        <f>C687</f>
        <v>0.31</v>
      </c>
      <c r="AC687" s="1">
        <f>D687</f>
        <v>85</v>
      </c>
      <c r="AD687" s="1">
        <f>E687</f>
        <v>3</v>
      </c>
      <c r="AE687" s="1">
        <f>F687</f>
        <v>0</v>
      </c>
      <c r="AF687" s="1">
        <f>G687</f>
        <v>1</v>
      </c>
      <c r="AG687" s="1">
        <f>I687</f>
        <v>0</v>
      </c>
      <c r="AH687" s="1">
        <f>J687</f>
        <v>0</v>
      </c>
      <c r="AI687" s="1">
        <f>Q687</f>
        <v>0</v>
      </c>
      <c r="AJ687" s="1">
        <f>K687</f>
        <v>0</v>
      </c>
      <c r="AK687" s="1">
        <f>L687</f>
        <v>0</v>
      </c>
      <c r="AL687" s="1">
        <f>M687</f>
        <v>1</v>
      </c>
      <c r="AM687" s="1">
        <f>N687</f>
        <v>0</v>
      </c>
      <c r="AN687" s="1">
        <f>O687</f>
        <v>0</v>
      </c>
    </row>
    <row r="688">
      <c r="A688" s="1">
        <v>937</v>
      </c>
      <c r="B688" s="1">
        <v>40</v>
      </c>
      <c r="C688" s="1">
        <v>3</v>
      </c>
      <c r="D688" s="1">
        <v>89</v>
      </c>
      <c r="E688" s="1">
        <v>3</v>
      </c>
      <c r="F688" s="1">
        <v>1</v>
      </c>
      <c r="G688" s="1">
        <v>0</v>
      </c>
      <c r="H688" s="1">
        <v>0</v>
      </c>
      <c r="I688" s="1">
        <v>0</v>
      </c>
      <c r="J688" s="1">
        <v>0</v>
      </c>
      <c r="K688" s="1">
        <v>1</v>
      </c>
      <c r="L688" s="1">
        <v>0</v>
      </c>
      <c r="M688" s="1">
        <v>0</v>
      </c>
      <c r="N688" s="1">
        <v>0</v>
      </c>
      <c r="O688" s="1">
        <v>0</v>
      </c>
      <c r="P688" s="1">
        <f>LN(B688)</f>
        <v>3.68887945411394</v>
      </c>
      <c r="Q688" s="1">
        <f>1-SUM(F688:J688)</f>
        <v>0</v>
      </c>
      <c r="R688" s="1" t="str">
        <f>IF(F688=1,"Napa valley",IF(G688=1,"Bay area",IF(H688=1,"Sonoma",IF(I688=1,"Sierra/foothills",IF(J688=1,"Mendocino/lake","Generic California")))))</f>
        <v>Napa valley</v>
      </c>
      <c r="S688" s="1" t="str">
        <f>IF(F688=1,"Napa valley",IF(H688=1,"Sonoma","Other"))</f>
        <v>Napa valley</v>
      </c>
      <c r="T688" s="1" t="str">
        <f>IF(M688=1,"Cabernet",IF(N688=1,"Merlot",IF(L688=1,"Pinot noir","Other")))</f>
        <v>Other</v>
      </c>
      <c r="U688" s="1">
        <f>IF(F688=1,B688,"")</f>
        <v>40</v>
      </c>
      <c r="V688" s="1" t="str">
        <f>IF(F688=0,B688,"")</f>
        <v/>
      </c>
      <c r="W688" s="1">
        <f>'Part B'!$B$150+SUMPRODUCT('Part B'!$B$164:$N$164,C688:O688)</f>
        <v>54.3694085665512</v>
      </c>
      <c r="X688" s="1">
        <f>B688-W688</f>
        <v>-14.3694085665512</v>
      </c>
      <c r="Y688" s="1">
        <f>'Part B'!$B$179+SUMPRODUCT('Part B'!$B$193:$N$193,C688:O688)</f>
        <v>3.72996316040147</v>
      </c>
      <c r="Z688" s="1">
        <f>P688-Y688</f>
        <v>-0.0410837062875387</v>
      </c>
      <c r="AB688" s="1">
        <f>C688</f>
        <v>3</v>
      </c>
      <c r="AC688" s="1">
        <f>D688</f>
        <v>89</v>
      </c>
      <c r="AD688" s="1">
        <f>E688</f>
        <v>3</v>
      </c>
      <c r="AE688" s="1">
        <f>F688</f>
        <v>1</v>
      </c>
      <c r="AF688" s="1">
        <f>G688</f>
        <v>0</v>
      </c>
      <c r="AG688" s="1">
        <f>I688</f>
        <v>0</v>
      </c>
      <c r="AH688" s="1">
        <f>J688</f>
        <v>0</v>
      </c>
      <c r="AI688" s="1">
        <f>Q688</f>
        <v>0</v>
      </c>
      <c r="AJ688" s="1">
        <f>K688</f>
        <v>1</v>
      </c>
      <c r="AK688" s="1">
        <f>L688</f>
        <v>0</v>
      </c>
      <c r="AL688" s="1">
        <f>M688</f>
        <v>0</v>
      </c>
      <c r="AM688" s="1">
        <f>N688</f>
        <v>0</v>
      </c>
      <c r="AN688" s="1">
        <f>O688</f>
        <v>0</v>
      </c>
    </row>
    <row r="689">
      <c r="A689" s="1">
        <v>938</v>
      </c>
      <c r="B689" s="1">
        <v>40</v>
      </c>
      <c r="C689" s="1">
        <v>0.36</v>
      </c>
      <c r="D689" s="1">
        <v>88</v>
      </c>
      <c r="E689" s="1">
        <v>3</v>
      </c>
      <c r="F689" s="1">
        <v>1</v>
      </c>
      <c r="G689" s="1">
        <v>0</v>
      </c>
      <c r="H689" s="1">
        <v>0</v>
      </c>
      <c r="I689" s="1">
        <v>0</v>
      </c>
      <c r="J689" s="1">
        <v>0</v>
      </c>
      <c r="K689" s="1">
        <v>0</v>
      </c>
      <c r="L689" s="1">
        <v>0</v>
      </c>
      <c r="M689" s="1">
        <v>0</v>
      </c>
      <c r="N689" s="1">
        <v>0</v>
      </c>
      <c r="O689" s="1">
        <v>1</v>
      </c>
      <c r="P689" s="1">
        <f>LN(B689)</f>
        <v>3.68887945411394</v>
      </c>
      <c r="Q689" s="1">
        <f>1-SUM(F689:J689)</f>
        <v>0</v>
      </c>
      <c r="R689" s="1" t="str">
        <f>IF(F689=1,"Napa valley",IF(G689=1,"Bay area",IF(H689=1,"Sonoma",IF(I689=1,"Sierra/foothills",IF(J689=1,"Mendocino/lake","Generic California")))))</f>
        <v>Napa valley</v>
      </c>
      <c r="S689" s="1" t="str">
        <f>IF(F689=1,"Napa valley",IF(H689=1,"Sonoma","Other"))</f>
        <v>Napa valley</v>
      </c>
      <c r="T689" s="1" t="str">
        <f>IF(M689=1,"Cabernet",IF(N689=1,"Merlot",IF(L689=1,"Pinot noir","Other")))</f>
        <v>Other</v>
      </c>
      <c r="U689" s="1">
        <f>IF(F689=1,B689,"")</f>
        <v>40</v>
      </c>
      <c r="V689" s="1" t="str">
        <f>IF(F689=0,B689,"")</f>
        <v/>
      </c>
      <c r="W689" s="1">
        <f>'Part B'!$B$150+SUMPRODUCT('Part B'!$B$164:$N$164,C689:O689)</f>
        <v>30.7808032181076</v>
      </c>
      <c r="X689" s="1">
        <f>B689-W689</f>
        <v>9.21919678189238</v>
      </c>
      <c r="Y689" s="1">
        <f>'Part B'!$B$179+SUMPRODUCT('Part B'!$B$193:$N$193,C689:O689)</f>
        <v>3.23594501608605</v>
      </c>
      <c r="Z689" s="1">
        <f>P689-Y689</f>
        <v>0.452934438027882</v>
      </c>
      <c r="AB689" s="1">
        <f>C689</f>
        <v>0.36</v>
      </c>
      <c r="AC689" s="1">
        <f>D689</f>
        <v>88</v>
      </c>
      <c r="AD689" s="1">
        <f>E689</f>
        <v>3</v>
      </c>
      <c r="AE689" s="1">
        <f>F689</f>
        <v>1</v>
      </c>
      <c r="AF689" s="1">
        <f>G689</f>
        <v>0</v>
      </c>
      <c r="AG689" s="1">
        <f>I689</f>
        <v>0</v>
      </c>
      <c r="AH689" s="1">
        <f>J689</f>
        <v>0</v>
      </c>
      <c r="AI689" s="1">
        <f>Q689</f>
        <v>0</v>
      </c>
      <c r="AJ689" s="1">
        <f>K689</f>
        <v>0</v>
      </c>
      <c r="AK689" s="1">
        <f>L689</f>
        <v>0</v>
      </c>
      <c r="AL689" s="1">
        <f>M689</f>
        <v>0</v>
      </c>
      <c r="AM689" s="1">
        <f>N689</f>
        <v>0</v>
      </c>
      <c r="AN689" s="1">
        <f>O689</f>
        <v>1</v>
      </c>
    </row>
    <row r="690">
      <c r="A690" s="1">
        <v>939</v>
      </c>
      <c r="B690" s="1">
        <v>40</v>
      </c>
      <c r="C690" s="1">
        <v>0.25</v>
      </c>
      <c r="D690" s="1">
        <v>90</v>
      </c>
      <c r="E690" s="1">
        <v>3</v>
      </c>
      <c r="F690" s="1">
        <v>1</v>
      </c>
      <c r="G690" s="1">
        <v>0</v>
      </c>
      <c r="H690" s="1">
        <v>0</v>
      </c>
      <c r="I690" s="1">
        <v>0</v>
      </c>
      <c r="J690" s="1">
        <v>0</v>
      </c>
      <c r="K690" s="1">
        <v>0</v>
      </c>
      <c r="L690" s="1">
        <v>0</v>
      </c>
      <c r="M690" s="1">
        <v>1</v>
      </c>
      <c r="N690" s="1">
        <v>0</v>
      </c>
      <c r="O690" s="1">
        <v>0</v>
      </c>
      <c r="P690" s="1">
        <f>LN(B690)</f>
        <v>3.68887945411394</v>
      </c>
      <c r="Q690" s="1">
        <f>1-SUM(F690:J690)</f>
        <v>0</v>
      </c>
      <c r="R690" s="1" t="str">
        <f>IF(F690=1,"Napa valley",IF(G690=1,"Bay area",IF(H690=1,"Sonoma",IF(I690=1,"Sierra/foothills",IF(J690=1,"Mendocino/lake","Generic California")))))</f>
        <v>Napa valley</v>
      </c>
      <c r="S690" s="1" t="str">
        <f>IF(F690=1,"Napa valley",IF(H690=1,"Sonoma","Other"))</f>
        <v>Napa valley</v>
      </c>
      <c r="T690" s="1" t="str">
        <f>IF(M690=1,"Cabernet",IF(N690=1,"Merlot",IF(L690=1,"Pinot noir","Other")))</f>
        <v>Cabernet</v>
      </c>
      <c r="U690" s="1">
        <f>IF(F690=1,B690,"")</f>
        <v>40</v>
      </c>
      <c r="V690" s="1" t="str">
        <f>IF(F690=0,B690,"")</f>
        <v/>
      </c>
      <c r="W690" s="1">
        <f>'Part B'!$B$150+SUMPRODUCT('Part B'!$B$164:$N$164,C690:O690)</f>
        <v>50.1149787602445</v>
      </c>
      <c r="X690" s="1">
        <f>B690-W690</f>
        <v>-10.1149787602445</v>
      </c>
      <c r="Y690" s="1">
        <f>'Part B'!$B$179+SUMPRODUCT('Part B'!$B$193:$N$193,C690:O690)</f>
        <v>3.65410016021408</v>
      </c>
      <c r="Z690" s="1">
        <f>P690-Y690</f>
        <v>0.0347792938998599</v>
      </c>
      <c r="AB690" s="1">
        <f>C690</f>
        <v>0.25</v>
      </c>
      <c r="AC690" s="1">
        <f>D690</f>
        <v>90</v>
      </c>
      <c r="AD690" s="1">
        <f>E690</f>
        <v>3</v>
      </c>
      <c r="AE690" s="1">
        <f>F690</f>
        <v>1</v>
      </c>
      <c r="AF690" s="1">
        <f>G690</f>
        <v>0</v>
      </c>
      <c r="AG690" s="1">
        <f>I690</f>
        <v>0</v>
      </c>
      <c r="AH690" s="1">
        <f>J690</f>
        <v>0</v>
      </c>
      <c r="AI690" s="1">
        <f>Q690</f>
        <v>0</v>
      </c>
      <c r="AJ690" s="1">
        <f>K690</f>
        <v>0</v>
      </c>
      <c r="AK690" s="1">
        <f>L690</f>
        <v>0</v>
      </c>
      <c r="AL690" s="1">
        <f>M690</f>
        <v>1</v>
      </c>
      <c r="AM690" s="1">
        <f>N690</f>
        <v>0</v>
      </c>
      <c r="AN690" s="1">
        <f>O690</f>
        <v>0</v>
      </c>
    </row>
    <row r="691">
      <c r="A691" s="1">
        <v>940</v>
      </c>
      <c r="B691" s="1">
        <v>40</v>
      </c>
      <c r="C691" s="1">
        <v>0.55</v>
      </c>
      <c r="D691" s="1">
        <v>90</v>
      </c>
      <c r="E691" s="1">
        <v>2</v>
      </c>
      <c r="F691" s="1">
        <v>0</v>
      </c>
      <c r="G691" s="1">
        <v>0</v>
      </c>
      <c r="H691" s="1">
        <v>1</v>
      </c>
      <c r="I691" s="1">
        <v>0</v>
      </c>
      <c r="J691" s="1">
        <v>0</v>
      </c>
      <c r="K691" s="1">
        <v>0</v>
      </c>
      <c r="L691" s="1">
        <v>1</v>
      </c>
      <c r="M691" s="1">
        <v>0</v>
      </c>
      <c r="N691" s="1">
        <v>0</v>
      </c>
      <c r="O691" s="1">
        <v>0</v>
      </c>
      <c r="P691" s="1">
        <f>LN(B691)</f>
        <v>3.68887945411394</v>
      </c>
      <c r="Q691" s="1">
        <f>1-SUM(F691:J691)</f>
        <v>0</v>
      </c>
      <c r="R691" s="1" t="str">
        <f>IF(F691=1,"Napa valley",IF(G691=1,"Bay area",IF(H691=1,"Sonoma",IF(I691=1,"Sierra/foothills",IF(J691=1,"Mendocino/lake","Generic California")))))</f>
        <v>Sonoma</v>
      </c>
      <c r="S691" s="1" t="str">
        <f>IF(F691=1,"Napa valley",IF(H691=1,"Sonoma","Other"))</f>
        <v>Sonoma</v>
      </c>
      <c r="T691" s="1" t="str">
        <f>IF(M691=1,"Cabernet",IF(N691=1,"Merlot",IF(L691=1,"Pinot noir","Other")))</f>
        <v>Pinot noir</v>
      </c>
      <c r="U691" s="1" t="str">
        <f>IF(F691=1,B691,"")</f>
        <v/>
      </c>
      <c r="V691" s="1">
        <f>IF(F691=0,B691,"")</f>
        <v>40</v>
      </c>
      <c r="W691" s="1">
        <f>'Part B'!$B$150+SUMPRODUCT('Part B'!$B$164:$N$164,C691:O691)</f>
        <v>32.3974579356678</v>
      </c>
      <c r="X691" s="1">
        <f>B691-W691</f>
        <v>7.60254206433223</v>
      </c>
      <c r="Y691" s="1">
        <f>'Part B'!$B$179+SUMPRODUCT('Part B'!$B$193:$N$193,C691:O691)</f>
        <v>3.34747021040571</v>
      </c>
      <c r="Z691" s="1">
        <f>P691-Y691</f>
        <v>0.341409243708223</v>
      </c>
      <c r="AB691" s="1">
        <f>C691</f>
        <v>0.55</v>
      </c>
      <c r="AC691" s="1">
        <f>D691</f>
        <v>90</v>
      </c>
      <c r="AD691" s="1">
        <f>E691</f>
        <v>2</v>
      </c>
      <c r="AE691" s="1">
        <f>F691</f>
        <v>0</v>
      </c>
      <c r="AF691" s="1">
        <f>G691</f>
        <v>0</v>
      </c>
      <c r="AG691" s="1">
        <f>I691</f>
        <v>0</v>
      </c>
      <c r="AH691" s="1">
        <f>J691</f>
        <v>0</v>
      </c>
      <c r="AI691" s="1">
        <f>Q691</f>
        <v>0</v>
      </c>
      <c r="AJ691" s="1">
        <f>K691</f>
        <v>0</v>
      </c>
      <c r="AK691" s="1">
        <f>L691</f>
        <v>1</v>
      </c>
      <c r="AL691" s="1">
        <f>M691</f>
        <v>0</v>
      </c>
      <c r="AM691" s="1">
        <f>N691</f>
        <v>0</v>
      </c>
      <c r="AN691" s="1">
        <f>O691</f>
        <v>0</v>
      </c>
    </row>
    <row r="692">
      <c r="A692" s="1">
        <v>941</v>
      </c>
      <c r="B692" s="1">
        <v>40</v>
      </c>
      <c r="C692" s="1">
        <v>0.075</v>
      </c>
      <c r="D692" s="1">
        <v>92</v>
      </c>
      <c r="E692" s="1">
        <v>2</v>
      </c>
      <c r="F692" s="1">
        <v>0</v>
      </c>
      <c r="G692" s="1">
        <v>0</v>
      </c>
      <c r="H692" s="1">
        <v>0</v>
      </c>
      <c r="I692" s="1">
        <v>0</v>
      </c>
      <c r="J692" s="1">
        <v>1</v>
      </c>
      <c r="K692" s="1">
        <v>0</v>
      </c>
      <c r="L692" s="1">
        <v>1</v>
      </c>
      <c r="M692" s="1">
        <v>0</v>
      </c>
      <c r="N692" s="1">
        <v>0</v>
      </c>
      <c r="O692" s="1">
        <v>0</v>
      </c>
      <c r="P692" s="1">
        <f>LN(B692)</f>
        <v>3.68887945411394</v>
      </c>
      <c r="Q692" s="1">
        <f>1-SUM(F692:J692)</f>
        <v>0</v>
      </c>
      <c r="R692" s="1" t="str">
        <f>IF(F692=1,"Napa valley",IF(G692=1,"Bay area",IF(H692=1,"Sonoma",IF(I692=1,"Sierra/foothills",IF(J692=1,"Mendocino/lake","Generic California")))))</f>
        <v>Mendocino/lake</v>
      </c>
      <c r="S692" s="1" t="str">
        <f>IF(F692=1,"Napa valley",IF(H692=1,"Sonoma","Other"))</f>
        <v>Other</v>
      </c>
      <c r="T692" s="1" t="str">
        <f>IF(M692=1,"Cabernet",IF(N692=1,"Merlot",IF(L692=1,"Pinot noir","Other")))</f>
        <v>Pinot noir</v>
      </c>
      <c r="U692" s="1" t="str">
        <f>IF(F692=1,B692,"")</f>
        <v/>
      </c>
      <c r="V692" s="1">
        <f>IF(F692=0,B692,"")</f>
        <v>40</v>
      </c>
      <c r="W692" s="1">
        <f>'Part B'!$B$150+SUMPRODUCT('Part B'!$B$164:$N$164,C692:O692)</f>
        <v>40.4497191064336</v>
      </c>
      <c r="X692" s="1">
        <f>B692-W692</f>
        <v>-0.449719106433577</v>
      </c>
      <c r="Y692" s="1">
        <f>'Part B'!$B$179+SUMPRODUCT('Part B'!$B$193:$N$193,C692:O692)</f>
        <v>3.44472056584611</v>
      </c>
      <c r="Z692" s="1">
        <f>P692-Y692</f>
        <v>0.244158888267827</v>
      </c>
      <c r="AB692" s="1">
        <f>C692</f>
        <v>0.075</v>
      </c>
      <c r="AC692" s="1">
        <f>D692</f>
        <v>92</v>
      </c>
      <c r="AD692" s="1">
        <f>E692</f>
        <v>2</v>
      </c>
      <c r="AE692" s="1">
        <f>F692</f>
        <v>0</v>
      </c>
      <c r="AF692" s="1">
        <f>G692</f>
        <v>0</v>
      </c>
      <c r="AG692" s="1">
        <f>I692</f>
        <v>0</v>
      </c>
      <c r="AH692" s="1">
        <f>J692</f>
        <v>1</v>
      </c>
      <c r="AI692" s="1">
        <f>Q692</f>
        <v>0</v>
      </c>
      <c r="AJ692" s="1">
        <f>K692</f>
        <v>0</v>
      </c>
      <c r="AK692" s="1">
        <f>L692</f>
        <v>1</v>
      </c>
      <c r="AL692" s="1">
        <f>M692</f>
        <v>0</v>
      </c>
      <c r="AM692" s="1">
        <f>N692</f>
        <v>0</v>
      </c>
      <c r="AN692" s="1">
        <f>O692</f>
        <v>0</v>
      </c>
    </row>
    <row r="693">
      <c r="A693" s="1">
        <v>942</v>
      </c>
      <c r="B693" s="1">
        <v>40</v>
      </c>
      <c r="C693" s="1">
        <v>0.05</v>
      </c>
      <c r="D693" s="1">
        <v>88</v>
      </c>
      <c r="E693" s="1">
        <v>2</v>
      </c>
      <c r="F693" s="1">
        <v>0</v>
      </c>
      <c r="G693" s="1">
        <v>0</v>
      </c>
      <c r="H693" s="1">
        <v>1</v>
      </c>
      <c r="I693" s="1">
        <v>0</v>
      </c>
      <c r="J693" s="1">
        <v>0</v>
      </c>
      <c r="K693" s="1">
        <v>0</v>
      </c>
      <c r="L693" s="1">
        <v>1</v>
      </c>
      <c r="M693" s="1">
        <v>0</v>
      </c>
      <c r="N693" s="1">
        <v>0</v>
      </c>
      <c r="O693" s="1">
        <v>0</v>
      </c>
      <c r="P693" s="1">
        <f>LN(B693)</f>
        <v>3.68887945411394</v>
      </c>
      <c r="Q693" s="1">
        <f>1-SUM(F693:J693)</f>
        <v>0</v>
      </c>
      <c r="R693" s="1" t="str">
        <f>IF(F693=1,"Napa valley",IF(G693=1,"Bay area",IF(H693=1,"Sonoma",IF(I693=1,"Sierra/foothills",IF(J693=1,"Mendocino/lake","Generic California")))))</f>
        <v>Sonoma</v>
      </c>
      <c r="S693" s="1" t="str">
        <f>IF(F693=1,"Napa valley",IF(H693=1,"Sonoma","Other"))</f>
        <v>Sonoma</v>
      </c>
      <c r="T693" s="1" t="str">
        <f>IF(M693=1,"Cabernet",IF(N693=1,"Merlot",IF(L693=1,"Pinot noir","Other")))</f>
        <v>Pinot noir</v>
      </c>
      <c r="U693" s="1" t="str">
        <f>IF(F693=1,B693,"")</f>
        <v/>
      </c>
      <c r="V693" s="1">
        <f>IF(F693=0,B693,"")</f>
        <v>40</v>
      </c>
      <c r="W693" s="1">
        <f>'Part B'!$B$150+SUMPRODUCT('Part B'!$B$164:$N$164,C693:O693)</f>
        <v>26.1547206357615</v>
      </c>
      <c r="X693" s="1">
        <f>B693-W693</f>
        <v>13.8452793642385</v>
      </c>
      <c r="Y693" s="1">
        <f>'Part B'!$B$179+SUMPRODUCT('Part B'!$B$193:$N$193,C693:O693)</f>
        <v>3.2096870063834</v>
      </c>
      <c r="Z693" s="1">
        <f>P693-Y693</f>
        <v>0.479192447730535</v>
      </c>
      <c r="AB693" s="1">
        <f>C693</f>
        <v>0.05</v>
      </c>
      <c r="AC693" s="1">
        <f>D693</f>
        <v>88</v>
      </c>
      <c r="AD693" s="1">
        <f>E693</f>
        <v>2</v>
      </c>
      <c r="AE693" s="1">
        <f>F693</f>
        <v>0</v>
      </c>
      <c r="AF693" s="1">
        <f>G693</f>
        <v>0</v>
      </c>
      <c r="AG693" s="1">
        <f>I693</f>
        <v>0</v>
      </c>
      <c r="AH693" s="1">
        <f>J693</f>
        <v>0</v>
      </c>
      <c r="AI693" s="1">
        <f>Q693</f>
        <v>0</v>
      </c>
      <c r="AJ693" s="1">
        <f>K693</f>
        <v>0</v>
      </c>
      <c r="AK693" s="1">
        <f>L693</f>
        <v>1</v>
      </c>
      <c r="AL693" s="1">
        <f>M693</f>
        <v>0</v>
      </c>
      <c r="AM693" s="1">
        <f>N693</f>
        <v>0</v>
      </c>
      <c r="AN693" s="1">
        <f>O693</f>
        <v>0</v>
      </c>
    </row>
    <row r="694">
      <c r="A694" s="1">
        <v>943</v>
      </c>
      <c r="B694" s="1">
        <v>40</v>
      </c>
      <c r="C694" s="1">
        <v>1.035</v>
      </c>
      <c r="D694" s="1">
        <v>92</v>
      </c>
      <c r="E694" s="1">
        <v>2</v>
      </c>
      <c r="F694" s="1">
        <v>1</v>
      </c>
      <c r="G694" s="1">
        <v>0</v>
      </c>
      <c r="H694" s="1">
        <v>0</v>
      </c>
      <c r="I694" s="1">
        <v>0</v>
      </c>
      <c r="J694" s="1">
        <v>0</v>
      </c>
      <c r="K694" s="1">
        <v>1</v>
      </c>
      <c r="L694" s="1">
        <v>0</v>
      </c>
      <c r="M694" s="1">
        <v>0</v>
      </c>
      <c r="N694" s="1">
        <v>0</v>
      </c>
      <c r="O694" s="1">
        <v>0</v>
      </c>
      <c r="P694" s="1">
        <f>LN(B694)</f>
        <v>3.68887945411394</v>
      </c>
      <c r="Q694" s="1">
        <f>1-SUM(F694:J694)</f>
        <v>0</v>
      </c>
      <c r="R694" s="1" t="str">
        <f>IF(F694=1,"Napa valley",IF(G694=1,"Bay area",IF(H694=1,"Sonoma",IF(I694=1,"Sierra/foothills",IF(J694=1,"Mendocino/lake","Generic California")))))</f>
        <v>Napa valley</v>
      </c>
      <c r="S694" s="1" t="str">
        <f>IF(F694=1,"Napa valley",IF(H694=1,"Sonoma","Other"))</f>
        <v>Napa valley</v>
      </c>
      <c r="T694" s="1" t="str">
        <f>IF(M694=1,"Cabernet",IF(N694=1,"Merlot",IF(L694=1,"Pinot noir","Other")))</f>
        <v>Other</v>
      </c>
      <c r="U694" s="1">
        <f>IF(F694=1,B694,"")</f>
        <v>40</v>
      </c>
      <c r="V694" s="1" t="str">
        <f>IF(F694=0,B694,"")</f>
        <v/>
      </c>
      <c r="W694" s="1">
        <f>'Part B'!$B$150+SUMPRODUCT('Part B'!$B$164:$N$164,C694:O694)</f>
        <v>57.3716006425781</v>
      </c>
      <c r="X694" s="1">
        <f>B694-W694</f>
        <v>-17.3716006425781</v>
      </c>
      <c r="Y694" s="1">
        <f>'Part B'!$B$179+SUMPRODUCT('Part B'!$B$193:$N$193,C694:O694)</f>
        <v>3.76517035129223</v>
      </c>
      <c r="Z694" s="1">
        <f>P694-Y694</f>
        <v>-0.0762908971782985</v>
      </c>
      <c r="AB694" s="1">
        <f>C694</f>
        <v>1.035</v>
      </c>
      <c r="AC694" s="1">
        <f>D694</f>
        <v>92</v>
      </c>
      <c r="AD694" s="1">
        <f>E694</f>
        <v>2</v>
      </c>
      <c r="AE694" s="1">
        <f>F694</f>
        <v>1</v>
      </c>
      <c r="AF694" s="1">
        <f>G694</f>
        <v>0</v>
      </c>
      <c r="AG694" s="1">
        <f>I694</f>
        <v>0</v>
      </c>
      <c r="AH694" s="1">
        <f>J694</f>
        <v>0</v>
      </c>
      <c r="AI694" s="1">
        <f>Q694</f>
        <v>0</v>
      </c>
      <c r="AJ694" s="1">
        <f>K694</f>
        <v>1</v>
      </c>
      <c r="AK694" s="1">
        <f>L694</f>
        <v>0</v>
      </c>
      <c r="AL694" s="1">
        <f>M694</f>
        <v>0</v>
      </c>
      <c r="AM694" s="1">
        <f>N694</f>
        <v>0</v>
      </c>
      <c r="AN694" s="1">
        <f>O694</f>
        <v>0</v>
      </c>
    </row>
    <row r="695">
      <c r="A695" s="1">
        <v>944</v>
      </c>
      <c r="B695" s="1">
        <v>40</v>
      </c>
      <c r="C695" s="1">
        <v>0.7</v>
      </c>
      <c r="D695" s="1">
        <v>90</v>
      </c>
      <c r="E695" s="1">
        <v>2</v>
      </c>
      <c r="F695" s="1">
        <v>0</v>
      </c>
      <c r="G695" s="1">
        <v>0</v>
      </c>
      <c r="H695" s="1">
        <v>0</v>
      </c>
      <c r="I695" s="1">
        <v>0</v>
      </c>
      <c r="J695" s="1">
        <v>1</v>
      </c>
      <c r="K695" s="1">
        <v>0</v>
      </c>
      <c r="L695" s="1">
        <v>1</v>
      </c>
      <c r="M695" s="1">
        <v>0</v>
      </c>
      <c r="N695" s="1">
        <v>0</v>
      </c>
      <c r="O695" s="1">
        <v>0</v>
      </c>
      <c r="P695" s="1">
        <f>LN(B695)</f>
        <v>3.68887945411394</v>
      </c>
      <c r="Q695" s="1">
        <f>1-SUM(F695:J695)</f>
        <v>0</v>
      </c>
      <c r="R695" s="1" t="str">
        <f>IF(F695=1,"Napa valley",IF(G695=1,"Bay area",IF(H695=1,"Sonoma",IF(I695=1,"Sierra/foothills",IF(J695=1,"Mendocino/lake","Generic California")))))</f>
        <v>Mendocino/lake</v>
      </c>
      <c r="S695" s="1" t="str">
        <f>IF(F695=1,"Napa valley",IF(H695=1,"Sonoma","Other"))</f>
        <v>Other</v>
      </c>
      <c r="T695" s="1" t="str">
        <f>IF(M695=1,"Cabernet",IF(N695=1,"Merlot",IF(L695=1,"Pinot noir","Other")))</f>
        <v>Pinot noir</v>
      </c>
      <c r="U695" s="1" t="str">
        <f>IF(F695=1,B695,"")</f>
        <v/>
      </c>
      <c r="V695" s="1">
        <f>IF(F695=0,B695,"")</f>
        <v>40</v>
      </c>
      <c r="W695" s="1">
        <f>'Part B'!$B$150+SUMPRODUCT('Part B'!$B$164:$N$164,C695:O695)</f>
        <v>34.1002038156935</v>
      </c>
      <c r="X695" s="1">
        <f>B695-W695</f>
        <v>5.89979618430652</v>
      </c>
      <c r="Y695" s="1">
        <f>'Part B'!$B$179+SUMPRODUCT('Part B'!$B$193:$N$193,C695:O695)</f>
        <v>3.30212341128558</v>
      </c>
      <c r="Z695" s="1">
        <f>P695-Y695</f>
        <v>0.386756042828357</v>
      </c>
      <c r="AB695" s="1">
        <f>C695</f>
        <v>0.7</v>
      </c>
      <c r="AC695" s="1">
        <f>D695</f>
        <v>90</v>
      </c>
      <c r="AD695" s="1">
        <f>E695</f>
        <v>2</v>
      </c>
      <c r="AE695" s="1">
        <f>F695</f>
        <v>0</v>
      </c>
      <c r="AF695" s="1">
        <f>G695</f>
        <v>0</v>
      </c>
      <c r="AG695" s="1">
        <f>I695</f>
        <v>0</v>
      </c>
      <c r="AH695" s="1">
        <f>J695</f>
        <v>1</v>
      </c>
      <c r="AI695" s="1">
        <f>Q695</f>
        <v>0</v>
      </c>
      <c r="AJ695" s="1">
        <f>K695</f>
        <v>0</v>
      </c>
      <c r="AK695" s="1">
        <f>L695</f>
        <v>1</v>
      </c>
      <c r="AL695" s="1">
        <f>M695</f>
        <v>0</v>
      </c>
      <c r="AM695" s="1">
        <f>N695</f>
        <v>0</v>
      </c>
      <c r="AN695" s="1">
        <f>O695</f>
        <v>0</v>
      </c>
    </row>
    <row r="696">
      <c r="A696" s="1">
        <v>945</v>
      </c>
      <c r="B696" s="1">
        <v>40</v>
      </c>
      <c r="C696" s="1">
        <v>0.7</v>
      </c>
      <c r="D696" s="1">
        <v>88</v>
      </c>
      <c r="E696" s="1">
        <v>2</v>
      </c>
      <c r="F696" s="1">
        <v>0</v>
      </c>
      <c r="G696" s="1">
        <v>0</v>
      </c>
      <c r="H696" s="1">
        <v>1</v>
      </c>
      <c r="I696" s="1">
        <v>0</v>
      </c>
      <c r="J696" s="1">
        <v>0</v>
      </c>
      <c r="K696" s="1">
        <v>0</v>
      </c>
      <c r="L696" s="1">
        <v>1</v>
      </c>
      <c r="M696" s="1">
        <v>0</v>
      </c>
      <c r="N696" s="1">
        <v>0</v>
      </c>
      <c r="O696" s="1">
        <v>0</v>
      </c>
      <c r="P696" s="1">
        <f>LN(B696)</f>
        <v>3.68887945411394</v>
      </c>
      <c r="Q696" s="1">
        <f>1-SUM(F696:J696)</f>
        <v>0</v>
      </c>
      <c r="R696" s="1" t="str">
        <f>IF(F696=1,"Napa valley",IF(G696=1,"Bay area",IF(H696=1,"Sonoma",IF(I696=1,"Sierra/foothills",IF(J696=1,"Mendocino/lake","Generic California")))))</f>
        <v>Sonoma</v>
      </c>
      <c r="S696" s="1" t="str">
        <f>IF(F696=1,"Napa valley",IF(H696=1,"Sonoma","Other"))</f>
        <v>Sonoma</v>
      </c>
      <c r="T696" s="1" t="str">
        <f>IF(M696=1,"Cabernet",IF(N696=1,"Merlot",IF(L696=1,"Pinot noir","Other")))</f>
        <v>Pinot noir</v>
      </c>
      <c r="U696" s="1" t="str">
        <f>IF(F696=1,B696,"")</f>
        <v/>
      </c>
      <c r="V696" s="1">
        <f>IF(F696=0,B696,"")</f>
        <v>40</v>
      </c>
      <c r="W696" s="1">
        <f>'Part B'!$B$150+SUMPRODUCT('Part B'!$B$164:$N$164,C696:O696)</f>
        <v>26.093026685502</v>
      </c>
      <c r="X696" s="1">
        <f>B696-W696</f>
        <v>13.906973314498</v>
      </c>
      <c r="Y696" s="1">
        <f>'Part B'!$B$179+SUMPRODUCT('Part B'!$B$193:$N$193,C696:O696)</f>
        <v>3.2069056127391</v>
      </c>
      <c r="Z696" s="1">
        <f>P696-Y696</f>
        <v>0.48197384137484</v>
      </c>
      <c r="AB696" s="1">
        <f>C696</f>
        <v>0.7</v>
      </c>
      <c r="AC696" s="1">
        <f>D696</f>
        <v>88</v>
      </c>
      <c r="AD696" s="1">
        <f>E696</f>
        <v>2</v>
      </c>
      <c r="AE696" s="1">
        <f>F696</f>
        <v>0</v>
      </c>
      <c r="AF696" s="1">
        <f>G696</f>
        <v>0</v>
      </c>
      <c r="AG696" s="1">
        <f>I696</f>
        <v>0</v>
      </c>
      <c r="AH696" s="1">
        <f>J696</f>
        <v>0</v>
      </c>
      <c r="AI696" s="1">
        <f>Q696</f>
        <v>0</v>
      </c>
      <c r="AJ696" s="1">
        <f>K696</f>
        <v>0</v>
      </c>
      <c r="AK696" s="1">
        <f>L696</f>
        <v>1</v>
      </c>
      <c r="AL696" s="1">
        <f>M696</f>
        <v>0</v>
      </c>
      <c r="AM696" s="1">
        <f>N696</f>
        <v>0</v>
      </c>
      <c r="AN696" s="1">
        <f>O696</f>
        <v>0</v>
      </c>
    </row>
    <row r="697">
      <c r="A697" s="1">
        <v>946</v>
      </c>
      <c r="B697" s="1">
        <v>40</v>
      </c>
      <c r="C697" s="1">
        <v>0.7</v>
      </c>
      <c r="D697" s="1">
        <v>92</v>
      </c>
      <c r="E697" s="1">
        <v>2</v>
      </c>
      <c r="F697" s="1">
        <v>0</v>
      </c>
      <c r="G697" s="1">
        <v>0</v>
      </c>
      <c r="H697" s="1">
        <v>1</v>
      </c>
      <c r="I697" s="1">
        <v>0</v>
      </c>
      <c r="J697" s="1">
        <v>0</v>
      </c>
      <c r="K697" s="1">
        <v>0</v>
      </c>
      <c r="L697" s="1">
        <v>1</v>
      </c>
      <c r="M697" s="1">
        <v>0</v>
      </c>
      <c r="N697" s="1">
        <v>0</v>
      </c>
      <c r="O697" s="1">
        <v>0</v>
      </c>
      <c r="P697" s="1">
        <f>LN(B697)</f>
        <v>3.68887945411394</v>
      </c>
      <c r="Q697" s="1">
        <f>1-SUM(F697:J697)</f>
        <v>0</v>
      </c>
      <c r="R697" s="1" t="str">
        <f>IF(F697=1,"Napa valley",IF(G697=1,"Bay area",IF(H697=1,"Sonoma",IF(I697=1,"Sierra/foothills",IF(J697=1,"Mendocino/lake","Generic California")))))</f>
        <v>Sonoma</v>
      </c>
      <c r="S697" s="1" t="str">
        <f>IF(F697=1,"Napa valley",IF(H697=1,"Sonoma","Other"))</f>
        <v>Sonoma</v>
      </c>
      <c r="T697" s="1" t="str">
        <f>IF(M697=1,"Cabernet",IF(N697=1,"Merlot",IF(L697=1,"Pinot noir","Other")))</f>
        <v>Pinot noir</v>
      </c>
      <c r="U697" s="1" t="str">
        <f>IF(F697=1,B697,"")</f>
        <v/>
      </c>
      <c r="V697" s="1">
        <f>IF(F697=0,B697,"")</f>
        <v>40</v>
      </c>
      <c r="W697" s="1">
        <f>'Part B'!$B$150+SUMPRODUCT('Part B'!$B$164:$N$164,C697:O697)</f>
        <v>38.6734150549446</v>
      </c>
      <c r="X697" s="1">
        <f>B697-W697</f>
        <v>1.3265849450554</v>
      </c>
      <c r="Y697" s="1">
        <f>'Part B'!$B$179+SUMPRODUCT('Part B'!$B$193:$N$193,C697:O697)</f>
        <v>3.4867510879288</v>
      </c>
      <c r="Z697" s="1">
        <f>P697-Y697</f>
        <v>0.202128366185133</v>
      </c>
      <c r="AB697" s="1">
        <f>C697</f>
        <v>0.7</v>
      </c>
      <c r="AC697" s="1">
        <f>D697</f>
        <v>92</v>
      </c>
      <c r="AD697" s="1">
        <f>E697</f>
        <v>2</v>
      </c>
      <c r="AE697" s="1">
        <f>F697</f>
        <v>0</v>
      </c>
      <c r="AF697" s="1">
        <f>G697</f>
        <v>0</v>
      </c>
      <c r="AG697" s="1">
        <f>I697</f>
        <v>0</v>
      </c>
      <c r="AH697" s="1">
        <f>J697</f>
        <v>0</v>
      </c>
      <c r="AI697" s="1">
        <f>Q697</f>
        <v>0</v>
      </c>
      <c r="AJ697" s="1">
        <f>K697</f>
        <v>0</v>
      </c>
      <c r="AK697" s="1">
        <f>L697</f>
        <v>1</v>
      </c>
      <c r="AL697" s="1">
        <f>M697</f>
        <v>0</v>
      </c>
      <c r="AM697" s="1">
        <f>N697</f>
        <v>0</v>
      </c>
      <c r="AN697" s="1">
        <f>O697</f>
        <v>0</v>
      </c>
    </row>
    <row r="698">
      <c r="A698" s="1">
        <v>947</v>
      </c>
      <c r="B698" s="1">
        <v>41</v>
      </c>
      <c r="C698" s="1">
        <v>1.915</v>
      </c>
      <c r="D698" s="1">
        <v>89</v>
      </c>
      <c r="E698" s="1">
        <v>3</v>
      </c>
      <c r="F698" s="1">
        <v>1</v>
      </c>
      <c r="G698" s="1">
        <v>0</v>
      </c>
      <c r="H698" s="1">
        <v>0</v>
      </c>
      <c r="I698" s="1">
        <v>0</v>
      </c>
      <c r="J698" s="1">
        <v>0</v>
      </c>
      <c r="K698" s="1">
        <v>0</v>
      </c>
      <c r="L698" s="1">
        <v>0</v>
      </c>
      <c r="M698" s="1">
        <v>1</v>
      </c>
      <c r="N698" s="1">
        <v>0</v>
      </c>
      <c r="O698" s="1">
        <v>0</v>
      </c>
      <c r="P698" s="1">
        <f>LN(B698)</f>
        <v>3.71357206670431</v>
      </c>
      <c r="Q698" s="1">
        <f>1-SUM(F698:J698)</f>
        <v>0</v>
      </c>
      <c r="R698" s="1" t="str">
        <f>IF(F698=1,"Napa valley",IF(G698=1,"Bay area",IF(H698=1,"Sonoma",IF(I698=1,"Sierra/foothills",IF(J698=1,"Mendocino/lake","Generic California")))))</f>
        <v>Napa valley</v>
      </c>
      <c r="S698" s="1" t="str">
        <f>IF(F698=1,"Napa valley",IF(H698=1,"Sonoma","Other"))</f>
        <v>Napa valley</v>
      </c>
      <c r="T698" s="1" t="str">
        <f>IF(M698=1,"Cabernet",IF(N698=1,"Merlot",IF(L698=1,"Pinot noir","Other")))</f>
        <v>Cabernet</v>
      </c>
      <c r="U698" s="1">
        <f>IF(F698=1,B698,"")</f>
        <v>41</v>
      </c>
      <c r="V698" s="1" t="str">
        <f>IF(F698=0,B698,"")</f>
        <v/>
      </c>
      <c r="W698" s="1">
        <f>'Part B'!$B$150+SUMPRODUCT('Part B'!$B$164:$N$164,C698:O698)</f>
        <v>46.8118502414498</v>
      </c>
      <c r="X698" s="1">
        <f>B698-W698</f>
        <v>-5.8118502414498</v>
      </c>
      <c r="Y698" s="1">
        <f>'Part B'!$B$179+SUMPRODUCT('Part B'!$B$193:$N$193,C698:O698)</f>
        <v>3.57701414462009</v>
      </c>
      <c r="Z698" s="1">
        <f>P698-Y698</f>
        <v>0.136557922084222</v>
      </c>
      <c r="AB698" s="1">
        <f>C698</f>
        <v>1.915</v>
      </c>
      <c r="AC698" s="1">
        <f>D698</f>
        <v>89</v>
      </c>
      <c r="AD698" s="1">
        <f>E698</f>
        <v>3</v>
      </c>
      <c r="AE698" s="1">
        <f>F698</f>
        <v>1</v>
      </c>
      <c r="AF698" s="1">
        <f>G698</f>
        <v>0</v>
      </c>
      <c r="AG698" s="1">
        <f>I698</f>
        <v>0</v>
      </c>
      <c r="AH698" s="1">
        <f>J698</f>
        <v>0</v>
      </c>
      <c r="AI698" s="1">
        <f>Q698</f>
        <v>0</v>
      </c>
      <c r="AJ698" s="1">
        <f>K698</f>
        <v>0</v>
      </c>
      <c r="AK698" s="1">
        <f>L698</f>
        <v>0</v>
      </c>
      <c r="AL698" s="1">
        <f>M698</f>
        <v>1</v>
      </c>
      <c r="AM698" s="1">
        <f>N698</f>
        <v>0</v>
      </c>
      <c r="AN698" s="1">
        <f>O698</f>
        <v>0</v>
      </c>
    </row>
    <row r="699">
      <c r="A699" s="1">
        <v>949</v>
      </c>
      <c r="B699" s="1">
        <v>42</v>
      </c>
      <c r="C699" s="1">
        <v>0.355</v>
      </c>
      <c r="D699" s="1">
        <v>91</v>
      </c>
      <c r="E699" s="1">
        <v>3</v>
      </c>
      <c r="F699" s="1">
        <v>1</v>
      </c>
      <c r="G699" s="1">
        <v>0</v>
      </c>
      <c r="H699" s="1">
        <v>0</v>
      </c>
      <c r="I699" s="1">
        <v>0</v>
      </c>
      <c r="J699" s="1">
        <v>0</v>
      </c>
      <c r="K699" s="1">
        <v>0</v>
      </c>
      <c r="L699" s="1">
        <v>0</v>
      </c>
      <c r="M699" s="1">
        <v>1</v>
      </c>
      <c r="N699" s="1">
        <v>0</v>
      </c>
      <c r="O699" s="1">
        <v>0</v>
      </c>
      <c r="P699" s="1">
        <f>LN(B699)</f>
        <v>3.73766961828337</v>
      </c>
      <c r="Q699" s="1">
        <f>1-SUM(F699:J699)</f>
        <v>0</v>
      </c>
      <c r="R699" s="1" t="str">
        <f>IF(F699=1,"Napa valley",IF(G699=1,"Bay area",IF(H699=1,"Sonoma",IF(I699=1,"Sierra/foothills",IF(J699=1,"Mendocino/lake","Generic California")))))</f>
        <v>Napa valley</v>
      </c>
      <c r="S699" s="1" t="str">
        <f>IF(F699=1,"Napa valley",IF(H699=1,"Sonoma","Other"))</f>
        <v>Napa valley</v>
      </c>
      <c r="T699" s="1" t="str">
        <f>IF(M699=1,"Cabernet",IF(N699=1,"Merlot",IF(L699=1,"Pinot noir","Other")))</f>
        <v>Cabernet</v>
      </c>
      <c r="U699" s="1">
        <f>IF(F699=1,B699,"")</f>
        <v>42</v>
      </c>
      <c r="V699" s="1" t="str">
        <f>IF(F699=0,B699,"")</f>
        <v/>
      </c>
      <c r="W699" s="1">
        <f>'Part B'!$B$150+SUMPRODUCT('Part B'!$B$164:$N$164,C699:O699)</f>
        <v>53.250109906794</v>
      </c>
      <c r="X699" s="1">
        <f>B699-W699</f>
        <v>-11.250109906794</v>
      </c>
      <c r="Y699" s="1">
        <f>'Part B'!$B$179+SUMPRODUCT('Part B'!$B$193:$N$193,C699:O699)</f>
        <v>3.72361222696127</v>
      </c>
      <c r="Z699" s="1">
        <f>P699-Y699</f>
        <v>0.0140573913220989</v>
      </c>
      <c r="AB699" s="1">
        <f>C699</f>
        <v>0.355</v>
      </c>
      <c r="AC699" s="1">
        <f>D699</f>
        <v>91</v>
      </c>
      <c r="AD699" s="1">
        <f>E699</f>
        <v>3</v>
      </c>
      <c r="AE699" s="1">
        <f>F699</f>
        <v>1</v>
      </c>
      <c r="AF699" s="1">
        <f>G699</f>
        <v>0</v>
      </c>
      <c r="AG699" s="1">
        <f>I699</f>
        <v>0</v>
      </c>
      <c r="AH699" s="1">
        <f>J699</f>
        <v>0</v>
      </c>
      <c r="AI699" s="1">
        <f>Q699</f>
        <v>0</v>
      </c>
      <c r="AJ699" s="1">
        <f>K699</f>
        <v>0</v>
      </c>
      <c r="AK699" s="1">
        <f>L699</f>
        <v>0</v>
      </c>
      <c r="AL699" s="1">
        <f>M699</f>
        <v>1</v>
      </c>
      <c r="AM699" s="1">
        <f>N699</f>
        <v>0</v>
      </c>
      <c r="AN699" s="1">
        <f>O699</f>
        <v>0</v>
      </c>
    </row>
    <row r="700">
      <c r="A700" s="1">
        <v>950</v>
      </c>
      <c r="B700" s="1">
        <v>42</v>
      </c>
      <c r="C700" s="1">
        <v>0.65</v>
      </c>
      <c r="D700" s="1">
        <v>87</v>
      </c>
      <c r="E700" s="1">
        <v>3</v>
      </c>
      <c r="F700" s="1">
        <v>1</v>
      </c>
      <c r="G700" s="1">
        <v>0</v>
      </c>
      <c r="H700" s="1">
        <v>0</v>
      </c>
      <c r="I700" s="1">
        <v>0</v>
      </c>
      <c r="J700" s="1">
        <v>0</v>
      </c>
      <c r="K700" s="1">
        <v>0</v>
      </c>
      <c r="L700" s="1">
        <v>0</v>
      </c>
      <c r="M700" s="1">
        <v>1</v>
      </c>
      <c r="N700" s="1">
        <v>0</v>
      </c>
      <c r="O700" s="1">
        <v>0</v>
      </c>
      <c r="P700" s="1">
        <f>LN(B700)</f>
        <v>3.73766961828337</v>
      </c>
      <c r="Q700" s="1">
        <f>1-SUM(F700:J700)</f>
        <v>0</v>
      </c>
      <c r="R700" s="1" t="str">
        <f>IF(F700=1,"Napa valley",IF(G700=1,"Bay area",IF(H700=1,"Sonoma",IF(I700=1,"Sierra/foothills",IF(J700=1,"Mendocino/lake","Generic California")))))</f>
        <v>Napa valley</v>
      </c>
      <c r="S700" s="1" t="str">
        <f>IF(F700=1,"Napa valley",IF(H700=1,"Sonoma","Other"))</f>
        <v>Napa valley</v>
      </c>
      <c r="T700" s="1" t="str">
        <f>IF(M700=1,"Cabernet",IF(N700=1,"Merlot",IF(L700=1,"Pinot noir","Other")))</f>
        <v>Cabernet</v>
      </c>
      <c r="U700" s="1">
        <f>IF(F700=1,B700,"")</f>
        <v>42</v>
      </c>
      <c r="V700" s="1" t="str">
        <f>IF(F700=0,B700,"")</f>
        <v/>
      </c>
      <c r="W700" s="1">
        <f>'Part B'!$B$150+SUMPRODUCT('Part B'!$B$164:$N$164,C700:O700)</f>
        <v>40.6417219753105</v>
      </c>
      <c r="X700" s="1">
        <f>B700-W700</f>
        <v>1.35827802468953</v>
      </c>
      <c r="Y700" s="1">
        <f>'Part B'!$B$179+SUMPRODUCT('Part B'!$B$193:$N$193,C700:O700)</f>
        <v>3.44250442696376</v>
      </c>
      <c r="Z700" s="1">
        <f>P700-Y700</f>
        <v>0.295165191319606</v>
      </c>
      <c r="AB700" s="1">
        <f>C700</f>
        <v>0.65</v>
      </c>
      <c r="AC700" s="1">
        <f>D700</f>
        <v>87</v>
      </c>
      <c r="AD700" s="1">
        <f>E700</f>
        <v>3</v>
      </c>
      <c r="AE700" s="1">
        <f>F700</f>
        <v>1</v>
      </c>
      <c r="AF700" s="1">
        <f>G700</f>
        <v>0</v>
      </c>
      <c r="AG700" s="1">
        <f>I700</f>
        <v>0</v>
      </c>
      <c r="AH700" s="1">
        <f>J700</f>
        <v>0</v>
      </c>
      <c r="AI700" s="1">
        <f>Q700</f>
        <v>0</v>
      </c>
      <c r="AJ700" s="1">
        <f>K700</f>
        <v>0</v>
      </c>
      <c r="AK700" s="1">
        <f>L700</f>
        <v>0</v>
      </c>
      <c r="AL700" s="1">
        <f>M700</f>
        <v>1</v>
      </c>
      <c r="AM700" s="1">
        <f>N700</f>
        <v>0</v>
      </c>
      <c r="AN700" s="1">
        <f>O700</f>
        <v>0</v>
      </c>
    </row>
    <row r="701">
      <c r="A701" s="1">
        <v>951</v>
      </c>
      <c r="B701" s="1">
        <v>42</v>
      </c>
      <c r="C701" s="1">
        <v>0.7</v>
      </c>
      <c r="D701" s="1">
        <v>94</v>
      </c>
      <c r="E701" s="1">
        <v>3</v>
      </c>
      <c r="F701" s="1">
        <v>1</v>
      </c>
      <c r="G701" s="1">
        <v>0</v>
      </c>
      <c r="H701" s="1">
        <v>0</v>
      </c>
      <c r="I701" s="1">
        <v>0</v>
      </c>
      <c r="J701" s="1">
        <v>0</v>
      </c>
      <c r="K701" s="1">
        <v>0</v>
      </c>
      <c r="L701" s="1">
        <v>0</v>
      </c>
      <c r="M701" s="1">
        <v>1</v>
      </c>
      <c r="N701" s="1">
        <v>0</v>
      </c>
      <c r="O701" s="1">
        <v>0</v>
      </c>
      <c r="P701" s="1">
        <f>LN(B701)</f>
        <v>3.73766961828337</v>
      </c>
      <c r="Q701" s="1">
        <f>1-SUM(F701:J701)</f>
        <v>0</v>
      </c>
      <c r="R701" s="1" t="str">
        <f>IF(F701=1,"Napa valley",IF(G701=1,"Bay area",IF(H701=1,"Sonoma",IF(I701=1,"Sierra/foothills",IF(J701=1,"Mendocino/lake","Generic California")))))</f>
        <v>Napa valley</v>
      </c>
      <c r="S701" s="1" t="str">
        <f>IF(F701=1,"Napa valley",IF(H701=1,"Sonoma","Other"))</f>
        <v>Napa valley</v>
      </c>
      <c r="T701" s="1" t="str">
        <f>IF(M701=1,"Cabernet",IF(N701=1,"Merlot",IF(L701=1,"Pinot noir","Other")))</f>
        <v>Cabernet</v>
      </c>
      <c r="U701" s="1">
        <f>IF(F701=1,B701,"")</f>
        <v>42</v>
      </c>
      <c r="V701" s="1" t="str">
        <f>IF(F701=0,B701,"")</f>
        <v/>
      </c>
      <c r="W701" s="1">
        <f>'Part B'!$B$150+SUMPRODUCT('Part B'!$B$164:$N$164,C701:O701)</f>
        <v>62.6526559333536</v>
      </c>
      <c r="X701" s="1">
        <f>B701-W701</f>
        <v>-20.6526559333536</v>
      </c>
      <c r="Y701" s="1">
        <f>'Part B'!$B$179+SUMPRODUCT('Part B'!$B$193:$N$193,C701:O701)</f>
        <v>3.9320200551885</v>
      </c>
      <c r="Z701" s="1">
        <f>P701-Y701</f>
        <v>-0.194350436905127</v>
      </c>
      <c r="AB701" s="1">
        <f>C701</f>
        <v>0.7</v>
      </c>
      <c r="AC701" s="1">
        <f>D701</f>
        <v>94</v>
      </c>
      <c r="AD701" s="1">
        <f>E701</f>
        <v>3</v>
      </c>
      <c r="AE701" s="1">
        <f>F701</f>
        <v>1</v>
      </c>
      <c r="AF701" s="1">
        <f>G701</f>
        <v>0</v>
      </c>
      <c r="AG701" s="1">
        <f>I701</f>
        <v>0</v>
      </c>
      <c r="AH701" s="1">
        <f>J701</f>
        <v>0</v>
      </c>
      <c r="AI701" s="1">
        <f>Q701</f>
        <v>0</v>
      </c>
      <c r="AJ701" s="1">
        <f>K701</f>
        <v>0</v>
      </c>
      <c r="AK701" s="1">
        <f>L701</f>
        <v>0</v>
      </c>
      <c r="AL701" s="1">
        <f>M701</f>
        <v>1</v>
      </c>
      <c r="AM701" s="1">
        <f>N701</f>
        <v>0</v>
      </c>
      <c r="AN701" s="1">
        <f>O701</f>
        <v>0</v>
      </c>
    </row>
    <row r="702">
      <c r="A702" s="1">
        <v>952</v>
      </c>
      <c r="B702" s="1">
        <v>44</v>
      </c>
      <c r="C702" s="1">
        <v>14.194</v>
      </c>
      <c r="D702" s="1">
        <v>91</v>
      </c>
      <c r="E702" s="1">
        <v>3</v>
      </c>
      <c r="F702" s="1">
        <v>1</v>
      </c>
      <c r="G702" s="1">
        <v>0</v>
      </c>
      <c r="H702" s="1">
        <v>0</v>
      </c>
      <c r="I702" s="1">
        <v>0</v>
      </c>
      <c r="J702" s="1">
        <v>0</v>
      </c>
      <c r="K702" s="1">
        <v>1</v>
      </c>
      <c r="L702" s="1">
        <v>0</v>
      </c>
      <c r="M702" s="1">
        <v>0</v>
      </c>
      <c r="N702" s="1">
        <v>0</v>
      </c>
      <c r="O702" s="1">
        <v>0</v>
      </c>
      <c r="P702" s="1">
        <f>LN(B702)</f>
        <v>3.78418963391826</v>
      </c>
      <c r="Q702" s="1">
        <f>1-SUM(F702:J702)</f>
        <v>0</v>
      </c>
      <c r="R702" s="1" t="str">
        <f>IF(F702=1,"Napa valley",IF(G702=1,"Bay area",IF(H702=1,"Sonoma",IF(I702=1,"Sierra/foothills",IF(J702=1,"Mendocino/lake","Generic California")))))</f>
        <v>Napa valley</v>
      </c>
      <c r="S702" s="1" t="str">
        <f>IF(F702=1,"Napa valley",IF(H702=1,"Sonoma","Other"))</f>
        <v>Napa valley</v>
      </c>
      <c r="T702" s="1" t="str">
        <f>IF(M702=1,"Cabernet",IF(N702=1,"Merlot",IF(L702=1,"Pinot noir","Other")))</f>
        <v>Other</v>
      </c>
      <c r="U702" s="1">
        <f>IF(F702=1,B702,"")</f>
        <v>44</v>
      </c>
      <c r="V702" s="1" t="str">
        <f>IF(F702=0,B702,"")</f>
        <v/>
      </c>
      <c r="W702" s="1">
        <f>'Part B'!$B$150+SUMPRODUCT('Part B'!$B$164:$N$164,C702:O702)</f>
        <v>59.5971380140338</v>
      </c>
      <c r="X702" s="1">
        <f>B702-W702</f>
        <v>-15.5971380140338</v>
      </c>
      <c r="Y702" s="1">
        <f>'Part B'!$B$179+SUMPRODUCT('Part B'!$B$193:$N$193,C702:O702)</f>
        <v>3.82198602037426</v>
      </c>
      <c r="Z702" s="1">
        <f>P702-Y702</f>
        <v>-0.037796386456002</v>
      </c>
      <c r="AB702" s="1">
        <f>C702</f>
        <v>14.194</v>
      </c>
      <c r="AC702" s="1">
        <f>D702</f>
        <v>91</v>
      </c>
      <c r="AD702" s="1">
        <f>E702</f>
        <v>3</v>
      </c>
      <c r="AE702" s="1">
        <f>F702</f>
        <v>1</v>
      </c>
      <c r="AF702" s="1">
        <f>G702</f>
        <v>0</v>
      </c>
      <c r="AG702" s="1">
        <f>I702</f>
        <v>0</v>
      </c>
      <c r="AH702" s="1">
        <f>J702</f>
        <v>0</v>
      </c>
      <c r="AI702" s="1">
        <f>Q702</f>
        <v>0</v>
      </c>
      <c r="AJ702" s="1">
        <f>K702</f>
        <v>1</v>
      </c>
      <c r="AK702" s="1">
        <f>L702</f>
        <v>0</v>
      </c>
      <c r="AL702" s="1">
        <f>M702</f>
        <v>0</v>
      </c>
      <c r="AM702" s="1">
        <f>N702</f>
        <v>0</v>
      </c>
      <c r="AN702" s="1">
        <f>O702</f>
        <v>0</v>
      </c>
    </row>
    <row r="703">
      <c r="A703" s="1">
        <v>953</v>
      </c>
      <c r="B703" s="1">
        <v>45</v>
      </c>
      <c r="C703" s="1">
        <v>0.2</v>
      </c>
      <c r="D703" s="1">
        <v>91</v>
      </c>
      <c r="E703" s="1">
        <v>4</v>
      </c>
      <c r="F703" s="1">
        <v>0</v>
      </c>
      <c r="G703" s="1">
        <v>0</v>
      </c>
      <c r="H703" s="1">
        <v>1</v>
      </c>
      <c r="I703" s="1">
        <v>0</v>
      </c>
      <c r="J703" s="1">
        <v>0</v>
      </c>
      <c r="K703" s="1">
        <v>0</v>
      </c>
      <c r="L703" s="1">
        <v>0</v>
      </c>
      <c r="M703" s="1">
        <v>1</v>
      </c>
      <c r="N703" s="1">
        <v>0</v>
      </c>
      <c r="O703" s="1">
        <v>0</v>
      </c>
      <c r="P703" s="1">
        <f>LN(B703)</f>
        <v>3.80666248977032</v>
      </c>
      <c r="Q703" s="1">
        <f>1-SUM(F703:J703)</f>
        <v>0</v>
      </c>
      <c r="R703" s="1" t="str">
        <f>IF(F703=1,"Napa valley",IF(G703=1,"Bay area",IF(H703=1,"Sonoma",IF(I703=1,"Sierra/foothills",IF(J703=1,"Mendocino/lake","Generic California")))))</f>
        <v>Sonoma</v>
      </c>
      <c r="S703" s="1" t="str">
        <f>IF(F703=1,"Napa valley",IF(H703=1,"Sonoma","Other"))</f>
        <v>Sonoma</v>
      </c>
      <c r="T703" s="1" t="str">
        <f>IF(M703=1,"Cabernet",IF(N703=1,"Merlot",IF(L703=1,"Pinot noir","Other")))</f>
        <v>Cabernet</v>
      </c>
      <c r="U703" s="1" t="str">
        <f>IF(F703=1,B703,"")</f>
        <v/>
      </c>
      <c r="V703" s="1">
        <f>IF(F703=0,B703,"")</f>
        <v>45</v>
      </c>
      <c r="W703" s="1">
        <f>'Part B'!$B$150+SUMPRODUCT('Part B'!$B$164:$N$164,C703:O703)</f>
        <v>51.9879784796675</v>
      </c>
      <c r="X703" s="1">
        <f>B703-W703</f>
        <v>-6.98797847966745</v>
      </c>
      <c r="Y703" s="1">
        <f>'Part B'!$B$179+SUMPRODUCT('Part B'!$B$193:$N$193,C703:O703)</f>
        <v>3.7595731999102</v>
      </c>
      <c r="Z703" s="1">
        <f>P703-Y703</f>
        <v>0.0470892898601241</v>
      </c>
      <c r="AB703" s="1">
        <f>C703</f>
        <v>0.2</v>
      </c>
      <c r="AC703" s="1">
        <f>D703</f>
        <v>91</v>
      </c>
      <c r="AD703" s="1">
        <f>E703</f>
        <v>4</v>
      </c>
      <c r="AE703" s="1">
        <f>F703</f>
        <v>0</v>
      </c>
      <c r="AF703" s="1">
        <f>G703</f>
        <v>0</v>
      </c>
      <c r="AG703" s="1">
        <f>I703</f>
        <v>0</v>
      </c>
      <c r="AH703" s="1">
        <f>J703</f>
        <v>0</v>
      </c>
      <c r="AI703" s="1">
        <f>Q703</f>
        <v>0</v>
      </c>
      <c r="AJ703" s="1">
        <f>K703</f>
        <v>0</v>
      </c>
      <c r="AK703" s="1">
        <f>L703</f>
        <v>0</v>
      </c>
      <c r="AL703" s="1">
        <f>M703</f>
        <v>1</v>
      </c>
      <c r="AM703" s="1">
        <f>N703</f>
        <v>0</v>
      </c>
      <c r="AN703" s="1">
        <f>O703</f>
        <v>0</v>
      </c>
    </row>
    <row r="704">
      <c r="A704" s="1">
        <v>954</v>
      </c>
      <c r="B704" s="1">
        <v>45</v>
      </c>
      <c r="C704" s="1">
        <v>0.49</v>
      </c>
      <c r="D704" s="1">
        <v>88</v>
      </c>
      <c r="E704" s="1">
        <v>4</v>
      </c>
      <c r="F704" s="1">
        <v>0</v>
      </c>
      <c r="G704" s="1">
        <v>0</v>
      </c>
      <c r="H704" s="1">
        <v>1</v>
      </c>
      <c r="I704" s="1">
        <v>0</v>
      </c>
      <c r="J704" s="1">
        <v>0</v>
      </c>
      <c r="K704" s="1">
        <v>0</v>
      </c>
      <c r="L704" s="1">
        <v>0</v>
      </c>
      <c r="M704" s="1">
        <v>1</v>
      </c>
      <c r="N704" s="1">
        <v>0</v>
      </c>
      <c r="O704" s="1">
        <v>0</v>
      </c>
      <c r="P704" s="1">
        <f>LN(B704)</f>
        <v>3.80666248977032</v>
      </c>
      <c r="Q704" s="1">
        <f>1-SUM(F704:J704)</f>
        <v>0</v>
      </c>
      <c r="R704" s="1" t="str">
        <f>IF(F704=1,"Napa valley",IF(G704=1,"Bay area",IF(H704=1,"Sonoma",IF(I704=1,"Sierra/foothills",IF(J704=1,"Mendocino/lake","Generic California")))))</f>
        <v>Sonoma</v>
      </c>
      <c r="S704" s="1" t="str">
        <f>IF(F704=1,"Napa valley",IF(H704=1,"Sonoma","Other"))</f>
        <v>Sonoma</v>
      </c>
      <c r="T704" s="1" t="str">
        <f>IF(M704=1,"Cabernet",IF(N704=1,"Merlot",IF(L704=1,"Pinot noir","Other")))</f>
        <v>Cabernet</v>
      </c>
      <c r="U704" s="1" t="str">
        <f>IF(F704=1,B704,"")</f>
        <v/>
      </c>
      <c r="V704" s="1">
        <f>IF(F704=0,B704,"")</f>
        <v>45</v>
      </c>
      <c r="W704" s="1">
        <f>'Part B'!$B$150+SUMPRODUCT('Part B'!$B$164:$N$164,C704:O704)</f>
        <v>42.5251622093928</v>
      </c>
      <c r="X704" s="1">
        <f>B704-W704</f>
        <v>2.47483779060724</v>
      </c>
      <c r="Y704" s="1">
        <f>'Part B'!$B$179+SUMPRODUCT('Part B'!$B$193:$N$193,C704:O704)</f>
        <v>3.54844816404584</v>
      </c>
      <c r="Z704" s="1">
        <f>P704-Y704</f>
        <v>0.258214325724479</v>
      </c>
      <c r="AB704" s="1">
        <f>C704</f>
        <v>0.49</v>
      </c>
      <c r="AC704" s="1">
        <f>D704</f>
        <v>88</v>
      </c>
      <c r="AD704" s="1">
        <f>E704</f>
        <v>4</v>
      </c>
      <c r="AE704" s="1">
        <f>F704</f>
        <v>0</v>
      </c>
      <c r="AF704" s="1">
        <f>G704</f>
        <v>0</v>
      </c>
      <c r="AG704" s="1">
        <f>I704</f>
        <v>0</v>
      </c>
      <c r="AH704" s="1">
        <f>J704</f>
        <v>0</v>
      </c>
      <c r="AI704" s="1">
        <f>Q704</f>
        <v>0</v>
      </c>
      <c r="AJ704" s="1">
        <f>K704</f>
        <v>0</v>
      </c>
      <c r="AK704" s="1">
        <f>L704</f>
        <v>0</v>
      </c>
      <c r="AL704" s="1">
        <f>M704</f>
        <v>1</v>
      </c>
      <c r="AM704" s="1">
        <f>N704</f>
        <v>0</v>
      </c>
      <c r="AN704" s="1">
        <f>O704</f>
        <v>0</v>
      </c>
    </row>
    <row r="705">
      <c r="A705" s="1">
        <v>955</v>
      </c>
      <c r="B705" s="1">
        <v>45</v>
      </c>
      <c r="C705" s="1">
        <v>5.904</v>
      </c>
      <c r="D705" s="1">
        <v>93</v>
      </c>
      <c r="E705" s="1">
        <v>4</v>
      </c>
      <c r="F705" s="1">
        <v>1</v>
      </c>
      <c r="G705" s="1">
        <v>0</v>
      </c>
      <c r="H705" s="1">
        <v>0</v>
      </c>
      <c r="I705" s="1">
        <v>0</v>
      </c>
      <c r="J705" s="1">
        <v>0</v>
      </c>
      <c r="K705" s="1">
        <v>0</v>
      </c>
      <c r="L705" s="1">
        <v>0</v>
      </c>
      <c r="M705" s="1">
        <v>1</v>
      </c>
      <c r="N705" s="1">
        <v>0</v>
      </c>
      <c r="O705" s="1">
        <v>0</v>
      </c>
      <c r="P705" s="1">
        <f>LN(B705)</f>
        <v>3.80666248977032</v>
      </c>
      <c r="Q705" s="1">
        <f>1-SUM(F705:J705)</f>
        <v>0</v>
      </c>
      <c r="R705" s="1" t="str">
        <f>IF(F705=1,"Napa valley",IF(G705=1,"Bay area",IF(H705=1,"Sonoma",IF(I705=1,"Sierra/foothills",IF(J705=1,"Mendocino/lake","Generic California")))))</f>
        <v>Napa valley</v>
      </c>
      <c r="S705" s="1" t="str">
        <f>IF(F705=1,"Napa valley",IF(H705=1,"Sonoma","Other"))</f>
        <v>Napa valley</v>
      </c>
      <c r="T705" s="1" t="str">
        <f>IF(M705=1,"Cabernet",IF(N705=1,"Merlot",IF(L705=1,"Pinot noir","Other")))</f>
        <v>Cabernet</v>
      </c>
      <c r="U705" s="1">
        <f>IF(F705=1,B705,"")</f>
        <v>45</v>
      </c>
      <c r="V705" s="1" t="str">
        <f>IF(F705=0,B705,"")</f>
        <v/>
      </c>
      <c r="W705" s="1">
        <f>'Part B'!$B$150+SUMPRODUCT('Part B'!$B$164:$N$164,C705:O705)</f>
        <v>65.6332323422162</v>
      </c>
      <c r="X705" s="1">
        <f>B705-W705</f>
        <v>-20.6332323422162</v>
      </c>
      <c r="Y705" s="1">
        <f>'Part B'!$B$179+SUMPRODUCT('Part B'!$B$193:$N$193,C705:O705)</f>
        <v>4.02287570340966</v>
      </c>
      <c r="Z705" s="1">
        <f>P705-Y705</f>
        <v>-0.216213213639343</v>
      </c>
      <c r="AB705" s="1">
        <f>C705</f>
        <v>5.904</v>
      </c>
      <c r="AC705" s="1">
        <f>D705</f>
        <v>93</v>
      </c>
      <c r="AD705" s="1">
        <f>E705</f>
        <v>4</v>
      </c>
      <c r="AE705" s="1">
        <f>F705</f>
        <v>1</v>
      </c>
      <c r="AF705" s="1">
        <f>G705</f>
        <v>0</v>
      </c>
      <c r="AG705" s="1">
        <f>I705</f>
        <v>0</v>
      </c>
      <c r="AH705" s="1">
        <f>J705</f>
        <v>0</v>
      </c>
      <c r="AI705" s="1">
        <f>Q705</f>
        <v>0</v>
      </c>
      <c r="AJ705" s="1">
        <f>K705</f>
        <v>0</v>
      </c>
      <c r="AK705" s="1">
        <f>L705</f>
        <v>0</v>
      </c>
      <c r="AL705" s="1">
        <f>M705</f>
        <v>1</v>
      </c>
      <c r="AM705" s="1">
        <f>N705</f>
        <v>0</v>
      </c>
      <c r="AN705" s="1">
        <f>O705</f>
        <v>0</v>
      </c>
    </row>
    <row r="706">
      <c r="A706" s="1">
        <v>956</v>
      </c>
      <c r="B706" s="1">
        <v>45</v>
      </c>
      <c r="C706" s="1">
        <v>0.3</v>
      </c>
      <c r="D706" s="1">
        <v>86</v>
      </c>
      <c r="E706" s="1">
        <v>3</v>
      </c>
      <c r="F706" s="1">
        <v>1</v>
      </c>
      <c r="G706" s="1">
        <v>0</v>
      </c>
      <c r="H706" s="1">
        <v>0</v>
      </c>
      <c r="I706" s="1">
        <v>0</v>
      </c>
      <c r="J706" s="1">
        <v>0</v>
      </c>
      <c r="K706" s="1">
        <v>0</v>
      </c>
      <c r="L706" s="1">
        <v>0</v>
      </c>
      <c r="M706" s="1">
        <v>1</v>
      </c>
      <c r="N706" s="1">
        <v>0</v>
      </c>
      <c r="O706" s="1">
        <v>0</v>
      </c>
      <c r="P706" s="1">
        <f>LN(B706)</f>
        <v>3.80666248977032</v>
      </c>
      <c r="Q706" s="1">
        <f>1-SUM(F706:J706)</f>
        <v>0</v>
      </c>
      <c r="R706" s="1" t="str">
        <f>IF(F706=1,"Napa valley",IF(G706=1,"Bay area",IF(H706=1,"Sonoma",IF(I706=1,"Sierra/foothills",IF(J706=1,"Mendocino/lake","Generic California")))))</f>
        <v>Napa valley</v>
      </c>
      <c r="S706" s="1" t="str">
        <f>IF(F706=1,"Napa valley",IF(H706=1,"Sonoma","Other"))</f>
        <v>Napa valley</v>
      </c>
      <c r="T706" s="1" t="str">
        <f>IF(M706=1,"Cabernet",IF(N706=1,"Merlot",IF(L706=1,"Pinot noir","Other")))</f>
        <v>Cabernet</v>
      </c>
      <c r="U706" s="1">
        <f>IF(F706=1,B706,"")</f>
        <v>45</v>
      </c>
      <c r="V706" s="1" t="str">
        <f>IF(F706=0,B706,"")</f>
        <v/>
      </c>
      <c r="W706" s="1">
        <f>'Part B'!$B$150+SUMPRODUCT('Part B'!$B$164:$N$164,C706:O706)</f>
        <v>37.5298447023204</v>
      </c>
      <c r="X706" s="1">
        <f>B706-W706</f>
        <v>7.47015529767964</v>
      </c>
      <c r="Y706" s="1">
        <f>'Part B'!$B$179+SUMPRODUCT('Part B'!$B$193:$N$193,C706:O706)</f>
        <v>3.37404073166712</v>
      </c>
      <c r="Z706" s="1">
        <f>P706-Y706</f>
        <v>0.432621758103204</v>
      </c>
      <c r="AB706" s="1">
        <f>C706</f>
        <v>0.3</v>
      </c>
      <c r="AC706" s="1">
        <f>D706</f>
        <v>86</v>
      </c>
      <c r="AD706" s="1">
        <f>E706</f>
        <v>3</v>
      </c>
      <c r="AE706" s="1">
        <f>F706</f>
        <v>1</v>
      </c>
      <c r="AF706" s="1">
        <f>G706</f>
        <v>0</v>
      </c>
      <c r="AG706" s="1">
        <f>I706</f>
        <v>0</v>
      </c>
      <c r="AH706" s="1">
        <f>J706</f>
        <v>0</v>
      </c>
      <c r="AI706" s="1">
        <f>Q706</f>
        <v>0</v>
      </c>
      <c r="AJ706" s="1">
        <f>K706</f>
        <v>0</v>
      </c>
      <c r="AK706" s="1">
        <f>L706</f>
        <v>0</v>
      </c>
      <c r="AL706" s="1">
        <f>M706</f>
        <v>1</v>
      </c>
      <c r="AM706" s="1">
        <f>N706</f>
        <v>0</v>
      </c>
      <c r="AN706" s="1">
        <f>O706</f>
        <v>0</v>
      </c>
    </row>
    <row r="707">
      <c r="A707" s="1">
        <v>957</v>
      </c>
      <c r="B707" s="1">
        <v>45</v>
      </c>
      <c r="C707" s="1">
        <v>13.5</v>
      </c>
      <c r="D707" s="1">
        <v>91</v>
      </c>
      <c r="E707" s="1">
        <v>3</v>
      </c>
      <c r="F707" s="1">
        <v>1</v>
      </c>
      <c r="G707" s="1">
        <v>0</v>
      </c>
      <c r="H707" s="1">
        <v>0</v>
      </c>
      <c r="I707" s="1">
        <v>0</v>
      </c>
      <c r="J707" s="1">
        <v>0</v>
      </c>
      <c r="K707" s="1">
        <v>0</v>
      </c>
      <c r="L707" s="1">
        <v>0</v>
      </c>
      <c r="M707" s="1">
        <v>1</v>
      </c>
      <c r="N707" s="1">
        <v>0</v>
      </c>
      <c r="O707" s="1">
        <v>0</v>
      </c>
      <c r="P707" s="1">
        <f>LN(B707)</f>
        <v>3.80666248977032</v>
      </c>
      <c r="Q707" s="1">
        <f>1-SUM(F707:J707)</f>
        <v>0</v>
      </c>
      <c r="R707" s="1" t="str">
        <f>IF(F707=1,"Napa valley",IF(G707=1,"Bay area",IF(H707=1,"Sonoma",IF(I707=1,"Sierra/foothills",IF(J707=1,"Mendocino/lake","Generic California")))))</f>
        <v>Napa valley</v>
      </c>
      <c r="S707" s="1" t="str">
        <f>IF(F707=1,"Napa valley",IF(H707=1,"Sonoma","Other"))</f>
        <v>Napa valley</v>
      </c>
      <c r="T707" s="1" t="str">
        <f>IF(M707=1,"Cabernet",IF(N707=1,"Merlot",IF(L707=1,"Pinot noir","Other")))</f>
        <v>Cabernet</v>
      </c>
      <c r="U707" s="1">
        <f>IF(F707=1,B707,"")</f>
        <v>45</v>
      </c>
      <c r="V707" s="1" t="str">
        <f>IF(F707=0,B707,"")</f>
        <v/>
      </c>
      <c r="W707" s="1">
        <f>'Part B'!$B$150+SUMPRODUCT('Part B'!$B$164:$N$164,C707:O707)</f>
        <v>52.002468405007</v>
      </c>
      <c r="X707" s="1">
        <f>B707-W707</f>
        <v>-7.00246840500699</v>
      </c>
      <c r="Y707" s="1">
        <f>'Part B'!$B$179+SUMPRODUCT('Part B'!$B$193:$N$193,C707:O707)</f>
        <v>3.66736388933915</v>
      </c>
      <c r="Z707" s="1">
        <f>P707-Y707</f>
        <v>0.139298600431173</v>
      </c>
      <c r="AB707" s="1">
        <f>C707</f>
        <v>13.5</v>
      </c>
      <c r="AC707" s="1">
        <f>D707</f>
        <v>91</v>
      </c>
      <c r="AD707" s="1">
        <f>E707</f>
        <v>3</v>
      </c>
      <c r="AE707" s="1">
        <f>F707</f>
        <v>1</v>
      </c>
      <c r="AF707" s="1">
        <f>G707</f>
        <v>0</v>
      </c>
      <c r="AG707" s="1">
        <f>I707</f>
        <v>0</v>
      </c>
      <c r="AH707" s="1">
        <f>J707</f>
        <v>0</v>
      </c>
      <c r="AI707" s="1">
        <f>Q707</f>
        <v>0</v>
      </c>
      <c r="AJ707" s="1">
        <f>K707</f>
        <v>0</v>
      </c>
      <c r="AK707" s="1">
        <f>L707</f>
        <v>0</v>
      </c>
      <c r="AL707" s="1">
        <f>M707</f>
        <v>1</v>
      </c>
      <c r="AM707" s="1">
        <f>N707</f>
        <v>0</v>
      </c>
      <c r="AN707" s="1">
        <f>O707</f>
        <v>0</v>
      </c>
    </row>
    <row r="708">
      <c r="A708" s="1">
        <v>958</v>
      </c>
      <c r="B708" s="1">
        <v>45</v>
      </c>
      <c r="C708" s="1">
        <v>0.161</v>
      </c>
      <c r="D708" s="1">
        <v>87</v>
      </c>
      <c r="E708" s="1">
        <v>3</v>
      </c>
      <c r="F708" s="1">
        <v>0</v>
      </c>
      <c r="G708" s="1">
        <v>0</v>
      </c>
      <c r="H708" s="1">
        <v>1</v>
      </c>
      <c r="I708" s="1">
        <v>0</v>
      </c>
      <c r="J708" s="1">
        <v>0</v>
      </c>
      <c r="K708" s="1">
        <v>0</v>
      </c>
      <c r="L708" s="1">
        <v>0</v>
      </c>
      <c r="M708" s="1">
        <v>0</v>
      </c>
      <c r="N708" s="1">
        <v>1</v>
      </c>
      <c r="O708" s="1">
        <v>0</v>
      </c>
      <c r="P708" s="1">
        <f>LN(B708)</f>
        <v>3.80666248977032</v>
      </c>
      <c r="Q708" s="1">
        <f>1-SUM(F708:J708)</f>
        <v>0</v>
      </c>
      <c r="R708" s="1" t="str">
        <f>IF(F708=1,"Napa valley",IF(G708=1,"Bay area",IF(H708=1,"Sonoma",IF(I708=1,"Sierra/foothills",IF(J708=1,"Mendocino/lake","Generic California")))))</f>
        <v>Sonoma</v>
      </c>
      <c r="S708" s="1" t="str">
        <f>IF(F708=1,"Napa valley",IF(H708=1,"Sonoma","Other"))</f>
        <v>Sonoma</v>
      </c>
      <c r="T708" s="1" t="str">
        <f>IF(M708=1,"Cabernet",IF(N708=1,"Merlot",IF(L708=1,"Pinot noir","Other")))</f>
        <v>Merlot</v>
      </c>
      <c r="U708" s="1" t="str">
        <f>IF(F708=1,B708,"")</f>
        <v/>
      </c>
      <c r="V708" s="1">
        <f>IF(F708=0,B708,"")</f>
        <v>45</v>
      </c>
      <c r="W708" s="1">
        <f>'Part B'!$B$150+SUMPRODUCT('Part B'!$B$164:$N$164,C708:O708)</f>
        <v>27.8246429010357</v>
      </c>
      <c r="X708" s="1">
        <f>B708-W708</f>
        <v>17.1753570989643</v>
      </c>
      <c r="Y708" s="1">
        <f>'Part B'!$B$179+SUMPRODUCT('Part B'!$B$193:$N$193,C708:O708)</f>
        <v>3.2603283953785</v>
      </c>
      <c r="Z708" s="1">
        <f>P708-Y708</f>
        <v>0.546334094391824</v>
      </c>
      <c r="AB708" s="1">
        <f>C708</f>
        <v>0.161</v>
      </c>
      <c r="AC708" s="1">
        <f>D708</f>
        <v>87</v>
      </c>
      <c r="AD708" s="1">
        <f>E708</f>
        <v>3</v>
      </c>
      <c r="AE708" s="1">
        <f>F708</f>
        <v>0</v>
      </c>
      <c r="AF708" s="1">
        <f>G708</f>
        <v>0</v>
      </c>
      <c r="AG708" s="1">
        <f>I708</f>
        <v>0</v>
      </c>
      <c r="AH708" s="1">
        <f>J708</f>
        <v>0</v>
      </c>
      <c r="AI708" s="1">
        <f>Q708</f>
        <v>0</v>
      </c>
      <c r="AJ708" s="1">
        <f>K708</f>
        <v>0</v>
      </c>
      <c r="AK708" s="1">
        <f>L708</f>
        <v>0</v>
      </c>
      <c r="AL708" s="1">
        <f>M708</f>
        <v>0</v>
      </c>
      <c r="AM708" s="1">
        <f>N708</f>
        <v>1</v>
      </c>
      <c r="AN708" s="1">
        <f>O708</f>
        <v>0</v>
      </c>
    </row>
    <row r="709">
      <c r="A709" s="1">
        <v>959</v>
      </c>
      <c r="B709" s="1">
        <v>45</v>
      </c>
      <c r="C709" s="1">
        <v>0.15</v>
      </c>
      <c r="D709" s="1">
        <v>91</v>
      </c>
      <c r="E709" s="1">
        <v>3</v>
      </c>
      <c r="F709" s="1">
        <v>1</v>
      </c>
      <c r="G709" s="1">
        <v>0</v>
      </c>
      <c r="H709" s="1">
        <v>0</v>
      </c>
      <c r="I709" s="1">
        <v>0</v>
      </c>
      <c r="J709" s="1">
        <v>0</v>
      </c>
      <c r="K709" s="1">
        <v>0</v>
      </c>
      <c r="L709" s="1">
        <v>0</v>
      </c>
      <c r="M709" s="1">
        <v>0</v>
      </c>
      <c r="N709" s="1">
        <v>1</v>
      </c>
      <c r="O709" s="1">
        <v>0</v>
      </c>
      <c r="P709" s="1">
        <f>LN(B709)</f>
        <v>3.80666248977032</v>
      </c>
      <c r="Q709" s="1">
        <f>1-SUM(F709:J709)</f>
        <v>0</v>
      </c>
      <c r="R709" s="1" t="str">
        <f>IF(F709=1,"Napa valley",IF(G709=1,"Bay area",IF(H709=1,"Sonoma",IF(I709=1,"Sierra/foothills",IF(J709=1,"Mendocino/lake","Generic California")))))</f>
        <v>Napa valley</v>
      </c>
      <c r="S709" s="1" t="str">
        <f>IF(F709=1,"Napa valley",IF(H709=1,"Sonoma","Other"))</f>
        <v>Napa valley</v>
      </c>
      <c r="T709" s="1" t="str">
        <f>IF(M709=1,"Cabernet",IF(N709=1,"Merlot",IF(L709=1,"Pinot noir","Other")))</f>
        <v>Merlot</v>
      </c>
      <c r="U709" s="1">
        <f>IF(F709=1,B709,"")</f>
        <v>45</v>
      </c>
      <c r="V709" s="1" t="str">
        <f>IF(F709=0,B709,"")</f>
        <v/>
      </c>
      <c r="W709" s="1">
        <f>'Part B'!$B$150+SUMPRODUCT('Part B'!$B$164:$N$164,C709:O709)</f>
        <v>48.3025231417415</v>
      </c>
      <c r="X709" s="1">
        <f>B709-W709</f>
        <v>-3.30252314174152</v>
      </c>
      <c r="Y709" s="1">
        <f>'Part B'!$B$179+SUMPRODUCT('Part B'!$B$193:$N$193,C709:O709)</f>
        <v>3.68800850520697</v>
      </c>
      <c r="Z709" s="1">
        <f>P709-Y709</f>
        <v>0.118653984563351</v>
      </c>
      <c r="AB709" s="1">
        <f>C709</f>
        <v>0.15</v>
      </c>
      <c r="AC709" s="1">
        <f>D709</f>
        <v>91</v>
      </c>
      <c r="AD709" s="1">
        <f>E709</f>
        <v>3</v>
      </c>
      <c r="AE709" s="1">
        <f>F709</f>
        <v>1</v>
      </c>
      <c r="AF709" s="1">
        <f>G709</f>
        <v>0</v>
      </c>
      <c r="AG709" s="1">
        <f>I709</f>
        <v>0</v>
      </c>
      <c r="AH709" s="1">
        <f>J709</f>
        <v>0</v>
      </c>
      <c r="AI709" s="1">
        <f>Q709</f>
        <v>0</v>
      </c>
      <c r="AJ709" s="1">
        <f>K709</f>
        <v>0</v>
      </c>
      <c r="AK709" s="1">
        <f>L709</f>
        <v>0</v>
      </c>
      <c r="AL709" s="1">
        <f>M709</f>
        <v>0</v>
      </c>
      <c r="AM709" s="1">
        <f>N709</f>
        <v>1</v>
      </c>
      <c r="AN709" s="1">
        <f>O709</f>
        <v>0</v>
      </c>
    </row>
    <row r="710">
      <c r="A710" s="1">
        <v>960</v>
      </c>
      <c r="B710" s="1">
        <v>45</v>
      </c>
      <c r="C710" s="1">
        <v>0.4</v>
      </c>
      <c r="D710" s="1">
        <v>95</v>
      </c>
      <c r="E710" s="1">
        <v>3</v>
      </c>
      <c r="F710" s="1">
        <v>1</v>
      </c>
      <c r="G710" s="1">
        <v>0</v>
      </c>
      <c r="H710" s="1">
        <v>0</v>
      </c>
      <c r="I710" s="1">
        <v>0</v>
      </c>
      <c r="J710" s="1">
        <v>0</v>
      </c>
      <c r="K710" s="1">
        <v>0</v>
      </c>
      <c r="L710" s="1">
        <v>0</v>
      </c>
      <c r="M710" s="1">
        <v>1</v>
      </c>
      <c r="N710" s="1">
        <v>0</v>
      </c>
      <c r="O710" s="1">
        <v>0</v>
      </c>
      <c r="P710" s="1">
        <f>LN(B710)</f>
        <v>3.80666248977032</v>
      </c>
      <c r="Q710" s="1">
        <f>1-SUM(F710:J710)</f>
        <v>0</v>
      </c>
      <c r="R710" s="1" t="str">
        <f>IF(F710=1,"Napa valley",IF(G710=1,"Bay area",IF(H710=1,"Sonoma",IF(I710=1,"Sierra/foothills",IF(J710=1,"Mendocino/lake","Generic California")))))</f>
        <v>Napa valley</v>
      </c>
      <c r="S710" s="1" t="str">
        <f>IF(F710=1,"Napa valley",IF(H710=1,"Sonoma","Other"))</f>
        <v>Napa valley</v>
      </c>
      <c r="T710" s="1" t="str">
        <f>IF(M710=1,"Cabernet",IF(N710=1,"Merlot",IF(L710=1,"Pinot noir","Other")))</f>
        <v>Cabernet</v>
      </c>
      <c r="U710" s="1">
        <f>IF(F710=1,B710,"")</f>
        <v>45</v>
      </c>
      <c r="V710" s="1" t="str">
        <f>IF(F710=0,B710,"")</f>
        <v/>
      </c>
      <c r="W710" s="1">
        <f>'Part B'!$B$150+SUMPRODUCT('Part B'!$B$164:$N$164,C710:O710)</f>
        <v>65.8262271566032</v>
      </c>
      <c r="X710" s="1">
        <f>B710-W710</f>
        <v>-20.8262271566032</v>
      </c>
      <c r="Y710" s="1">
        <f>'Part B'!$B$179+SUMPRODUCT('Part B'!$B$193:$N$193,C710:O710)</f>
        <v>4.00326514412945</v>
      </c>
      <c r="Z710" s="1">
        <f>P710-Y710</f>
        <v>-0.196602654359127</v>
      </c>
      <c r="AB710" s="1">
        <f>C710</f>
        <v>0.4</v>
      </c>
      <c r="AC710" s="1">
        <f>D710</f>
        <v>95</v>
      </c>
      <c r="AD710" s="1">
        <f>E710</f>
        <v>3</v>
      </c>
      <c r="AE710" s="1">
        <f>F710</f>
        <v>1</v>
      </c>
      <c r="AF710" s="1">
        <f>G710</f>
        <v>0</v>
      </c>
      <c r="AG710" s="1">
        <f>I710</f>
        <v>0</v>
      </c>
      <c r="AH710" s="1">
        <f>J710</f>
        <v>0</v>
      </c>
      <c r="AI710" s="1">
        <f>Q710</f>
        <v>0</v>
      </c>
      <c r="AJ710" s="1">
        <f>K710</f>
        <v>0</v>
      </c>
      <c r="AK710" s="1">
        <f>L710</f>
        <v>0</v>
      </c>
      <c r="AL710" s="1">
        <f>M710</f>
        <v>1</v>
      </c>
      <c r="AM710" s="1">
        <f>N710</f>
        <v>0</v>
      </c>
      <c r="AN710" s="1">
        <f>O710</f>
        <v>0</v>
      </c>
    </row>
    <row r="711">
      <c r="A711" s="1">
        <v>961</v>
      </c>
      <c r="B711" s="1">
        <v>45</v>
      </c>
      <c r="C711" s="1">
        <v>0.4</v>
      </c>
      <c r="D711" s="1">
        <v>88</v>
      </c>
      <c r="E711" s="1">
        <v>3</v>
      </c>
      <c r="F711" s="1">
        <v>0</v>
      </c>
      <c r="G711" s="1">
        <v>1</v>
      </c>
      <c r="H711" s="1">
        <v>0</v>
      </c>
      <c r="I711" s="1">
        <v>0</v>
      </c>
      <c r="J711" s="1">
        <v>0</v>
      </c>
      <c r="K711" s="1">
        <v>0</v>
      </c>
      <c r="L711" s="1">
        <v>0</v>
      </c>
      <c r="M711" s="1">
        <v>1</v>
      </c>
      <c r="N711" s="1">
        <v>0</v>
      </c>
      <c r="O711" s="1">
        <v>0</v>
      </c>
      <c r="P711" s="1">
        <f>LN(B711)</f>
        <v>3.80666248977032</v>
      </c>
      <c r="Q711" s="1">
        <f>1-SUM(F711:J711)</f>
        <v>0</v>
      </c>
      <c r="R711" s="1" t="str">
        <f>IF(F711=1,"Napa valley",IF(G711=1,"Bay area",IF(H711=1,"Sonoma",IF(I711=1,"Sierra/foothills",IF(J711=1,"Mendocino/lake","Generic California")))))</f>
        <v>Bay area</v>
      </c>
      <c r="S711" s="1" t="str">
        <f>IF(F711=1,"Napa valley",IF(H711=1,"Sonoma","Other"))</f>
        <v>Other</v>
      </c>
      <c r="T711" s="1" t="str">
        <f>IF(M711=1,"Cabernet",IF(N711=1,"Merlot",IF(L711=1,"Pinot noir","Other")))</f>
        <v>Cabernet</v>
      </c>
      <c r="U711" s="1" t="str">
        <f>IF(F711=1,B711,"")</f>
        <v/>
      </c>
      <c r="V711" s="1">
        <f>IF(F711=0,B711,"")</f>
        <v>45</v>
      </c>
      <c r="W711" s="1">
        <f>'Part B'!$B$150+SUMPRODUCT('Part B'!$B$164:$N$164,C711:O711)</f>
        <v>39.0284208036764</v>
      </c>
      <c r="X711" s="1">
        <f>B711-W711</f>
        <v>5.9715791963236</v>
      </c>
      <c r="Y711" s="1">
        <f>'Part B'!$B$179+SUMPRODUCT('Part B'!$B$193:$N$193,C711:O711)</f>
        <v>3.33880312246183</v>
      </c>
      <c r="Z711" s="1">
        <f>P711-Y711</f>
        <v>0.467859367308488</v>
      </c>
      <c r="AB711" s="1">
        <f>C711</f>
        <v>0.4</v>
      </c>
      <c r="AC711" s="1">
        <f>D711</f>
        <v>88</v>
      </c>
      <c r="AD711" s="1">
        <f>E711</f>
        <v>3</v>
      </c>
      <c r="AE711" s="1">
        <f>F711</f>
        <v>0</v>
      </c>
      <c r="AF711" s="1">
        <f>G711</f>
        <v>1</v>
      </c>
      <c r="AG711" s="1">
        <f>I711</f>
        <v>0</v>
      </c>
      <c r="AH711" s="1">
        <f>J711</f>
        <v>0</v>
      </c>
      <c r="AI711" s="1">
        <f>Q711</f>
        <v>0</v>
      </c>
      <c r="AJ711" s="1">
        <f>K711</f>
        <v>0</v>
      </c>
      <c r="AK711" s="1">
        <f>L711</f>
        <v>0</v>
      </c>
      <c r="AL711" s="1">
        <f>M711</f>
        <v>1</v>
      </c>
      <c r="AM711" s="1">
        <f>N711</f>
        <v>0</v>
      </c>
      <c r="AN711" s="1">
        <f>O711</f>
        <v>0</v>
      </c>
    </row>
    <row r="712">
      <c r="A712" s="1">
        <v>962</v>
      </c>
      <c r="B712" s="1">
        <v>45</v>
      </c>
      <c r="C712" s="1">
        <v>5.181</v>
      </c>
      <c r="D712" s="1">
        <v>87</v>
      </c>
      <c r="E712" s="1">
        <v>3</v>
      </c>
      <c r="F712" s="1">
        <v>0</v>
      </c>
      <c r="G712" s="1">
        <v>0</v>
      </c>
      <c r="H712" s="1">
        <v>1</v>
      </c>
      <c r="I712" s="1">
        <v>0</v>
      </c>
      <c r="J712" s="1">
        <v>0</v>
      </c>
      <c r="K712" s="1">
        <v>0</v>
      </c>
      <c r="L712" s="1">
        <v>0</v>
      </c>
      <c r="M712" s="1">
        <v>0</v>
      </c>
      <c r="N712" s="1">
        <v>1</v>
      </c>
      <c r="O712" s="1">
        <v>0</v>
      </c>
      <c r="P712" s="1">
        <f>LN(B712)</f>
        <v>3.80666248977032</v>
      </c>
      <c r="Q712" s="1">
        <f>1-SUM(F712:J712)</f>
        <v>0</v>
      </c>
      <c r="R712" s="1" t="str">
        <f>IF(F712=1,"Napa valley",IF(G712=1,"Bay area",IF(H712=1,"Sonoma",IF(I712=1,"Sierra/foothills",IF(J712=1,"Mendocino/lake","Generic California")))))</f>
        <v>Sonoma</v>
      </c>
      <c r="S712" s="1" t="str">
        <f>IF(F712=1,"Napa valley",IF(H712=1,"Sonoma","Other"))</f>
        <v>Sonoma</v>
      </c>
      <c r="T712" s="1" t="str">
        <f>IF(M712=1,"Cabernet",IF(N712=1,"Merlot",IF(L712=1,"Pinot noir","Other")))</f>
        <v>Merlot</v>
      </c>
      <c r="U712" s="1" t="str">
        <f>IF(F712=1,B712,"")</f>
        <v/>
      </c>
      <c r="V712" s="1">
        <f>IF(F712=0,B712,"")</f>
        <v>45</v>
      </c>
      <c r="W712" s="1">
        <f>'Part B'!$B$150+SUMPRODUCT('Part B'!$B$164:$N$164,C712:O712)</f>
        <v>27.3481757774929</v>
      </c>
      <c r="X712" s="1">
        <f>B712-W712</f>
        <v>17.6518242225071</v>
      </c>
      <c r="Y712" s="1">
        <f>'Part B'!$B$179+SUMPRODUCT('Part B'!$B$193:$N$193,C712:O712)</f>
        <v>3.23884747831018</v>
      </c>
      <c r="Z712" s="1">
        <f>P712-Y712</f>
        <v>0.567815011460143</v>
      </c>
      <c r="AB712" s="1">
        <f>C712</f>
        <v>5.181</v>
      </c>
      <c r="AC712" s="1">
        <f>D712</f>
        <v>87</v>
      </c>
      <c r="AD712" s="1">
        <f>E712</f>
        <v>3</v>
      </c>
      <c r="AE712" s="1">
        <f>F712</f>
        <v>0</v>
      </c>
      <c r="AF712" s="1">
        <f>G712</f>
        <v>0</v>
      </c>
      <c r="AG712" s="1">
        <f>I712</f>
        <v>0</v>
      </c>
      <c r="AH712" s="1">
        <f>J712</f>
        <v>0</v>
      </c>
      <c r="AI712" s="1">
        <f>Q712</f>
        <v>0</v>
      </c>
      <c r="AJ712" s="1">
        <f>K712</f>
        <v>0</v>
      </c>
      <c r="AK712" s="1">
        <f>L712</f>
        <v>0</v>
      </c>
      <c r="AL712" s="1">
        <f>M712</f>
        <v>0</v>
      </c>
      <c r="AM712" s="1">
        <f>N712</f>
        <v>1</v>
      </c>
      <c r="AN712" s="1">
        <f>O712</f>
        <v>0</v>
      </c>
    </row>
    <row r="713">
      <c r="A713" s="1">
        <v>963</v>
      </c>
      <c r="B713" s="1">
        <v>45</v>
      </c>
      <c r="C713" s="1">
        <v>3</v>
      </c>
      <c r="D713" s="1">
        <v>88</v>
      </c>
      <c r="E713" s="1">
        <v>3</v>
      </c>
      <c r="F713" s="1">
        <v>1</v>
      </c>
      <c r="G713" s="1">
        <v>0</v>
      </c>
      <c r="H713" s="1">
        <v>0</v>
      </c>
      <c r="I713" s="1">
        <v>0</v>
      </c>
      <c r="J713" s="1">
        <v>0</v>
      </c>
      <c r="K713" s="1">
        <v>0</v>
      </c>
      <c r="L713" s="1">
        <v>0</v>
      </c>
      <c r="M713" s="1">
        <v>1</v>
      </c>
      <c r="N713" s="1">
        <v>0</v>
      </c>
      <c r="O713" s="1">
        <v>0</v>
      </c>
      <c r="P713" s="1">
        <f>LN(B713)</f>
        <v>3.80666248977032</v>
      </c>
      <c r="Q713" s="1">
        <f>1-SUM(F713:J713)</f>
        <v>0</v>
      </c>
      <c r="R713" s="1" t="str">
        <f>IF(F713=1,"Napa valley",IF(G713=1,"Bay area",IF(H713=1,"Sonoma",IF(I713=1,"Sierra/foothills",IF(J713=1,"Mendocino/lake","Generic California")))))</f>
        <v>Napa valley</v>
      </c>
      <c r="S713" s="1" t="str">
        <f>IF(F713=1,"Napa valley",IF(H713=1,"Sonoma","Other"))</f>
        <v>Napa valley</v>
      </c>
      <c r="T713" s="1" t="str">
        <f>IF(M713=1,"Cabernet",IF(N713=1,"Merlot",IF(L713=1,"Pinot noir","Other")))</f>
        <v>Cabernet</v>
      </c>
      <c r="U713" s="1">
        <f>IF(F713=1,B713,"")</f>
        <v>45</v>
      </c>
      <c r="V713" s="1" t="str">
        <f>IF(F713=0,B713,"")</f>
        <v/>
      </c>
      <c r="W713" s="1">
        <f>'Part B'!$B$150+SUMPRODUCT('Part B'!$B$164:$N$164,C713:O713)</f>
        <v>43.5637717090405</v>
      </c>
      <c r="X713" s="1">
        <f>B713-W713</f>
        <v>1.43622829095949</v>
      </c>
      <c r="Y713" s="1">
        <f>'Part B'!$B$179+SUMPRODUCT('Part B'!$B$193:$N$193,C713:O713)</f>
        <v>3.50240998797024</v>
      </c>
      <c r="Z713" s="1">
        <f>P713-Y713</f>
        <v>0.304252501800077</v>
      </c>
      <c r="AB713" s="1">
        <f>C713</f>
        <v>3</v>
      </c>
      <c r="AC713" s="1">
        <f>D713</f>
        <v>88</v>
      </c>
      <c r="AD713" s="1">
        <f>E713</f>
        <v>3</v>
      </c>
      <c r="AE713" s="1">
        <f>F713</f>
        <v>1</v>
      </c>
      <c r="AF713" s="1">
        <f>G713</f>
        <v>0</v>
      </c>
      <c r="AG713" s="1">
        <f>I713</f>
        <v>0</v>
      </c>
      <c r="AH713" s="1">
        <f>J713</f>
        <v>0</v>
      </c>
      <c r="AI713" s="1">
        <f>Q713</f>
        <v>0</v>
      </c>
      <c r="AJ713" s="1">
        <f>K713</f>
        <v>0</v>
      </c>
      <c r="AK713" s="1">
        <f>L713</f>
        <v>0</v>
      </c>
      <c r="AL713" s="1">
        <f>M713</f>
        <v>1</v>
      </c>
      <c r="AM713" s="1">
        <f>N713</f>
        <v>0</v>
      </c>
      <c r="AN713" s="1">
        <f>O713</f>
        <v>0</v>
      </c>
    </row>
    <row r="714">
      <c r="A714" s="1">
        <v>964</v>
      </c>
      <c r="B714" s="1">
        <v>45</v>
      </c>
      <c r="C714" s="1">
        <v>0.375</v>
      </c>
      <c r="D714" s="1">
        <v>90</v>
      </c>
      <c r="E714" s="1">
        <v>3</v>
      </c>
      <c r="F714" s="1">
        <v>1</v>
      </c>
      <c r="G714" s="1">
        <v>0</v>
      </c>
      <c r="H714" s="1">
        <v>0</v>
      </c>
      <c r="I714" s="1">
        <v>0</v>
      </c>
      <c r="J714" s="1">
        <v>0</v>
      </c>
      <c r="K714" s="1">
        <v>0</v>
      </c>
      <c r="L714" s="1">
        <v>0</v>
      </c>
      <c r="M714" s="1">
        <v>1</v>
      </c>
      <c r="N714" s="1">
        <v>0</v>
      </c>
      <c r="O714" s="1">
        <v>0</v>
      </c>
      <c r="P714" s="1">
        <f>LN(B714)</f>
        <v>3.80666248977032</v>
      </c>
      <c r="Q714" s="1">
        <f>1-SUM(F714:J714)</f>
        <v>0</v>
      </c>
      <c r="R714" s="1" t="str">
        <f>IF(F714=1,"Napa valley",IF(G714=1,"Bay area",IF(H714=1,"Sonoma",IF(I714=1,"Sierra/foothills",IF(J714=1,"Mendocino/lake","Generic California")))))</f>
        <v>Napa valley</v>
      </c>
      <c r="S714" s="1" t="str">
        <f>IF(F714=1,"Napa valley",IF(H714=1,"Sonoma","Other"))</f>
        <v>Napa valley</v>
      </c>
      <c r="T714" s="1" t="str">
        <f>IF(M714=1,"Cabernet",IF(N714=1,"Merlot",IF(L714=1,"Pinot noir","Other")))</f>
        <v>Cabernet</v>
      </c>
      <c r="U714" s="1">
        <f>IF(F714=1,B714,"")</f>
        <v>45</v>
      </c>
      <c r="V714" s="1" t="str">
        <f>IF(F714=0,B714,"")</f>
        <v/>
      </c>
      <c r="W714" s="1">
        <f>'Part B'!$B$150+SUMPRODUCT('Part B'!$B$164:$N$164,C714:O714)</f>
        <v>50.1031145390407</v>
      </c>
      <c r="X714" s="1">
        <f>B714-W714</f>
        <v>-5.10311453904069</v>
      </c>
      <c r="Y714" s="1">
        <f>'Part B'!$B$179+SUMPRODUCT('Part B'!$B$193:$N$193,C714:O714)</f>
        <v>3.65356527682094</v>
      </c>
      <c r="Z714" s="1">
        <f>P714-Y714</f>
        <v>0.153097212949379</v>
      </c>
      <c r="AB714" s="1">
        <f>C714</f>
        <v>0.375</v>
      </c>
      <c r="AC714" s="1">
        <f>D714</f>
        <v>90</v>
      </c>
      <c r="AD714" s="1">
        <f>E714</f>
        <v>3</v>
      </c>
      <c r="AE714" s="1">
        <f>F714</f>
        <v>1</v>
      </c>
      <c r="AF714" s="1">
        <f>G714</f>
        <v>0</v>
      </c>
      <c r="AG714" s="1">
        <f>I714</f>
        <v>0</v>
      </c>
      <c r="AH714" s="1">
        <f>J714</f>
        <v>0</v>
      </c>
      <c r="AI714" s="1">
        <f>Q714</f>
        <v>0</v>
      </c>
      <c r="AJ714" s="1">
        <f>K714</f>
        <v>0</v>
      </c>
      <c r="AK714" s="1">
        <f>L714</f>
        <v>0</v>
      </c>
      <c r="AL714" s="1">
        <f>M714</f>
        <v>1</v>
      </c>
      <c r="AM714" s="1">
        <f>N714</f>
        <v>0</v>
      </c>
      <c r="AN714" s="1">
        <f>O714</f>
        <v>0</v>
      </c>
    </row>
    <row r="715">
      <c r="A715" s="1">
        <v>965</v>
      </c>
      <c r="B715" s="1">
        <v>45</v>
      </c>
      <c r="C715" s="1">
        <v>0.094</v>
      </c>
      <c r="D715" s="1">
        <v>83</v>
      </c>
      <c r="E715" s="1">
        <v>3</v>
      </c>
      <c r="F715" s="1">
        <v>0</v>
      </c>
      <c r="G715" s="1">
        <v>1</v>
      </c>
      <c r="H715" s="1">
        <v>0</v>
      </c>
      <c r="I715" s="1">
        <v>0</v>
      </c>
      <c r="J715" s="1">
        <v>0</v>
      </c>
      <c r="K715" s="1">
        <v>0</v>
      </c>
      <c r="L715" s="1">
        <v>0</v>
      </c>
      <c r="M715" s="1">
        <v>1</v>
      </c>
      <c r="N715" s="1">
        <v>0</v>
      </c>
      <c r="O715" s="1">
        <v>0</v>
      </c>
      <c r="P715" s="1">
        <f>LN(B715)</f>
        <v>3.80666248977032</v>
      </c>
      <c r="Q715" s="1">
        <f>1-SUM(F715:J715)</f>
        <v>0</v>
      </c>
      <c r="R715" s="1" t="str">
        <f>IF(F715=1,"Napa valley",IF(G715=1,"Bay area",IF(H715=1,"Sonoma",IF(I715=1,"Sierra/foothills",IF(J715=1,"Mendocino/lake","Generic California")))))</f>
        <v>Bay area</v>
      </c>
      <c r="S715" s="1" t="str">
        <f>IF(F715=1,"Napa valley",IF(H715=1,"Sonoma","Other"))</f>
        <v>Other</v>
      </c>
      <c r="T715" s="1" t="str">
        <f>IF(M715=1,"Cabernet",IF(N715=1,"Merlot",IF(L715=1,"Pinot noir","Other")))</f>
        <v>Cabernet</v>
      </c>
      <c r="U715" s="1" t="str">
        <f>IF(F715=1,B715,"")</f>
        <v/>
      </c>
      <c r="V715" s="1">
        <f>IF(F715=0,B715,"")</f>
        <v>45</v>
      </c>
      <c r="W715" s="1">
        <f>'Part B'!$B$150+SUMPRODUCT('Part B'!$B$164:$N$164,C715:O715)</f>
        <v>23.3319789553799</v>
      </c>
      <c r="X715" s="1">
        <f>B715-W715</f>
        <v>21.6680210446201</v>
      </c>
      <c r="Y715" s="1">
        <f>'Part B'!$B$179+SUMPRODUCT('Part B'!$B$193:$N$193,C715:O715)</f>
        <v>2.99030567302109</v>
      </c>
      <c r="Z715" s="1">
        <f>P715-Y715</f>
        <v>0.816356816749225</v>
      </c>
      <c r="AB715" s="1">
        <f>C715</f>
        <v>0.094</v>
      </c>
      <c r="AC715" s="1">
        <f>D715</f>
        <v>83</v>
      </c>
      <c r="AD715" s="1">
        <f>E715</f>
        <v>3</v>
      </c>
      <c r="AE715" s="1">
        <f>F715</f>
        <v>0</v>
      </c>
      <c r="AF715" s="1">
        <f>G715</f>
        <v>1</v>
      </c>
      <c r="AG715" s="1">
        <f>I715</f>
        <v>0</v>
      </c>
      <c r="AH715" s="1">
        <f>J715</f>
        <v>0</v>
      </c>
      <c r="AI715" s="1">
        <f>Q715</f>
        <v>0</v>
      </c>
      <c r="AJ715" s="1">
        <f>K715</f>
        <v>0</v>
      </c>
      <c r="AK715" s="1">
        <f>L715</f>
        <v>0</v>
      </c>
      <c r="AL715" s="1">
        <f>M715</f>
        <v>1</v>
      </c>
      <c r="AM715" s="1">
        <f>N715</f>
        <v>0</v>
      </c>
      <c r="AN715" s="1">
        <f>O715</f>
        <v>0</v>
      </c>
    </row>
    <row r="716">
      <c r="A716" s="1">
        <v>966</v>
      </c>
      <c r="B716" s="1">
        <v>45</v>
      </c>
      <c r="C716" s="1">
        <v>0.56</v>
      </c>
      <c r="D716" s="1">
        <v>94</v>
      </c>
      <c r="E716" s="1">
        <v>3</v>
      </c>
      <c r="F716" s="1">
        <v>0</v>
      </c>
      <c r="G716" s="1">
        <v>0</v>
      </c>
      <c r="H716" s="1">
        <v>0</v>
      </c>
      <c r="I716" s="1">
        <v>0</v>
      </c>
      <c r="J716" s="1">
        <v>1</v>
      </c>
      <c r="K716" s="1">
        <v>0</v>
      </c>
      <c r="L716" s="1">
        <v>0</v>
      </c>
      <c r="M716" s="1">
        <v>1</v>
      </c>
      <c r="N716" s="1">
        <v>0</v>
      </c>
      <c r="O716" s="1">
        <v>0</v>
      </c>
      <c r="P716" s="1">
        <f>LN(B716)</f>
        <v>3.80666248977032</v>
      </c>
      <c r="Q716" s="1">
        <f>1-SUM(F716:J716)</f>
        <v>0</v>
      </c>
      <c r="R716" s="1" t="str">
        <f>IF(F716=1,"Napa valley",IF(G716=1,"Bay area",IF(H716=1,"Sonoma",IF(I716=1,"Sierra/foothills",IF(J716=1,"Mendocino/lake","Generic California")))))</f>
        <v>Mendocino/lake</v>
      </c>
      <c r="S716" s="1" t="str">
        <f>IF(F716=1,"Napa valley",IF(H716=1,"Sonoma","Other"))</f>
        <v>Other</v>
      </c>
      <c r="T716" s="1" t="str">
        <f>IF(M716=1,"Cabernet",IF(N716=1,"Merlot",IF(L716=1,"Pinot noir","Other")))</f>
        <v>Cabernet</v>
      </c>
      <c r="U716" s="1" t="str">
        <f>IF(F716=1,B716,"")</f>
        <v/>
      </c>
      <c r="V716" s="1">
        <f>IF(F716=0,B716,"")</f>
        <v>45</v>
      </c>
      <c r="W716" s="1">
        <f>'Part B'!$B$150+SUMPRODUCT('Part B'!$B$164:$N$164,C716:O716)</f>
        <v>56.4864789867747</v>
      </c>
      <c r="X716" s="1">
        <f>B716-W716</f>
        <v>-11.4864789867747</v>
      </c>
      <c r="Y716" s="1">
        <f>'Part B'!$B$179+SUMPRODUCT('Part B'!$B$193:$N$193,C716:O716)</f>
        <v>3.74012662064026</v>
      </c>
      <c r="Z716" s="1">
        <f>P716-Y716</f>
        <v>0.0665358691300559</v>
      </c>
      <c r="AB716" s="1">
        <f>C716</f>
        <v>0.56</v>
      </c>
      <c r="AC716" s="1">
        <f>D716</f>
        <v>94</v>
      </c>
      <c r="AD716" s="1">
        <f>E716</f>
        <v>3</v>
      </c>
      <c r="AE716" s="1">
        <f>F716</f>
        <v>0</v>
      </c>
      <c r="AF716" s="1">
        <f>G716</f>
        <v>0</v>
      </c>
      <c r="AG716" s="1">
        <f>I716</f>
        <v>0</v>
      </c>
      <c r="AH716" s="1">
        <f>J716</f>
        <v>1</v>
      </c>
      <c r="AI716" s="1">
        <f>Q716</f>
        <v>0</v>
      </c>
      <c r="AJ716" s="1">
        <f>K716</f>
        <v>0</v>
      </c>
      <c r="AK716" s="1">
        <f>L716</f>
        <v>0</v>
      </c>
      <c r="AL716" s="1">
        <f>M716</f>
        <v>1</v>
      </c>
      <c r="AM716" s="1">
        <f>N716</f>
        <v>0</v>
      </c>
      <c r="AN716" s="1">
        <f>O716</f>
        <v>0</v>
      </c>
    </row>
    <row r="717">
      <c r="A717" s="1">
        <v>967</v>
      </c>
      <c r="B717" s="1">
        <v>45</v>
      </c>
      <c r="C717" s="1">
        <v>0.225</v>
      </c>
      <c r="D717" s="1">
        <v>84</v>
      </c>
      <c r="E717" s="1">
        <v>2</v>
      </c>
      <c r="F717" s="1">
        <v>0</v>
      </c>
      <c r="G717" s="1">
        <v>0</v>
      </c>
      <c r="H717" s="1">
        <v>1</v>
      </c>
      <c r="I717" s="1">
        <v>0</v>
      </c>
      <c r="J717" s="1">
        <v>0</v>
      </c>
      <c r="K717" s="1">
        <v>0</v>
      </c>
      <c r="L717" s="1">
        <v>1</v>
      </c>
      <c r="M717" s="1">
        <v>0</v>
      </c>
      <c r="N717" s="1">
        <v>0</v>
      </c>
      <c r="O717" s="1">
        <v>0</v>
      </c>
      <c r="P717" s="1">
        <f>LN(B717)</f>
        <v>3.80666248977032</v>
      </c>
      <c r="Q717" s="1">
        <f>1-SUM(F717:J717)</f>
        <v>0</v>
      </c>
      <c r="R717" s="1" t="str">
        <f>IF(F717=1,"Napa valley",IF(G717=1,"Bay area",IF(H717=1,"Sonoma",IF(I717=1,"Sierra/foothills",IF(J717=1,"Mendocino/lake","Generic California")))))</f>
        <v>Sonoma</v>
      </c>
      <c r="S717" s="1" t="str">
        <f>IF(F717=1,"Napa valley",IF(H717=1,"Sonoma","Other"))</f>
        <v>Sonoma</v>
      </c>
      <c r="T717" s="1" t="str">
        <f>IF(M717=1,"Cabernet",IF(N717=1,"Merlot",IF(L717=1,"Pinot noir","Other")))</f>
        <v>Pinot noir</v>
      </c>
      <c r="U717" s="1" t="str">
        <f>IF(F717=1,B717,"")</f>
        <v/>
      </c>
      <c r="V717" s="1">
        <f>IF(F717=0,B717,"")</f>
        <v>45</v>
      </c>
      <c r="W717" s="1">
        <f>'Part B'!$B$150+SUMPRODUCT('Part B'!$B$164:$N$164,C717:O717)</f>
        <v>13.5577223566336</v>
      </c>
      <c r="X717" s="1">
        <f>B717-W717</f>
        <v>31.4422776433664</v>
      </c>
      <c r="Y717" s="1">
        <f>'Part B'!$B$179+SUMPRODUCT('Part B'!$B$193:$N$193,C717:O717)</f>
        <v>2.92909269444331</v>
      </c>
      <c r="Z717" s="1">
        <f>P717-Y717</f>
        <v>0.877569795327014</v>
      </c>
      <c r="AB717" s="1">
        <f>C717</f>
        <v>0.225</v>
      </c>
      <c r="AC717" s="1">
        <f>D717</f>
        <v>84</v>
      </c>
      <c r="AD717" s="1">
        <f>E717</f>
        <v>2</v>
      </c>
      <c r="AE717" s="1">
        <f>F717</f>
        <v>0</v>
      </c>
      <c r="AF717" s="1">
        <f>G717</f>
        <v>0</v>
      </c>
      <c r="AG717" s="1">
        <f>I717</f>
        <v>0</v>
      </c>
      <c r="AH717" s="1">
        <f>J717</f>
        <v>0</v>
      </c>
      <c r="AI717" s="1">
        <f>Q717</f>
        <v>0</v>
      </c>
      <c r="AJ717" s="1">
        <f>K717</f>
        <v>0</v>
      </c>
      <c r="AK717" s="1">
        <f>L717</f>
        <v>1</v>
      </c>
      <c r="AL717" s="1">
        <f>M717</f>
        <v>0</v>
      </c>
      <c r="AM717" s="1">
        <f>N717</f>
        <v>0</v>
      </c>
      <c r="AN717" s="1">
        <f>O717</f>
        <v>0</v>
      </c>
    </row>
    <row r="718">
      <c r="A718" s="1">
        <v>968</v>
      </c>
      <c r="B718" s="1">
        <v>47</v>
      </c>
      <c r="C718" s="1">
        <v>6.1</v>
      </c>
      <c r="D718" s="1">
        <v>80</v>
      </c>
      <c r="E718" s="1">
        <v>5</v>
      </c>
      <c r="F718" s="1">
        <v>0</v>
      </c>
      <c r="G718" s="1">
        <v>0</v>
      </c>
      <c r="H718" s="1">
        <v>0</v>
      </c>
      <c r="I718" s="1">
        <v>0</v>
      </c>
      <c r="J718" s="1">
        <v>0</v>
      </c>
      <c r="K718" s="1">
        <v>0</v>
      </c>
      <c r="L718" s="1">
        <v>0</v>
      </c>
      <c r="M718" s="1">
        <v>0</v>
      </c>
      <c r="N718" s="1">
        <v>1</v>
      </c>
      <c r="O718" s="1">
        <v>0</v>
      </c>
      <c r="P718" s="1">
        <f>LN(B718)</f>
        <v>3.85014760171006</v>
      </c>
      <c r="Q718" s="1">
        <f>1-SUM(F718:J718)</f>
        <v>1</v>
      </c>
      <c r="R718" s="1" t="str">
        <f>IF(F718=1,"Napa valley",IF(G718=1,"Bay area",IF(H718=1,"Sonoma",IF(I718=1,"Sierra/foothills",IF(J718=1,"Mendocino/lake","Generic California")))))</f>
        <v>Generic California</v>
      </c>
      <c r="S718" s="1" t="str">
        <f>IF(F718=1,"Napa valley",IF(H718=1,"Sonoma","Other"))</f>
        <v>Other</v>
      </c>
      <c r="T718" s="1" t="str">
        <f>IF(M718=1,"Cabernet",IF(N718=1,"Merlot",IF(L718=1,"Pinot noir","Other")))</f>
        <v>Merlot</v>
      </c>
      <c r="U718" s="1" t="str">
        <f>IF(F718=1,B718,"")</f>
        <v/>
      </c>
      <c r="V718" s="1">
        <f>IF(F718=0,B718,"")</f>
        <v>47</v>
      </c>
      <c r="W718" s="1">
        <f>'Part B'!$B$150+SUMPRODUCT('Part B'!$B$164:$N$164,C718:O718)</f>
        <v>19.319923279902</v>
      </c>
      <c r="X718" s="1">
        <f>B718-W718</f>
        <v>27.680076720098</v>
      </c>
      <c r="Y718" s="1">
        <f>'Part B'!$B$179+SUMPRODUCT('Part B'!$B$193:$N$193,C718:O718)</f>
        <v>2.82942415093165</v>
      </c>
      <c r="Z718" s="1">
        <f>P718-Y718</f>
        <v>1.02072345077841</v>
      </c>
      <c r="AB718" s="1">
        <f>C718</f>
        <v>6.1</v>
      </c>
      <c r="AC718" s="1">
        <f>D718</f>
        <v>80</v>
      </c>
      <c r="AD718" s="1">
        <f>E718</f>
        <v>5</v>
      </c>
      <c r="AE718" s="1">
        <f>F718</f>
        <v>0</v>
      </c>
      <c r="AF718" s="1">
        <f>G718</f>
        <v>0</v>
      </c>
      <c r="AG718" s="1">
        <f>I718</f>
        <v>0</v>
      </c>
      <c r="AH718" s="1">
        <f>J718</f>
        <v>0</v>
      </c>
      <c r="AI718" s="1">
        <f>Q718</f>
        <v>1</v>
      </c>
      <c r="AJ718" s="1">
        <f>K718</f>
        <v>0</v>
      </c>
      <c r="AK718" s="1">
        <f>L718</f>
        <v>0</v>
      </c>
      <c r="AL718" s="1">
        <f>M718</f>
        <v>0</v>
      </c>
      <c r="AM718" s="1">
        <f>N718</f>
        <v>1</v>
      </c>
      <c r="AN718" s="1">
        <f>O718</f>
        <v>0</v>
      </c>
    </row>
    <row r="719">
      <c r="A719" s="1">
        <v>969</v>
      </c>
      <c r="B719" s="1">
        <v>47</v>
      </c>
      <c r="C719" s="1">
        <v>1.4</v>
      </c>
      <c r="D719" s="1">
        <v>92</v>
      </c>
      <c r="E719" s="1">
        <v>4</v>
      </c>
      <c r="F719" s="1">
        <v>1</v>
      </c>
      <c r="G719" s="1">
        <v>0</v>
      </c>
      <c r="H719" s="1">
        <v>0</v>
      </c>
      <c r="I719" s="1">
        <v>0</v>
      </c>
      <c r="J719" s="1">
        <v>0</v>
      </c>
      <c r="K719" s="1">
        <v>0</v>
      </c>
      <c r="L719" s="1">
        <v>0</v>
      </c>
      <c r="M719" s="1">
        <v>1</v>
      </c>
      <c r="N719" s="1">
        <v>0</v>
      </c>
      <c r="O719" s="1">
        <v>0</v>
      </c>
      <c r="P719" s="1">
        <f>LN(B719)</f>
        <v>3.85014760171006</v>
      </c>
      <c r="Q719" s="1">
        <f>1-SUM(F719:J719)</f>
        <v>0</v>
      </c>
      <c r="R719" s="1" t="str">
        <f>IF(F719=1,"Napa valley",IF(G719=1,"Bay area",IF(H719=1,"Sonoma",IF(I719=1,"Sierra/foothills",IF(J719=1,"Mendocino/lake","Generic California")))))</f>
        <v>Napa valley</v>
      </c>
      <c r="S719" s="1" t="str">
        <f>IF(F719=1,"Napa valley",IF(H719=1,"Sonoma","Other"))</f>
        <v>Napa valley</v>
      </c>
      <c r="T719" s="1" t="str">
        <f>IF(M719=1,"Cabernet",IF(N719=1,"Merlot",IF(L719=1,"Pinot noir","Other")))</f>
        <v>Cabernet</v>
      </c>
      <c r="U719" s="1">
        <f>IF(F719=1,B719,"")</f>
        <v>47</v>
      </c>
      <c r="V719" s="1" t="str">
        <f>IF(F719=0,B719,"")</f>
        <v/>
      </c>
      <c r="W719" s="1">
        <f>'Part B'!$B$150+SUMPRODUCT('Part B'!$B$164:$N$164,C719:O719)</f>
        <v>62.9156268682693</v>
      </c>
      <c r="X719" s="1">
        <f>B719-W719</f>
        <v>-15.9156268682693</v>
      </c>
      <c r="Y719" s="1">
        <f>'Part B'!$B$179+SUMPRODUCT('Part B'!$B$193:$N$193,C719:O719)</f>
        <v>3.97218725303369</v>
      </c>
      <c r="Z719" s="1">
        <f>P719-Y719</f>
        <v>-0.122039651323634</v>
      </c>
      <c r="AB719" s="1">
        <f>C719</f>
        <v>1.4</v>
      </c>
      <c r="AC719" s="1">
        <f>D719</f>
        <v>92</v>
      </c>
      <c r="AD719" s="1">
        <f>E719</f>
        <v>4</v>
      </c>
      <c r="AE719" s="1">
        <f>F719</f>
        <v>1</v>
      </c>
      <c r="AF719" s="1">
        <f>G719</f>
        <v>0</v>
      </c>
      <c r="AG719" s="1">
        <f>I719</f>
        <v>0</v>
      </c>
      <c r="AH719" s="1">
        <f>J719</f>
        <v>0</v>
      </c>
      <c r="AI719" s="1">
        <f>Q719</f>
        <v>0</v>
      </c>
      <c r="AJ719" s="1">
        <f>K719</f>
        <v>0</v>
      </c>
      <c r="AK719" s="1">
        <f>L719</f>
        <v>0</v>
      </c>
      <c r="AL719" s="1">
        <f>M719</f>
        <v>1</v>
      </c>
      <c r="AM719" s="1">
        <f>N719</f>
        <v>0</v>
      </c>
      <c r="AN719" s="1">
        <f>O719</f>
        <v>0</v>
      </c>
    </row>
    <row r="720">
      <c r="A720" s="1">
        <v>971</v>
      </c>
      <c r="B720" s="1">
        <v>48</v>
      </c>
      <c r="C720" s="1">
        <v>3.6</v>
      </c>
      <c r="D720" s="1">
        <v>87</v>
      </c>
      <c r="E720" s="1">
        <v>3</v>
      </c>
      <c r="F720" s="1">
        <v>1</v>
      </c>
      <c r="G720" s="1">
        <v>0</v>
      </c>
      <c r="H720" s="1">
        <v>0</v>
      </c>
      <c r="I720" s="1">
        <v>0</v>
      </c>
      <c r="J720" s="1">
        <v>0</v>
      </c>
      <c r="K720" s="1">
        <v>0</v>
      </c>
      <c r="L720" s="1">
        <v>0</v>
      </c>
      <c r="M720" s="1">
        <v>1</v>
      </c>
      <c r="N720" s="1">
        <v>0</v>
      </c>
      <c r="O720" s="1">
        <v>0</v>
      </c>
      <c r="P720" s="1">
        <f>LN(B720)</f>
        <v>3.87120101090789</v>
      </c>
      <c r="Q720" s="1">
        <f>1-SUM(F720:J720)</f>
        <v>0</v>
      </c>
      <c r="R720" s="1" t="str">
        <f>IF(F720=1,"Napa valley",IF(G720=1,"Bay area",IF(H720=1,"Sonoma",IF(I720=1,"Sierra/foothills",IF(J720=1,"Mendocino/lake","Generic California")))))</f>
        <v>Napa valley</v>
      </c>
      <c r="S720" s="1" t="str">
        <f>IF(F720=1,"Napa valley",IF(H720=1,"Sonoma","Other"))</f>
        <v>Napa valley</v>
      </c>
      <c r="T720" s="1" t="str">
        <f>IF(M720=1,"Cabernet",IF(N720=1,"Merlot",IF(L720=1,"Pinot noir","Other")))</f>
        <v>Cabernet</v>
      </c>
      <c r="U720" s="1">
        <f>IF(F720=1,B720,"")</f>
        <v>48</v>
      </c>
      <c r="V720" s="1" t="str">
        <f>IF(F720=0,B720,"")</f>
        <v/>
      </c>
      <c r="W720" s="1">
        <f>'Part B'!$B$150+SUMPRODUCT('Part B'!$B$164:$N$164,C720:O720)</f>
        <v>40.3617263549019</v>
      </c>
      <c r="X720" s="1">
        <f>B720-W720</f>
        <v>7.63827364509814</v>
      </c>
      <c r="Y720" s="1">
        <f>'Part B'!$B$179+SUMPRODUCT('Part B'!$B$193:$N$193,C720:O720)</f>
        <v>3.42988117888577</v>
      </c>
      <c r="Z720" s="1">
        <f>P720-Y720</f>
        <v>0.441319832022125</v>
      </c>
      <c r="AB720" s="1">
        <f>C720</f>
        <v>3.6</v>
      </c>
      <c r="AC720" s="1">
        <f>D720</f>
        <v>87</v>
      </c>
      <c r="AD720" s="1">
        <f>E720</f>
        <v>3</v>
      </c>
      <c r="AE720" s="1">
        <f>F720</f>
        <v>1</v>
      </c>
      <c r="AF720" s="1">
        <f>G720</f>
        <v>0</v>
      </c>
      <c r="AG720" s="1">
        <f>I720</f>
        <v>0</v>
      </c>
      <c r="AH720" s="1">
        <f>J720</f>
        <v>0</v>
      </c>
      <c r="AI720" s="1">
        <f>Q720</f>
        <v>0</v>
      </c>
      <c r="AJ720" s="1">
        <f>K720</f>
        <v>0</v>
      </c>
      <c r="AK720" s="1">
        <f>L720</f>
        <v>0</v>
      </c>
      <c r="AL720" s="1">
        <f>M720</f>
        <v>1</v>
      </c>
      <c r="AM720" s="1">
        <f>N720</f>
        <v>0</v>
      </c>
      <c r="AN720" s="1">
        <f>O720</f>
        <v>0</v>
      </c>
    </row>
    <row r="721">
      <c r="A721" s="1">
        <v>972</v>
      </c>
      <c r="B721" s="1">
        <v>48</v>
      </c>
      <c r="C721" s="1">
        <v>3.33</v>
      </c>
      <c r="D721" s="1">
        <v>88</v>
      </c>
      <c r="E721" s="1">
        <v>3</v>
      </c>
      <c r="F721" s="1">
        <v>0</v>
      </c>
      <c r="G721" s="1">
        <v>0</v>
      </c>
      <c r="H721" s="1">
        <v>0</v>
      </c>
      <c r="I721" s="1">
        <v>0</v>
      </c>
      <c r="J721" s="1">
        <v>0</v>
      </c>
      <c r="K721" s="1">
        <v>1</v>
      </c>
      <c r="L721" s="1">
        <v>0</v>
      </c>
      <c r="M721" s="1">
        <v>0</v>
      </c>
      <c r="N721" s="1">
        <v>0</v>
      </c>
      <c r="O721" s="1">
        <v>0</v>
      </c>
      <c r="P721" s="1">
        <f>LN(B721)</f>
        <v>3.87120101090789</v>
      </c>
      <c r="Q721" s="1">
        <f>1-SUM(F721:J721)</f>
        <v>1</v>
      </c>
      <c r="R721" s="1" t="str">
        <f>IF(F721=1,"Napa valley",IF(G721=1,"Bay area",IF(H721=1,"Sonoma",IF(I721=1,"Sierra/foothills",IF(J721=1,"Mendocino/lake","Generic California")))))</f>
        <v>Generic California</v>
      </c>
      <c r="S721" s="1" t="str">
        <f>IF(F721=1,"Napa valley",IF(H721=1,"Sonoma","Other"))</f>
        <v>Other</v>
      </c>
      <c r="T721" s="1" t="str">
        <f>IF(M721=1,"Cabernet",IF(N721=1,"Merlot",IF(L721=1,"Pinot noir","Other")))</f>
        <v>Other</v>
      </c>
      <c r="U721" s="1" t="str">
        <f>IF(F721=1,B721,"")</f>
        <v/>
      </c>
      <c r="V721" s="1">
        <f>IF(F721=0,B721,"")</f>
        <v>48</v>
      </c>
      <c r="W721" s="1">
        <f>'Part B'!$B$150+SUMPRODUCT('Part B'!$B$164:$N$164,C721:O721)</f>
        <v>44.131985496883</v>
      </c>
      <c r="X721" s="1">
        <f>B721-W721</f>
        <v>3.86801450311702</v>
      </c>
      <c r="Y721" s="1">
        <f>'Part B'!$B$179+SUMPRODUCT('Part B'!$B$193:$N$193,C721:O721)</f>
        <v>3.22887028657257</v>
      </c>
      <c r="Z721" s="1">
        <f>P721-Y721</f>
        <v>0.642330724335322</v>
      </c>
      <c r="AB721" s="1">
        <f>C721</f>
        <v>3.33</v>
      </c>
      <c r="AC721" s="1">
        <f>D721</f>
        <v>88</v>
      </c>
      <c r="AD721" s="1">
        <f>E721</f>
        <v>3</v>
      </c>
      <c r="AE721" s="1">
        <f>F721</f>
        <v>0</v>
      </c>
      <c r="AF721" s="1">
        <f>G721</f>
        <v>0</v>
      </c>
      <c r="AG721" s="1">
        <f>I721</f>
        <v>0</v>
      </c>
      <c r="AH721" s="1">
        <f>J721</f>
        <v>0</v>
      </c>
      <c r="AI721" s="1">
        <f>Q721</f>
        <v>1</v>
      </c>
      <c r="AJ721" s="1">
        <f>K721</f>
        <v>1</v>
      </c>
      <c r="AK721" s="1">
        <f>L721</f>
        <v>0</v>
      </c>
      <c r="AL721" s="1">
        <f>M721</f>
        <v>0</v>
      </c>
      <c r="AM721" s="1">
        <f>N721</f>
        <v>0</v>
      </c>
      <c r="AN721" s="1">
        <f>O721</f>
        <v>0</v>
      </c>
    </row>
    <row r="722">
      <c r="A722" s="1">
        <v>974</v>
      </c>
      <c r="B722" s="1">
        <v>49</v>
      </c>
      <c r="C722" s="1">
        <v>0.7</v>
      </c>
      <c r="D722" s="1">
        <v>92</v>
      </c>
      <c r="E722" s="1">
        <v>3</v>
      </c>
      <c r="F722" s="1">
        <v>1</v>
      </c>
      <c r="G722" s="1">
        <v>0</v>
      </c>
      <c r="H722" s="1">
        <v>0</v>
      </c>
      <c r="I722" s="1">
        <v>0</v>
      </c>
      <c r="J722" s="1">
        <v>0</v>
      </c>
      <c r="K722" s="1">
        <v>1</v>
      </c>
      <c r="L722" s="1">
        <v>0</v>
      </c>
      <c r="M722" s="1">
        <v>0</v>
      </c>
      <c r="N722" s="1">
        <v>0</v>
      </c>
      <c r="O722" s="1">
        <v>0</v>
      </c>
      <c r="P722" s="1">
        <f>LN(B722)</f>
        <v>3.89182029811063</v>
      </c>
      <c r="Q722" s="1">
        <f>1-SUM(F722:J722)</f>
        <v>0</v>
      </c>
      <c r="R722" s="1" t="str">
        <f>IF(F722=1,"Napa valley",IF(G722=1,"Bay area",IF(H722=1,"Sonoma",IF(I722=1,"Sierra/foothills",IF(J722=1,"Mendocino/lake","Generic California")))))</f>
        <v>Napa valley</v>
      </c>
      <c r="S722" s="1" t="str">
        <f>IF(F722=1,"Napa valley",IF(H722=1,"Sonoma","Other"))</f>
        <v>Napa valley</v>
      </c>
      <c r="T722" s="1" t="str">
        <f>IF(M722=1,"Cabernet",IF(N722=1,"Merlot",IF(L722=1,"Pinot noir","Other")))</f>
        <v>Other</v>
      </c>
      <c r="U722" s="1">
        <f>IF(F722=1,B722,"")</f>
        <v>49</v>
      </c>
      <c r="V722" s="1" t="str">
        <f>IF(F722=0,B722,"")</f>
        <v/>
      </c>
      <c r="W722" s="1">
        <f>'Part B'!$B$150+SUMPRODUCT('Part B'!$B$164:$N$164,C722:O722)</f>
        <v>64.0230015137823</v>
      </c>
      <c r="X722" s="1">
        <f>B722-W722</f>
        <v>-15.0230015137823</v>
      </c>
      <c r="Y722" s="1">
        <f>'Part B'!$B$179+SUMPRODUCT('Part B'!$B$193:$N$193,C722:O722)</f>
        <v>3.94968912122745</v>
      </c>
      <c r="Z722" s="1">
        <f>P722-Y722</f>
        <v>-0.0578688231168205</v>
      </c>
      <c r="AB722" s="1">
        <f>C722</f>
        <v>0.7</v>
      </c>
      <c r="AC722" s="1">
        <f>D722</f>
        <v>92</v>
      </c>
      <c r="AD722" s="1">
        <f>E722</f>
        <v>3</v>
      </c>
      <c r="AE722" s="1">
        <f>F722</f>
        <v>1</v>
      </c>
      <c r="AF722" s="1">
        <f>G722</f>
        <v>0</v>
      </c>
      <c r="AG722" s="1">
        <f>I722</f>
        <v>0</v>
      </c>
      <c r="AH722" s="1">
        <f>J722</f>
        <v>0</v>
      </c>
      <c r="AI722" s="1">
        <f>Q722</f>
        <v>0</v>
      </c>
      <c r="AJ722" s="1">
        <f>K722</f>
        <v>1</v>
      </c>
      <c r="AK722" s="1">
        <f>L722</f>
        <v>0</v>
      </c>
      <c r="AL722" s="1">
        <f>M722</f>
        <v>0</v>
      </c>
      <c r="AM722" s="1">
        <f>N722</f>
        <v>0</v>
      </c>
      <c r="AN722" s="1">
        <f>O722</f>
        <v>0</v>
      </c>
    </row>
    <row r="723">
      <c r="A723" s="1">
        <v>975</v>
      </c>
      <c r="B723" s="1">
        <v>50</v>
      </c>
      <c r="C723" s="1">
        <v>0.05</v>
      </c>
      <c r="D723" s="1">
        <v>92</v>
      </c>
      <c r="E723" s="1">
        <v>4</v>
      </c>
      <c r="F723" s="1">
        <v>1</v>
      </c>
      <c r="G723" s="1">
        <v>0</v>
      </c>
      <c r="H723" s="1">
        <v>0</v>
      </c>
      <c r="I723" s="1">
        <v>0</v>
      </c>
      <c r="J723" s="1">
        <v>0</v>
      </c>
      <c r="K723" s="1">
        <v>0</v>
      </c>
      <c r="L723" s="1">
        <v>0</v>
      </c>
      <c r="M723" s="1">
        <v>1</v>
      </c>
      <c r="N723" s="1">
        <v>0</v>
      </c>
      <c r="O723" s="1">
        <v>0</v>
      </c>
      <c r="P723" s="1">
        <f>LN(B723)</f>
        <v>3.91202300542815</v>
      </c>
      <c r="Q723" s="1">
        <f>1-SUM(F723:J723)</f>
        <v>0</v>
      </c>
      <c r="R723" s="1" t="str">
        <f>IF(F723=1,"Napa valley",IF(G723=1,"Bay area",IF(H723=1,"Sonoma",IF(I723=1,"Sierra/foothills",IF(J723=1,"Mendocino/lake","Generic California")))))</f>
        <v>Napa valley</v>
      </c>
      <c r="S723" s="1" t="str">
        <f>IF(F723=1,"Napa valley",IF(H723=1,"Sonoma","Other"))</f>
        <v>Napa valley</v>
      </c>
      <c r="T723" s="1" t="str">
        <f>IF(M723=1,"Cabernet",IF(N723=1,"Merlot",IF(L723=1,"Pinot noir","Other")))</f>
        <v>Cabernet</v>
      </c>
      <c r="U723" s="1">
        <f>IF(F723=1,B723,"")</f>
        <v>50</v>
      </c>
      <c r="V723" s="1" t="str">
        <f>IF(F723=0,B723,"")</f>
        <v/>
      </c>
      <c r="W723" s="1">
        <f>'Part B'!$B$150+SUMPRODUCT('Part B'!$B$164:$N$164,C723:O723)</f>
        <v>63.0437604572699</v>
      </c>
      <c r="X723" s="1">
        <f>B723-W723</f>
        <v>-13.0437604572699</v>
      </c>
      <c r="Y723" s="1">
        <f>'Part B'!$B$179+SUMPRODUCT('Part B'!$B$193:$N$193,C723:O723)</f>
        <v>3.97796399367956</v>
      </c>
      <c r="Z723" s="1">
        <f>P723-Y723</f>
        <v>-0.0659409882514095</v>
      </c>
      <c r="AB723" s="1">
        <f>C723</f>
        <v>0.05</v>
      </c>
      <c r="AC723" s="1">
        <f>D723</f>
        <v>92</v>
      </c>
      <c r="AD723" s="1">
        <f>E723</f>
        <v>4</v>
      </c>
      <c r="AE723" s="1">
        <f>F723</f>
        <v>1</v>
      </c>
      <c r="AF723" s="1">
        <f>G723</f>
        <v>0</v>
      </c>
      <c r="AG723" s="1">
        <f>I723</f>
        <v>0</v>
      </c>
      <c r="AH723" s="1">
        <f>J723</f>
        <v>0</v>
      </c>
      <c r="AI723" s="1">
        <f>Q723</f>
        <v>0</v>
      </c>
      <c r="AJ723" s="1">
        <f>K723</f>
        <v>0</v>
      </c>
      <c r="AK723" s="1">
        <f>L723</f>
        <v>0</v>
      </c>
      <c r="AL723" s="1">
        <f>M723</f>
        <v>1</v>
      </c>
      <c r="AM723" s="1">
        <f>N723</f>
        <v>0</v>
      </c>
      <c r="AN723" s="1">
        <f>O723</f>
        <v>0</v>
      </c>
    </row>
    <row r="724">
      <c r="A724" s="1">
        <v>976</v>
      </c>
      <c r="B724" s="1">
        <v>50</v>
      </c>
      <c r="C724" s="1">
        <v>2.5</v>
      </c>
      <c r="D724" s="1">
        <v>90</v>
      </c>
      <c r="E724" s="1">
        <v>4</v>
      </c>
      <c r="F724" s="1">
        <v>1</v>
      </c>
      <c r="G724" s="1">
        <v>0</v>
      </c>
      <c r="H724" s="1">
        <v>0</v>
      </c>
      <c r="I724" s="1">
        <v>0</v>
      </c>
      <c r="J724" s="1">
        <v>0</v>
      </c>
      <c r="K724" s="1">
        <v>0</v>
      </c>
      <c r="L724" s="1">
        <v>0</v>
      </c>
      <c r="M724" s="1">
        <v>1</v>
      </c>
      <c r="N724" s="1">
        <v>0</v>
      </c>
      <c r="O724" s="1">
        <v>0</v>
      </c>
      <c r="P724" s="1">
        <f>LN(B724)</f>
        <v>3.91202300542815</v>
      </c>
      <c r="Q724" s="1">
        <f>1-SUM(F724:J724)</f>
        <v>0</v>
      </c>
      <c r="R724" s="1" t="str">
        <f>IF(F724=1,"Napa valley",IF(G724=1,"Bay area",IF(H724=1,"Sonoma",IF(I724=1,"Sierra/foothills",IF(J724=1,"Mendocino/lake","Generic California")))))</f>
        <v>Napa valley</v>
      </c>
      <c r="S724" s="1" t="str">
        <f>IF(F724=1,"Napa valley",IF(H724=1,"Sonoma","Other"))</f>
        <v>Napa valley</v>
      </c>
      <c r="T724" s="1" t="str">
        <f>IF(M724=1,"Cabernet",IF(N724=1,"Merlot",IF(L724=1,"Pinot noir","Other")))</f>
        <v>Cabernet</v>
      </c>
      <c r="U724" s="1">
        <f>IF(F724=1,B724,"")</f>
        <v>50</v>
      </c>
      <c r="V724" s="1" t="str">
        <f>IF(F724=0,B724,"")</f>
        <v/>
      </c>
      <c r="W724" s="1">
        <f>'Part B'!$B$150+SUMPRODUCT('Part B'!$B$164:$N$164,C724:O724)</f>
        <v>56.5210275369549</v>
      </c>
      <c r="X724" s="1">
        <f>B724-W724</f>
        <v>-6.52102753695488</v>
      </c>
      <c r="Y724" s="1">
        <f>'Part B'!$B$179+SUMPRODUCT('Part B'!$B$193:$N$193,C724:O724)</f>
        <v>3.82755754157925</v>
      </c>
      <c r="Z724" s="1">
        <f>P724-Y724</f>
        <v>0.0844654638488982</v>
      </c>
      <c r="AB724" s="1">
        <f>C724</f>
        <v>2.5</v>
      </c>
      <c r="AC724" s="1">
        <f>D724</f>
        <v>90</v>
      </c>
      <c r="AD724" s="1">
        <f>E724</f>
        <v>4</v>
      </c>
      <c r="AE724" s="1">
        <f>F724</f>
        <v>1</v>
      </c>
      <c r="AF724" s="1">
        <f>G724</f>
        <v>0</v>
      </c>
      <c r="AG724" s="1">
        <f>I724</f>
        <v>0</v>
      </c>
      <c r="AH724" s="1">
        <f>J724</f>
        <v>0</v>
      </c>
      <c r="AI724" s="1">
        <f>Q724</f>
        <v>0</v>
      </c>
      <c r="AJ724" s="1">
        <f>K724</f>
        <v>0</v>
      </c>
      <c r="AK724" s="1">
        <f>L724</f>
        <v>0</v>
      </c>
      <c r="AL724" s="1">
        <f>M724</f>
        <v>1</v>
      </c>
      <c r="AM724" s="1">
        <f>N724</f>
        <v>0</v>
      </c>
      <c r="AN724" s="1">
        <f>O724</f>
        <v>0</v>
      </c>
    </row>
    <row r="725">
      <c r="A725" s="1">
        <v>977</v>
      </c>
      <c r="B725" s="1">
        <v>50</v>
      </c>
      <c r="C725" s="1">
        <v>0.48</v>
      </c>
      <c r="D725" s="1">
        <v>87</v>
      </c>
      <c r="E725" s="1">
        <v>4</v>
      </c>
      <c r="F725" s="1">
        <v>1</v>
      </c>
      <c r="G725" s="1">
        <v>0</v>
      </c>
      <c r="H725" s="1">
        <v>0</v>
      </c>
      <c r="I725" s="1">
        <v>0</v>
      </c>
      <c r="J725" s="1">
        <v>0</v>
      </c>
      <c r="K725" s="1">
        <v>0</v>
      </c>
      <c r="L725" s="1">
        <v>0</v>
      </c>
      <c r="M725" s="1">
        <v>0</v>
      </c>
      <c r="N725" s="1">
        <v>1</v>
      </c>
      <c r="O725" s="1">
        <v>0</v>
      </c>
      <c r="P725" s="1">
        <f>LN(B725)</f>
        <v>3.91202300542815</v>
      </c>
      <c r="Q725" s="1">
        <f>1-SUM(F725:J725)</f>
        <v>0</v>
      </c>
      <c r="R725" s="1" t="str">
        <f>IF(F725=1,"Napa valley",IF(G725=1,"Bay area",IF(H725=1,"Sonoma",IF(I725=1,"Sierra/foothills",IF(J725=1,"Mendocino/lake","Generic California")))))</f>
        <v>Napa valley</v>
      </c>
      <c r="S725" s="1" t="str">
        <f>IF(F725=1,"Napa valley",IF(H725=1,"Sonoma","Other"))</f>
        <v>Napa valley</v>
      </c>
      <c r="T725" s="1" t="str">
        <f>IF(M725=1,"Cabernet",IF(N725=1,"Merlot",IF(L725=1,"Pinot noir","Other")))</f>
        <v>Merlot</v>
      </c>
      <c r="U725" s="1">
        <f>IF(F725=1,B725,"")</f>
        <v>50</v>
      </c>
      <c r="V725" s="1" t="str">
        <f>IF(F725=0,B725,"")</f>
        <v/>
      </c>
      <c r="W725" s="1">
        <f>'Part B'!$B$150+SUMPRODUCT('Part B'!$B$164:$N$164,C725:O725)</f>
        <v>42.310417986699</v>
      </c>
      <c r="X725" s="1">
        <f>B725-W725</f>
        <v>7.68958201330099</v>
      </c>
      <c r="Y725" s="1">
        <f>'Part B'!$B$179+SUMPRODUCT('Part B'!$B$193:$N$193,C725:O725)</f>
        <v>3.58983622030099</v>
      </c>
      <c r="Z725" s="1">
        <f>P725-Y725</f>
        <v>0.322186785127152</v>
      </c>
      <c r="AB725" s="1">
        <f>C725</f>
        <v>0.48</v>
      </c>
      <c r="AC725" s="1">
        <f>D725</f>
        <v>87</v>
      </c>
      <c r="AD725" s="1">
        <f>E725</f>
        <v>4</v>
      </c>
      <c r="AE725" s="1">
        <f>F725</f>
        <v>1</v>
      </c>
      <c r="AF725" s="1">
        <f>G725</f>
        <v>0</v>
      </c>
      <c r="AG725" s="1">
        <f>I725</f>
        <v>0</v>
      </c>
      <c r="AH725" s="1">
        <f>J725</f>
        <v>0</v>
      </c>
      <c r="AI725" s="1">
        <f>Q725</f>
        <v>0</v>
      </c>
      <c r="AJ725" s="1">
        <f>K725</f>
        <v>0</v>
      </c>
      <c r="AK725" s="1">
        <f>L725</f>
        <v>0</v>
      </c>
      <c r="AL725" s="1">
        <f>M725</f>
        <v>0</v>
      </c>
      <c r="AM725" s="1">
        <f>N725</f>
        <v>1</v>
      </c>
      <c r="AN725" s="1">
        <f>O725</f>
        <v>0</v>
      </c>
    </row>
    <row r="726">
      <c r="A726" s="1">
        <v>978</v>
      </c>
      <c r="B726" s="1">
        <v>50</v>
      </c>
      <c r="C726" s="1">
        <v>2.958</v>
      </c>
      <c r="D726" s="1">
        <v>92</v>
      </c>
      <c r="E726" s="1">
        <v>4</v>
      </c>
      <c r="F726" s="1">
        <v>1</v>
      </c>
      <c r="G726" s="1">
        <v>0</v>
      </c>
      <c r="H726" s="1">
        <v>0</v>
      </c>
      <c r="I726" s="1">
        <v>0</v>
      </c>
      <c r="J726" s="1">
        <v>0</v>
      </c>
      <c r="K726" s="1">
        <v>0</v>
      </c>
      <c r="L726" s="1">
        <v>0</v>
      </c>
      <c r="M726" s="1">
        <v>1</v>
      </c>
      <c r="N726" s="1">
        <v>0</v>
      </c>
      <c r="O726" s="1">
        <v>0</v>
      </c>
      <c r="P726" s="1">
        <f>LN(B726)</f>
        <v>3.91202300542815</v>
      </c>
      <c r="Q726" s="1">
        <f>1-SUM(F726:J726)</f>
        <v>0</v>
      </c>
      <c r="R726" s="1" t="str">
        <f>IF(F726=1,"Napa valley",IF(G726=1,"Bay area",IF(H726=1,"Sonoma",IF(I726=1,"Sierra/foothills",IF(J726=1,"Mendocino/lake","Generic California")))))</f>
        <v>Napa valley</v>
      </c>
      <c r="S726" s="1" t="str">
        <f>IF(F726=1,"Napa valley",IF(H726=1,"Sonoma","Other"))</f>
        <v>Napa valley</v>
      </c>
      <c r="T726" s="1" t="str">
        <f>IF(M726=1,"Cabernet",IF(N726=1,"Merlot",IF(L726=1,"Pinot noir","Other")))</f>
        <v>Cabernet</v>
      </c>
      <c r="U726" s="1">
        <f>IF(F726=1,B726,"")</f>
        <v>50</v>
      </c>
      <c r="V726" s="1" t="str">
        <f>IF(F726=0,B726,"")</f>
        <v/>
      </c>
      <c r="W726" s="1">
        <f>'Part B'!$B$150+SUMPRODUCT('Part B'!$B$164:$N$164,C726:O726)</f>
        <v>62.7677512151856</v>
      </c>
      <c r="X726" s="1">
        <f>B726-W726</f>
        <v>-12.7677512151856</v>
      </c>
      <c r="Y726" s="1">
        <f>'Part B'!$B$179+SUMPRODUCT('Part B'!$B$193:$N$193,C726:O726)</f>
        <v>3.96552046642165</v>
      </c>
      <c r="Z726" s="1">
        <f>P726-Y726</f>
        <v>-0.0534974609935062</v>
      </c>
      <c r="AB726" s="1">
        <f>C726</f>
        <v>2.958</v>
      </c>
      <c r="AC726" s="1">
        <f>D726</f>
        <v>92</v>
      </c>
      <c r="AD726" s="1">
        <f>E726</f>
        <v>4</v>
      </c>
      <c r="AE726" s="1">
        <f>F726</f>
        <v>1</v>
      </c>
      <c r="AF726" s="1">
        <f>G726</f>
        <v>0</v>
      </c>
      <c r="AG726" s="1">
        <f>I726</f>
        <v>0</v>
      </c>
      <c r="AH726" s="1">
        <f>J726</f>
        <v>0</v>
      </c>
      <c r="AI726" s="1">
        <f>Q726</f>
        <v>0</v>
      </c>
      <c r="AJ726" s="1">
        <f>K726</f>
        <v>0</v>
      </c>
      <c r="AK726" s="1">
        <f>L726</f>
        <v>0</v>
      </c>
      <c r="AL726" s="1">
        <f>M726</f>
        <v>1</v>
      </c>
      <c r="AM726" s="1">
        <f>N726</f>
        <v>0</v>
      </c>
      <c r="AN726" s="1">
        <f>O726</f>
        <v>0</v>
      </c>
    </row>
    <row r="727">
      <c r="A727" s="1">
        <v>979</v>
      </c>
      <c r="B727" s="1">
        <v>50</v>
      </c>
      <c r="C727" s="1">
        <v>0.9</v>
      </c>
      <c r="D727" s="1">
        <v>90</v>
      </c>
      <c r="E727" s="1">
        <v>4</v>
      </c>
      <c r="F727" s="1">
        <v>1</v>
      </c>
      <c r="G727" s="1">
        <v>0</v>
      </c>
      <c r="H727" s="1">
        <v>0</v>
      </c>
      <c r="I727" s="1">
        <v>0</v>
      </c>
      <c r="J727" s="1">
        <v>0</v>
      </c>
      <c r="K727" s="1">
        <v>0</v>
      </c>
      <c r="L727" s="1">
        <v>0</v>
      </c>
      <c r="M727" s="1">
        <v>1</v>
      </c>
      <c r="N727" s="1">
        <v>0</v>
      </c>
      <c r="O727" s="1">
        <v>0</v>
      </c>
      <c r="P727" s="1">
        <f>LN(B727)</f>
        <v>3.91202300542815</v>
      </c>
      <c r="Q727" s="1">
        <f>1-SUM(F727:J727)</f>
        <v>0</v>
      </c>
      <c r="R727" s="1" t="str">
        <f>IF(F727=1,"Napa valley",IF(G727=1,"Bay area",IF(H727=1,"Sonoma",IF(I727=1,"Sierra/foothills",IF(J727=1,"Mendocino/lake","Generic California")))))</f>
        <v>Napa valley</v>
      </c>
      <c r="S727" s="1" t="str">
        <f>IF(F727=1,"Napa valley",IF(H727=1,"Sonoma","Other"))</f>
        <v>Napa valley</v>
      </c>
      <c r="T727" s="1" t="str">
        <f>IF(M727=1,"Cabernet",IF(N727=1,"Merlot",IF(L727=1,"Pinot noir","Other")))</f>
        <v>Cabernet</v>
      </c>
      <c r="U727" s="1">
        <f>IF(F727=1,B727,"")</f>
        <v>50</v>
      </c>
      <c r="V727" s="1" t="str">
        <f>IF(F727=0,B727,"")</f>
        <v/>
      </c>
      <c r="W727" s="1">
        <f>'Part B'!$B$150+SUMPRODUCT('Part B'!$B$164:$N$164,C727:O727)</f>
        <v>56.672889568363</v>
      </c>
      <c r="X727" s="1">
        <f>B727-W727</f>
        <v>-6.67288956836296</v>
      </c>
      <c r="Y727" s="1">
        <f>'Part B'!$B$179+SUMPRODUCT('Part B'!$B$193:$N$193,C727:O727)</f>
        <v>3.83440404901138</v>
      </c>
      <c r="Z727" s="1">
        <f>P727-Y727</f>
        <v>0.0776189564167651</v>
      </c>
      <c r="AB727" s="1">
        <f>C727</f>
        <v>0.9</v>
      </c>
      <c r="AC727" s="1">
        <f>D727</f>
        <v>90</v>
      </c>
      <c r="AD727" s="1">
        <f>E727</f>
        <v>4</v>
      </c>
      <c r="AE727" s="1">
        <f>F727</f>
        <v>1</v>
      </c>
      <c r="AF727" s="1">
        <f>G727</f>
        <v>0</v>
      </c>
      <c r="AG727" s="1">
        <f>I727</f>
        <v>0</v>
      </c>
      <c r="AH727" s="1">
        <f>J727</f>
        <v>0</v>
      </c>
      <c r="AI727" s="1">
        <f>Q727</f>
        <v>0</v>
      </c>
      <c r="AJ727" s="1">
        <f>K727</f>
        <v>0</v>
      </c>
      <c r="AK727" s="1">
        <f>L727</f>
        <v>0</v>
      </c>
      <c r="AL727" s="1">
        <f>M727</f>
        <v>1</v>
      </c>
      <c r="AM727" s="1">
        <f>N727</f>
        <v>0</v>
      </c>
      <c r="AN727" s="1">
        <f>O727</f>
        <v>0</v>
      </c>
    </row>
    <row r="728">
      <c r="A728" s="1">
        <v>980</v>
      </c>
      <c r="B728" s="1">
        <v>50</v>
      </c>
      <c r="C728" s="1">
        <v>0.212</v>
      </c>
      <c r="D728" s="1">
        <v>83</v>
      </c>
      <c r="E728" s="1">
        <v>4</v>
      </c>
      <c r="F728" s="1">
        <v>0</v>
      </c>
      <c r="G728" s="1">
        <v>0</v>
      </c>
      <c r="H728" s="1">
        <v>1</v>
      </c>
      <c r="I728" s="1">
        <v>0</v>
      </c>
      <c r="J728" s="1">
        <v>0</v>
      </c>
      <c r="K728" s="1">
        <v>0</v>
      </c>
      <c r="L728" s="1">
        <v>0</v>
      </c>
      <c r="M728" s="1">
        <v>1</v>
      </c>
      <c r="N728" s="1">
        <v>0</v>
      </c>
      <c r="O728" s="1">
        <v>0</v>
      </c>
      <c r="P728" s="1">
        <f>LN(B728)</f>
        <v>3.91202300542815</v>
      </c>
      <c r="Q728" s="1">
        <f>1-SUM(F728:J728)</f>
        <v>0</v>
      </c>
      <c r="R728" s="1" t="str">
        <f>IF(F728=1,"Napa valley",IF(G728=1,"Bay area",IF(H728=1,"Sonoma",IF(I728=1,"Sierra/foothills",IF(J728=1,"Mendocino/lake","Generic California")))))</f>
        <v>Sonoma</v>
      </c>
      <c r="S728" s="1" t="str">
        <f>IF(F728=1,"Napa valley",IF(H728=1,"Sonoma","Other"))</f>
        <v>Sonoma</v>
      </c>
      <c r="T728" s="1" t="str">
        <f>IF(M728=1,"Cabernet",IF(N728=1,"Merlot",IF(L728=1,"Pinot noir","Other")))</f>
        <v>Cabernet</v>
      </c>
      <c r="U728" s="1" t="str">
        <f>IF(F728=1,B728,"")</f>
        <v/>
      </c>
      <c r="V728" s="1">
        <f>IF(F728=0,B728,"")</f>
        <v>50</v>
      </c>
      <c r="W728" s="1">
        <f>'Part B'!$B$150+SUMPRODUCT('Part B'!$B$164:$N$164,C728:O728)</f>
        <v>26.8260627755466</v>
      </c>
      <c r="X728" s="1">
        <f>B728-W728</f>
        <v>23.1739372244534</v>
      </c>
      <c r="Y728" s="1">
        <f>'Part B'!$B$179+SUMPRODUCT('Part B'!$B$193:$N$193,C728:O728)</f>
        <v>3.19983090072504</v>
      </c>
      <c r="Z728" s="1">
        <f>P728-Y728</f>
        <v>0.712192104703104</v>
      </c>
      <c r="AB728" s="1">
        <f>C728</f>
        <v>0.212</v>
      </c>
      <c r="AC728" s="1">
        <f>D728</f>
        <v>83</v>
      </c>
      <c r="AD728" s="1">
        <f>E728</f>
        <v>4</v>
      </c>
      <c r="AE728" s="1">
        <f>F728</f>
        <v>0</v>
      </c>
      <c r="AF728" s="1">
        <f>G728</f>
        <v>0</v>
      </c>
      <c r="AG728" s="1">
        <f>I728</f>
        <v>0</v>
      </c>
      <c r="AH728" s="1">
        <f>J728</f>
        <v>0</v>
      </c>
      <c r="AI728" s="1">
        <f>Q728</f>
        <v>0</v>
      </c>
      <c r="AJ728" s="1">
        <f>K728</f>
        <v>0</v>
      </c>
      <c r="AK728" s="1">
        <f>L728</f>
        <v>0</v>
      </c>
      <c r="AL728" s="1">
        <f>M728</f>
        <v>1</v>
      </c>
      <c r="AM728" s="1">
        <f>N728</f>
        <v>0</v>
      </c>
      <c r="AN728" s="1">
        <f>O728</f>
        <v>0</v>
      </c>
    </row>
    <row r="729">
      <c r="A729" s="1">
        <v>981</v>
      </c>
      <c r="B729" s="1">
        <v>50</v>
      </c>
      <c r="C729" s="1">
        <v>6.8</v>
      </c>
      <c r="D729" s="1">
        <v>94</v>
      </c>
      <c r="E729" s="1">
        <v>4</v>
      </c>
      <c r="F729" s="1">
        <v>1</v>
      </c>
      <c r="G729" s="1">
        <v>0</v>
      </c>
      <c r="H729" s="1">
        <v>0</v>
      </c>
      <c r="I729" s="1">
        <v>0</v>
      </c>
      <c r="J729" s="1">
        <v>0</v>
      </c>
      <c r="K729" s="1">
        <v>1</v>
      </c>
      <c r="L729" s="1">
        <v>0</v>
      </c>
      <c r="M729" s="1">
        <v>0</v>
      </c>
      <c r="N729" s="1">
        <v>0</v>
      </c>
      <c r="O729" s="1">
        <v>0</v>
      </c>
      <c r="P729" s="1">
        <f>LN(B729)</f>
        <v>3.91202300542815</v>
      </c>
      <c r="Q729" s="1">
        <f>1-SUM(F729:J729)</f>
        <v>0</v>
      </c>
      <c r="R729" s="1" t="str">
        <f>IF(F729=1,"Napa valley",IF(G729=1,"Bay area",IF(H729=1,"Sonoma",IF(I729=1,"Sierra/foothills",IF(J729=1,"Mendocino/lake","Generic California")))))</f>
        <v>Napa valley</v>
      </c>
      <c r="S729" s="1" t="str">
        <f>IF(F729=1,"Napa valley",IF(H729=1,"Sonoma","Other"))</f>
        <v>Napa valley</v>
      </c>
      <c r="T729" s="1" t="str">
        <f>IF(M729=1,"Cabernet",IF(N729=1,"Merlot",IF(L729=1,"Pinot noir","Other")))</f>
        <v>Other</v>
      </c>
      <c r="U729" s="1">
        <f>IF(F729=1,B729,"")</f>
        <v>50</v>
      </c>
      <c r="V729" s="1" t="str">
        <f>IF(F729=0,B729,"")</f>
        <v/>
      </c>
      <c r="W729" s="1">
        <f>'Part B'!$B$150+SUMPRODUCT('Part B'!$B$164:$N$164,C729:O729)</f>
        <v>76.3538264621383</v>
      </c>
      <c r="X729" s="1">
        <f>B729-W729</f>
        <v>-26.3538264621383</v>
      </c>
      <c r="Y729" s="1">
        <f>'Part B'!$B$179+SUMPRODUCT('Part B'!$B$193:$N$193,C729:O729)</f>
        <v>4.2465948316789</v>
      </c>
      <c r="Z729" s="1">
        <f>P729-Y729</f>
        <v>-0.334571826250753</v>
      </c>
      <c r="AB729" s="1">
        <f>C729</f>
        <v>6.8</v>
      </c>
      <c r="AC729" s="1">
        <f>D729</f>
        <v>94</v>
      </c>
      <c r="AD729" s="1">
        <f>E729</f>
        <v>4</v>
      </c>
      <c r="AE729" s="1">
        <f>F729</f>
        <v>1</v>
      </c>
      <c r="AF729" s="1">
        <f>G729</f>
        <v>0</v>
      </c>
      <c r="AG729" s="1">
        <f>I729</f>
        <v>0</v>
      </c>
      <c r="AH729" s="1">
        <f>J729</f>
        <v>0</v>
      </c>
      <c r="AI729" s="1">
        <f>Q729</f>
        <v>0</v>
      </c>
      <c r="AJ729" s="1">
        <f>K729</f>
        <v>1</v>
      </c>
      <c r="AK729" s="1">
        <f>L729</f>
        <v>0</v>
      </c>
      <c r="AL729" s="1">
        <f>M729</f>
        <v>0</v>
      </c>
      <c r="AM729" s="1">
        <f>N729</f>
        <v>0</v>
      </c>
      <c r="AN729" s="1">
        <f>O729</f>
        <v>0</v>
      </c>
    </row>
    <row r="730">
      <c r="A730" s="1">
        <v>982</v>
      </c>
      <c r="B730" s="1">
        <v>50</v>
      </c>
      <c r="C730" s="1">
        <v>5</v>
      </c>
      <c r="D730" s="1">
        <v>92</v>
      </c>
      <c r="E730" s="1">
        <v>3</v>
      </c>
      <c r="F730" s="1">
        <v>1</v>
      </c>
      <c r="G730" s="1">
        <v>0</v>
      </c>
      <c r="H730" s="1">
        <v>0</v>
      </c>
      <c r="I730" s="1">
        <v>0</v>
      </c>
      <c r="J730" s="1">
        <v>0</v>
      </c>
      <c r="K730" s="1">
        <v>0</v>
      </c>
      <c r="L730" s="1">
        <v>0</v>
      </c>
      <c r="M730" s="1">
        <v>0</v>
      </c>
      <c r="N730" s="1">
        <v>1</v>
      </c>
      <c r="O730" s="1">
        <v>0</v>
      </c>
      <c r="P730" s="1">
        <f>LN(B730)</f>
        <v>3.91202300542815</v>
      </c>
      <c r="Q730" s="1">
        <f>1-SUM(F730:J730)</f>
        <v>0</v>
      </c>
      <c r="R730" s="1" t="str">
        <f>IF(F730=1,"Napa valley",IF(G730=1,"Bay area",IF(H730=1,"Sonoma",IF(I730=1,"Sierra/foothills",IF(J730=1,"Mendocino/lake","Generic California")))))</f>
        <v>Napa valley</v>
      </c>
      <c r="S730" s="1" t="str">
        <f>IF(F730=1,"Napa valley",IF(H730=1,"Sonoma","Other"))</f>
        <v>Napa valley</v>
      </c>
      <c r="T730" s="1" t="str">
        <f>IF(M730=1,"Cabernet",IF(N730=1,"Merlot",IF(L730=1,"Pinot noir","Other")))</f>
        <v>Merlot</v>
      </c>
      <c r="U730" s="1">
        <f>IF(F730=1,B730,"")</f>
        <v>50</v>
      </c>
      <c r="V730" s="1" t="str">
        <f>IF(F730=0,B730,"")</f>
        <v/>
      </c>
      <c r="W730" s="1">
        <f>'Part B'!$B$150+SUMPRODUCT('Part B'!$B$164:$N$164,C730:O730)</f>
        <v>50.9872884513964</v>
      </c>
      <c r="X730" s="1">
        <f>B730-W730</f>
        <v>-0.98728845139641</v>
      </c>
      <c r="Y730" s="1">
        <f>'Part B'!$B$179+SUMPRODUCT('Part B'!$B$193:$N$193,C730:O730)</f>
        <v>3.73721639835074</v>
      </c>
      <c r="Z730" s="1">
        <f>P730-Y730</f>
        <v>0.174806607077406</v>
      </c>
      <c r="AB730" s="1">
        <f>C730</f>
        <v>5</v>
      </c>
      <c r="AC730" s="1">
        <f>D730</f>
        <v>92</v>
      </c>
      <c r="AD730" s="1">
        <f>E730</f>
        <v>3</v>
      </c>
      <c r="AE730" s="1">
        <f>F730</f>
        <v>1</v>
      </c>
      <c r="AF730" s="1">
        <f>G730</f>
        <v>0</v>
      </c>
      <c r="AG730" s="1">
        <f>I730</f>
        <v>0</v>
      </c>
      <c r="AH730" s="1">
        <f>J730</f>
        <v>0</v>
      </c>
      <c r="AI730" s="1">
        <f>Q730</f>
        <v>0</v>
      </c>
      <c r="AJ730" s="1">
        <f>K730</f>
        <v>0</v>
      </c>
      <c r="AK730" s="1">
        <f>L730</f>
        <v>0</v>
      </c>
      <c r="AL730" s="1">
        <f>M730</f>
        <v>0</v>
      </c>
      <c r="AM730" s="1">
        <f>N730</f>
        <v>1</v>
      </c>
      <c r="AN730" s="1">
        <f>O730</f>
        <v>0</v>
      </c>
    </row>
    <row r="731">
      <c r="A731" s="1">
        <v>983</v>
      </c>
      <c r="B731" s="1">
        <v>50</v>
      </c>
      <c r="C731" s="1">
        <v>0.34</v>
      </c>
      <c r="D731" s="1">
        <v>91</v>
      </c>
      <c r="E731" s="1">
        <v>3</v>
      </c>
      <c r="F731" s="1">
        <v>1</v>
      </c>
      <c r="G731" s="1">
        <v>0</v>
      </c>
      <c r="H731" s="1">
        <v>0</v>
      </c>
      <c r="I731" s="1">
        <v>0</v>
      </c>
      <c r="J731" s="1">
        <v>0</v>
      </c>
      <c r="K731" s="1">
        <v>0</v>
      </c>
      <c r="L731" s="1">
        <v>0</v>
      </c>
      <c r="M731" s="1">
        <v>1</v>
      </c>
      <c r="N731" s="1">
        <v>0</v>
      </c>
      <c r="O731" s="1">
        <v>0</v>
      </c>
      <c r="P731" s="1">
        <f>LN(B731)</f>
        <v>3.91202300542815</v>
      </c>
      <c r="Q731" s="1">
        <f>1-SUM(F731:J731)</f>
        <v>0</v>
      </c>
      <c r="R731" s="1" t="str">
        <f>IF(F731=1,"Napa valley",IF(G731=1,"Bay area",IF(H731=1,"Sonoma",IF(I731=1,"Sierra/foothills",IF(J731=1,"Mendocino/lake","Generic California")))))</f>
        <v>Napa valley</v>
      </c>
      <c r="S731" s="1" t="str">
        <f>IF(F731=1,"Napa valley",IF(H731=1,"Sonoma","Other"))</f>
        <v>Napa valley</v>
      </c>
      <c r="T731" s="1" t="str">
        <f>IF(M731=1,"Cabernet",IF(N731=1,"Merlot",IF(L731=1,"Pinot noir","Other")))</f>
        <v>Cabernet</v>
      </c>
      <c r="U731" s="1">
        <f>IF(F731=1,B731,"")</f>
        <v>50</v>
      </c>
      <c r="V731" s="1" t="str">
        <f>IF(F731=0,B731,"")</f>
        <v/>
      </c>
      <c r="W731" s="1">
        <f>'Part B'!$B$150+SUMPRODUCT('Part B'!$B$164:$N$164,C731:O731)</f>
        <v>53.2515336133384</v>
      </c>
      <c r="X731" s="1">
        <f>B731-W731</f>
        <v>-3.25153361333844</v>
      </c>
      <c r="Y731" s="1">
        <f>'Part B'!$B$179+SUMPRODUCT('Part B'!$B$193:$N$193,C731:O731)</f>
        <v>3.72367641296845</v>
      </c>
      <c r="Z731" s="1">
        <f>P731-Y731</f>
        <v>0.188346592459701</v>
      </c>
      <c r="AB731" s="1">
        <f>C731</f>
        <v>0.34</v>
      </c>
      <c r="AC731" s="1">
        <f>D731</f>
        <v>91</v>
      </c>
      <c r="AD731" s="1">
        <f>E731</f>
        <v>3</v>
      </c>
      <c r="AE731" s="1">
        <f>F731</f>
        <v>1</v>
      </c>
      <c r="AF731" s="1">
        <f>G731</f>
        <v>0</v>
      </c>
      <c r="AG731" s="1">
        <f>I731</f>
        <v>0</v>
      </c>
      <c r="AH731" s="1">
        <f>J731</f>
        <v>0</v>
      </c>
      <c r="AI731" s="1">
        <f>Q731</f>
        <v>0</v>
      </c>
      <c r="AJ731" s="1">
        <f>K731</f>
        <v>0</v>
      </c>
      <c r="AK731" s="1">
        <f>L731</f>
        <v>0</v>
      </c>
      <c r="AL731" s="1">
        <f>M731</f>
        <v>1</v>
      </c>
      <c r="AM731" s="1">
        <f>N731</f>
        <v>0</v>
      </c>
      <c r="AN731" s="1">
        <f>O731</f>
        <v>0</v>
      </c>
    </row>
    <row r="732">
      <c r="A732" s="1">
        <v>984</v>
      </c>
      <c r="B732" s="1">
        <v>50</v>
      </c>
      <c r="C732" s="1">
        <v>0.338</v>
      </c>
      <c r="D732" s="1">
        <v>92</v>
      </c>
      <c r="E732" s="1">
        <v>3</v>
      </c>
      <c r="F732" s="1">
        <v>1</v>
      </c>
      <c r="G732" s="1">
        <v>0</v>
      </c>
      <c r="H732" s="1">
        <v>0</v>
      </c>
      <c r="I732" s="1">
        <v>0</v>
      </c>
      <c r="J732" s="1">
        <v>0</v>
      </c>
      <c r="K732" s="1">
        <v>0</v>
      </c>
      <c r="L732" s="1">
        <v>0</v>
      </c>
      <c r="M732" s="1">
        <v>0</v>
      </c>
      <c r="N732" s="1">
        <v>1</v>
      </c>
      <c r="O732" s="1">
        <v>0</v>
      </c>
      <c r="P732" s="1">
        <f>LN(B732)</f>
        <v>3.91202300542815</v>
      </c>
      <c r="Q732" s="1">
        <f>1-SUM(F732:J732)</f>
        <v>0</v>
      </c>
      <c r="R732" s="1" t="str">
        <f>IF(F732=1,"Napa valley",IF(G732=1,"Bay area",IF(H732=1,"Sonoma",IF(I732=1,"Sierra/foothills",IF(J732=1,"Mendocino/lake","Generic California")))))</f>
        <v>Napa valley</v>
      </c>
      <c r="S732" s="1" t="str">
        <f>IF(F732=1,"Napa valley",IF(H732=1,"Sonoma","Other"))</f>
        <v>Napa valley</v>
      </c>
      <c r="T732" s="1" t="str">
        <f>IF(M732=1,"Cabernet",IF(N732=1,"Merlot",IF(L732=1,"Pinot noir","Other")))</f>
        <v>Merlot</v>
      </c>
      <c r="U732" s="1">
        <f>IF(F732=1,B732,"")</f>
        <v>50</v>
      </c>
      <c r="V732" s="1" t="str">
        <f>IF(F732=0,B732,"")</f>
        <v/>
      </c>
      <c r="W732" s="1">
        <f>'Part B'!$B$150+SUMPRODUCT('Part B'!$B$164:$N$164,C732:O732)</f>
        <v>51.4297764454117</v>
      </c>
      <c r="X732" s="1">
        <f>B732-W732</f>
        <v>-1.42977644541173</v>
      </c>
      <c r="Y732" s="1">
        <f>'Part B'!$B$179+SUMPRODUCT('Part B'!$B$193:$N$193,C732:O732)</f>
        <v>3.75716540938112</v>
      </c>
      <c r="Z732" s="1">
        <f>P732-Y732</f>
        <v>0.154857596047026</v>
      </c>
      <c r="AB732" s="1">
        <f>C732</f>
        <v>0.338</v>
      </c>
      <c r="AC732" s="1">
        <f>D732</f>
        <v>92</v>
      </c>
      <c r="AD732" s="1">
        <f>E732</f>
        <v>3</v>
      </c>
      <c r="AE732" s="1">
        <f>F732</f>
        <v>1</v>
      </c>
      <c r="AF732" s="1">
        <f>G732</f>
        <v>0</v>
      </c>
      <c r="AG732" s="1">
        <f>I732</f>
        <v>0</v>
      </c>
      <c r="AH732" s="1">
        <f>J732</f>
        <v>0</v>
      </c>
      <c r="AI732" s="1">
        <f>Q732</f>
        <v>0</v>
      </c>
      <c r="AJ732" s="1">
        <f>K732</f>
        <v>0</v>
      </c>
      <c r="AK732" s="1">
        <f>L732</f>
        <v>0</v>
      </c>
      <c r="AL732" s="1">
        <f>M732</f>
        <v>0</v>
      </c>
      <c r="AM732" s="1">
        <f>N732</f>
        <v>1</v>
      </c>
      <c r="AN732" s="1">
        <f>O732</f>
        <v>0</v>
      </c>
    </row>
    <row r="733">
      <c r="A733" s="1">
        <v>985</v>
      </c>
      <c r="B733" s="1">
        <v>50</v>
      </c>
      <c r="C733" s="1">
        <v>0.7</v>
      </c>
      <c r="D733" s="1">
        <v>92</v>
      </c>
      <c r="E733" s="1">
        <v>3</v>
      </c>
      <c r="F733" s="1">
        <v>1</v>
      </c>
      <c r="G733" s="1">
        <v>0</v>
      </c>
      <c r="H733" s="1">
        <v>0</v>
      </c>
      <c r="I733" s="1">
        <v>0</v>
      </c>
      <c r="J733" s="1">
        <v>0</v>
      </c>
      <c r="K733" s="1">
        <v>0</v>
      </c>
      <c r="L733" s="1">
        <v>0</v>
      </c>
      <c r="M733" s="1">
        <v>1</v>
      </c>
      <c r="N733" s="1">
        <v>0</v>
      </c>
      <c r="O733" s="1">
        <v>0</v>
      </c>
      <c r="P733" s="1">
        <f>LN(B733)</f>
        <v>3.91202300542815</v>
      </c>
      <c r="Q733" s="1">
        <f>1-SUM(F733:J733)</f>
        <v>0</v>
      </c>
      <c r="R733" s="1" t="str">
        <f>IF(F733=1,"Napa valley",IF(G733=1,"Bay area",IF(H733=1,"Sonoma",IF(I733=1,"Sierra/foothills",IF(J733=1,"Mendocino/lake","Generic California")))))</f>
        <v>Napa valley</v>
      </c>
      <c r="S733" s="1" t="str">
        <f>IF(F733=1,"Napa valley",IF(H733=1,"Sonoma","Other"))</f>
        <v>Napa valley</v>
      </c>
      <c r="T733" s="1" t="str">
        <f>IF(M733=1,"Cabernet",IF(N733=1,"Merlot",IF(L733=1,"Pinot noir","Other")))</f>
        <v>Cabernet</v>
      </c>
      <c r="U733" s="1">
        <f>IF(F733=1,B733,"")</f>
        <v>50</v>
      </c>
      <c r="V733" s="1" t="str">
        <f>IF(F733=0,B733,"")</f>
        <v/>
      </c>
      <c r="W733" s="1">
        <f>'Part B'!$B$150+SUMPRODUCT('Part B'!$B$164:$N$164,C733:O733)</f>
        <v>56.3624617486323</v>
      </c>
      <c r="X733" s="1">
        <f>B733-W733</f>
        <v>-6.36246174863226</v>
      </c>
      <c r="Y733" s="1">
        <f>'Part B'!$B$179+SUMPRODUCT('Part B'!$B$193:$N$193,C733:O733)</f>
        <v>3.79209731759364</v>
      </c>
      <c r="Z733" s="1">
        <f>P733-Y733</f>
        <v>0.119925687834504</v>
      </c>
      <c r="AB733" s="1">
        <f>C733</f>
        <v>0.7</v>
      </c>
      <c r="AC733" s="1">
        <f>D733</f>
        <v>92</v>
      </c>
      <c r="AD733" s="1">
        <f>E733</f>
        <v>3</v>
      </c>
      <c r="AE733" s="1">
        <f>F733</f>
        <v>1</v>
      </c>
      <c r="AF733" s="1">
        <f>G733</f>
        <v>0</v>
      </c>
      <c r="AG733" s="1">
        <f>I733</f>
        <v>0</v>
      </c>
      <c r="AH733" s="1">
        <f>J733</f>
        <v>0</v>
      </c>
      <c r="AI733" s="1">
        <f>Q733</f>
        <v>0</v>
      </c>
      <c r="AJ733" s="1">
        <f>K733</f>
        <v>0</v>
      </c>
      <c r="AK733" s="1">
        <f>L733</f>
        <v>0</v>
      </c>
      <c r="AL733" s="1">
        <f>M733</f>
        <v>1</v>
      </c>
      <c r="AM733" s="1">
        <f>N733</f>
        <v>0</v>
      </c>
      <c r="AN733" s="1">
        <f>O733</f>
        <v>0</v>
      </c>
    </row>
    <row r="734">
      <c r="A734" s="1">
        <v>986</v>
      </c>
      <c r="B734" s="1">
        <v>50</v>
      </c>
      <c r="C734" s="1">
        <v>4.277</v>
      </c>
      <c r="D734" s="1">
        <v>90</v>
      </c>
      <c r="E734" s="1">
        <v>3</v>
      </c>
      <c r="F734" s="1">
        <v>0</v>
      </c>
      <c r="G734" s="1">
        <v>0</v>
      </c>
      <c r="H734" s="1">
        <v>0</v>
      </c>
      <c r="I734" s="1">
        <v>0</v>
      </c>
      <c r="J734" s="1">
        <v>0</v>
      </c>
      <c r="K734" s="1">
        <v>0</v>
      </c>
      <c r="L734" s="1">
        <v>0</v>
      </c>
      <c r="M734" s="1">
        <v>1</v>
      </c>
      <c r="N734" s="1">
        <v>0</v>
      </c>
      <c r="O734" s="1">
        <v>0</v>
      </c>
      <c r="P734" s="1">
        <f>LN(B734)</f>
        <v>3.91202300542815</v>
      </c>
      <c r="Q734" s="1">
        <f>1-SUM(F734:J734)</f>
        <v>1</v>
      </c>
      <c r="R734" s="1" t="str">
        <f>IF(F734=1,"Napa valley",IF(G734=1,"Bay area",IF(H734=1,"Sonoma",IF(I734=1,"Sierra/foothills",IF(J734=1,"Mendocino/lake","Generic California")))))</f>
        <v>Generic California</v>
      </c>
      <c r="S734" s="1" t="str">
        <f>IF(F734=1,"Napa valley",IF(H734=1,"Sonoma","Other"))</f>
        <v>Other</v>
      </c>
      <c r="T734" s="1" t="str">
        <f>IF(M734=1,"Cabernet",IF(N734=1,"Merlot",IF(L734=1,"Pinot noir","Other")))</f>
        <v>Cabernet</v>
      </c>
      <c r="U734" s="1" t="str">
        <f>IF(F734=1,B734,"")</f>
        <v/>
      </c>
      <c r="V734" s="1">
        <f>IF(F734=0,B734,"")</f>
        <v>50</v>
      </c>
      <c r="W734" s="1">
        <f>'Part B'!$B$150+SUMPRODUCT('Part B'!$B$164:$N$164,C734:O734)</f>
        <v>42.6717565766146</v>
      </c>
      <c r="X734" s="1">
        <f>B734-W734</f>
        <v>7.3282434233854</v>
      </c>
      <c r="Y734" s="1">
        <f>'Part B'!$B$179+SUMPRODUCT('Part B'!$B$193:$N$193,C734:O734)</f>
        <v>3.20714894394722</v>
      </c>
      <c r="Z734" s="1">
        <f>P734-Y734</f>
        <v>0.704874061480922</v>
      </c>
      <c r="AB734" s="1">
        <f>C734</f>
        <v>4.277</v>
      </c>
      <c r="AC734" s="1">
        <f>D734</f>
        <v>90</v>
      </c>
      <c r="AD734" s="1">
        <f>E734</f>
        <v>3</v>
      </c>
      <c r="AE734" s="1">
        <f>F734</f>
        <v>0</v>
      </c>
      <c r="AF734" s="1">
        <f>G734</f>
        <v>0</v>
      </c>
      <c r="AG734" s="1">
        <f>I734</f>
        <v>0</v>
      </c>
      <c r="AH734" s="1">
        <f>J734</f>
        <v>0</v>
      </c>
      <c r="AI734" s="1">
        <f>Q734</f>
        <v>1</v>
      </c>
      <c r="AJ734" s="1">
        <f>K734</f>
        <v>0</v>
      </c>
      <c r="AK734" s="1">
        <f>L734</f>
        <v>0</v>
      </c>
      <c r="AL734" s="1">
        <f>M734</f>
        <v>1</v>
      </c>
      <c r="AM734" s="1">
        <f>N734</f>
        <v>0</v>
      </c>
      <c r="AN734" s="1">
        <f>O734</f>
        <v>0</v>
      </c>
    </row>
    <row r="735">
      <c r="A735" s="1">
        <v>987</v>
      </c>
      <c r="B735" s="1">
        <v>50</v>
      </c>
      <c r="C735" s="1">
        <v>0.164</v>
      </c>
      <c r="D735" s="1">
        <v>90</v>
      </c>
      <c r="E735" s="1">
        <v>3</v>
      </c>
      <c r="F735" s="1">
        <v>0</v>
      </c>
      <c r="G735" s="1">
        <v>0</v>
      </c>
      <c r="H735" s="1">
        <v>1</v>
      </c>
      <c r="I735" s="1">
        <v>0</v>
      </c>
      <c r="J735" s="1">
        <v>0</v>
      </c>
      <c r="K735" s="1">
        <v>0</v>
      </c>
      <c r="L735" s="1">
        <v>1</v>
      </c>
      <c r="M735" s="1">
        <v>0</v>
      </c>
      <c r="N735" s="1">
        <v>0</v>
      </c>
      <c r="O735" s="1">
        <v>0</v>
      </c>
      <c r="P735" s="1">
        <f>LN(B735)</f>
        <v>3.91202300542815</v>
      </c>
      <c r="Q735" s="1">
        <f>1-SUM(F735:J735)</f>
        <v>0</v>
      </c>
      <c r="R735" s="1" t="str">
        <f>IF(F735=1,"Napa valley",IF(G735=1,"Bay area",IF(H735=1,"Sonoma",IF(I735=1,"Sierra/foothills",IF(J735=1,"Mendocino/lake","Generic California")))))</f>
        <v>Sonoma</v>
      </c>
      <c r="S735" s="1" t="str">
        <f>IF(F735=1,"Napa valley",IF(H735=1,"Sonoma","Other"))</f>
        <v>Sonoma</v>
      </c>
      <c r="T735" s="1" t="str">
        <f>IF(M735=1,"Cabernet",IF(N735=1,"Merlot",IF(L735=1,"Pinot noir","Other")))</f>
        <v>Pinot noir</v>
      </c>
      <c r="U735" s="1" t="str">
        <f>IF(F735=1,B735,"")</f>
        <v/>
      </c>
      <c r="V735" s="1">
        <f>IF(F735=0,B735,"")</f>
        <v>50</v>
      </c>
      <c r="W735" s="1">
        <f>'Part B'!$B$150+SUMPRODUCT('Part B'!$B$164:$N$164,C735:O735)</f>
        <v>39.0536994091231</v>
      </c>
      <c r="X735" s="1">
        <f>B735-W735</f>
        <v>10.9463005908769</v>
      </c>
      <c r="Y735" s="1">
        <f>'Part B'!$B$179+SUMPRODUCT('Part B'!$B$193:$N$193,C735:O735)</f>
        <v>3.53220721276532</v>
      </c>
      <c r="Z735" s="1">
        <f>P735-Y735</f>
        <v>0.379815792662821</v>
      </c>
      <c r="AB735" s="1">
        <f>C735</f>
        <v>0.164</v>
      </c>
      <c r="AC735" s="1">
        <f>D735</f>
        <v>90</v>
      </c>
      <c r="AD735" s="1">
        <f>E735</f>
        <v>3</v>
      </c>
      <c r="AE735" s="1">
        <f>F735</f>
        <v>0</v>
      </c>
      <c r="AF735" s="1">
        <f>G735</f>
        <v>0</v>
      </c>
      <c r="AG735" s="1">
        <f>I735</f>
        <v>0</v>
      </c>
      <c r="AH735" s="1">
        <f>J735</f>
        <v>0</v>
      </c>
      <c r="AI735" s="1">
        <f>Q735</f>
        <v>0</v>
      </c>
      <c r="AJ735" s="1">
        <f>K735</f>
        <v>0</v>
      </c>
      <c r="AK735" s="1">
        <f>L735</f>
        <v>1</v>
      </c>
      <c r="AL735" s="1">
        <f>M735</f>
        <v>0</v>
      </c>
      <c r="AM735" s="1">
        <f>N735</f>
        <v>0</v>
      </c>
      <c r="AN735" s="1">
        <f>O735</f>
        <v>0</v>
      </c>
    </row>
    <row r="736">
      <c r="A736" s="1">
        <v>988</v>
      </c>
      <c r="B736" s="1">
        <v>50</v>
      </c>
      <c r="C736" s="1">
        <v>0.7</v>
      </c>
      <c r="D736" s="1">
        <v>84</v>
      </c>
      <c r="E736" s="1">
        <v>3</v>
      </c>
      <c r="F736" s="1">
        <v>0</v>
      </c>
      <c r="G736" s="1">
        <v>0</v>
      </c>
      <c r="H736" s="1">
        <v>1</v>
      </c>
      <c r="I736" s="1">
        <v>0</v>
      </c>
      <c r="J736" s="1">
        <v>0</v>
      </c>
      <c r="K736" s="1">
        <v>1</v>
      </c>
      <c r="L736" s="1">
        <v>0</v>
      </c>
      <c r="M736" s="1">
        <v>0</v>
      </c>
      <c r="N736" s="1">
        <v>0</v>
      </c>
      <c r="O736" s="1">
        <v>0</v>
      </c>
      <c r="P736" s="1">
        <f>LN(B736)</f>
        <v>3.91202300542815</v>
      </c>
      <c r="Q736" s="1">
        <f>1-SUM(F736:J736)</f>
        <v>0</v>
      </c>
      <c r="R736" s="1" t="str">
        <f>IF(F736=1,"Napa valley",IF(G736=1,"Bay area",IF(H736=1,"Sonoma",IF(I736=1,"Sierra/foothills",IF(J736=1,"Mendocino/lake","Generic California")))))</f>
        <v>Sonoma</v>
      </c>
      <c r="S736" s="1" t="str">
        <f>IF(F736=1,"Napa valley",IF(H736=1,"Sonoma","Other"))</f>
        <v>Sonoma</v>
      </c>
      <c r="T736" s="1" t="str">
        <f>IF(M736=1,"Cabernet",IF(N736=1,"Merlot",IF(L736=1,"Pinot noir","Other")))</f>
        <v>Other</v>
      </c>
      <c r="U736" s="1" t="str">
        <f>IF(F736=1,B736,"")</f>
        <v/>
      </c>
      <c r="V736" s="1">
        <f>IF(F736=0,B736,"")</f>
        <v>50</v>
      </c>
      <c r="W736" s="1">
        <f>'Part B'!$B$150+SUMPRODUCT('Part B'!$B$164:$N$164,C736:O736)</f>
        <v>30.9657769550998</v>
      </c>
      <c r="X736" s="1">
        <f>B736-W736</f>
        <v>19.0342230449002</v>
      </c>
      <c r="Y736" s="1">
        <f>'Part B'!$B$179+SUMPRODUCT('Part B'!$B$193:$N$193,C736:O736)</f>
        <v>3.24221060594786</v>
      </c>
      <c r="Z736" s="1">
        <f>P736-Y736</f>
        <v>0.669812399480283</v>
      </c>
      <c r="AB736" s="1">
        <f>C736</f>
        <v>0.7</v>
      </c>
      <c r="AC736" s="1">
        <f>D736</f>
        <v>84</v>
      </c>
      <c r="AD736" s="1">
        <f>E736</f>
        <v>3</v>
      </c>
      <c r="AE736" s="1">
        <f>F736</f>
        <v>0</v>
      </c>
      <c r="AF736" s="1">
        <f>G736</f>
        <v>0</v>
      </c>
      <c r="AG736" s="1">
        <f>I736</f>
        <v>0</v>
      </c>
      <c r="AH736" s="1">
        <f>J736</f>
        <v>0</v>
      </c>
      <c r="AI736" s="1">
        <f>Q736</f>
        <v>0</v>
      </c>
      <c r="AJ736" s="1">
        <f>K736</f>
        <v>1</v>
      </c>
      <c r="AK736" s="1">
        <f>L736</f>
        <v>0</v>
      </c>
      <c r="AL736" s="1">
        <f>M736</f>
        <v>0</v>
      </c>
      <c r="AM736" s="1">
        <f>N736</f>
        <v>0</v>
      </c>
      <c r="AN736" s="1">
        <f>O736</f>
        <v>0</v>
      </c>
    </row>
    <row r="737">
      <c r="A737" s="1">
        <v>990</v>
      </c>
      <c r="B737" s="1">
        <v>50</v>
      </c>
      <c r="C737" s="1">
        <v>0.7</v>
      </c>
      <c r="D737" s="1">
        <v>93</v>
      </c>
      <c r="E737" s="1">
        <v>3</v>
      </c>
      <c r="F737" s="1">
        <v>0</v>
      </c>
      <c r="G737" s="1">
        <v>0</v>
      </c>
      <c r="H737" s="1">
        <v>1</v>
      </c>
      <c r="I737" s="1">
        <v>0</v>
      </c>
      <c r="J737" s="1">
        <v>0</v>
      </c>
      <c r="K737" s="1">
        <v>1</v>
      </c>
      <c r="L737" s="1">
        <v>0</v>
      </c>
      <c r="M737" s="1">
        <v>0</v>
      </c>
      <c r="N737" s="1">
        <v>0</v>
      </c>
      <c r="O737" s="1">
        <v>0</v>
      </c>
      <c r="P737" s="1">
        <f>LN(B737)</f>
        <v>3.91202300542815</v>
      </c>
      <c r="Q737" s="1">
        <f>1-SUM(F737:J737)</f>
        <v>0</v>
      </c>
      <c r="R737" s="1" t="str">
        <f>IF(F737=1,"Napa valley",IF(G737=1,"Bay area",IF(H737=1,"Sonoma",IF(I737=1,"Sierra/foothills",IF(J737=1,"Mendocino/lake","Generic California")))))</f>
        <v>Sonoma</v>
      </c>
      <c r="S737" s="1" t="str">
        <f>IF(F737=1,"Napa valley",IF(H737=1,"Sonoma","Other"))</f>
        <v>Sonoma</v>
      </c>
      <c r="T737" s="1" t="str">
        <f>IF(M737=1,"Cabernet",IF(N737=1,"Merlot",IF(L737=1,"Pinot noir","Other")))</f>
        <v>Other</v>
      </c>
      <c r="U737" s="1" t="str">
        <f>IF(F737=1,B737,"")</f>
        <v/>
      </c>
      <c r="V737" s="1">
        <f>IF(F737=0,B737,"")</f>
        <v>50</v>
      </c>
      <c r="W737" s="1">
        <f>'Part B'!$B$150+SUMPRODUCT('Part B'!$B$164:$N$164,C737:O737)</f>
        <v>59.2716507863457</v>
      </c>
      <c r="X737" s="1">
        <f>B737-W737</f>
        <v>-9.27165078634567</v>
      </c>
      <c r="Y737" s="1">
        <f>'Part B'!$B$179+SUMPRODUCT('Part B'!$B$193:$N$193,C737:O737)</f>
        <v>3.8718629251247</v>
      </c>
      <c r="Z737" s="1">
        <f>P737-Y737</f>
        <v>0.0401600803034436</v>
      </c>
      <c r="AB737" s="1">
        <f>C737</f>
        <v>0.7</v>
      </c>
      <c r="AC737" s="1">
        <f>D737</f>
        <v>93</v>
      </c>
      <c r="AD737" s="1">
        <f>E737</f>
        <v>3</v>
      </c>
      <c r="AE737" s="1">
        <f>F737</f>
        <v>0</v>
      </c>
      <c r="AF737" s="1">
        <f>G737</f>
        <v>0</v>
      </c>
      <c r="AG737" s="1">
        <f>I737</f>
        <v>0</v>
      </c>
      <c r="AH737" s="1">
        <f>J737</f>
        <v>0</v>
      </c>
      <c r="AI737" s="1">
        <f>Q737</f>
        <v>0</v>
      </c>
      <c r="AJ737" s="1">
        <f>K737</f>
        <v>1</v>
      </c>
      <c r="AK737" s="1">
        <f>L737</f>
        <v>0</v>
      </c>
      <c r="AL737" s="1">
        <f>M737</f>
        <v>0</v>
      </c>
      <c r="AM737" s="1">
        <f>N737</f>
        <v>0</v>
      </c>
      <c r="AN737" s="1">
        <f>O737</f>
        <v>0</v>
      </c>
    </row>
    <row r="738">
      <c r="A738" s="1">
        <v>991</v>
      </c>
      <c r="B738" s="1">
        <v>50</v>
      </c>
      <c r="C738" s="1">
        <v>0.175</v>
      </c>
      <c r="D738" s="1">
        <v>88</v>
      </c>
      <c r="E738" s="1">
        <v>2</v>
      </c>
      <c r="F738" s="1">
        <v>0</v>
      </c>
      <c r="G738" s="1">
        <v>0</v>
      </c>
      <c r="H738" s="1">
        <v>0</v>
      </c>
      <c r="I738" s="1">
        <v>0</v>
      </c>
      <c r="J738" s="1">
        <v>0</v>
      </c>
      <c r="K738" s="1">
        <v>0</v>
      </c>
      <c r="L738" s="1">
        <v>1</v>
      </c>
      <c r="M738" s="1">
        <v>0</v>
      </c>
      <c r="N738" s="1">
        <v>0</v>
      </c>
      <c r="O738" s="1">
        <v>0</v>
      </c>
      <c r="P738" s="1">
        <f>LN(B738)</f>
        <v>3.91202300542815</v>
      </c>
      <c r="Q738" s="1">
        <f>1-SUM(F738:J738)</f>
        <v>1</v>
      </c>
      <c r="R738" s="1" t="str">
        <f>IF(F738=1,"Napa valley",IF(G738=1,"Bay area",IF(H738=1,"Sonoma",IF(I738=1,"Sierra/foothills",IF(J738=1,"Mendocino/lake","Generic California")))))</f>
        <v>Generic California</v>
      </c>
      <c r="S738" s="1" t="str">
        <f>IF(F738=1,"Napa valley",IF(H738=1,"Sonoma","Other"))</f>
        <v>Other</v>
      </c>
      <c r="T738" s="1" t="str">
        <f>IF(M738=1,"Cabernet",IF(N738=1,"Merlot",IF(L738=1,"Pinot noir","Other")))</f>
        <v>Pinot noir</v>
      </c>
      <c r="U738" s="1" t="str">
        <f>IF(F738=1,B738,"")</f>
        <v/>
      </c>
      <c r="V738" s="1">
        <f>IF(F738=0,B738,"")</f>
        <v>50</v>
      </c>
      <c r="W738" s="1">
        <f>'Part B'!$B$150+SUMPRODUCT('Part B'!$B$164:$N$164,C738:O738)</f>
        <v>26.9782998010253</v>
      </c>
      <c r="X738" s="1">
        <f>B738-W738</f>
        <v>23.0217001989747</v>
      </c>
      <c r="Y738" s="1">
        <f>'Part B'!$B$179+SUMPRODUCT('Part B'!$B$193:$N$193,C738:O738)</f>
        <v>2.92722027501684</v>
      </c>
      <c r="Z738" s="1">
        <f>P738-Y738</f>
        <v>0.984802730411311</v>
      </c>
      <c r="AB738" s="1">
        <f>C738</f>
        <v>0.175</v>
      </c>
      <c r="AC738" s="1">
        <f>D738</f>
        <v>88</v>
      </c>
      <c r="AD738" s="1">
        <f>E738</f>
        <v>2</v>
      </c>
      <c r="AE738" s="1">
        <f>F738</f>
        <v>0</v>
      </c>
      <c r="AF738" s="1">
        <f>G738</f>
        <v>0</v>
      </c>
      <c r="AG738" s="1">
        <f>I738</f>
        <v>0</v>
      </c>
      <c r="AH738" s="1">
        <f>J738</f>
        <v>0</v>
      </c>
      <c r="AI738" s="1">
        <f>Q738</f>
        <v>1</v>
      </c>
      <c r="AJ738" s="1">
        <f>K738</f>
        <v>0</v>
      </c>
      <c r="AK738" s="1">
        <f>L738</f>
        <v>1</v>
      </c>
      <c r="AL738" s="1">
        <f>M738</f>
        <v>0</v>
      </c>
      <c r="AM738" s="1">
        <f>N738</f>
        <v>0</v>
      </c>
      <c r="AN738" s="1">
        <f>O738</f>
        <v>0</v>
      </c>
    </row>
    <row r="739">
      <c r="A739" s="1">
        <v>992</v>
      </c>
      <c r="B739" s="1">
        <v>50</v>
      </c>
      <c r="C739" s="1">
        <v>0.45</v>
      </c>
      <c r="D739" s="1">
        <v>92</v>
      </c>
      <c r="E739" s="1">
        <v>2</v>
      </c>
      <c r="F739" s="1">
        <v>1</v>
      </c>
      <c r="G739" s="1">
        <v>0</v>
      </c>
      <c r="H739" s="1">
        <v>0</v>
      </c>
      <c r="I739" s="1">
        <v>0</v>
      </c>
      <c r="J739" s="1">
        <v>0</v>
      </c>
      <c r="K739" s="1">
        <v>0</v>
      </c>
      <c r="L739" s="1">
        <v>0</v>
      </c>
      <c r="M739" s="1">
        <v>0</v>
      </c>
      <c r="N739" s="1">
        <v>1</v>
      </c>
      <c r="O739" s="1">
        <v>0</v>
      </c>
      <c r="P739" s="1">
        <f>LN(B739)</f>
        <v>3.91202300542815</v>
      </c>
      <c r="Q739" s="1">
        <f>1-SUM(F739:J739)</f>
        <v>0</v>
      </c>
      <c r="R739" s="1" t="str">
        <f>IF(F739=1,"Napa valley",IF(G739=1,"Bay area",IF(H739=1,"Sonoma",IF(I739=1,"Sierra/foothills",IF(J739=1,"Mendocino/lake","Generic California")))))</f>
        <v>Napa valley</v>
      </c>
      <c r="S739" s="1" t="str">
        <f>IF(F739=1,"Napa valley",IF(H739=1,"Sonoma","Other"))</f>
        <v>Napa valley</v>
      </c>
      <c r="T739" s="1" t="str">
        <f>IF(M739=1,"Cabernet",IF(N739=1,"Merlot",IF(L739=1,"Pinot noir","Other")))</f>
        <v>Merlot</v>
      </c>
      <c r="U739" s="1">
        <f>IF(F739=1,B739,"")</f>
        <v>50</v>
      </c>
      <c r="V739" s="1" t="str">
        <f>IF(F739=0,B739,"")</f>
        <v/>
      </c>
      <c r="W739" s="1">
        <f>'Part B'!$B$150+SUMPRODUCT('Part B'!$B$164:$N$164,C739:O739)</f>
        <v>44.7995413448351</v>
      </c>
      <c r="X739" s="1">
        <f>B739-W739</f>
        <v>5.20045865516494</v>
      </c>
      <c r="Y739" s="1">
        <f>'Part B'!$B$179+SUMPRODUCT('Part B'!$B$193:$N$193,C739:O739)</f>
        <v>3.57360087141926</v>
      </c>
      <c r="Z739" s="1">
        <f>P739-Y739</f>
        <v>0.338422134008885</v>
      </c>
      <c r="AB739" s="1">
        <f>C739</f>
        <v>0.45</v>
      </c>
      <c r="AC739" s="1">
        <f>D739</f>
        <v>92</v>
      </c>
      <c r="AD739" s="1">
        <f>E739</f>
        <v>2</v>
      </c>
      <c r="AE739" s="1">
        <f>F739</f>
        <v>1</v>
      </c>
      <c r="AF739" s="1">
        <f>G739</f>
        <v>0</v>
      </c>
      <c r="AG739" s="1">
        <f>I739</f>
        <v>0</v>
      </c>
      <c r="AH739" s="1">
        <f>J739</f>
        <v>0</v>
      </c>
      <c r="AI739" s="1">
        <f>Q739</f>
        <v>0</v>
      </c>
      <c r="AJ739" s="1">
        <f>K739</f>
        <v>0</v>
      </c>
      <c r="AK739" s="1">
        <f>L739</f>
        <v>0</v>
      </c>
      <c r="AL739" s="1">
        <f>M739</f>
        <v>0</v>
      </c>
      <c r="AM739" s="1">
        <f>N739</f>
        <v>1</v>
      </c>
      <c r="AN739" s="1">
        <f>O739</f>
        <v>0</v>
      </c>
    </row>
    <row r="740">
      <c r="A740" s="1">
        <v>993</v>
      </c>
      <c r="B740" s="1">
        <v>52</v>
      </c>
      <c r="C740" s="1">
        <v>2.353</v>
      </c>
      <c r="D740" s="1">
        <v>89</v>
      </c>
      <c r="E740" s="1">
        <v>5</v>
      </c>
      <c r="F740" s="1">
        <v>1</v>
      </c>
      <c r="G740" s="1">
        <v>0</v>
      </c>
      <c r="H740" s="1">
        <v>0</v>
      </c>
      <c r="I740" s="1">
        <v>0</v>
      </c>
      <c r="J740" s="1">
        <v>0</v>
      </c>
      <c r="K740" s="1">
        <v>0</v>
      </c>
      <c r="L740" s="1">
        <v>0</v>
      </c>
      <c r="M740" s="1">
        <v>1</v>
      </c>
      <c r="N740" s="1">
        <v>0</v>
      </c>
      <c r="O740" s="1">
        <v>0</v>
      </c>
      <c r="P740" s="1">
        <f>LN(B740)</f>
        <v>3.95124371858143</v>
      </c>
      <c r="Q740" s="1">
        <f>1-SUM(F740:J740)</f>
        <v>0</v>
      </c>
      <c r="R740" s="1" t="str">
        <f>IF(F740=1,"Napa valley",IF(G740=1,"Bay area",IF(H740=1,"Sonoma",IF(I740=1,"Sierra/foothills",IF(J740=1,"Mendocino/lake","Generic California")))))</f>
        <v>Napa valley</v>
      </c>
      <c r="S740" s="1" t="str">
        <f>IF(F740=1,"Napa valley",IF(H740=1,"Sonoma","Other"))</f>
        <v>Napa valley</v>
      </c>
      <c r="T740" s="1" t="str">
        <f>IF(M740=1,"Cabernet",IF(N740=1,"Merlot",IF(L740=1,"Pinot noir","Other")))</f>
        <v>Cabernet</v>
      </c>
      <c r="U740" s="1">
        <f>IF(F740=1,B740,"")</f>
        <v>52</v>
      </c>
      <c r="V740" s="1" t="str">
        <f>IF(F740=0,B740,"")</f>
        <v/>
      </c>
      <c r="W740" s="1">
        <f>'Part B'!$B$150+SUMPRODUCT('Part B'!$B$164:$N$164,C740:O740)</f>
        <v>60.0094875271079</v>
      </c>
      <c r="X740" s="1">
        <f>B740-W740</f>
        <v>-8.00948752710792</v>
      </c>
      <c r="Y740" s="1">
        <f>'Part B'!$B$179+SUMPRODUCT('Part B'!$B$193:$N$193,C740:O740)</f>
        <v>3.94131047809376</v>
      </c>
      <c r="Z740" s="1">
        <f>P740-Y740</f>
        <v>0.00993324048767041</v>
      </c>
      <c r="AB740" s="1">
        <f>C740</f>
        <v>2.353</v>
      </c>
      <c r="AC740" s="1">
        <f>D740</f>
        <v>89</v>
      </c>
      <c r="AD740" s="1">
        <f>E740</f>
        <v>5</v>
      </c>
      <c r="AE740" s="1">
        <f>F740</f>
        <v>1</v>
      </c>
      <c r="AF740" s="1">
        <f>G740</f>
        <v>0</v>
      </c>
      <c r="AG740" s="1">
        <f>I740</f>
        <v>0</v>
      </c>
      <c r="AH740" s="1">
        <f>J740</f>
        <v>0</v>
      </c>
      <c r="AI740" s="1">
        <f>Q740</f>
        <v>0</v>
      </c>
      <c r="AJ740" s="1">
        <f>K740</f>
        <v>0</v>
      </c>
      <c r="AK740" s="1">
        <f>L740</f>
        <v>0</v>
      </c>
      <c r="AL740" s="1">
        <f>M740</f>
        <v>1</v>
      </c>
      <c r="AM740" s="1">
        <f>N740</f>
        <v>0</v>
      </c>
      <c r="AN740" s="1">
        <f>O740</f>
        <v>0</v>
      </c>
    </row>
    <row r="741">
      <c r="A741" s="1">
        <v>994</v>
      </c>
      <c r="B741" s="1">
        <v>55</v>
      </c>
      <c r="C741" s="1">
        <v>1.434</v>
      </c>
      <c r="D741" s="1">
        <v>89</v>
      </c>
      <c r="E741" s="1">
        <v>4</v>
      </c>
      <c r="F741" s="1">
        <v>1</v>
      </c>
      <c r="G741" s="1">
        <v>0</v>
      </c>
      <c r="H741" s="1">
        <v>0</v>
      </c>
      <c r="I741" s="1">
        <v>0</v>
      </c>
      <c r="J741" s="1">
        <v>0</v>
      </c>
      <c r="K741" s="1">
        <v>0</v>
      </c>
      <c r="L741" s="1">
        <v>0</v>
      </c>
      <c r="M741" s="1">
        <v>1</v>
      </c>
      <c r="N741" s="1">
        <v>0</v>
      </c>
      <c r="O741" s="1">
        <v>0</v>
      </c>
      <c r="P741" s="1">
        <f>LN(B741)</f>
        <v>4.00733318523247</v>
      </c>
      <c r="Q741" s="1">
        <f>1-SUM(F741:J741)</f>
        <v>0</v>
      </c>
      <c r="R741" s="1" t="str">
        <f>IF(F741=1,"Napa valley",IF(G741=1,"Bay area",IF(H741=1,"Sonoma",IF(I741=1,"Sierra/foothills",IF(J741=1,"Mendocino/lake","Generic California")))))</f>
        <v>Napa valley</v>
      </c>
      <c r="S741" s="1" t="str">
        <f>IF(F741=1,"Napa valley",IF(H741=1,"Sonoma","Other"))</f>
        <v>Napa valley</v>
      </c>
      <c r="T741" s="1" t="str">
        <f>IF(M741=1,"Cabernet",IF(N741=1,"Merlot",IF(L741=1,"Pinot noir","Other")))</f>
        <v>Cabernet</v>
      </c>
      <c r="U741" s="1">
        <f>IF(F741=1,B741,"")</f>
        <v>55</v>
      </c>
      <c r="V741" s="1" t="str">
        <f>IF(F741=0,B741,"")</f>
        <v/>
      </c>
      <c r="W741" s="1">
        <f>'Part B'!$B$150+SUMPRODUCT('Part B'!$B$164:$N$164,C741:O741)</f>
        <v>53.4771085230199</v>
      </c>
      <c r="X741" s="1">
        <f>B741-W741</f>
        <v>1.52289147698014</v>
      </c>
      <c r="Y741" s="1">
        <f>'Part B'!$B$179+SUMPRODUCT('Part B'!$B$193:$N$193,C741:O741)</f>
        <v>3.76215765835848</v>
      </c>
      <c r="Z741" s="1">
        <f>P741-Y741</f>
        <v>0.245175526873991</v>
      </c>
      <c r="AB741" s="1">
        <f>C741</f>
        <v>1.434</v>
      </c>
      <c r="AC741" s="1">
        <f>D741</f>
        <v>89</v>
      </c>
      <c r="AD741" s="1">
        <f>E741</f>
        <v>4</v>
      </c>
      <c r="AE741" s="1">
        <f>F741</f>
        <v>1</v>
      </c>
      <c r="AF741" s="1">
        <f>G741</f>
        <v>0</v>
      </c>
      <c r="AG741" s="1">
        <f>I741</f>
        <v>0</v>
      </c>
      <c r="AH741" s="1">
        <f>J741</f>
        <v>0</v>
      </c>
      <c r="AI741" s="1">
        <f>Q741</f>
        <v>0</v>
      </c>
      <c r="AJ741" s="1">
        <f>K741</f>
        <v>0</v>
      </c>
      <c r="AK741" s="1">
        <f>L741</f>
        <v>0</v>
      </c>
      <c r="AL741" s="1">
        <f>M741</f>
        <v>1</v>
      </c>
      <c r="AM741" s="1">
        <f>N741</f>
        <v>0</v>
      </c>
      <c r="AN741" s="1">
        <f>O741</f>
        <v>0</v>
      </c>
    </row>
    <row r="742">
      <c r="A742" s="1">
        <v>995</v>
      </c>
      <c r="B742" s="1">
        <v>55</v>
      </c>
      <c r="C742" s="1">
        <v>1.172</v>
      </c>
      <c r="D742" s="1">
        <v>87</v>
      </c>
      <c r="E742" s="1">
        <v>3</v>
      </c>
      <c r="F742" s="1">
        <v>1</v>
      </c>
      <c r="G742" s="1">
        <v>0</v>
      </c>
      <c r="H742" s="1">
        <v>0</v>
      </c>
      <c r="I742" s="1">
        <v>0</v>
      </c>
      <c r="J742" s="1">
        <v>0</v>
      </c>
      <c r="K742" s="1">
        <v>0</v>
      </c>
      <c r="L742" s="1">
        <v>0</v>
      </c>
      <c r="M742" s="1">
        <v>1</v>
      </c>
      <c r="N742" s="1">
        <v>0</v>
      </c>
      <c r="O742" s="1">
        <v>0</v>
      </c>
      <c r="P742" s="1">
        <f>LN(B742)</f>
        <v>4.00733318523247</v>
      </c>
      <c r="Q742" s="1">
        <f>1-SUM(F742:J742)</f>
        <v>0</v>
      </c>
      <c r="R742" s="1" t="str">
        <f>IF(F742=1,"Napa valley",IF(G742=1,"Bay area",IF(H742=1,"Sonoma",IF(I742=1,"Sierra/foothills",IF(J742=1,"Mendocino/lake","Generic California")))))</f>
        <v>Napa valley</v>
      </c>
      <c r="S742" s="1" t="str">
        <f>IF(F742=1,"Napa valley",IF(H742=1,"Sonoma","Other"))</f>
        <v>Napa valley</v>
      </c>
      <c r="T742" s="1" t="str">
        <f>IF(M742=1,"Cabernet",IF(N742=1,"Merlot",IF(L742=1,"Pinot noir","Other")))</f>
        <v>Cabernet</v>
      </c>
      <c r="U742" s="1">
        <f>IF(F742=1,B742,"")</f>
        <v>55</v>
      </c>
      <c r="V742" s="1" t="str">
        <f>IF(F742=0,B742,"")</f>
        <v/>
      </c>
      <c r="W742" s="1">
        <f>'Part B'!$B$150+SUMPRODUCT('Part B'!$B$164:$N$164,C742:O742)</f>
        <v>40.5921769875636</v>
      </c>
      <c r="X742" s="1">
        <f>B742-W742</f>
        <v>14.4078230124364</v>
      </c>
      <c r="Y742" s="1">
        <f>'Part B'!$B$179+SUMPRODUCT('Part B'!$B$193:$N$193,C742:O742)</f>
        <v>3.44027075391403</v>
      </c>
      <c r="Z742" s="1">
        <f>P742-Y742</f>
        <v>0.567062431318442</v>
      </c>
      <c r="AB742" s="1">
        <f>C742</f>
        <v>1.172</v>
      </c>
      <c r="AC742" s="1">
        <f>D742</f>
        <v>87</v>
      </c>
      <c r="AD742" s="1">
        <f>E742</f>
        <v>3</v>
      </c>
      <c r="AE742" s="1">
        <f>F742</f>
        <v>1</v>
      </c>
      <c r="AF742" s="1">
        <f>G742</f>
        <v>0</v>
      </c>
      <c r="AG742" s="1">
        <f>I742</f>
        <v>0</v>
      </c>
      <c r="AH742" s="1">
        <f>J742</f>
        <v>0</v>
      </c>
      <c r="AI742" s="1">
        <f>Q742</f>
        <v>0</v>
      </c>
      <c r="AJ742" s="1">
        <f>K742</f>
        <v>0</v>
      </c>
      <c r="AK742" s="1">
        <f>L742</f>
        <v>0</v>
      </c>
      <c r="AL742" s="1">
        <f>M742</f>
        <v>1</v>
      </c>
      <c r="AM742" s="1">
        <f>N742</f>
        <v>0</v>
      </c>
      <c r="AN742" s="1">
        <f>O742</f>
        <v>0</v>
      </c>
    </row>
    <row r="743">
      <c r="A743" s="1">
        <v>996</v>
      </c>
      <c r="B743" s="1">
        <v>55</v>
      </c>
      <c r="C743" s="1">
        <v>0.7</v>
      </c>
      <c r="D743" s="1">
        <v>93</v>
      </c>
      <c r="E743" s="1">
        <v>3</v>
      </c>
      <c r="F743" s="1">
        <v>1</v>
      </c>
      <c r="G743" s="1">
        <v>0</v>
      </c>
      <c r="H743" s="1">
        <v>0</v>
      </c>
      <c r="I743" s="1">
        <v>0</v>
      </c>
      <c r="J743" s="1">
        <v>0</v>
      </c>
      <c r="K743" s="1">
        <v>0</v>
      </c>
      <c r="L743" s="1">
        <v>0</v>
      </c>
      <c r="M743" s="1">
        <v>1</v>
      </c>
      <c r="N743" s="1">
        <v>0</v>
      </c>
      <c r="O743" s="1">
        <v>0</v>
      </c>
      <c r="P743" s="1">
        <f>LN(B743)</f>
        <v>4.00733318523247</v>
      </c>
      <c r="Q743" s="1">
        <f>1-SUM(F743:J743)</f>
        <v>0</v>
      </c>
      <c r="R743" s="1" t="str">
        <f>IF(F743=1,"Napa valley",IF(G743=1,"Bay area",IF(H743=1,"Sonoma",IF(I743=1,"Sierra/foothills",IF(J743=1,"Mendocino/lake","Generic California")))))</f>
        <v>Napa valley</v>
      </c>
      <c r="S743" s="1" t="str">
        <f>IF(F743=1,"Napa valley",IF(H743=1,"Sonoma","Other"))</f>
        <v>Napa valley</v>
      </c>
      <c r="T743" s="1" t="str">
        <f>IF(M743=1,"Cabernet",IF(N743=1,"Merlot",IF(L743=1,"Pinot noir","Other")))</f>
        <v>Cabernet</v>
      </c>
      <c r="U743" s="1">
        <f>IF(F743=1,B743,"")</f>
        <v>55</v>
      </c>
      <c r="V743" s="1" t="str">
        <f>IF(F743=0,B743,"")</f>
        <v/>
      </c>
      <c r="W743" s="1">
        <f>'Part B'!$B$150+SUMPRODUCT('Part B'!$B$164:$N$164,C743:O743)</f>
        <v>59.5075588409929</v>
      </c>
      <c r="X743" s="1">
        <f>B743-W743</f>
        <v>-4.50755884099289</v>
      </c>
      <c r="Y743" s="1">
        <f>'Part B'!$B$179+SUMPRODUCT('Part B'!$B$193:$N$193,C743:O743)</f>
        <v>3.86205868639107</v>
      </c>
      <c r="Z743" s="1">
        <f>P743-Y743</f>
        <v>0.145274498841403</v>
      </c>
      <c r="AB743" s="1">
        <f>C743</f>
        <v>0.7</v>
      </c>
      <c r="AC743" s="1">
        <f>D743</f>
        <v>93</v>
      </c>
      <c r="AD743" s="1">
        <f>E743</f>
        <v>3</v>
      </c>
      <c r="AE743" s="1">
        <f>F743</f>
        <v>1</v>
      </c>
      <c r="AF743" s="1">
        <f>G743</f>
        <v>0</v>
      </c>
      <c r="AG743" s="1">
        <f>I743</f>
        <v>0</v>
      </c>
      <c r="AH743" s="1">
        <f>J743</f>
        <v>0</v>
      </c>
      <c r="AI743" s="1">
        <f>Q743</f>
        <v>0</v>
      </c>
      <c r="AJ743" s="1">
        <f>K743</f>
        <v>0</v>
      </c>
      <c r="AK743" s="1">
        <f>L743</f>
        <v>0</v>
      </c>
      <c r="AL743" s="1">
        <f>M743</f>
        <v>1</v>
      </c>
      <c r="AM743" s="1">
        <f>N743</f>
        <v>0</v>
      </c>
      <c r="AN743" s="1">
        <f>O743</f>
        <v>0</v>
      </c>
    </row>
    <row r="744">
      <c r="A744" s="1">
        <v>997</v>
      </c>
      <c r="B744" s="1">
        <v>56</v>
      </c>
      <c r="C744" s="1">
        <v>0.75</v>
      </c>
      <c r="D744" s="1">
        <v>91</v>
      </c>
      <c r="E744" s="1">
        <v>3</v>
      </c>
      <c r="F744" s="1">
        <v>1</v>
      </c>
      <c r="G744" s="1">
        <v>0</v>
      </c>
      <c r="H744" s="1">
        <v>0</v>
      </c>
      <c r="I744" s="1">
        <v>0</v>
      </c>
      <c r="J744" s="1">
        <v>0</v>
      </c>
      <c r="K744" s="1">
        <v>0</v>
      </c>
      <c r="L744" s="1">
        <v>0</v>
      </c>
      <c r="M744" s="1">
        <v>1</v>
      </c>
      <c r="N744" s="1">
        <v>0</v>
      </c>
      <c r="O744" s="1">
        <v>0</v>
      </c>
      <c r="P744" s="1">
        <f>LN(B744)</f>
        <v>4.02535169073515</v>
      </c>
      <c r="Q744" s="1">
        <f>1-SUM(F744:J744)</f>
        <v>0</v>
      </c>
      <c r="R744" s="1" t="str">
        <f>IF(F744=1,"Napa valley",IF(G744=1,"Bay area",IF(H744=1,"Sonoma",IF(I744=1,"Sierra/foothills",IF(J744=1,"Mendocino/lake","Generic California")))))</f>
        <v>Napa valley</v>
      </c>
      <c r="S744" s="1" t="str">
        <f>IF(F744=1,"Napa valley",IF(H744=1,"Sonoma","Other"))</f>
        <v>Napa valley</v>
      </c>
      <c r="T744" s="1" t="str">
        <f>IF(M744=1,"Cabernet",IF(N744=1,"Merlot",IF(L744=1,"Pinot noir","Other")))</f>
        <v>Cabernet</v>
      </c>
      <c r="U744" s="1">
        <f>IF(F744=1,B744,"")</f>
        <v>56</v>
      </c>
      <c r="V744" s="1" t="str">
        <f>IF(F744=0,B744,"")</f>
        <v/>
      </c>
      <c r="W744" s="1">
        <f>'Part B'!$B$150+SUMPRODUCT('Part B'!$B$164:$N$164,C744:O744)</f>
        <v>53.2126189677901</v>
      </c>
      <c r="X744" s="1">
        <f>B744-W744</f>
        <v>2.78738103220991</v>
      </c>
      <c r="Y744" s="1">
        <f>'Part B'!$B$179+SUMPRODUCT('Part B'!$B$193:$N$193,C744:O744)</f>
        <v>3.72192199543896</v>
      </c>
      <c r="Z744" s="1">
        <f>P744-Y744</f>
        <v>0.303429695296188</v>
      </c>
      <c r="AB744" s="1">
        <f>C744</f>
        <v>0.75</v>
      </c>
      <c r="AC744" s="1">
        <f>D744</f>
        <v>91</v>
      </c>
      <c r="AD744" s="1">
        <f>E744</f>
        <v>3</v>
      </c>
      <c r="AE744" s="1">
        <f>F744</f>
        <v>1</v>
      </c>
      <c r="AF744" s="1">
        <f>G744</f>
        <v>0</v>
      </c>
      <c r="AG744" s="1">
        <f>I744</f>
        <v>0</v>
      </c>
      <c r="AH744" s="1">
        <f>J744</f>
        <v>0</v>
      </c>
      <c r="AI744" s="1">
        <f>Q744</f>
        <v>0</v>
      </c>
      <c r="AJ744" s="1">
        <f>K744</f>
        <v>0</v>
      </c>
      <c r="AK744" s="1">
        <f>L744</f>
        <v>0</v>
      </c>
      <c r="AL744" s="1">
        <f>M744</f>
        <v>1</v>
      </c>
      <c r="AM744" s="1">
        <f>N744</f>
        <v>0</v>
      </c>
      <c r="AN744" s="1">
        <f>O744</f>
        <v>0</v>
      </c>
    </row>
    <row r="745">
      <c r="A745" s="1">
        <v>998</v>
      </c>
      <c r="B745" s="1">
        <v>58</v>
      </c>
      <c r="C745" s="1">
        <v>1.27</v>
      </c>
      <c r="D745" s="1">
        <v>86</v>
      </c>
      <c r="E745" s="1">
        <v>3</v>
      </c>
      <c r="F745" s="1">
        <v>1</v>
      </c>
      <c r="G745" s="1">
        <v>0</v>
      </c>
      <c r="H745" s="1">
        <v>0</v>
      </c>
      <c r="I745" s="1">
        <v>0</v>
      </c>
      <c r="J745" s="1">
        <v>0</v>
      </c>
      <c r="K745" s="1">
        <v>0</v>
      </c>
      <c r="L745" s="1">
        <v>0</v>
      </c>
      <c r="M745" s="1">
        <v>1</v>
      </c>
      <c r="N745" s="1">
        <v>0</v>
      </c>
      <c r="O745" s="1">
        <v>0</v>
      </c>
      <c r="P745" s="1">
        <f>LN(B745)</f>
        <v>4.06044301054642</v>
      </c>
      <c r="Q745" s="1">
        <f>1-SUM(F745:J745)</f>
        <v>0</v>
      </c>
      <c r="R745" s="1" t="str">
        <f>IF(F745=1,"Napa valley",IF(G745=1,"Bay area",IF(H745=1,"Sonoma",IF(I745=1,"Sierra/foothills",IF(J745=1,"Mendocino/lake","Generic California")))))</f>
        <v>Napa valley</v>
      </c>
      <c r="S745" s="1" t="str">
        <f>IF(F745=1,"Napa valley",IF(H745=1,"Sonoma","Other"))</f>
        <v>Napa valley</v>
      </c>
      <c r="T745" s="1" t="str">
        <f>IF(M745=1,"Cabernet",IF(N745=1,"Merlot",IF(L745=1,"Pinot noir","Other")))</f>
        <v>Cabernet</v>
      </c>
      <c r="U745" s="1">
        <f>IF(F745=1,B745,"")</f>
        <v>58</v>
      </c>
      <c r="V745" s="1" t="str">
        <f>IF(F745=0,B745,"")</f>
        <v/>
      </c>
      <c r="W745" s="1">
        <f>'Part B'!$B$150+SUMPRODUCT('Part B'!$B$164:$N$164,C745:O745)</f>
        <v>37.4377783457792</v>
      </c>
      <c r="X745" s="1">
        <f>B745-W745</f>
        <v>20.5622216542208</v>
      </c>
      <c r="Y745" s="1">
        <f>'Part B'!$B$179+SUMPRODUCT('Part B'!$B$193:$N$193,C745:O745)</f>
        <v>3.36989003653638</v>
      </c>
      <c r="Z745" s="1">
        <f>P745-Y745</f>
        <v>0.690552974010035</v>
      </c>
      <c r="AB745" s="1">
        <f>C745</f>
        <v>1.27</v>
      </c>
      <c r="AC745" s="1">
        <f>D745</f>
        <v>86</v>
      </c>
      <c r="AD745" s="1">
        <f>E745</f>
        <v>3</v>
      </c>
      <c r="AE745" s="1">
        <f>F745</f>
        <v>1</v>
      </c>
      <c r="AF745" s="1">
        <f>G745</f>
        <v>0</v>
      </c>
      <c r="AG745" s="1">
        <f>I745</f>
        <v>0</v>
      </c>
      <c r="AH745" s="1">
        <f>J745</f>
        <v>0</v>
      </c>
      <c r="AI745" s="1">
        <f>Q745</f>
        <v>0</v>
      </c>
      <c r="AJ745" s="1">
        <f>K745</f>
        <v>0</v>
      </c>
      <c r="AK745" s="1">
        <f>L745</f>
        <v>0</v>
      </c>
      <c r="AL745" s="1">
        <f>M745</f>
        <v>1</v>
      </c>
      <c r="AM745" s="1">
        <f>N745</f>
        <v>0</v>
      </c>
      <c r="AN745" s="1">
        <f>O745</f>
        <v>0</v>
      </c>
    </row>
    <row r="746">
      <c r="A746" s="1">
        <v>999</v>
      </c>
      <c r="B746" s="1">
        <v>60</v>
      </c>
      <c r="C746" s="1">
        <v>0.167</v>
      </c>
      <c r="D746" s="1">
        <v>89</v>
      </c>
      <c r="E746" s="1">
        <v>5</v>
      </c>
      <c r="F746" s="1">
        <v>1</v>
      </c>
      <c r="G746" s="1">
        <v>0</v>
      </c>
      <c r="H746" s="1">
        <v>0</v>
      </c>
      <c r="I746" s="1">
        <v>0</v>
      </c>
      <c r="J746" s="1">
        <v>0</v>
      </c>
      <c r="K746" s="1">
        <v>0</v>
      </c>
      <c r="L746" s="1">
        <v>0</v>
      </c>
      <c r="M746" s="1">
        <v>0</v>
      </c>
      <c r="N746" s="1">
        <v>0</v>
      </c>
      <c r="O746" s="1">
        <v>1</v>
      </c>
      <c r="P746" s="1">
        <f>LN(B746)</f>
        <v>4.0943445622221</v>
      </c>
      <c r="Q746" s="1">
        <f>1-SUM(F746:J746)</f>
        <v>0</v>
      </c>
      <c r="R746" s="1" t="str">
        <f>IF(F746=1,"Napa valley",IF(G746=1,"Bay area",IF(H746=1,"Sonoma",IF(I746=1,"Sierra/foothills",IF(J746=1,"Mendocino/lake","Generic California")))))</f>
        <v>Napa valley</v>
      </c>
      <c r="S746" s="1" t="str">
        <f>IF(F746=1,"Napa valley",IF(H746=1,"Sonoma","Other"))</f>
        <v>Napa valley</v>
      </c>
      <c r="T746" s="1" t="str">
        <f>IF(M746=1,"Cabernet",IF(N746=1,"Merlot",IF(L746=1,"Pinot noir","Other")))</f>
        <v>Other</v>
      </c>
      <c r="U746" s="1">
        <f>IF(F746=1,B746,"")</f>
        <v>60</v>
      </c>
      <c r="V746" s="1" t="str">
        <f>IF(F746=0,B746,"")</f>
        <v/>
      </c>
      <c r="W746" s="1">
        <f>'Part B'!$B$150+SUMPRODUCT('Part B'!$B$164:$N$164,C746:O746)</f>
        <v>47.183428184763</v>
      </c>
      <c r="X746" s="1">
        <f>B746-W746</f>
        <v>12.816571815237</v>
      </c>
      <c r="Y746" s="1">
        <f>'Part B'!$B$179+SUMPRODUCT('Part B'!$B$193:$N$193,C746:O746)</f>
        <v>3.6729028097257</v>
      </c>
      <c r="Z746" s="1">
        <f>P746-Y746</f>
        <v>0.421441752496399</v>
      </c>
      <c r="AB746" s="1">
        <f>C746</f>
        <v>0.167</v>
      </c>
      <c r="AC746" s="1">
        <f>D746</f>
        <v>89</v>
      </c>
      <c r="AD746" s="1">
        <f>E746</f>
        <v>5</v>
      </c>
      <c r="AE746" s="1">
        <f>F746</f>
        <v>1</v>
      </c>
      <c r="AF746" s="1">
        <f>G746</f>
        <v>0</v>
      </c>
      <c r="AG746" s="1">
        <f>I746</f>
        <v>0</v>
      </c>
      <c r="AH746" s="1">
        <f>J746</f>
        <v>0</v>
      </c>
      <c r="AI746" s="1">
        <f>Q746</f>
        <v>0</v>
      </c>
      <c r="AJ746" s="1">
        <f>K746</f>
        <v>0</v>
      </c>
      <c r="AK746" s="1">
        <f>L746</f>
        <v>0</v>
      </c>
      <c r="AL746" s="1">
        <f>M746</f>
        <v>0</v>
      </c>
      <c r="AM746" s="1">
        <f>N746</f>
        <v>0</v>
      </c>
      <c r="AN746" s="1">
        <f>O746</f>
        <v>1</v>
      </c>
    </row>
    <row r="747">
      <c r="A747" s="1">
        <v>1000</v>
      </c>
      <c r="B747" s="1">
        <v>60</v>
      </c>
      <c r="C747" s="1">
        <v>1.25</v>
      </c>
      <c r="D747" s="1">
        <v>84</v>
      </c>
      <c r="E747" s="1">
        <v>5</v>
      </c>
      <c r="F747" s="1">
        <v>1</v>
      </c>
      <c r="G747" s="1">
        <v>0</v>
      </c>
      <c r="H747" s="1">
        <v>0</v>
      </c>
      <c r="I747" s="1">
        <v>0</v>
      </c>
      <c r="J747" s="1">
        <v>0</v>
      </c>
      <c r="K747" s="1">
        <v>0</v>
      </c>
      <c r="L747" s="1">
        <v>0</v>
      </c>
      <c r="M747" s="1">
        <v>1</v>
      </c>
      <c r="N747" s="1">
        <v>0</v>
      </c>
      <c r="O747" s="1">
        <v>0</v>
      </c>
      <c r="P747" s="1">
        <f>LN(B747)</f>
        <v>4.0943445622221</v>
      </c>
      <c r="Q747" s="1">
        <f>1-SUM(F747:J747)</f>
        <v>0</v>
      </c>
      <c r="R747" s="1" t="str">
        <f>IF(F747=1,"Napa valley",IF(G747=1,"Bay area",IF(H747=1,"Sonoma",IF(I747=1,"Sierra/foothills",IF(J747=1,"Mendocino/lake","Generic California")))))</f>
        <v>Napa valley</v>
      </c>
      <c r="S747" s="1" t="str">
        <f>IF(F747=1,"Napa valley",IF(H747=1,"Sonoma","Other"))</f>
        <v>Napa valley</v>
      </c>
      <c r="T747" s="1" t="str">
        <f>IF(M747=1,"Cabernet",IF(N747=1,"Merlot",IF(L747=1,"Pinot noir","Other")))</f>
        <v>Cabernet</v>
      </c>
      <c r="U747" s="1">
        <f>IF(F747=1,B747,"")</f>
        <v>60</v>
      </c>
      <c r="V747" s="1" t="str">
        <f>IF(F747=0,B747,"")</f>
        <v/>
      </c>
      <c r="W747" s="1">
        <f>'Part B'!$B$150+SUMPRODUCT('Part B'!$B$164:$N$164,C747:O747)</f>
        <v>44.3886919532066</v>
      </c>
      <c r="X747" s="1">
        <f>B747-W747</f>
        <v>15.6113080467934</v>
      </c>
      <c r="Y747" s="1">
        <f>'Part B'!$B$179+SUMPRODUCT('Part B'!$B$193:$N$193,C747:O747)</f>
        <v>3.59622344516765</v>
      </c>
      <c r="Z747" s="1">
        <f>P747-Y747</f>
        <v>0.498121117054449</v>
      </c>
      <c r="AB747" s="1">
        <f>C747</f>
        <v>1.25</v>
      </c>
      <c r="AC747" s="1">
        <f>D747</f>
        <v>84</v>
      </c>
      <c r="AD747" s="1">
        <f>E747</f>
        <v>5</v>
      </c>
      <c r="AE747" s="1">
        <f>F747</f>
        <v>1</v>
      </c>
      <c r="AF747" s="1">
        <f>G747</f>
        <v>0</v>
      </c>
      <c r="AG747" s="1">
        <f>I747</f>
        <v>0</v>
      </c>
      <c r="AH747" s="1">
        <f>J747</f>
        <v>0</v>
      </c>
      <c r="AI747" s="1">
        <f>Q747</f>
        <v>0</v>
      </c>
      <c r="AJ747" s="1">
        <f>K747</f>
        <v>0</v>
      </c>
      <c r="AK747" s="1">
        <f>L747</f>
        <v>0</v>
      </c>
      <c r="AL747" s="1">
        <f>M747</f>
        <v>1</v>
      </c>
      <c r="AM747" s="1">
        <f>N747</f>
        <v>0</v>
      </c>
      <c r="AN747" s="1">
        <f>O747</f>
        <v>0</v>
      </c>
    </row>
    <row r="748">
      <c r="A748" s="1">
        <v>1002</v>
      </c>
      <c r="B748" s="1">
        <v>60</v>
      </c>
      <c r="C748" s="1">
        <v>0.89</v>
      </c>
      <c r="D748" s="1">
        <v>92</v>
      </c>
      <c r="E748" s="1">
        <v>4</v>
      </c>
      <c r="F748" s="1">
        <v>0</v>
      </c>
      <c r="G748" s="1">
        <v>0</v>
      </c>
      <c r="H748" s="1">
        <v>1</v>
      </c>
      <c r="I748" s="1">
        <v>0</v>
      </c>
      <c r="J748" s="1">
        <v>0</v>
      </c>
      <c r="K748" s="1">
        <v>0</v>
      </c>
      <c r="L748" s="1">
        <v>0</v>
      </c>
      <c r="M748" s="1">
        <v>1</v>
      </c>
      <c r="N748" s="1">
        <v>0</v>
      </c>
      <c r="O748" s="1">
        <v>0</v>
      </c>
      <c r="P748" s="1">
        <f>LN(B748)</f>
        <v>4.0943445622221</v>
      </c>
      <c r="Q748" s="1">
        <f>1-SUM(F748:J748)</f>
        <v>0</v>
      </c>
      <c r="R748" s="1" t="str">
        <f>IF(F748=1,"Napa valley",IF(G748=1,"Bay area",IF(H748=1,"Sonoma",IF(I748=1,"Sierra/foothills",IF(J748=1,"Mendocino/lake","Generic California")))))</f>
        <v>Sonoma</v>
      </c>
      <c r="S748" s="1" t="str">
        <f>IF(F748=1,"Napa valley",IF(H748=1,"Sonoma","Other"))</f>
        <v>Sonoma</v>
      </c>
      <c r="T748" s="1" t="str">
        <f>IF(M748=1,"Cabernet",IF(N748=1,"Merlot",IF(L748=1,"Pinot noir","Other")))</f>
        <v>Cabernet</v>
      </c>
      <c r="U748" s="1" t="str">
        <f>IF(F748=1,B748,"")</f>
        <v/>
      </c>
      <c r="V748" s="1">
        <f>IF(F748=0,B748,"")</f>
        <v>60</v>
      </c>
      <c r="W748" s="1">
        <f>'Part B'!$B$150+SUMPRODUCT('Part B'!$B$164:$N$164,C748:O748)</f>
        <v>55.0675850709833</v>
      </c>
      <c r="X748" s="1">
        <f>B748-W748</f>
        <v>4.93241492901666</v>
      </c>
      <c r="Y748" s="1">
        <f>'Part B'!$B$179+SUMPRODUCT('Part B'!$B$193:$N$193,C748:O748)</f>
        <v>3.82658201237751</v>
      </c>
      <c r="Z748" s="1">
        <f>P748-Y748</f>
        <v>0.267762549844586</v>
      </c>
      <c r="AB748" s="1">
        <f>C748</f>
        <v>0.89</v>
      </c>
      <c r="AC748" s="1">
        <f>D748</f>
        <v>92</v>
      </c>
      <c r="AD748" s="1">
        <f>E748</f>
        <v>4</v>
      </c>
      <c r="AE748" s="1">
        <f>F748</f>
        <v>0</v>
      </c>
      <c r="AF748" s="1">
        <f>G748</f>
        <v>0</v>
      </c>
      <c r="AG748" s="1">
        <f>I748</f>
        <v>0</v>
      </c>
      <c r="AH748" s="1">
        <f>J748</f>
        <v>0</v>
      </c>
      <c r="AI748" s="1">
        <f>Q748</f>
        <v>0</v>
      </c>
      <c r="AJ748" s="1">
        <f>K748</f>
        <v>0</v>
      </c>
      <c r="AK748" s="1">
        <f>L748</f>
        <v>0</v>
      </c>
      <c r="AL748" s="1">
        <f>M748</f>
        <v>1</v>
      </c>
      <c r="AM748" s="1">
        <f>N748</f>
        <v>0</v>
      </c>
      <c r="AN748" s="1">
        <f>O748</f>
        <v>0</v>
      </c>
    </row>
    <row r="749">
      <c r="A749" s="1">
        <v>1003</v>
      </c>
      <c r="B749" s="1">
        <v>60</v>
      </c>
      <c r="C749" s="1">
        <v>0.664</v>
      </c>
      <c r="D749" s="1">
        <v>92</v>
      </c>
      <c r="E749" s="1">
        <v>4</v>
      </c>
      <c r="F749" s="1">
        <v>1</v>
      </c>
      <c r="G749" s="1">
        <v>0</v>
      </c>
      <c r="H749" s="1">
        <v>0</v>
      </c>
      <c r="I749" s="1">
        <v>0</v>
      </c>
      <c r="J749" s="1">
        <v>0</v>
      </c>
      <c r="K749" s="1">
        <v>0</v>
      </c>
      <c r="L749" s="1">
        <v>0</v>
      </c>
      <c r="M749" s="1">
        <v>1</v>
      </c>
      <c r="N749" s="1">
        <v>0</v>
      </c>
      <c r="O749" s="1">
        <v>0</v>
      </c>
      <c r="P749" s="1">
        <f>LN(B749)</f>
        <v>4.0943445622221</v>
      </c>
      <c r="Q749" s="1">
        <f>1-SUM(F749:J749)</f>
        <v>0</v>
      </c>
      <c r="R749" s="1" t="str">
        <f>IF(F749=1,"Napa valley",IF(G749=1,"Bay area",IF(H749=1,"Sonoma",IF(I749=1,"Sierra/foothills",IF(J749=1,"Mendocino/lake","Generic California")))))</f>
        <v>Napa valley</v>
      </c>
      <c r="S749" s="1" t="str">
        <f>IF(F749=1,"Napa valley",IF(H749=1,"Sonoma","Other"))</f>
        <v>Napa valley</v>
      </c>
      <c r="T749" s="1" t="str">
        <f>IF(M749=1,"Cabernet",IF(N749=1,"Merlot",IF(L749=1,"Pinot noir","Other")))</f>
        <v>Cabernet</v>
      </c>
      <c r="U749" s="1">
        <f>IF(F749=1,B749,"")</f>
        <v>60</v>
      </c>
      <c r="V749" s="1" t="str">
        <f>IF(F749=0,B749,"")</f>
        <v/>
      </c>
      <c r="W749" s="1">
        <f>'Part B'!$B$150+SUMPRODUCT('Part B'!$B$164:$N$164,C749:O749)</f>
        <v>62.985483402717</v>
      </c>
      <c r="X749" s="1">
        <f>B749-W749</f>
        <v>-2.98548340271697</v>
      </c>
      <c r="Y749" s="1">
        <f>'Part B'!$B$179+SUMPRODUCT('Part B'!$B$193:$N$193,C749:O749)</f>
        <v>3.97533664645247</v>
      </c>
      <c r="Z749" s="1">
        <f>P749-Y749</f>
        <v>0.119007915769626</v>
      </c>
      <c r="AB749" s="1">
        <f>C749</f>
        <v>0.664</v>
      </c>
      <c r="AC749" s="1">
        <f>D749</f>
        <v>92</v>
      </c>
      <c r="AD749" s="1">
        <f>E749</f>
        <v>4</v>
      </c>
      <c r="AE749" s="1">
        <f>F749</f>
        <v>1</v>
      </c>
      <c r="AF749" s="1">
        <f>G749</f>
        <v>0</v>
      </c>
      <c r="AG749" s="1">
        <f>I749</f>
        <v>0</v>
      </c>
      <c r="AH749" s="1">
        <f>J749</f>
        <v>0</v>
      </c>
      <c r="AI749" s="1">
        <f>Q749</f>
        <v>0</v>
      </c>
      <c r="AJ749" s="1">
        <f>K749</f>
        <v>0</v>
      </c>
      <c r="AK749" s="1">
        <f>L749</f>
        <v>0</v>
      </c>
      <c r="AL749" s="1">
        <f>M749</f>
        <v>1</v>
      </c>
      <c r="AM749" s="1">
        <f>N749</f>
        <v>0</v>
      </c>
      <c r="AN749" s="1">
        <f>O749</f>
        <v>0</v>
      </c>
    </row>
    <row r="750">
      <c r="A750" s="1">
        <v>1004</v>
      </c>
      <c r="B750" s="1">
        <v>60</v>
      </c>
      <c r="C750" s="1">
        <v>0.9</v>
      </c>
      <c r="D750" s="1">
        <v>92</v>
      </c>
      <c r="E750" s="1">
        <v>4</v>
      </c>
      <c r="F750" s="1">
        <v>1</v>
      </c>
      <c r="G750" s="1">
        <v>0</v>
      </c>
      <c r="H750" s="1">
        <v>0</v>
      </c>
      <c r="I750" s="1">
        <v>0</v>
      </c>
      <c r="J750" s="1">
        <v>0</v>
      </c>
      <c r="K750" s="1">
        <v>0</v>
      </c>
      <c r="L750" s="1">
        <v>0</v>
      </c>
      <c r="M750" s="1">
        <v>1</v>
      </c>
      <c r="N750" s="1">
        <v>0</v>
      </c>
      <c r="O750" s="1">
        <v>0</v>
      </c>
      <c r="P750" s="1">
        <f>LN(B750)</f>
        <v>4.0943445622221</v>
      </c>
      <c r="Q750" s="1">
        <f>1-SUM(F750:J750)</f>
        <v>0</v>
      </c>
      <c r="R750" s="1" t="str">
        <f>IF(F750=1,"Napa valley",IF(G750=1,"Bay area",IF(H750=1,"Sonoma",IF(I750=1,"Sierra/foothills",IF(J750=1,"Mendocino/lake","Generic California")))))</f>
        <v>Napa valley</v>
      </c>
      <c r="S750" s="1" t="str">
        <f>IF(F750=1,"Napa valley",IF(H750=1,"Sonoma","Other"))</f>
        <v>Napa valley</v>
      </c>
      <c r="T750" s="1" t="str">
        <f>IF(M750=1,"Cabernet",IF(N750=1,"Merlot",IF(L750=1,"Pinot noir","Other")))</f>
        <v>Cabernet</v>
      </c>
      <c r="U750" s="1">
        <f>IF(F750=1,B750,"")</f>
        <v>60</v>
      </c>
      <c r="V750" s="1" t="str">
        <f>IF(F750=0,B750,"")</f>
        <v/>
      </c>
      <c r="W750" s="1">
        <f>'Part B'!$B$150+SUMPRODUCT('Part B'!$B$164:$N$164,C750:O750)</f>
        <v>62.9630837530843</v>
      </c>
      <c r="X750" s="1">
        <f>B750-W750</f>
        <v>-2.96308375308428</v>
      </c>
      <c r="Y750" s="1">
        <f>'Part B'!$B$179+SUMPRODUCT('Part B'!$B$193:$N$193,C750:O750)</f>
        <v>3.97432678660623</v>
      </c>
      <c r="Z750" s="1">
        <f>P750-Y750</f>
        <v>0.120017775615866</v>
      </c>
      <c r="AB750" s="1">
        <f>C750</f>
        <v>0.9</v>
      </c>
      <c r="AC750" s="1">
        <f>D750</f>
        <v>92</v>
      </c>
      <c r="AD750" s="1">
        <f>E750</f>
        <v>4</v>
      </c>
      <c r="AE750" s="1">
        <f>F750</f>
        <v>1</v>
      </c>
      <c r="AF750" s="1">
        <f>G750</f>
        <v>0</v>
      </c>
      <c r="AG750" s="1">
        <f>I750</f>
        <v>0</v>
      </c>
      <c r="AH750" s="1">
        <f>J750</f>
        <v>0</v>
      </c>
      <c r="AI750" s="1">
        <f>Q750</f>
        <v>0</v>
      </c>
      <c r="AJ750" s="1">
        <f>K750</f>
        <v>0</v>
      </c>
      <c r="AK750" s="1">
        <f>L750</f>
        <v>0</v>
      </c>
      <c r="AL750" s="1">
        <f>M750</f>
        <v>1</v>
      </c>
      <c r="AM750" s="1">
        <f>N750</f>
        <v>0</v>
      </c>
      <c r="AN750" s="1">
        <f>O750</f>
        <v>0</v>
      </c>
    </row>
    <row r="751">
      <c r="A751" s="1">
        <v>1005</v>
      </c>
      <c r="B751" s="1">
        <v>61</v>
      </c>
      <c r="C751" s="1">
        <v>15</v>
      </c>
      <c r="D751" s="1">
        <v>92</v>
      </c>
      <c r="E751" s="1">
        <v>5</v>
      </c>
      <c r="F751" s="1">
        <v>1</v>
      </c>
      <c r="G751" s="1">
        <v>0</v>
      </c>
      <c r="H751" s="1">
        <v>0</v>
      </c>
      <c r="I751" s="1">
        <v>0</v>
      </c>
      <c r="J751" s="1">
        <v>0</v>
      </c>
      <c r="K751" s="1">
        <v>0</v>
      </c>
      <c r="L751" s="1">
        <v>0</v>
      </c>
      <c r="M751" s="1">
        <v>1</v>
      </c>
      <c r="N751" s="1">
        <v>0</v>
      </c>
      <c r="O751" s="1">
        <v>0</v>
      </c>
      <c r="P751" s="1">
        <f>LN(B751)</f>
        <v>4.11087386417331</v>
      </c>
      <c r="Q751" s="1">
        <f>1-SUM(F751:J751)</f>
        <v>0</v>
      </c>
      <c r="R751" s="1" t="str">
        <f>IF(F751=1,"Napa valley",IF(G751=1,"Bay area",IF(H751=1,"Sonoma",IF(I751=1,"Sierra/foothills",IF(J751=1,"Mendocino/lake","Generic California")))))</f>
        <v>Napa valley</v>
      </c>
      <c r="S751" s="1" t="str">
        <f>IF(F751=1,"Napa valley",IF(H751=1,"Sonoma","Other"))</f>
        <v>Napa valley</v>
      </c>
      <c r="T751" s="1" t="str">
        <f>IF(M751=1,"Cabernet",IF(N751=1,"Merlot",IF(L751=1,"Pinot noir","Other")))</f>
        <v>Cabernet</v>
      </c>
      <c r="U751" s="1">
        <f>IF(F751=1,B751,"")</f>
        <v>61</v>
      </c>
      <c r="V751" s="1" t="str">
        <f>IF(F751=0,B751,"")</f>
        <v/>
      </c>
      <c r="W751" s="1">
        <f>'Part B'!$B$150+SUMPRODUCT('Part B'!$B$164:$N$164,C751:O751)</f>
        <v>68.2444043596786</v>
      </c>
      <c r="X751" s="1">
        <f>B751-W751</f>
        <v>-7.24440435967864</v>
      </c>
      <c r="Y751" s="1">
        <f>'Part B'!$B$179+SUMPRODUCT('Part B'!$B$193:$N$193,C751:O751)</f>
        <v>4.09707722230217</v>
      </c>
      <c r="Z751" s="1">
        <f>P751-Y751</f>
        <v>0.0137966418711457</v>
      </c>
      <c r="AB751" s="1">
        <f>C751</f>
        <v>15</v>
      </c>
      <c r="AC751" s="1">
        <f>D751</f>
        <v>92</v>
      </c>
      <c r="AD751" s="1">
        <f>E751</f>
        <v>5</v>
      </c>
      <c r="AE751" s="1">
        <f>F751</f>
        <v>1</v>
      </c>
      <c r="AF751" s="1">
        <f>G751</f>
        <v>0</v>
      </c>
      <c r="AG751" s="1">
        <f>I751</f>
        <v>0</v>
      </c>
      <c r="AH751" s="1">
        <f>J751</f>
        <v>0</v>
      </c>
      <c r="AI751" s="1">
        <f>Q751</f>
        <v>0</v>
      </c>
      <c r="AJ751" s="1">
        <f>K751</f>
        <v>0</v>
      </c>
      <c r="AK751" s="1">
        <f>L751</f>
        <v>0</v>
      </c>
      <c r="AL751" s="1">
        <f>M751</f>
        <v>1</v>
      </c>
      <c r="AM751" s="1">
        <f>N751</f>
        <v>0</v>
      </c>
      <c r="AN751" s="1">
        <f>O751</f>
        <v>0</v>
      </c>
    </row>
    <row r="752">
      <c r="A752" s="1">
        <v>1006</v>
      </c>
      <c r="B752" s="1">
        <v>60</v>
      </c>
      <c r="C752" s="1">
        <v>4.55</v>
      </c>
      <c r="D752" s="1">
        <v>93</v>
      </c>
      <c r="E752" s="1">
        <v>3</v>
      </c>
      <c r="F752" s="1">
        <v>1</v>
      </c>
      <c r="G752" s="1">
        <v>0</v>
      </c>
      <c r="H752" s="1">
        <v>0</v>
      </c>
      <c r="I752" s="1">
        <v>0</v>
      </c>
      <c r="J752" s="1">
        <v>0</v>
      </c>
      <c r="K752" s="1">
        <v>0</v>
      </c>
      <c r="L752" s="1">
        <v>0</v>
      </c>
      <c r="M752" s="1">
        <v>1</v>
      </c>
      <c r="N752" s="1">
        <v>0</v>
      </c>
      <c r="O752" s="1">
        <v>0</v>
      </c>
      <c r="P752" s="1">
        <f>LN(B752)</f>
        <v>4.0943445622221</v>
      </c>
      <c r="Q752" s="1">
        <f>1-SUM(F752:J752)</f>
        <v>0</v>
      </c>
      <c r="R752" s="1" t="str">
        <f>IF(F752=1,"Napa valley",IF(G752=1,"Bay area",IF(H752=1,"Sonoma",IF(I752=1,"Sierra/foothills",IF(J752=1,"Mendocino/lake","Generic California")))))</f>
        <v>Napa valley</v>
      </c>
      <c r="S752" s="1" t="str">
        <f>IF(F752=1,"Napa valley",IF(H752=1,"Sonoma","Other"))</f>
        <v>Napa valley</v>
      </c>
      <c r="T752" s="1" t="str">
        <f>IF(M752=1,"Cabernet",IF(N752=1,"Merlot",IF(L752=1,"Pinot noir","Other")))</f>
        <v>Cabernet</v>
      </c>
      <c r="U752" s="1">
        <f>IF(F752=1,B752,"")</f>
        <v>60</v>
      </c>
      <c r="V752" s="1" t="str">
        <f>IF(F752=0,B752,"")</f>
        <v/>
      </c>
      <c r="W752" s="1">
        <f>'Part B'!$B$150+SUMPRODUCT('Part B'!$B$164:$N$164,C752:O752)</f>
        <v>59.1421408279172</v>
      </c>
      <c r="X752" s="1">
        <f>B752-W752</f>
        <v>0.85785917208284</v>
      </c>
      <c r="Y752" s="1">
        <f>'Part B'!$B$179+SUMPRODUCT('Part B'!$B$193:$N$193,C752:O752)</f>
        <v>3.8455842778825</v>
      </c>
      <c r="Z752" s="1">
        <f>P752-Y752</f>
        <v>0.248760284339603</v>
      </c>
      <c r="AB752" s="1">
        <f>C752</f>
        <v>4.55</v>
      </c>
      <c r="AC752" s="1">
        <f>D752</f>
        <v>93</v>
      </c>
      <c r="AD752" s="1">
        <f>E752</f>
        <v>3</v>
      </c>
      <c r="AE752" s="1">
        <f>F752</f>
        <v>1</v>
      </c>
      <c r="AF752" s="1">
        <f>G752</f>
        <v>0</v>
      </c>
      <c r="AG752" s="1">
        <f>I752</f>
        <v>0</v>
      </c>
      <c r="AH752" s="1">
        <f>J752</f>
        <v>0</v>
      </c>
      <c r="AI752" s="1">
        <f>Q752</f>
        <v>0</v>
      </c>
      <c r="AJ752" s="1">
        <f>K752</f>
        <v>0</v>
      </c>
      <c r="AK752" s="1">
        <f>L752</f>
        <v>0</v>
      </c>
      <c r="AL752" s="1">
        <f>M752</f>
        <v>1</v>
      </c>
      <c r="AM752" s="1">
        <f>N752</f>
        <v>0</v>
      </c>
      <c r="AN752" s="1">
        <f>O752</f>
        <v>0</v>
      </c>
    </row>
    <row r="753">
      <c r="A753" s="1">
        <v>1007</v>
      </c>
      <c r="B753" s="1">
        <v>63</v>
      </c>
      <c r="C753" s="1">
        <v>41.3</v>
      </c>
      <c r="D753" s="1">
        <v>90</v>
      </c>
      <c r="E753" s="1">
        <v>4</v>
      </c>
      <c r="F753" s="1">
        <v>0</v>
      </c>
      <c r="G753" s="1">
        <v>0</v>
      </c>
      <c r="H753" s="1">
        <v>1</v>
      </c>
      <c r="I753" s="1">
        <v>0</v>
      </c>
      <c r="J753" s="1">
        <v>0</v>
      </c>
      <c r="K753" s="1">
        <v>0</v>
      </c>
      <c r="L753" s="1">
        <v>0</v>
      </c>
      <c r="M753" s="1">
        <v>1</v>
      </c>
      <c r="N753" s="1">
        <v>0</v>
      </c>
      <c r="O753" s="1">
        <v>0</v>
      </c>
      <c r="P753" s="1">
        <f>LN(B753)</f>
        <v>4.14313472639153</v>
      </c>
      <c r="Q753" s="1">
        <f>1-SUM(F753:J753)</f>
        <v>0</v>
      </c>
      <c r="R753" s="1" t="str">
        <f>IF(F753=1,"Napa valley",IF(G753=1,"Bay area",IF(H753=1,"Sonoma",IF(I753=1,"Sierra/foothills",IF(J753=1,"Mendocino/lake","Generic California")))))</f>
        <v>Sonoma</v>
      </c>
      <c r="S753" s="1" t="str">
        <f>IF(F753=1,"Napa valley",IF(H753=1,"Sonoma","Other"))</f>
        <v>Sonoma</v>
      </c>
      <c r="T753" s="1" t="str">
        <f>IF(M753=1,"Cabernet",IF(N753=1,"Merlot",IF(L753=1,"Pinot noir","Other")))</f>
        <v>Cabernet</v>
      </c>
      <c r="U753" s="1" t="str">
        <f>IF(F753=1,B753,"")</f>
        <v/>
      </c>
      <c r="V753" s="1">
        <f>IF(F753=0,B753,"")</f>
        <v>63</v>
      </c>
      <c r="W753" s="1">
        <f>'Part B'!$B$150+SUMPRODUCT('Part B'!$B$164:$N$164,C753:O753)</f>
        <v>44.9419254555117</v>
      </c>
      <c r="X753" s="1">
        <f>B753-W753</f>
        <v>18.0580745444883</v>
      </c>
      <c r="Y753" s="1">
        <f>'Part B'!$B$179+SUMPRODUCT('Part B'!$B$193:$N$193,C753:O753)</f>
        <v>3.51374217144984</v>
      </c>
      <c r="Z753" s="1">
        <f>P753-Y753</f>
        <v>0.629392554941697</v>
      </c>
      <c r="AB753" s="1">
        <f>C753</f>
        <v>41.3</v>
      </c>
      <c r="AC753" s="1">
        <f>D753</f>
        <v>90</v>
      </c>
      <c r="AD753" s="1">
        <f>E753</f>
        <v>4</v>
      </c>
      <c r="AE753" s="1">
        <f>F753</f>
        <v>0</v>
      </c>
      <c r="AF753" s="1">
        <f>G753</f>
        <v>0</v>
      </c>
      <c r="AG753" s="1">
        <f>I753</f>
        <v>0</v>
      </c>
      <c r="AH753" s="1">
        <f>J753</f>
        <v>0</v>
      </c>
      <c r="AI753" s="1">
        <f>Q753</f>
        <v>0</v>
      </c>
      <c r="AJ753" s="1">
        <f>K753</f>
        <v>0</v>
      </c>
      <c r="AK753" s="1">
        <f>L753</f>
        <v>0</v>
      </c>
      <c r="AL753" s="1">
        <f>M753</f>
        <v>1</v>
      </c>
      <c r="AM753" s="1">
        <f>N753</f>
        <v>0</v>
      </c>
      <c r="AN753" s="1">
        <f>O753</f>
        <v>0</v>
      </c>
    </row>
    <row r="754">
      <c r="A754" s="1">
        <v>1008</v>
      </c>
      <c r="B754" s="1">
        <v>62</v>
      </c>
      <c r="C754" s="1">
        <v>0.56</v>
      </c>
      <c r="D754" s="1">
        <v>87</v>
      </c>
      <c r="E754" s="1">
        <v>2</v>
      </c>
      <c r="F754" s="1">
        <v>1</v>
      </c>
      <c r="G754" s="1">
        <v>0</v>
      </c>
      <c r="H754" s="1">
        <v>0</v>
      </c>
      <c r="I754" s="1">
        <v>0</v>
      </c>
      <c r="J754" s="1">
        <v>0</v>
      </c>
      <c r="K754" s="1">
        <v>0</v>
      </c>
      <c r="L754" s="1">
        <v>0</v>
      </c>
      <c r="M754" s="1">
        <v>1</v>
      </c>
      <c r="N754" s="1">
        <v>0</v>
      </c>
      <c r="O754" s="1">
        <v>0</v>
      </c>
      <c r="P754" s="1">
        <f>LN(B754)</f>
        <v>4.12713438504509</v>
      </c>
      <c r="Q754" s="1">
        <f>1-SUM(F754:J754)</f>
        <v>0</v>
      </c>
      <c r="R754" s="1" t="str">
        <f>IF(F754=1,"Napa valley",IF(G754=1,"Bay area",IF(H754=1,"Sonoma",IF(I754=1,"Sierra/foothills",IF(J754=1,"Mendocino/lake","Generic California")))))</f>
        <v>Napa valley</v>
      </c>
      <c r="S754" s="1" t="str">
        <f>IF(F754=1,"Napa valley",IF(H754=1,"Sonoma","Other"))</f>
        <v>Napa valley</v>
      </c>
      <c r="T754" s="1" t="str">
        <f>IF(M754=1,"Cabernet",IF(N754=1,"Merlot",IF(L754=1,"Pinot noir","Other")))</f>
        <v>Cabernet</v>
      </c>
      <c r="U754" s="1">
        <f>IF(F754=1,B754,"")</f>
        <v>62</v>
      </c>
      <c r="V754" s="1" t="str">
        <f>IF(F754=0,B754,"")</f>
        <v/>
      </c>
      <c r="W754" s="1">
        <f>'Part B'!$B$150+SUMPRODUCT('Part B'!$B$164:$N$164,C754:O754)</f>
        <v>34.0306594561991</v>
      </c>
      <c r="X754" s="1">
        <f>B754-W754</f>
        <v>27.9693405438009</v>
      </c>
      <c r="Y754" s="1">
        <f>'Part B'!$B$179+SUMPRODUCT('Part B'!$B$193:$N$193,C754:O754)</f>
        <v>3.25980426056521</v>
      </c>
      <c r="Z754" s="1">
        <f>P754-Y754</f>
        <v>0.867330124479881</v>
      </c>
      <c r="AB754" s="1">
        <f>C754</f>
        <v>0.56</v>
      </c>
      <c r="AC754" s="1">
        <f>D754</f>
        <v>87</v>
      </c>
      <c r="AD754" s="1">
        <f>E754</f>
        <v>2</v>
      </c>
      <c r="AE754" s="1">
        <f>F754</f>
        <v>1</v>
      </c>
      <c r="AF754" s="1">
        <f>G754</f>
        <v>0</v>
      </c>
      <c r="AG754" s="1">
        <f>I754</f>
        <v>0</v>
      </c>
      <c r="AH754" s="1">
        <f>J754</f>
        <v>0</v>
      </c>
      <c r="AI754" s="1">
        <f>Q754</f>
        <v>0</v>
      </c>
      <c r="AJ754" s="1">
        <f>K754</f>
        <v>0</v>
      </c>
      <c r="AK754" s="1">
        <f>L754</f>
        <v>0</v>
      </c>
      <c r="AL754" s="1">
        <f>M754</f>
        <v>1</v>
      </c>
      <c r="AM754" s="1">
        <f>N754</f>
        <v>0</v>
      </c>
      <c r="AN754" s="1">
        <f>O754</f>
        <v>0</v>
      </c>
    </row>
    <row r="755">
      <c r="A755" s="1">
        <v>1009</v>
      </c>
      <c r="B755" s="1">
        <v>62</v>
      </c>
      <c r="C755" s="1">
        <v>1.1</v>
      </c>
      <c r="D755" s="1">
        <v>88</v>
      </c>
      <c r="E755" s="1">
        <v>2</v>
      </c>
      <c r="F755" s="1">
        <v>1</v>
      </c>
      <c r="G755" s="1">
        <v>0</v>
      </c>
      <c r="H755" s="1">
        <v>0</v>
      </c>
      <c r="I755" s="1">
        <v>0</v>
      </c>
      <c r="J755" s="1">
        <v>0</v>
      </c>
      <c r="K755" s="1">
        <v>0</v>
      </c>
      <c r="L755" s="1">
        <v>0</v>
      </c>
      <c r="M755" s="1">
        <v>1</v>
      </c>
      <c r="N755" s="1">
        <v>0</v>
      </c>
      <c r="O755" s="1">
        <v>0</v>
      </c>
      <c r="P755" s="1">
        <f>LN(B755)</f>
        <v>4.12713438504509</v>
      </c>
      <c r="Q755" s="1">
        <f>1-SUM(F755:J755)</f>
        <v>0</v>
      </c>
      <c r="R755" s="1" t="str">
        <f>IF(F755=1,"Napa valley",IF(G755=1,"Bay area",IF(H755=1,"Sonoma",IF(I755=1,"Sierra/foothills",IF(J755=1,"Mendocino/lake","Generic California")))))</f>
        <v>Napa valley</v>
      </c>
      <c r="S755" s="1" t="str">
        <f>IF(F755=1,"Napa valley",IF(H755=1,"Sonoma","Other"))</f>
        <v>Napa valley</v>
      </c>
      <c r="T755" s="1" t="str">
        <f>IF(M755=1,"Cabernet",IF(N755=1,"Merlot",IF(L755=1,"Pinot noir","Other")))</f>
        <v>Cabernet</v>
      </c>
      <c r="U755" s="1">
        <f>IF(F755=1,B755,"")</f>
        <v>62</v>
      </c>
      <c r="V755" s="1" t="str">
        <f>IF(F755=0,B755,"")</f>
        <v/>
      </c>
      <c r="W755" s="1">
        <f>'Part B'!$B$150+SUMPRODUCT('Part B'!$B$164:$N$164,C755:O755)</f>
        <v>37.1245031129595</v>
      </c>
      <c r="X755" s="1">
        <f>B755-W755</f>
        <v>24.8754968870405</v>
      </c>
      <c r="Y755" s="1">
        <f>'Part B'!$B$179+SUMPRODUCT('Part B'!$B$193:$N$193,C755:O755)</f>
        <v>3.32745493310429</v>
      </c>
      <c r="Z755" s="1">
        <f>P755-Y755</f>
        <v>0.7996794519408</v>
      </c>
      <c r="AB755" s="1">
        <f>C755</f>
        <v>1.1</v>
      </c>
      <c r="AC755" s="1">
        <f>D755</f>
        <v>88</v>
      </c>
      <c r="AD755" s="1">
        <f>E755</f>
        <v>2</v>
      </c>
      <c r="AE755" s="1">
        <f>F755</f>
        <v>1</v>
      </c>
      <c r="AF755" s="1">
        <f>G755</f>
        <v>0</v>
      </c>
      <c r="AG755" s="1">
        <f>I755</f>
        <v>0</v>
      </c>
      <c r="AH755" s="1">
        <f>J755</f>
        <v>0</v>
      </c>
      <c r="AI755" s="1">
        <f>Q755</f>
        <v>0</v>
      </c>
      <c r="AJ755" s="1">
        <f>K755</f>
        <v>0</v>
      </c>
      <c r="AK755" s="1">
        <f>L755</f>
        <v>0</v>
      </c>
      <c r="AL755" s="1">
        <f>M755</f>
        <v>1</v>
      </c>
      <c r="AM755" s="1">
        <f>N755</f>
        <v>0</v>
      </c>
      <c r="AN755" s="1">
        <f>O755</f>
        <v>0</v>
      </c>
    </row>
    <row r="756">
      <c r="A756" s="1">
        <v>1010</v>
      </c>
      <c r="B756" s="1">
        <v>65</v>
      </c>
      <c r="C756" s="1">
        <v>4</v>
      </c>
      <c r="D756" s="1">
        <v>88</v>
      </c>
      <c r="E756" s="1">
        <v>5</v>
      </c>
      <c r="F756" s="1">
        <v>0</v>
      </c>
      <c r="G756" s="1">
        <v>0</v>
      </c>
      <c r="H756" s="1">
        <v>1</v>
      </c>
      <c r="I756" s="1">
        <v>0</v>
      </c>
      <c r="J756" s="1">
        <v>0</v>
      </c>
      <c r="K756" s="1">
        <v>1</v>
      </c>
      <c r="L756" s="1">
        <v>0</v>
      </c>
      <c r="M756" s="1">
        <v>0</v>
      </c>
      <c r="N756" s="1">
        <v>0</v>
      </c>
      <c r="O756" s="1">
        <v>0</v>
      </c>
      <c r="P756" s="1">
        <f>LN(B756)</f>
        <v>4.17438726989564</v>
      </c>
      <c r="Q756" s="1">
        <f>1-SUM(F756:J756)</f>
        <v>0</v>
      </c>
      <c r="R756" s="1" t="str">
        <f>IF(F756=1,"Napa valley",IF(G756=1,"Bay area",IF(H756=1,"Sonoma",IF(I756=1,"Sierra/foothills",IF(J756=1,"Mendocino/lake","Generic California")))))</f>
        <v>Sonoma</v>
      </c>
      <c r="S756" s="1" t="str">
        <f>IF(F756=1,"Napa valley",IF(H756=1,"Sonoma","Other"))</f>
        <v>Sonoma</v>
      </c>
      <c r="T756" s="1" t="str">
        <f>IF(M756=1,"Cabernet",IF(N756=1,"Merlot",IF(L756=1,"Pinot noir","Other")))</f>
        <v>Other</v>
      </c>
      <c r="U756" s="1" t="str">
        <f>IF(F756=1,B756,"")</f>
        <v/>
      </c>
      <c r="V756" s="1">
        <f>IF(F756=0,B756,"")</f>
        <v>65</v>
      </c>
      <c r="W756" s="1">
        <f>'Part B'!$B$150+SUMPRODUCT('Part B'!$B$164:$N$164,C756:O756)</f>
        <v>56.4721594015193</v>
      </c>
      <c r="X756" s="1">
        <f>B756-W756</f>
        <v>8.52784059848068</v>
      </c>
      <c r="Y756" s="1">
        <f>'Part B'!$B$179+SUMPRODUCT('Part B'!$B$193:$N$193,C756:O756)</f>
        <v>3.87410572444201</v>
      </c>
      <c r="Z756" s="1">
        <f>P756-Y756</f>
        <v>0.300281545453625</v>
      </c>
      <c r="AB756" s="1">
        <f>C756</f>
        <v>4</v>
      </c>
      <c r="AC756" s="1">
        <f>D756</f>
        <v>88</v>
      </c>
      <c r="AD756" s="1">
        <f>E756</f>
        <v>5</v>
      </c>
      <c r="AE756" s="1">
        <f>F756</f>
        <v>0</v>
      </c>
      <c r="AF756" s="1">
        <f>G756</f>
        <v>0</v>
      </c>
      <c r="AG756" s="1">
        <f>I756</f>
        <v>0</v>
      </c>
      <c r="AH756" s="1">
        <f>J756</f>
        <v>0</v>
      </c>
      <c r="AI756" s="1">
        <f>Q756</f>
        <v>0</v>
      </c>
      <c r="AJ756" s="1">
        <f>K756</f>
        <v>1</v>
      </c>
      <c r="AK756" s="1">
        <f>L756</f>
        <v>0</v>
      </c>
      <c r="AL756" s="1">
        <f>M756</f>
        <v>0</v>
      </c>
      <c r="AM756" s="1">
        <f>N756</f>
        <v>0</v>
      </c>
      <c r="AN756" s="1">
        <f>O756</f>
        <v>0</v>
      </c>
    </row>
    <row r="757">
      <c r="A757" s="1">
        <v>1011</v>
      </c>
      <c r="B757" s="1">
        <v>65</v>
      </c>
      <c r="C757" s="1">
        <v>1.85</v>
      </c>
      <c r="D757" s="1">
        <v>93</v>
      </c>
      <c r="E757" s="1">
        <v>4</v>
      </c>
      <c r="F757" s="1">
        <v>1</v>
      </c>
      <c r="G757" s="1">
        <v>0</v>
      </c>
      <c r="H757" s="1">
        <v>0</v>
      </c>
      <c r="I757" s="1">
        <v>0</v>
      </c>
      <c r="J757" s="1">
        <v>0</v>
      </c>
      <c r="K757" s="1">
        <v>0</v>
      </c>
      <c r="L757" s="1">
        <v>0</v>
      </c>
      <c r="M757" s="1">
        <v>1</v>
      </c>
      <c r="N757" s="1">
        <v>0</v>
      </c>
      <c r="O757" s="1">
        <v>0</v>
      </c>
      <c r="P757" s="1">
        <f>LN(B757)</f>
        <v>4.17438726989564</v>
      </c>
      <c r="Q757" s="1">
        <f>1-SUM(F757:J757)</f>
        <v>0</v>
      </c>
      <c r="R757" s="1" t="str">
        <f>IF(F757=1,"Napa valley",IF(G757=1,"Bay area",IF(H757=1,"Sonoma",IF(I757=1,"Sierra/foothills",IF(J757=1,"Mendocino/lake","Generic California")))))</f>
        <v>Napa valley</v>
      </c>
      <c r="S757" s="1" t="str">
        <f>IF(F757=1,"Napa valley",IF(H757=1,"Sonoma","Other"))</f>
        <v>Napa valley</v>
      </c>
      <c r="T757" s="1" t="str">
        <f>IF(M757=1,"Cabernet",IF(N757=1,"Merlot",IF(L757=1,"Pinot noir","Other")))</f>
        <v>Cabernet</v>
      </c>
      <c r="U757" s="1">
        <f>IF(F757=1,B757,"")</f>
        <v>65</v>
      </c>
      <c r="V757" s="1" t="str">
        <f>IF(F757=0,B757,"")</f>
        <v/>
      </c>
      <c r="W757" s="1">
        <f>'Part B'!$B$150+SUMPRODUCT('Part B'!$B$164:$N$164,C757:O757)</f>
        <v>66.0180127642964</v>
      </c>
      <c r="X757" s="1">
        <f>B757-W757</f>
        <v>-1.01801276429637</v>
      </c>
      <c r="Y757" s="1">
        <f>'Part B'!$B$179+SUMPRODUCT('Part B'!$B$193:$N$193,C757:O757)</f>
        <v>4.04022304161583</v>
      </c>
      <c r="Z757" s="1">
        <f>P757-Y757</f>
        <v>0.134164228279805</v>
      </c>
      <c r="AB757" s="1">
        <f>C757</f>
        <v>1.85</v>
      </c>
      <c r="AC757" s="1">
        <f>D757</f>
        <v>93</v>
      </c>
      <c r="AD757" s="1">
        <f>E757</f>
        <v>4</v>
      </c>
      <c r="AE757" s="1">
        <f>F757</f>
        <v>1</v>
      </c>
      <c r="AF757" s="1">
        <f>G757</f>
        <v>0</v>
      </c>
      <c r="AG757" s="1">
        <f>I757</f>
        <v>0</v>
      </c>
      <c r="AH757" s="1">
        <f>J757</f>
        <v>0</v>
      </c>
      <c r="AI757" s="1">
        <f>Q757</f>
        <v>0</v>
      </c>
      <c r="AJ757" s="1">
        <f>K757</f>
        <v>0</v>
      </c>
      <c r="AK757" s="1">
        <f>L757</f>
        <v>0</v>
      </c>
      <c r="AL757" s="1">
        <f>M757</f>
        <v>1</v>
      </c>
      <c r="AM757" s="1">
        <f>N757</f>
        <v>0</v>
      </c>
      <c r="AN757" s="1">
        <f>O757</f>
        <v>0</v>
      </c>
    </row>
    <row r="758">
      <c r="A758" s="1">
        <v>1013</v>
      </c>
      <c r="B758" s="1">
        <v>65</v>
      </c>
      <c r="C758" s="1">
        <v>3.2</v>
      </c>
      <c r="D758" s="1">
        <v>88</v>
      </c>
      <c r="E758" s="1">
        <v>4</v>
      </c>
      <c r="F758" s="1">
        <v>0</v>
      </c>
      <c r="G758" s="1">
        <v>0</v>
      </c>
      <c r="H758" s="1">
        <v>1</v>
      </c>
      <c r="I758" s="1">
        <v>0</v>
      </c>
      <c r="J758" s="1">
        <v>0</v>
      </c>
      <c r="K758" s="1">
        <v>0</v>
      </c>
      <c r="L758" s="1">
        <v>0</v>
      </c>
      <c r="M758" s="1">
        <v>1</v>
      </c>
      <c r="N758" s="1">
        <v>0</v>
      </c>
      <c r="O758" s="1">
        <v>0</v>
      </c>
      <c r="P758" s="1">
        <f>LN(B758)</f>
        <v>4.17438726989564</v>
      </c>
      <c r="Q758" s="1">
        <f>1-SUM(F758:J758)</f>
        <v>0</v>
      </c>
      <c r="R758" s="1" t="str">
        <f>IF(F758=1,"Napa valley",IF(G758=1,"Bay area",IF(H758=1,"Sonoma",IF(I758=1,"Sierra/foothills",IF(J758=1,"Mendocino/lake","Generic California")))))</f>
        <v>Sonoma</v>
      </c>
      <c r="S758" s="1" t="str">
        <f>IF(F758=1,"Napa valley",IF(H758=1,"Sonoma","Other"))</f>
        <v>Sonoma</v>
      </c>
      <c r="T758" s="1" t="str">
        <f>IF(M758=1,"Cabernet",IF(N758=1,"Merlot",IF(L758=1,"Pinot noir","Other")))</f>
        <v>Cabernet</v>
      </c>
      <c r="U758" s="1" t="str">
        <f>IF(F758=1,B758,"")</f>
        <v/>
      </c>
      <c r="V758" s="1">
        <f>IF(F758=0,B758,"")</f>
        <v>65</v>
      </c>
      <c r="W758" s="1">
        <f>'Part B'!$B$150+SUMPRODUCT('Part B'!$B$164:$N$164,C758:O758)</f>
        <v>42.2679458936953</v>
      </c>
      <c r="X758" s="1">
        <f>B758-W758</f>
        <v>22.7320541063047</v>
      </c>
      <c r="Y758" s="1">
        <f>'Part B'!$B$179+SUMPRODUCT('Part B'!$B$193:$N$193,C758:O758)</f>
        <v>3.53685189208266</v>
      </c>
      <c r="Z758" s="1">
        <f>P758-Y758</f>
        <v>0.637535377812973</v>
      </c>
      <c r="AB758" s="1">
        <f>C758</f>
        <v>3.2</v>
      </c>
      <c r="AC758" s="1">
        <f>D758</f>
        <v>88</v>
      </c>
      <c r="AD758" s="1">
        <f>E758</f>
        <v>4</v>
      </c>
      <c r="AE758" s="1">
        <f>F758</f>
        <v>0</v>
      </c>
      <c r="AF758" s="1">
        <f>G758</f>
        <v>0</v>
      </c>
      <c r="AG758" s="1">
        <f>I758</f>
        <v>0</v>
      </c>
      <c r="AH758" s="1">
        <f>J758</f>
        <v>0</v>
      </c>
      <c r="AI758" s="1">
        <f>Q758</f>
        <v>0</v>
      </c>
      <c r="AJ758" s="1">
        <f>K758</f>
        <v>0</v>
      </c>
      <c r="AK758" s="1">
        <f>L758</f>
        <v>0</v>
      </c>
      <c r="AL758" s="1">
        <f>M758</f>
        <v>1</v>
      </c>
      <c r="AM758" s="1">
        <f>N758</f>
        <v>0</v>
      </c>
      <c r="AN758" s="1">
        <f>O758</f>
        <v>0</v>
      </c>
    </row>
    <row r="759">
      <c r="A759" s="1">
        <v>1014</v>
      </c>
      <c r="B759" s="1">
        <v>65</v>
      </c>
      <c r="C759" s="1">
        <v>0.7</v>
      </c>
      <c r="D759" s="1">
        <v>89</v>
      </c>
      <c r="E759" s="1">
        <v>3</v>
      </c>
      <c r="F759" s="1">
        <v>1</v>
      </c>
      <c r="G759" s="1">
        <v>0</v>
      </c>
      <c r="H759" s="1">
        <v>0</v>
      </c>
      <c r="I759" s="1">
        <v>0</v>
      </c>
      <c r="J759" s="1">
        <v>0</v>
      </c>
      <c r="K759" s="1">
        <v>0</v>
      </c>
      <c r="L759" s="1">
        <v>0</v>
      </c>
      <c r="M759" s="1">
        <v>1</v>
      </c>
      <c r="N759" s="1">
        <v>0</v>
      </c>
      <c r="O759" s="1">
        <v>0</v>
      </c>
      <c r="P759" s="1">
        <f>LN(B759)</f>
        <v>4.17438726989564</v>
      </c>
      <c r="Q759" s="1">
        <f>1-SUM(F759:J759)</f>
        <v>0</v>
      </c>
      <c r="R759" s="1" t="str">
        <f>IF(F759=1,"Napa valley",IF(G759=1,"Bay area",IF(H759=1,"Sonoma",IF(I759=1,"Sierra/foothills",IF(J759=1,"Mendocino/lake","Generic California")))))</f>
        <v>Napa valley</v>
      </c>
      <c r="S759" s="1" t="str">
        <f>IF(F759=1,"Napa valley",IF(H759=1,"Sonoma","Other"))</f>
        <v>Napa valley</v>
      </c>
      <c r="T759" s="1" t="str">
        <f>IF(M759=1,"Cabernet",IF(N759=1,"Merlot",IF(L759=1,"Pinot noir","Other")))</f>
        <v>Cabernet</v>
      </c>
      <c r="U759" s="1">
        <f>IF(F759=1,B759,"")</f>
        <v>65</v>
      </c>
      <c r="V759" s="1" t="str">
        <f>IF(F759=0,B759,"")</f>
        <v/>
      </c>
      <c r="W759" s="1">
        <f>'Part B'!$B$150+SUMPRODUCT('Part B'!$B$164:$N$164,C759:O759)</f>
        <v>46.9271704715503</v>
      </c>
      <c r="X759" s="1">
        <f>B759-W759</f>
        <v>18.0728295284497</v>
      </c>
      <c r="Y759" s="1">
        <f>'Part B'!$B$179+SUMPRODUCT('Part B'!$B$193:$N$193,C759:O759)</f>
        <v>3.58221321120136</v>
      </c>
      <c r="Z759" s="1">
        <f>P759-Y759</f>
        <v>0.592174058694274</v>
      </c>
      <c r="AB759" s="1">
        <f>C759</f>
        <v>0.7</v>
      </c>
      <c r="AC759" s="1">
        <f>D759</f>
        <v>89</v>
      </c>
      <c r="AD759" s="1">
        <f>E759</f>
        <v>3</v>
      </c>
      <c r="AE759" s="1">
        <f>F759</f>
        <v>1</v>
      </c>
      <c r="AF759" s="1">
        <f>G759</f>
        <v>0</v>
      </c>
      <c r="AG759" s="1">
        <f>I759</f>
        <v>0</v>
      </c>
      <c r="AH759" s="1">
        <f>J759</f>
        <v>0</v>
      </c>
      <c r="AI759" s="1">
        <f>Q759</f>
        <v>0</v>
      </c>
      <c r="AJ759" s="1">
        <f>K759</f>
        <v>0</v>
      </c>
      <c r="AK759" s="1">
        <f>L759</f>
        <v>0</v>
      </c>
      <c r="AL759" s="1">
        <f>M759</f>
        <v>1</v>
      </c>
      <c r="AM759" s="1">
        <f>N759</f>
        <v>0</v>
      </c>
      <c r="AN759" s="1">
        <f>O759</f>
        <v>0</v>
      </c>
    </row>
    <row r="760">
      <c r="A760" s="1">
        <v>1015</v>
      </c>
      <c r="B760" s="1">
        <v>65</v>
      </c>
      <c r="C760" s="1">
        <v>0.375</v>
      </c>
      <c r="D760" s="1">
        <v>89</v>
      </c>
      <c r="E760" s="1">
        <v>3</v>
      </c>
      <c r="F760" s="1">
        <v>0</v>
      </c>
      <c r="G760" s="1">
        <v>0</v>
      </c>
      <c r="H760" s="1">
        <v>1</v>
      </c>
      <c r="I760" s="1">
        <v>0</v>
      </c>
      <c r="J760" s="1">
        <v>0</v>
      </c>
      <c r="K760" s="1">
        <v>0</v>
      </c>
      <c r="L760" s="1">
        <v>0</v>
      </c>
      <c r="M760" s="1">
        <v>1</v>
      </c>
      <c r="N760" s="1">
        <v>0</v>
      </c>
      <c r="O760" s="1">
        <v>0</v>
      </c>
      <c r="P760" s="1">
        <f>LN(B760)</f>
        <v>4.17438726989564</v>
      </c>
      <c r="Q760" s="1">
        <f>1-SUM(F760:J760)</f>
        <v>0</v>
      </c>
      <c r="R760" s="1" t="str">
        <f>IF(F760=1,"Napa valley",IF(G760=1,"Bay area",IF(H760=1,"Sonoma",IF(I760=1,"Sierra/foothills",IF(J760=1,"Mendocino/lake","Generic California")))))</f>
        <v>Sonoma</v>
      </c>
      <c r="S760" s="1" t="str">
        <f>IF(F760=1,"Napa valley",IF(H760=1,"Sonoma","Other"))</f>
        <v>Sonoma</v>
      </c>
      <c r="T760" s="1" t="str">
        <f>IF(M760=1,"Cabernet",IF(N760=1,"Merlot",IF(L760=1,"Pinot noir","Other")))</f>
        <v>Cabernet</v>
      </c>
      <c r="U760" s="1" t="str">
        <f>IF(F760=1,B760,"")</f>
        <v/>
      </c>
      <c r="V760" s="1">
        <f>IF(F760=0,B760,"")</f>
        <v>65</v>
      </c>
      <c r="W760" s="1">
        <f>'Part B'!$B$150+SUMPRODUCT('Part B'!$B$164:$N$164,C760:O760)</f>
        <v>39.0615696268828</v>
      </c>
      <c r="X760" s="1">
        <f>B760-W760</f>
        <v>25.9384303731172</v>
      </c>
      <c r="Y760" s="1">
        <f>'Part B'!$B$179+SUMPRODUCT('Part B'!$B$193:$N$193,C760:O760)</f>
        <v>3.43581634312334</v>
      </c>
      <c r="Z760" s="1">
        <f>P760-Y760</f>
        <v>0.738570926772293</v>
      </c>
      <c r="AB760" s="1">
        <f>C760</f>
        <v>0.375</v>
      </c>
      <c r="AC760" s="1">
        <f>D760</f>
        <v>89</v>
      </c>
      <c r="AD760" s="1">
        <f>E760</f>
        <v>3</v>
      </c>
      <c r="AE760" s="1">
        <f>F760</f>
        <v>0</v>
      </c>
      <c r="AF760" s="1">
        <f>G760</f>
        <v>0</v>
      </c>
      <c r="AG760" s="1">
        <f>I760</f>
        <v>0</v>
      </c>
      <c r="AH760" s="1">
        <f>J760</f>
        <v>0</v>
      </c>
      <c r="AI760" s="1">
        <f>Q760</f>
        <v>0</v>
      </c>
      <c r="AJ760" s="1">
        <f>K760</f>
        <v>0</v>
      </c>
      <c r="AK760" s="1">
        <f>L760</f>
        <v>0</v>
      </c>
      <c r="AL760" s="1">
        <f>M760</f>
        <v>1</v>
      </c>
      <c r="AM760" s="1">
        <f>N760</f>
        <v>0</v>
      </c>
      <c r="AN760" s="1">
        <f>O760</f>
        <v>0</v>
      </c>
    </row>
    <row r="761">
      <c r="A761" s="1">
        <v>1016</v>
      </c>
      <c r="B761" s="1">
        <v>65</v>
      </c>
      <c r="C761" s="1">
        <v>0.8</v>
      </c>
      <c r="D761" s="1">
        <v>90</v>
      </c>
      <c r="E761" s="1">
        <v>3</v>
      </c>
      <c r="F761" s="1">
        <v>1</v>
      </c>
      <c r="G761" s="1">
        <v>0</v>
      </c>
      <c r="H761" s="1">
        <v>0</v>
      </c>
      <c r="I761" s="1">
        <v>0</v>
      </c>
      <c r="J761" s="1">
        <v>0</v>
      </c>
      <c r="K761" s="1">
        <v>0</v>
      </c>
      <c r="L761" s="1">
        <v>0</v>
      </c>
      <c r="M761" s="1">
        <v>1</v>
      </c>
      <c r="N761" s="1">
        <v>0</v>
      </c>
      <c r="O761" s="1">
        <v>0</v>
      </c>
      <c r="P761" s="1">
        <f>LN(B761)</f>
        <v>4.17438726989564</v>
      </c>
      <c r="Q761" s="1">
        <f>1-SUM(F761:J761)</f>
        <v>0</v>
      </c>
      <c r="R761" s="1" t="str">
        <f>IF(F761=1,"Napa valley",IF(G761=1,"Bay area",IF(H761=1,"Sonoma",IF(I761=1,"Sierra/foothills",IF(J761=1,"Mendocino/lake","Generic California")))))</f>
        <v>Napa valley</v>
      </c>
      <c r="S761" s="1" t="str">
        <f>IF(F761=1,"Napa valley",IF(H761=1,"Sonoma","Other"))</f>
        <v>Napa valley</v>
      </c>
      <c r="T761" s="1" t="str">
        <f>IF(M761=1,"Cabernet",IF(N761=1,"Merlot",IF(L761=1,"Pinot noir","Other")))</f>
        <v>Cabernet</v>
      </c>
      <c r="U761" s="1">
        <f>IF(F761=1,B761,"")</f>
        <v>65</v>
      </c>
      <c r="V761" s="1" t="str">
        <f>IF(F761=0,B761,"")</f>
        <v/>
      </c>
      <c r="W761" s="1">
        <f>'Part B'!$B$150+SUMPRODUCT('Part B'!$B$164:$N$164,C761:O761)</f>
        <v>50.0627761869479</v>
      </c>
      <c r="X761" s="1">
        <f>B761-W761</f>
        <v>14.9372238130521</v>
      </c>
      <c r="Y761" s="1">
        <f>'Part B'!$B$179+SUMPRODUCT('Part B'!$B$193:$N$193,C761:O761)</f>
        <v>3.65174667328428</v>
      </c>
      <c r="Z761" s="1">
        <f>P761-Y761</f>
        <v>0.522640596611357</v>
      </c>
      <c r="AB761" s="1">
        <f>C761</f>
        <v>0.8</v>
      </c>
      <c r="AC761" s="1">
        <f>D761</f>
        <v>90</v>
      </c>
      <c r="AD761" s="1">
        <f>E761</f>
        <v>3</v>
      </c>
      <c r="AE761" s="1">
        <f>F761</f>
        <v>1</v>
      </c>
      <c r="AF761" s="1">
        <f>G761</f>
        <v>0</v>
      </c>
      <c r="AG761" s="1">
        <f>I761</f>
        <v>0</v>
      </c>
      <c r="AH761" s="1">
        <f>J761</f>
        <v>0</v>
      </c>
      <c r="AI761" s="1">
        <f>Q761</f>
        <v>0</v>
      </c>
      <c r="AJ761" s="1">
        <f>K761</f>
        <v>0</v>
      </c>
      <c r="AK761" s="1">
        <f>L761</f>
        <v>0</v>
      </c>
      <c r="AL761" s="1">
        <f>M761</f>
        <v>1</v>
      </c>
      <c r="AM761" s="1">
        <f>N761</f>
        <v>0</v>
      </c>
      <c r="AN761" s="1">
        <f>O761</f>
        <v>0</v>
      </c>
    </row>
    <row r="762">
      <c r="A762" s="1">
        <v>1017</v>
      </c>
      <c r="B762" s="1">
        <v>65</v>
      </c>
      <c r="C762" s="1">
        <v>0.3</v>
      </c>
      <c r="D762" s="1">
        <v>89</v>
      </c>
      <c r="E762" s="1">
        <v>3</v>
      </c>
      <c r="F762" s="1">
        <v>1</v>
      </c>
      <c r="G762" s="1">
        <v>0</v>
      </c>
      <c r="H762" s="1">
        <v>0</v>
      </c>
      <c r="I762" s="1">
        <v>0</v>
      </c>
      <c r="J762" s="1">
        <v>0</v>
      </c>
      <c r="K762" s="1">
        <v>1</v>
      </c>
      <c r="L762" s="1">
        <v>0</v>
      </c>
      <c r="M762" s="1">
        <v>0</v>
      </c>
      <c r="N762" s="1">
        <v>0</v>
      </c>
      <c r="O762" s="1">
        <v>0</v>
      </c>
      <c r="P762" s="1">
        <f>LN(B762)</f>
        <v>4.17438726989564</v>
      </c>
      <c r="Q762" s="1">
        <f>1-SUM(F762:J762)</f>
        <v>0</v>
      </c>
      <c r="R762" s="1" t="str">
        <f>IF(F762=1,"Napa valley",IF(G762=1,"Bay area",IF(H762=1,"Sonoma",IF(I762=1,"Sierra/foothills",IF(J762=1,"Mendocino/lake","Generic California")))))</f>
        <v>Napa valley</v>
      </c>
      <c r="S762" s="1" t="str">
        <f>IF(F762=1,"Napa valley",IF(H762=1,"Sonoma","Other"))</f>
        <v>Napa valley</v>
      </c>
      <c r="T762" s="1" t="str">
        <f>IF(M762=1,"Cabernet",IF(N762=1,"Merlot",IF(L762=1,"Pinot noir","Other")))</f>
        <v>Other</v>
      </c>
      <c r="U762" s="1">
        <f>IF(F762=1,B762,"")</f>
        <v>65</v>
      </c>
      <c r="V762" s="1" t="str">
        <f>IF(F762=0,B762,"")</f>
        <v/>
      </c>
      <c r="W762" s="1">
        <f>'Part B'!$B$150+SUMPRODUCT('Part B'!$B$164:$N$164,C762:O762)</f>
        <v>54.6256757445523</v>
      </c>
      <c r="X762" s="1">
        <f>B762-W762</f>
        <v>10.3743242554477</v>
      </c>
      <c r="Y762" s="1">
        <f>'Part B'!$B$179+SUMPRODUCT('Part B'!$B$193:$N$193,C762:O762)</f>
        <v>3.7415166416932</v>
      </c>
      <c r="Z762" s="1">
        <f>P762-Y762</f>
        <v>0.432870628202436</v>
      </c>
      <c r="AB762" s="1">
        <f>C762</f>
        <v>0.3</v>
      </c>
      <c r="AC762" s="1">
        <f>D762</f>
        <v>89</v>
      </c>
      <c r="AD762" s="1">
        <f>E762</f>
        <v>3</v>
      </c>
      <c r="AE762" s="1">
        <f>F762</f>
        <v>1</v>
      </c>
      <c r="AF762" s="1">
        <f>G762</f>
        <v>0</v>
      </c>
      <c r="AG762" s="1">
        <f>I762</f>
        <v>0</v>
      </c>
      <c r="AH762" s="1">
        <f>J762</f>
        <v>0</v>
      </c>
      <c r="AI762" s="1">
        <f>Q762</f>
        <v>0</v>
      </c>
      <c r="AJ762" s="1">
        <f>K762</f>
        <v>1</v>
      </c>
      <c r="AK762" s="1">
        <f>L762</f>
        <v>0</v>
      </c>
      <c r="AL762" s="1">
        <f>M762</f>
        <v>0</v>
      </c>
      <c r="AM762" s="1">
        <f>N762</f>
        <v>0</v>
      </c>
      <c r="AN762" s="1">
        <f>O762</f>
        <v>0</v>
      </c>
    </row>
    <row r="763">
      <c r="A763" s="1">
        <v>1018</v>
      </c>
      <c r="B763" s="1">
        <v>65</v>
      </c>
      <c r="C763" s="1">
        <v>2.15</v>
      </c>
      <c r="D763" s="1">
        <v>91</v>
      </c>
      <c r="E763" s="1">
        <v>3</v>
      </c>
      <c r="F763" s="1">
        <v>1</v>
      </c>
      <c r="G763" s="1">
        <v>0</v>
      </c>
      <c r="H763" s="1">
        <v>0</v>
      </c>
      <c r="I763" s="1">
        <v>0</v>
      </c>
      <c r="J763" s="1">
        <v>0</v>
      </c>
      <c r="K763" s="1">
        <v>1</v>
      </c>
      <c r="L763" s="1">
        <v>0</v>
      </c>
      <c r="M763" s="1">
        <v>0</v>
      </c>
      <c r="N763" s="1">
        <v>0</v>
      </c>
      <c r="O763" s="1">
        <v>0</v>
      </c>
      <c r="P763" s="1">
        <f>LN(B763)</f>
        <v>4.17438726989564</v>
      </c>
      <c r="Q763" s="1">
        <f>1-SUM(F763:J763)</f>
        <v>0</v>
      </c>
      <c r="R763" s="1" t="str">
        <f>IF(F763=1,"Napa valley",IF(G763=1,"Bay area",IF(H763=1,"Sonoma",IF(I763=1,"Sierra/foothills",IF(J763=1,"Mendocino/lake","Generic California")))))</f>
        <v>Napa valley</v>
      </c>
      <c r="S763" s="1" t="str">
        <f>IF(F763=1,"Napa valley",IF(H763=1,"Sonoma","Other"))</f>
        <v>Napa valley</v>
      </c>
      <c r="T763" s="1" t="str">
        <f>IF(M763=1,"Cabernet",IF(N763=1,"Merlot",IF(L763=1,"Pinot noir","Other")))</f>
        <v>Other</v>
      </c>
      <c r="U763" s="1">
        <f>IF(F763=1,B763,"")</f>
        <v>65</v>
      </c>
      <c r="V763" s="1" t="str">
        <f>IF(F763=0,B763,"")</f>
        <v/>
      </c>
      <c r="W763" s="1">
        <f>'Part B'!$B$150+SUMPRODUCT('Part B'!$B$164:$N$164,C763:O763)</f>
        <v>60.7402794554581</v>
      </c>
      <c r="X763" s="1">
        <f>B763-W763</f>
        <v>4.25972054454195</v>
      </c>
      <c r="Y763" s="1">
        <f>'Part B'!$B$179+SUMPRODUCT('Part B'!$B$193:$N$193,C763:O763)</f>
        <v>3.87352310506965</v>
      </c>
      <c r="Z763" s="1">
        <f>P763-Y763</f>
        <v>0.300864164825987</v>
      </c>
      <c r="AB763" s="1">
        <f>C763</f>
        <v>2.15</v>
      </c>
      <c r="AC763" s="1">
        <f>D763</f>
        <v>91</v>
      </c>
      <c r="AD763" s="1">
        <f>E763</f>
        <v>3</v>
      </c>
      <c r="AE763" s="1">
        <f>F763</f>
        <v>1</v>
      </c>
      <c r="AF763" s="1">
        <f>G763</f>
        <v>0</v>
      </c>
      <c r="AG763" s="1">
        <f>I763</f>
        <v>0</v>
      </c>
      <c r="AH763" s="1">
        <f>J763</f>
        <v>0</v>
      </c>
      <c r="AI763" s="1">
        <f>Q763</f>
        <v>0</v>
      </c>
      <c r="AJ763" s="1">
        <f>K763</f>
        <v>1</v>
      </c>
      <c r="AK763" s="1">
        <f>L763</f>
        <v>0</v>
      </c>
      <c r="AL763" s="1">
        <f>M763</f>
        <v>0</v>
      </c>
      <c r="AM763" s="1">
        <f>N763</f>
        <v>0</v>
      </c>
      <c r="AN763" s="1">
        <f>O763</f>
        <v>0</v>
      </c>
    </row>
    <row r="764">
      <c r="A764" s="1">
        <v>1019</v>
      </c>
      <c r="B764" s="1">
        <v>65</v>
      </c>
      <c r="C764" s="1">
        <v>0.7</v>
      </c>
      <c r="D764" s="1">
        <v>95</v>
      </c>
      <c r="E764" s="1">
        <v>3</v>
      </c>
      <c r="F764" s="1">
        <v>1</v>
      </c>
      <c r="G764" s="1">
        <v>0</v>
      </c>
      <c r="H764" s="1">
        <v>0</v>
      </c>
      <c r="I764" s="1">
        <v>0</v>
      </c>
      <c r="J764" s="1">
        <v>0</v>
      </c>
      <c r="K764" s="1">
        <v>0</v>
      </c>
      <c r="L764" s="1">
        <v>0</v>
      </c>
      <c r="M764" s="1">
        <v>1</v>
      </c>
      <c r="N764" s="1">
        <v>0</v>
      </c>
      <c r="O764" s="1">
        <v>0</v>
      </c>
      <c r="P764" s="1">
        <f>LN(B764)</f>
        <v>4.17438726989564</v>
      </c>
      <c r="Q764" s="1">
        <f>1-SUM(F764:J764)</f>
        <v>0</v>
      </c>
      <c r="R764" s="1" t="str">
        <f>IF(F764=1,"Napa valley",IF(G764=1,"Bay area",IF(H764=1,"Sonoma",IF(I764=1,"Sierra/foothills",IF(J764=1,"Mendocino/lake","Generic California")))))</f>
        <v>Napa valley</v>
      </c>
      <c r="S764" s="1" t="str">
        <f>IF(F764=1,"Napa valley",IF(H764=1,"Sonoma","Other"))</f>
        <v>Napa valley</v>
      </c>
      <c r="T764" s="1" t="str">
        <f>IF(M764=1,"Cabernet",IF(N764=1,"Merlot",IF(L764=1,"Pinot noir","Other")))</f>
        <v>Cabernet</v>
      </c>
      <c r="U764" s="1">
        <f>IF(F764=1,B764,"")</f>
        <v>65</v>
      </c>
      <c r="V764" s="1" t="str">
        <f>IF(F764=0,B764,"")</f>
        <v/>
      </c>
      <c r="W764" s="1">
        <f>'Part B'!$B$150+SUMPRODUCT('Part B'!$B$164:$N$164,C764:O764)</f>
        <v>65.7977530257142</v>
      </c>
      <c r="X764" s="1">
        <f>B764-W764</f>
        <v>-0.797753025714201</v>
      </c>
      <c r="Y764" s="1">
        <f>'Part B'!$B$179+SUMPRODUCT('Part B'!$B$193:$N$193,C764:O764)</f>
        <v>4.00198142398592</v>
      </c>
      <c r="Z764" s="1">
        <f>P764-Y764</f>
        <v>0.172405845909715</v>
      </c>
      <c r="AB764" s="1">
        <f>C764</f>
        <v>0.7</v>
      </c>
      <c r="AC764" s="1">
        <f>D764</f>
        <v>95</v>
      </c>
      <c r="AD764" s="1">
        <f>E764</f>
        <v>3</v>
      </c>
      <c r="AE764" s="1">
        <f>F764</f>
        <v>1</v>
      </c>
      <c r="AF764" s="1">
        <f>G764</f>
        <v>0</v>
      </c>
      <c r="AG764" s="1">
        <f>I764</f>
        <v>0</v>
      </c>
      <c r="AH764" s="1">
        <f>J764</f>
        <v>0</v>
      </c>
      <c r="AI764" s="1">
        <f>Q764</f>
        <v>0</v>
      </c>
      <c r="AJ764" s="1">
        <f>K764</f>
        <v>0</v>
      </c>
      <c r="AK764" s="1">
        <f>L764</f>
        <v>0</v>
      </c>
      <c r="AL764" s="1">
        <f>M764</f>
        <v>1</v>
      </c>
      <c r="AM764" s="1">
        <f>N764</f>
        <v>0</v>
      </c>
      <c r="AN764" s="1">
        <f>O764</f>
        <v>0</v>
      </c>
    </row>
    <row r="765">
      <c r="A765" s="1">
        <v>1020</v>
      </c>
      <c r="B765" s="1">
        <v>65</v>
      </c>
      <c r="C765" s="1">
        <v>3.5</v>
      </c>
      <c r="D765" s="1">
        <v>91</v>
      </c>
      <c r="E765" s="1">
        <v>3</v>
      </c>
      <c r="F765" s="1">
        <v>0</v>
      </c>
      <c r="G765" s="1">
        <v>0</v>
      </c>
      <c r="H765" s="1">
        <v>1</v>
      </c>
      <c r="I765" s="1">
        <v>0</v>
      </c>
      <c r="J765" s="1">
        <v>0</v>
      </c>
      <c r="K765" s="1">
        <v>1</v>
      </c>
      <c r="L765" s="1">
        <v>0</v>
      </c>
      <c r="M765" s="1">
        <v>0</v>
      </c>
      <c r="N765" s="1">
        <v>0</v>
      </c>
      <c r="O765" s="1">
        <v>0</v>
      </c>
      <c r="P765" s="1">
        <f>LN(B765)</f>
        <v>4.17438726989564</v>
      </c>
      <c r="Q765" s="1">
        <f>1-SUM(F765:J765)</f>
        <v>0</v>
      </c>
      <c r="R765" s="1" t="str">
        <f>IF(F765=1,"Napa valley",IF(G765=1,"Bay area",IF(H765=1,"Sonoma",IF(I765=1,"Sierra/foothills",IF(J765=1,"Mendocino/lake","Generic California")))))</f>
        <v>Sonoma</v>
      </c>
      <c r="S765" s="1" t="str">
        <f>IF(F765=1,"Napa valley",IF(H765=1,"Sonoma","Other"))</f>
        <v>Sonoma</v>
      </c>
      <c r="T765" s="1" t="str">
        <f>IF(M765=1,"Cabernet",IF(N765=1,"Merlot",IF(L765=1,"Pinot noir","Other")))</f>
        <v>Other</v>
      </c>
      <c r="U765" s="1" t="str">
        <f>IF(F765=1,B765,"")</f>
        <v/>
      </c>
      <c r="V765" s="1">
        <f>IF(F765=0,B765,"")</f>
        <v>65</v>
      </c>
      <c r="W765" s="1">
        <f>'Part B'!$B$150+SUMPRODUCT('Part B'!$B$164:$N$164,C765:O765)</f>
        <v>52.7156980466602</v>
      </c>
      <c r="X765" s="1">
        <f>B765-W765</f>
        <v>12.2843019533398</v>
      </c>
      <c r="Y765" s="1">
        <f>'Part B'!$B$179+SUMPRODUCT('Part B'!$B$193:$N$193,C765:O765)</f>
        <v>3.71995879952362</v>
      </c>
      <c r="Z765" s="1">
        <f>P765-Y765</f>
        <v>0.454428470372021</v>
      </c>
      <c r="AB765" s="1">
        <f>C765</f>
        <v>3.5</v>
      </c>
      <c r="AC765" s="1">
        <f>D765</f>
        <v>91</v>
      </c>
      <c r="AD765" s="1">
        <f>E765</f>
        <v>3</v>
      </c>
      <c r="AE765" s="1">
        <f>F765</f>
        <v>0</v>
      </c>
      <c r="AF765" s="1">
        <f>G765</f>
        <v>0</v>
      </c>
      <c r="AG765" s="1">
        <f>I765</f>
        <v>0</v>
      </c>
      <c r="AH765" s="1">
        <f>J765</f>
        <v>0</v>
      </c>
      <c r="AI765" s="1">
        <f>Q765</f>
        <v>0</v>
      </c>
      <c r="AJ765" s="1">
        <f>K765</f>
        <v>1</v>
      </c>
      <c r="AK765" s="1">
        <f>L765</f>
        <v>0</v>
      </c>
      <c r="AL765" s="1">
        <f>M765</f>
        <v>0</v>
      </c>
      <c r="AM765" s="1">
        <f>N765</f>
        <v>0</v>
      </c>
      <c r="AN765" s="1">
        <f>O765</f>
        <v>0</v>
      </c>
    </row>
    <row r="766">
      <c r="A766" s="1">
        <v>1021</v>
      </c>
      <c r="B766" s="1">
        <v>65</v>
      </c>
      <c r="C766" s="1">
        <v>0.7</v>
      </c>
      <c r="D766" s="1">
        <v>94</v>
      </c>
      <c r="E766" s="1">
        <v>2</v>
      </c>
      <c r="F766" s="1">
        <v>0</v>
      </c>
      <c r="G766" s="1">
        <v>0</v>
      </c>
      <c r="H766" s="1">
        <v>1</v>
      </c>
      <c r="I766" s="1">
        <v>0</v>
      </c>
      <c r="J766" s="1">
        <v>0</v>
      </c>
      <c r="K766" s="1">
        <v>0</v>
      </c>
      <c r="L766" s="1">
        <v>1</v>
      </c>
      <c r="M766" s="1">
        <v>0</v>
      </c>
      <c r="N766" s="1">
        <v>0</v>
      </c>
      <c r="O766" s="1">
        <v>0</v>
      </c>
      <c r="P766" s="1">
        <f>LN(B766)</f>
        <v>4.17438726989564</v>
      </c>
      <c r="Q766" s="1">
        <f>1-SUM(F766:J766)</f>
        <v>0</v>
      </c>
      <c r="R766" s="1" t="str">
        <f>IF(F766=1,"Napa valley",IF(G766=1,"Bay area",IF(H766=1,"Sonoma",IF(I766=1,"Sierra/foothills",IF(J766=1,"Mendocino/lake","Generic California")))))</f>
        <v>Sonoma</v>
      </c>
      <c r="S766" s="1" t="str">
        <f>IF(F766=1,"Napa valley",IF(H766=1,"Sonoma","Other"))</f>
        <v>Sonoma</v>
      </c>
      <c r="T766" s="1" t="str">
        <f>IF(M766=1,"Cabernet",IF(N766=1,"Merlot",IF(L766=1,"Pinot noir","Other")))</f>
        <v>Pinot noir</v>
      </c>
      <c r="U766" s="1" t="str">
        <f>IF(F766=1,B766,"")</f>
        <v/>
      </c>
      <c r="V766" s="1">
        <f>IF(F766=0,B766,"")</f>
        <v>65</v>
      </c>
      <c r="W766" s="1">
        <f>'Part B'!$B$150+SUMPRODUCT('Part B'!$B$164:$N$164,C766:O766)</f>
        <v>44.9636092396659</v>
      </c>
      <c r="X766" s="1">
        <f>B766-W766</f>
        <v>20.0363907603341</v>
      </c>
      <c r="Y766" s="1">
        <f>'Part B'!$B$179+SUMPRODUCT('Part B'!$B$193:$N$193,C766:O766)</f>
        <v>3.62667382552366</v>
      </c>
      <c r="Z766" s="1">
        <f>P766-Y766</f>
        <v>0.54771344437198</v>
      </c>
      <c r="AB766" s="1">
        <f>C766</f>
        <v>0.7</v>
      </c>
      <c r="AC766" s="1">
        <f>D766</f>
        <v>94</v>
      </c>
      <c r="AD766" s="1">
        <f>E766</f>
        <v>2</v>
      </c>
      <c r="AE766" s="1">
        <f>F766</f>
        <v>0</v>
      </c>
      <c r="AF766" s="1">
        <f>G766</f>
        <v>0</v>
      </c>
      <c r="AG766" s="1">
        <f>I766</f>
        <v>0</v>
      </c>
      <c r="AH766" s="1">
        <f>J766</f>
        <v>0</v>
      </c>
      <c r="AI766" s="1">
        <f>Q766</f>
        <v>0</v>
      </c>
      <c r="AJ766" s="1">
        <f>K766</f>
        <v>0</v>
      </c>
      <c r="AK766" s="1">
        <f>L766</f>
        <v>1</v>
      </c>
      <c r="AL766" s="1">
        <f>M766</f>
        <v>0</v>
      </c>
      <c r="AM766" s="1">
        <f>N766</f>
        <v>0</v>
      </c>
      <c r="AN766" s="1">
        <f>O766</f>
        <v>0</v>
      </c>
    </row>
    <row r="767">
      <c r="A767" s="1">
        <v>1022</v>
      </c>
      <c r="B767" s="1">
        <v>67</v>
      </c>
      <c r="C767" s="1">
        <v>0.7</v>
      </c>
      <c r="D767" s="1">
        <v>92</v>
      </c>
      <c r="E767" s="1">
        <v>4</v>
      </c>
      <c r="F767" s="1">
        <v>1</v>
      </c>
      <c r="G767" s="1">
        <v>0</v>
      </c>
      <c r="H767" s="1">
        <v>0</v>
      </c>
      <c r="I767" s="1">
        <v>0</v>
      </c>
      <c r="J767" s="1">
        <v>0</v>
      </c>
      <c r="K767" s="1">
        <v>0</v>
      </c>
      <c r="L767" s="1">
        <v>0</v>
      </c>
      <c r="M767" s="1">
        <v>1</v>
      </c>
      <c r="N767" s="1">
        <v>0</v>
      </c>
      <c r="O767" s="1">
        <v>0</v>
      </c>
      <c r="P767" s="1">
        <f>LN(B767)</f>
        <v>4.20469261939097</v>
      </c>
      <c r="Q767" s="1">
        <f>1-SUM(F767:J767)</f>
        <v>0</v>
      </c>
      <c r="R767" s="1" t="str">
        <f>IF(F767=1,"Napa valley",IF(G767=1,"Bay area",IF(H767=1,"Sonoma",IF(I767=1,"Sierra/foothills",IF(J767=1,"Mendocino/lake","Generic California")))))</f>
        <v>Napa valley</v>
      </c>
      <c r="S767" s="1" t="str">
        <f>IF(F767=1,"Napa valley",IF(H767=1,"Sonoma","Other"))</f>
        <v>Napa valley</v>
      </c>
      <c r="T767" s="1" t="str">
        <f>IF(M767=1,"Cabernet",IF(N767=1,"Merlot",IF(L767=1,"Pinot noir","Other")))</f>
        <v>Cabernet</v>
      </c>
      <c r="U767" s="1">
        <f>IF(F767=1,B767,"")</f>
        <v>67</v>
      </c>
      <c r="V767" s="1" t="str">
        <f>IF(F767=0,B767,"")</f>
        <v/>
      </c>
      <c r="W767" s="1">
        <f>'Part B'!$B$150+SUMPRODUCT('Part B'!$B$164:$N$164,C767:O767)</f>
        <v>62.9820665070103</v>
      </c>
      <c r="X767" s="1">
        <f>B767-W767</f>
        <v>4.0179334929897</v>
      </c>
      <c r="Y767" s="1">
        <f>'Part B'!$B$179+SUMPRODUCT('Part B'!$B$193:$N$193,C767:O767)</f>
        <v>3.97518260003525</v>
      </c>
      <c r="Z767" s="1">
        <f>P767-Y767</f>
        <v>0.229510019355715</v>
      </c>
      <c r="AB767" s="1">
        <f>C767</f>
        <v>0.7</v>
      </c>
      <c r="AC767" s="1">
        <f>D767</f>
        <v>92</v>
      </c>
      <c r="AD767" s="1">
        <f>E767</f>
        <v>4</v>
      </c>
      <c r="AE767" s="1">
        <f>F767</f>
        <v>1</v>
      </c>
      <c r="AF767" s="1">
        <f>G767</f>
        <v>0</v>
      </c>
      <c r="AG767" s="1">
        <f>I767</f>
        <v>0</v>
      </c>
      <c r="AH767" s="1">
        <f>J767</f>
        <v>0</v>
      </c>
      <c r="AI767" s="1">
        <f>Q767</f>
        <v>0</v>
      </c>
      <c r="AJ767" s="1">
        <f>K767</f>
        <v>0</v>
      </c>
      <c r="AK767" s="1">
        <f>L767</f>
        <v>0</v>
      </c>
      <c r="AL767" s="1">
        <f>M767</f>
        <v>1</v>
      </c>
      <c r="AM767" s="1">
        <f>N767</f>
        <v>0</v>
      </c>
      <c r="AN767" s="1">
        <f>O767</f>
        <v>0</v>
      </c>
    </row>
    <row r="768">
      <c r="A768" s="1">
        <v>1023</v>
      </c>
      <c r="B768" s="1">
        <v>67</v>
      </c>
      <c r="C768" s="1">
        <v>2.7</v>
      </c>
      <c r="D768" s="1">
        <v>93</v>
      </c>
      <c r="E768" s="1">
        <v>4</v>
      </c>
      <c r="F768" s="1">
        <v>1</v>
      </c>
      <c r="G768" s="1">
        <v>0</v>
      </c>
      <c r="H768" s="1">
        <v>0</v>
      </c>
      <c r="I768" s="1">
        <v>0</v>
      </c>
      <c r="J768" s="1">
        <v>0</v>
      </c>
      <c r="K768" s="1">
        <v>0</v>
      </c>
      <c r="L768" s="1">
        <v>0</v>
      </c>
      <c r="M768" s="1">
        <v>1</v>
      </c>
      <c r="N768" s="1">
        <v>0</v>
      </c>
      <c r="O768" s="1">
        <v>0</v>
      </c>
      <c r="P768" s="1">
        <f>LN(B768)</f>
        <v>4.20469261939097</v>
      </c>
      <c r="Q768" s="1">
        <f>1-SUM(F768:J768)</f>
        <v>0</v>
      </c>
      <c r="R768" s="1" t="str">
        <f>IF(F768=1,"Napa valley",IF(G768=1,"Bay area",IF(H768=1,"Sonoma",IF(I768=1,"Sierra/foothills",IF(J768=1,"Mendocino/lake","Generic California")))))</f>
        <v>Napa valley</v>
      </c>
      <c r="S768" s="1" t="str">
        <f>IF(F768=1,"Napa valley",IF(H768=1,"Sonoma","Other"))</f>
        <v>Napa valley</v>
      </c>
      <c r="T768" s="1" t="str">
        <f>IF(M768=1,"Cabernet",IF(N768=1,"Merlot",IF(L768=1,"Pinot noir","Other")))</f>
        <v>Cabernet</v>
      </c>
      <c r="U768" s="1">
        <f>IF(F768=1,B768,"")</f>
        <v>67</v>
      </c>
      <c r="V768" s="1" t="str">
        <f>IF(F768=0,B768,"")</f>
        <v/>
      </c>
      <c r="W768" s="1">
        <f>'Part B'!$B$150+SUMPRODUCT('Part B'!$B$164:$N$164,C768:O768)</f>
        <v>65.9373360601108</v>
      </c>
      <c r="X768" s="1">
        <f>B768-W768</f>
        <v>1.06266393988921</v>
      </c>
      <c r="Y768" s="1">
        <f>'Part B'!$B$179+SUMPRODUCT('Part B'!$B$193:$N$193,C768:O768)</f>
        <v>4.03658583454251</v>
      </c>
      <c r="Z768" s="1">
        <f>P768-Y768</f>
        <v>0.168106784848455</v>
      </c>
      <c r="AB768" s="1">
        <f>C768</f>
        <v>2.7</v>
      </c>
      <c r="AC768" s="1">
        <f>D768</f>
        <v>93</v>
      </c>
      <c r="AD768" s="1">
        <f>E768</f>
        <v>4</v>
      </c>
      <c r="AE768" s="1">
        <f>F768</f>
        <v>1</v>
      </c>
      <c r="AF768" s="1">
        <f>G768</f>
        <v>0</v>
      </c>
      <c r="AG768" s="1">
        <f>I768</f>
        <v>0</v>
      </c>
      <c r="AH768" s="1">
        <f>J768</f>
        <v>0</v>
      </c>
      <c r="AI768" s="1">
        <f>Q768</f>
        <v>0</v>
      </c>
      <c r="AJ768" s="1">
        <f>K768</f>
        <v>0</v>
      </c>
      <c r="AK768" s="1">
        <f>L768</f>
        <v>0</v>
      </c>
      <c r="AL768" s="1">
        <f>M768</f>
        <v>1</v>
      </c>
      <c r="AM768" s="1">
        <f>N768</f>
        <v>0</v>
      </c>
      <c r="AN768" s="1">
        <f>O768</f>
        <v>0</v>
      </c>
    </row>
    <row r="769">
      <c r="A769" s="1">
        <v>1024</v>
      </c>
      <c r="B769" s="1">
        <v>68</v>
      </c>
      <c r="C769" s="1">
        <v>10.4</v>
      </c>
      <c r="D769" s="1">
        <v>91</v>
      </c>
      <c r="E769" s="1">
        <v>5</v>
      </c>
      <c r="F769" s="1">
        <v>1</v>
      </c>
      <c r="G769" s="1">
        <v>0</v>
      </c>
      <c r="H769" s="1">
        <v>0</v>
      </c>
      <c r="I769" s="1">
        <v>0</v>
      </c>
      <c r="J769" s="1">
        <v>0</v>
      </c>
      <c r="K769" s="1">
        <v>0</v>
      </c>
      <c r="L769" s="1">
        <v>0</v>
      </c>
      <c r="M769" s="1">
        <v>1</v>
      </c>
      <c r="N769" s="1">
        <v>0</v>
      </c>
      <c r="O769" s="1">
        <v>0</v>
      </c>
      <c r="P769" s="1">
        <f>LN(B769)</f>
        <v>4.21950770517611</v>
      </c>
      <c r="Q769" s="1">
        <f>1-SUM(F769:J769)</f>
        <v>0</v>
      </c>
      <c r="R769" s="1" t="str">
        <f>IF(F769=1,"Napa valley",IF(G769=1,"Bay area",IF(H769=1,"Sonoma",IF(I769=1,"Sierra/foothills",IF(J769=1,"Mendocino/lake","Generic California")))))</f>
        <v>Napa valley</v>
      </c>
      <c r="S769" s="1" t="str">
        <f>IF(F769=1,"Napa valley",IF(H769=1,"Sonoma","Other"))</f>
        <v>Napa valley</v>
      </c>
      <c r="T769" s="1" t="str">
        <f>IF(M769=1,"Cabernet",IF(N769=1,"Merlot",IF(L769=1,"Pinot noir","Other")))</f>
        <v>Cabernet</v>
      </c>
      <c r="U769" s="1">
        <f>IF(F769=1,B769,"")</f>
        <v>68</v>
      </c>
      <c r="V769" s="1" t="str">
        <f>IF(F769=0,B769,"")</f>
        <v/>
      </c>
      <c r="W769" s="1">
        <f>'Part B'!$B$150+SUMPRODUCT('Part B'!$B$164:$N$164,C769:O769)</f>
        <v>65.5359106076162</v>
      </c>
      <c r="X769" s="1">
        <f>B769-W769</f>
        <v>2.46408939238376</v>
      </c>
      <c r="Y769" s="1">
        <f>'Part B'!$B$179+SUMPRODUCT('Part B'!$B$193:$N$193,C769:O769)</f>
        <v>4.04679956237212</v>
      </c>
      <c r="Z769" s="1">
        <f>P769-Y769</f>
        <v>0.172708142803984</v>
      </c>
      <c r="AB769" s="1">
        <f>C769</f>
        <v>10.4</v>
      </c>
      <c r="AC769" s="1">
        <f>D769</f>
        <v>91</v>
      </c>
      <c r="AD769" s="1">
        <f>E769</f>
        <v>5</v>
      </c>
      <c r="AE769" s="1">
        <f>F769</f>
        <v>1</v>
      </c>
      <c r="AF769" s="1">
        <f>G769</f>
        <v>0</v>
      </c>
      <c r="AG769" s="1">
        <f>I769</f>
        <v>0</v>
      </c>
      <c r="AH769" s="1">
        <f>J769</f>
        <v>0</v>
      </c>
      <c r="AI769" s="1">
        <f>Q769</f>
        <v>0</v>
      </c>
      <c r="AJ769" s="1">
        <f>K769</f>
        <v>0</v>
      </c>
      <c r="AK769" s="1">
        <f>L769</f>
        <v>0</v>
      </c>
      <c r="AL769" s="1">
        <f>M769</f>
        <v>1</v>
      </c>
      <c r="AM769" s="1">
        <f>N769</f>
        <v>0</v>
      </c>
      <c r="AN769" s="1">
        <f>O769</f>
        <v>0</v>
      </c>
    </row>
    <row r="770">
      <c r="A770" s="1">
        <v>1025</v>
      </c>
      <c r="B770" s="1">
        <v>70</v>
      </c>
      <c r="C770" s="1">
        <v>0.45</v>
      </c>
      <c r="D770" s="1">
        <v>89</v>
      </c>
      <c r="E770" s="1">
        <v>5</v>
      </c>
      <c r="F770" s="1">
        <v>0</v>
      </c>
      <c r="G770" s="1">
        <v>0</v>
      </c>
      <c r="H770" s="1">
        <v>1</v>
      </c>
      <c r="I770" s="1">
        <v>0</v>
      </c>
      <c r="J770" s="1">
        <v>0</v>
      </c>
      <c r="K770" s="1">
        <v>0</v>
      </c>
      <c r="L770" s="1">
        <v>0</v>
      </c>
      <c r="M770" s="1">
        <v>1</v>
      </c>
      <c r="N770" s="1">
        <v>0</v>
      </c>
      <c r="O770" s="1">
        <v>0</v>
      </c>
      <c r="P770" s="1">
        <f>LN(B770)</f>
        <v>4.24849524204936</v>
      </c>
      <c r="Q770" s="1">
        <f>1-SUM(F770:J770)</f>
        <v>0</v>
      </c>
      <c r="R770" s="1" t="str">
        <f>IF(F770=1,"Napa valley",IF(G770=1,"Bay area",IF(H770=1,"Sonoma",IF(I770=1,"Sierra/foothills",IF(J770=1,"Mendocino/lake","Generic California")))))</f>
        <v>Sonoma</v>
      </c>
      <c r="S770" s="1" t="str">
        <f>IF(F770=1,"Napa valley",IF(H770=1,"Sonoma","Other"))</f>
        <v>Sonoma</v>
      </c>
      <c r="T770" s="1" t="str">
        <f>IF(M770=1,"Cabernet",IF(N770=1,"Merlot",IF(L770=1,"Pinot noir","Other")))</f>
        <v>Cabernet</v>
      </c>
      <c r="U770" s="1" t="str">
        <f>IF(F770=1,B770,"")</f>
        <v/>
      </c>
      <c r="V770" s="1">
        <f>IF(F770=0,B770,"")</f>
        <v>70</v>
      </c>
      <c r="W770" s="1">
        <f>'Part B'!$B$150+SUMPRODUCT('Part B'!$B$164:$N$164,C770:O770)</f>
        <v>52.2936606109167</v>
      </c>
      <c r="X770" s="1">
        <f>B770-W770</f>
        <v>17.7063393890833</v>
      </c>
      <c r="Y770" s="1">
        <f>'Part B'!$B$179+SUMPRODUCT('Part B'!$B$193:$N$193,C770:O770)</f>
        <v>3.80166597797068</v>
      </c>
      <c r="Z770" s="1">
        <f>P770-Y770</f>
        <v>0.446829264078679</v>
      </c>
      <c r="AB770" s="1">
        <f>C770</f>
        <v>0.45</v>
      </c>
      <c r="AC770" s="1">
        <f>D770</f>
        <v>89</v>
      </c>
      <c r="AD770" s="1">
        <f>E770</f>
        <v>5</v>
      </c>
      <c r="AE770" s="1">
        <f>F770</f>
        <v>0</v>
      </c>
      <c r="AF770" s="1">
        <f>G770</f>
        <v>0</v>
      </c>
      <c r="AG770" s="1">
        <f>I770</f>
        <v>0</v>
      </c>
      <c r="AH770" s="1">
        <f>J770</f>
        <v>0</v>
      </c>
      <c r="AI770" s="1">
        <f>Q770</f>
        <v>0</v>
      </c>
      <c r="AJ770" s="1">
        <f>K770</f>
        <v>0</v>
      </c>
      <c r="AK770" s="1">
        <f>L770</f>
        <v>0</v>
      </c>
      <c r="AL770" s="1">
        <f>M770</f>
        <v>1</v>
      </c>
      <c r="AM770" s="1">
        <f>N770</f>
        <v>0</v>
      </c>
      <c r="AN770" s="1">
        <f>O770</f>
        <v>0</v>
      </c>
    </row>
    <row r="771">
      <c r="A771" s="1">
        <v>1026</v>
      </c>
      <c r="B771" s="1">
        <v>70</v>
      </c>
      <c r="C771" s="1">
        <v>0.42</v>
      </c>
      <c r="D771" s="1">
        <v>88</v>
      </c>
      <c r="E771" s="1">
        <v>5</v>
      </c>
      <c r="F771" s="1">
        <v>0</v>
      </c>
      <c r="G771" s="1">
        <v>0</v>
      </c>
      <c r="H771" s="1">
        <v>1</v>
      </c>
      <c r="I771" s="1">
        <v>0</v>
      </c>
      <c r="J771" s="1">
        <v>0</v>
      </c>
      <c r="K771" s="1">
        <v>0</v>
      </c>
      <c r="L771" s="1">
        <v>0</v>
      </c>
      <c r="M771" s="1">
        <v>0</v>
      </c>
      <c r="N771" s="1">
        <v>1</v>
      </c>
      <c r="O771" s="1">
        <v>0</v>
      </c>
      <c r="P771" s="1">
        <f>LN(B771)</f>
        <v>4.24849524204936</v>
      </c>
      <c r="Q771" s="1">
        <f>1-SUM(F771:J771)</f>
        <v>0</v>
      </c>
      <c r="R771" s="1" t="str">
        <f>IF(F771=1,"Napa valley",IF(G771=1,"Bay area",IF(H771=1,"Sonoma",IF(I771=1,"Sierra/foothills",IF(J771=1,"Mendocino/lake","Generic California")))))</f>
        <v>Sonoma</v>
      </c>
      <c r="S771" s="1" t="str">
        <f>IF(F771=1,"Napa valley",IF(H771=1,"Sonoma","Other"))</f>
        <v>Sonoma</v>
      </c>
      <c r="T771" s="1" t="str">
        <f>IF(M771=1,"Cabernet",IF(N771=1,"Merlot",IF(L771=1,"Pinot noir","Other")))</f>
        <v>Merlot</v>
      </c>
      <c r="U771" s="1" t="str">
        <f>IF(F771=1,B771,"")</f>
        <v/>
      </c>
      <c r="V771" s="1">
        <f>IF(F771=0,B771,"")</f>
        <v>70</v>
      </c>
      <c r="W771" s="1">
        <f>'Part B'!$B$150+SUMPRODUCT('Part B'!$B$164:$N$164,C771:O771)</f>
        <v>44.1843668438183</v>
      </c>
      <c r="X771" s="1">
        <f>B771-W771</f>
        <v>25.8156331561817</v>
      </c>
      <c r="Y771" s="1">
        <f>'Part B'!$B$179+SUMPRODUCT('Part B'!$B$193:$N$193,C771:O771)</f>
        <v>3.69535205066856</v>
      </c>
      <c r="Z771" s="1">
        <f>P771-Y771</f>
        <v>0.553143191380796</v>
      </c>
      <c r="AB771" s="1">
        <f>C771</f>
        <v>0.42</v>
      </c>
      <c r="AC771" s="1">
        <f>D771</f>
        <v>88</v>
      </c>
      <c r="AD771" s="1">
        <f>E771</f>
        <v>5</v>
      </c>
      <c r="AE771" s="1">
        <f>F771</f>
        <v>0</v>
      </c>
      <c r="AF771" s="1">
        <f>G771</f>
        <v>0</v>
      </c>
      <c r="AG771" s="1">
        <f>I771</f>
        <v>0</v>
      </c>
      <c r="AH771" s="1">
        <f>J771</f>
        <v>0</v>
      </c>
      <c r="AI771" s="1">
        <f>Q771</f>
        <v>0</v>
      </c>
      <c r="AJ771" s="1">
        <f>K771</f>
        <v>0</v>
      </c>
      <c r="AK771" s="1">
        <f>L771</f>
        <v>0</v>
      </c>
      <c r="AL771" s="1">
        <f>M771</f>
        <v>0</v>
      </c>
      <c r="AM771" s="1">
        <f>N771</f>
        <v>1</v>
      </c>
      <c r="AN771" s="1">
        <f>O771</f>
        <v>0</v>
      </c>
    </row>
    <row r="772">
      <c r="A772" s="1">
        <v>1029</v>
      </c>
      <c r="B772" s="1">
        <v>69</v>
      </c>
      <c r="C772" s="1">
        <v>26</v>
      </c>
      <c r="D772" s="1">
        <v>92</v>
      </c>
      <c r="E772" s="1">
        <v>3</v>
      </c>
      <c r="F772" s="1">
        <v>1</v>
      </c>
      <c r="G772" s="1">
        <v>0</v>
      </c>
      <c r="H772" s="1">
        <v>0</v>
      </c>
      <c r="I772" s="1">
        <v>0</v>
      </c>
      <c r="J772" s="1">
        <v>0</v>
      </c>
      <c r="K772" s="1">
        <v>0</v>
      </c>
      <c r="L772" s="1">
        <v>0</v>
      </c>
      <c r="M772" s="1">
        <v>1</v>
      </c>
      <c r="N772" s="1">
        <v>0</v>
      </c>
      <c r="O772" s="1">
        <v>0</v>
      </c>
      <c r="P772" s="1">
        <f>LN(B772)</f>
        <v>4.23410650459726</v>
      </c>
      <c r="Q772" s="1">
        <f>1-SUM(F772:J772)</f>
        <v>0</v>
      </c>
      <c r="R772" s="1" t="str">
        <f>IF(F772=1,"Napa valley",IF(G772=1,"Bay area",IF(H772=1,"Sonoma",IF(I772=1,"Sierra/foothills",IF(J772=1,"Mendocino/lake","Generic California")))))</f>
        <v>Napa valley</v>
      </c>
      <c r="S772" s="1" t="str">
        <f>IF(F772=1,"Napa valley",IF(H772=1,"Sonoma","Other"))</f>
        <v>Napa valley</v>
      </c>
      <c r="T772" s="1" t="str">
        <f>IF(M772=1,"Cabernet",IF(N772=1,"Merlot",IF(L772=1,"Pinot noir","Other")))</f>
        <v>Cabernet</v>
      </c>
      <c r="U772" s="1">
        <f>IF(F772=1,B772,"")</f>
        <v>69</v>
      </c>
      <c r="V772" s="1" t="str">
        <f>IF(F772=0,B772,"")</f>
        <v/>
      </c>
      <c r="W772" s="1">
        <f>'Part B'!$B$150+SUMPRODUCT('Part B'!$B$164:$N$164,C772:O772)</f>
        <v>53.961143376992</v>
      </c>
      <c r="X772" s="1">
        <f>B772-W772</f>
        <v>15.038856623008</v>
      </c>
      <c r="Y772" s="1">
        <f>'Part B'!$B$179+SUMPRODUCT('Part B'!$B$193:$N$193,C772:O772)</f>
        <v>3.68383691882303</v>
      </c>
      <c r="Z772" s="1">
        <f>P772-Y772</f>
        <v>0.550269585774231</v>
      </c>
      <c r="AB772" s="1">
        <f>C772</f>
        <v>26</v>
      </c>
      <c r="AC772" s="1">
        <f>D772</f>
        <v>92</v>
      </c>
      <c r="AD772" s="1">
        <f>E772</f>
        <v>3</v>
      </c>
      <c r="AE772" s="1">
        <f>F772</f>
        <v>1</v>
      </c>
      <c r="AF772" s="1">
        <f>G772</f>
        <v>0</v>
      </c>
      <c r="AG772" s="1">
        <f>I772</f>
        <v>0</v>
      </c>
      <c r="AH772" s="1">
        <f>J772</f>
        <v>0</v>
      </c>
      <c r="AI772" s="1">
        <f>Q772</f>
        <v>0</v>
      </c>
      <c r="AJ772" s="1">
        <f>K772</f>
        <v>0</v>
      </c>
      <c r="AK772" s="1">
        <f>L772</f>
        <v>0</v>
      </c>
      <c r="AL772" s="1">
        <f>M772</f>
        <v>1</v>
      </c>
      <c r="AM772" s="1">
        <f>N772</f>
        <v>0</v>
      </c>
      <c r="AN772" s="1">
        <f>O772</f>
        <v>0</v>
      </c>
    </row>
    <row r="773">
      <c r="A773" s="1">
        <v>1030</v>
      </c>
      <c r="B773" s="1">
        <v>70</v>
      </c>
      <c r="C773" s="1">
        <v>17</v>
      </c>
      <c r="D773" s="1">
        <v>92</v>
      </c>
      <c r="E773" s="1">
        <v>3</v>
      </c>
      <c r="F773" s="1">
        <v>1</v>
      </c>
      <c r="G773" s="1">
        <v>0</v>
      </c>
      <c r="H773" s="1">
        <v>0</v>
      </c>
      <c r="I773" s="1">
        <v>0</v>
      </c>
      <c r="J773" s="1">
        <v>0</v>
      </c>
      <c r="K773" s="1">
        <v>0</v>
      </c>
      <c r="L773" s="1">
        <v>0</v>
      </c>
      <c r="M773" s="1">
        <v>1</v>
      </c>
      <c r="N773" s="1">
        <v>0</v>
      </c>
      <c r="O773" s="1">
        <v>0</v>
      </c>
      <c r="P773" s="1">
        <f>LN(B773)</f>
        <v>4.24849524204936</v>
      </c>
      <c r="Q773" s="1">
        <f>1-SUM(F773:J773)</f>
        <v>0</v>
      </c>
      <c r="R773" s="1" t="str">
        <f>IF(F773=1,"Napa valley",IF(G773=1,"Bay area",IF(H773=1,"Sonoma",IF(I773=1,"Sierra/foothills",IF(J773=1,"Mendocino/lake","Generic California")))))</f>
        <v>Napa valley</v>
      </c>
      <c r="S773" s="1" t="str">
        <f>IF(F773=1,"Napa valley",IF(H773=1,"Sonoma","Other"))</f>
        <v>Napa valley</v>
      </c>
      <c r="T773" s="1" t="str">
        <f>IF(M773=1,"Cabernet",IF(N773=1,"Merlot",IF(L773=1,"Pinot noir","Other")))</f>
        <v>Cabernet</v>
      </c>
      <c r="U773" s="1">
        <f>IF(F773=1,B773,"")</f>
        <v>70</v>
      </c>
      <c r="V773" s="1" t="str">
        <f>IF(F773=0,B773,"")</f>
        <v/>
      </c>
      <c r="W773" s="1">
        <f>'Part B'!$B$150+SUMPRODUCT('Part B'!$B$164:$N$164,C773:O773)</f>
        <v>54.8153673036624</v>
      </c>
      <c r="X773" s="1">
        <f>B773-W773</f>
        <v>15.1846326963376</v>
      </c>
      <c r="Y773" s="1">
        <f>'Part B'!$B$179+SUMPRODUCT('Part B'!$B$193:$N$193,C773:O773)</f>
        <v>3.72234852312878</v>
      </c>
      <c r="Z773" s="1">
        <f>P773-Y773</f>
        <v>0.526146718920579</v>
      </c>
      <c r="AB773" s="1">
        <f>C773</f>
        <v>17</v>
      </c>
      <c r="AC773" s="1">
        <f>D773</f>
        <v>92</v>
      </c>
      <c r="AD773" s="1">
        <f>E773</f>
        <v>3</v>
      </c>
      <c r="AE773" s="1">
        <f>F773</f>
        <v>1</v>
      </c>
      <c r="AF773" s="1">
        <f>G773</f>
        <v>0</v>
      </c>
      <c r="AG773" s="1">
        <f>I773</f>
        <v>0</v>
      </c>
      <c r="AH773" s="1">
        <f>J773</f>
        <v>0</v>
      </c>
      <c r="AI773" s="1">
        <f>Q773</f>
        <v>0</v>
      </c>
      <c r="AJ773" s="1">
        <f>K773</f>
        <v>0</v>
      </c>
      <c r="AK773" s="1">
        <f>L773</f>
        <v>0</v>
      </c>
      <c r="AL773" s="1">
        <f>M773</f>
        <v>1</v>
      </c>
      <c r="AM773" s="1">
        <f>N773</f>
        <v>0</v>
      </c>
      <c r="AN773" s="1">
        <f>O773</f>
        <v>0</v>
      </c>
    </row>
    <row r="774">
      <c r="A774" s="1">
        <v>1031</v>
      </c>
      <c r="B774" s="1">
        <v>70</v>
      </c>
      <c r="C774" s="1">
        <v>0.308</v>
      </c>
      <c r="D774" s="1">
        <v>93</v>
      </c>
      <c r="E774" s="1">
        <v>3</v>
      </c>
      <c r="F774" s="1">
        <v>1</v>
      </c>
      <c r="G774" s="1">
        <v>0</v>
      </c>
      <c r="H774" s="1">
        <v>0</v>
      </c>
      <c r="I774" s="1">
        <v>0</v>
      </c>
      <c r="J774" s="1">
        <v>0</v>
      </c>
      <c r="K774" s="1">
        <v>0</v>
      </c>
      <c r="L774" s="1">
        <v>0</v>
      </c>
      <c r="M774" s="1">
        <v>1</v>
      </c>
      <c r="N774" s="1">
        <v>0</v>
      </c>
      <c r="O774" s="1">
        <v>0</v>
      </c>
      <c r="P774" s="1">
        <f>LN(B774)</f>
        <v>4.24849524204936</v>
      </c>
      <c r="Q774" s="1">
        <f>1-SUM(F774:J774)</f>
        <v>0</v>
      </c>
      <c r="R774" s="1" t="str">
        <f>IF(F774=1,"Napa valley",IF(G774=1,"Bay area",IF(H774=1,"Sonoma",IF(I774=1,"Sierra/foothills",IF(J774=1,"Mendocino/lake","Generic California")))))</f>
        <v>Napa valley</v>
      </c>
      <c r="S774" s="1" t="str">
        <f>IF(F774=1,"Napa valley",IF(H774=1,"Sonoma","Other"))</f>
        <v>Napa valley</v>
      </c>
      <c r="T774" s="1" t="str">
        <f>IF(M774=1,"Cabernet",IF(N774=1,"Merlot",IF(L774=1,"Pinot noir","Other")))</f>
        <v>Cabernet</v>
      </c>
      <c r="U774" s="1">
        <f>IF(F774=1,B774,"")</f>
        <v>70</v>
      </c>
      <c r="V774" s="1" t="str">
        <f>IF(F774=0,B774,"")</f>
        <v/>
      </c>
      <c r="W774" s="1">
        <f>'Part B'!$B$150+SUMPRODUCT('Part B'!$B$164:$N$164,C774:O774)</f>
        <v>59.5447650386878</v>
      </c>
      <c r="X774" s="1">
        <f>B774-W774</f>
        <v>10.4552349613122</v>
      </c>
      <c r="Y774" s="1">
        <f>'Part B'!$B$179+SUMPRODUCT('Part B'!$B$193:$N$193,C774:O774)</f>
        <v>3.86373608071194</v>
      </c>
      <c r="Z774" s="1">
        <f>P774-Y774</f>
        <v>0.384759161337418</v>
      </c>
      <c r="AB774" s="1">
        <f>C774</f>
        <v>0.308</v>
      </c>
      <c r="AC774" s="1">
        <f>D774</f>
        <v>93</v>
      </c>
      <c r="AD774" s="1">
        <f>E774</f>
        <v>3</v>
      </c>
      <c r="AE774" s="1">
        <f>F774</f>
        <v>1</v>
      </c>
      <c r="AF774" s="1">
        <f>G774</f>
        <v>0</v>
      </c>
      <c r="AG774" s="1">
        <f>I774</f>
        <v>0</v>
      </c>
      <c r="AH774" s="1">
        <f>J774</f>
        <v>0</v>
      </c>
      <c r="AI774" s="1">
        <f>Q774</f>
        <v>0</v>
      </c>
      <c r="AJ774" s="1">
        <f>K774</f>
        <v>0</v>
      </c>
      <c r="AK774" s="1">
        <f>L774</f>
        <v>0</v>
      </c>
      <c r="AL774" s="1">
        <f>M774</f>
        <v>1</v>
      </c>
      <c r="AM774" s="1">
        <f>N774</f>
        <v>0</v>
      </c>
      <c r="AN774" s="1">
        <f>O774</f>
        <v>0</v>
      </c>
    </row>
    <row r="775">
      <c r="A775" s="1">
        <v>1032</v>
      </c>
      <c r="B775" s="1">
        <v>70</v>
      </c>
      <c r="C775" s="1">
        <v>2.434</v>
      </c>
      <c r="D775" s="1">
        <v>93</v>
      </c>
      <c r="E775" s="1">
        <v>3</v>
      </c>
      <c r="F775" s="1">
        <v>1</v>
      </c>
      <c r="G775" s="1">
        <v>0</v>
      </c>
      <c r="H775" s="1">
        <v>0</v>
      </c>
      <c r="I775" s="1">
        <v>0</v>
      </c>
      <c r="J775" s="1">
        <v>0</v>
      </c>
      <c r="K775" s="1">
        <v>0</v>
      </c>
      <c r="L775" s="1">
        <v>0</v>
      </c>
      <c r="M775" s="1">
        <v>1</v>
      </c>
      <c r="N775" s="1">
        <v>0</v>
      </c>
      <c r="O775" s="1">
        <v>0</v>
      </c>
      <c r="P775" s="1">
        <f>LN(B775)</f>
        <v>4.24849524204936</v>
      </c>
      <c r="Q775" s="1">
        <f>1-SUM(F775:J775)</f>
        <v>0</v>
      </c>
      <c r="R775" s="1" t="str">
        <f>IF(F775=1,"Napa valley",IF(G775=1,"Bay area",IF(H775=1,"Sonoma",IF(I775=1,"Sierra/foothills",IF(J775=1,"Mendocino/lake","Generic California")))))</f>
        <v>Napa valley</v>
      </c>
      <c r="S775" s="1" t="str">
        <f>IF(F775=1,"Napa valley",IF(H775=1,"Sonoma","Other"))</f>
        <v>Napa valley</v>
      </c>
      <c r="T775" s="1" t="str">
        <f>IF(M775=1,"Cabernet",IF(N775=1,"Merlot",IF(L775=1,"Pinot noir","Other")))</f>
        <v>Cabernet</v>
      </c>
      <c r="U775" s="1">
        <f>IF(F775=1,B775,"")</f>
        <v>70</v>
      </c>
      <c r="V775" s="1" t="str">
        <f>IF(F775=0,B775,"")</f>
        <v/>
      </c>
      <c r="W775" s="1">
        <f>'Part B'!$B$150+SUMPRODUCT('Part B'!$B$164:$N$164,C775:O775)</f>
        <v>59.3429783644544</v>
      </c>
      <c r="X775" s="1">
        <f>B775-W775</f>
        <v>10.6570216355456</v>
      </c>
      <c r="Y775" s="1">
        <f>'Part B'!$B$179+SUMPRODUCT('Part B'!$B$193:$N$193,C775:O775)</f>
        <v>3.85463878396149</v>
      </c>
      <c r="Z775" s="1">
        <f>P775-Y775</f>
        <v>0.393856458087866</v>
      </c>
      <c r="AB775" s="1">
        <f>C775</f>
        <v>2.434</v>
      </c>
      <c r="AC775" s="1">
        <f>D775</f>
        <v>93</v>
      </c>
      <c r="AD775" s="1">
        <f>E775</f>
        <v>3</v>
      </c>
      <c r="AE775" s="1">
        <f>F775</f>
        <v>1</v>
      </c>
      <c r="AF775" s="1">
        <f>G775</f>
        <v>0</v>
      </c>
      <c r="AG775" s="1">
        <f>I775</f>
        <v>0</v>
      </c>
      <c r="AH775" s="1">
        <f>J775</f>
        <v>0</v>
      </c>
      <c r="AI775" s="1">
        <f>Q775</f>
        <v>0</v>
      </c>
      <c r="AJ775" s="1">
        <f>K775</f>
        <v>0</v>
      </c>
      <c r="AK775" s="1">
        <f>L775</f>
        <v>0</v>
      </c>
      <c r="AL775" s="1">
        <f>M775</f>
        <v>1</v>
      </c>
      <c r="AM775" s="1">
        <f>N775</f>
        <v>0</v>
      </c>
      <c r="AN775" s="1">
        <f>O775</f>
        <v>0</v>
      </c>
    </row>
    <row r="776">
      <c r="A776" s="1">
        <v>1033</v>
      </c>
      <c r="B776" s="1">
        <v>73</v>
      </c>
      <c r="C776" s="1">
        <v>0.3</v>
      </c>
      <c r="D776" s="1">
        <v>87</v>
      </c>
      <c r="E776" s="1">
        <v>3</v>
      </c>
      <c r="F776" s="1">
        <v>1</v>
      </c>
      <c r="G776" s="1">
        <v>0</v>
      </c>
      <c r="H776" s="1">
        <v>0</v>
      </c>
      <c r="I776" s="1">
        <v>0</v>
      </c>
      <c r="J776" s="1">
        <v>0</v>
      </c>
      <c r="K776" s="1">
        <v>0</v>
      </c>
      <c r="L776" s="1">
        <v>0</v>
      </c>
      <c r="M776" s="1">
        <v>1</v>
      </c>
      <c r="N776" s="1">
        <v>0</v>
      </c>
      <c r="O776" s="1">
        <v>0</v>
      </c>
      <c r="P776" s="1">
        <f>LN(B776)</f>
        <v>4.29045944114839</v>
      </c>
      <c r="Q776" s="1">
        <f>1-SUM(F776:J776)</f>
        <v>0</v>
      </c>
      <c r="R776" s="1" t="str">
        <f>IF(F776=1,"Napa valley",IF(G776=1,"Bay area",IF(H776=1,"Sonoma",IF(I776=1,"Sierra/foothills",IF(J776=1,"Mendocino/lake","Generic California")))))</f>
        <v>Napa valley</v>
      </c>
      <c r="S776" s="1" t="str">
        <f>IF(F776=1,"Napa valley",IF(H776=1,"Sonoma","Other"))</f>
        <v>Napa valley</v>
      </c>
      <c r="T776" s="1" t="str">
        <f>IF(M776=1,"Cabernet",IF(N776=1,"Merlot",IF(L776=1,"Pinot noir","Other")))</f>
        <v>Cabernet</v>
      </c>
      <c r="U776" s="1">
        <f>IF(F776=1,B776,"")</f>
        <v>73</v>
      </c>
      <c r="V776" s="1" t="str">
        <f>IF(F776=0,B776,"")</f>
        <v/>
      </c>
      <c r="W776" s="1">
        <f>'Part B'!$B$150+SUMPRODUCT('Part B'!$B$164:$N$164,C776:O776)</f>
        <v>40.674941794681</v>
      </c>
      <c r="X776" s="1">
        <f>B776-W776</f>
        <v>32.325058205319</v>
      </c>
      <c r="Y776" s="1">
        <f>'Part B'!$B$179+SUMPRODUCT('Part B'!$B$193:$N$193,C776:O776)</f>
        <v>3.44400210046454</v>
      </c>
      <c r="Z776" s="1">
        <f>P776-Y776</f>
        <v>0.846457340683849</v>
      </c>
      <c r="AB776" s="1">
        <f>C776</f>
        <v>0.3</v>
      </c>
      <c r="AC776" s="1">
        <f>D776</f>
        <v>87</v>
      </c>
      <c r="AD776" s="1">
        <f>E776</f>
        <v>3</v>
      </c>
      <c r="AE776" s="1">
        <f>F776</f>
        <v>1</v>
      </c>
      <c r="AF776" s="1">
        <f>G776</f>
        <v>0</v>
      </c>
      <c r="AG776" s="1">
        <f>I776</f>
        <v>0</v>
      </c>
      <c r="AH776" s="1">
        <f>J776</f>
        <v>0</v>
      </c>
      <c r="AI776" s="1">
        <f>Q776</f>
        <v>0</v>
      </c>
      <c r="AJ776" s="1">
        <f>K776</f>
        <v>0</v>
      </c>
      <c r="AK776" s="1">
        <f>L776</f>
        <v>0</v>
      </c>
      <c r="AL776" s="1">
        <f>M776</f>
        <v>1</v>
      </c>
      <c r="AM776" s="1">
        <f>N776</f>
        <v>0</v>
      </c>
      <c r="AN776" s="1">
        <f>O776</f>
        <v>0</v>
      </c>
    </row>
    <row r="777">
      <c r="A777" s="1">
        <v>1034</v>
      </c>
      <c r="B777" s="1">
        <v>75</v>
      </c>
      <c r="C777" s="1">
        <v>1.239</v>
      </c>
      <c r="D777" s="1">
        <v>94</v>
      </c>
      <c r="E777" s="1">
        <v>4</v>
      </c>
      <c r="F777" s="1">
        <v>0</v>
      </c>
      <c r="G777" s="1">
        <v>0</v>
      </c>
      <c r="H777" s="1">
        <v>1</v>
      </c>
      <c r="I777" s="1">
        <v>0</v>
      </c>
      <c r="J777" s="1">
        <v>0</v>
      </c>
      <c r="K777" s="1">
        <v>0</v>
      </c>
      <c r="L777" s="1">
        <v>0</v>
      </c>
      <c r="M777" s="1">
        <v>1</v>
      </c>
      <c r="N777" s="1">
        <v>0</v>
      </c>
      <c r="O777" s="1">
        <v>0</v>
      </c>
      <c r="P777" s="1">
        <f>LN(B777)</f>
        <v>4.31748811353631</v>
      </c>
      <c r="Q777" s="1">
        <f>1-SUM(F777:J777)</f>
        <v>0</v>
      </c>
      <c r="R777" s="1" t="str">
        <f>IF(F777=1,"Napa valley",IF(G777=1,"Bay area",IF(H777=1,"Sonoma",IF(I777=1,"Sierra/foothills",IF(J777=1,"Mendocino/lake","Generic California")))))</f>
        <v>Sonoma</v>
      </c>
      <c r="S777" s="1" t="str">
        <f>IF(F777=1,"Napa valley",IF(H777=1,"Sonoma","Other"))</f>
        <v>Sonoma</v>
      </c>
      <c r="T777" s="1" t="str">
        <f>IF(M777=1,"Cabernet",IF(N777=1,"Merlot",IF(L777=1,"Pinot noir","Other")))</f>
        <v>Cabernet</v>
      </c>
      <c r="U777" s="1" t="str">
        <f>IF(F777=1,B777,"")</f>
        <v/>
      </c>
      <c r="V777" s="1">
        <f>IF(F777=0,B777,"")</f>
        <v>75</v>
      </c>
      <c r="W777" s="1">
        <f>'Part B'!$B$150+SUMPRODUCT('Part B'!$B$164:$N$164,C777:O777)</f>
        <v>61.3246543501038</v>
      </c>
      <c r="X777" s="1">
        <f>B777-W777</f>
        <v>13.6753456498962</v>
      </c>
      <c r="Y777" s="1">
        <f>'Part B'!$B$179+SUMPRODUCT('Part B'!$B$193:$N$193,C777:O777)</f>
        <v>3.96501135553873</v>
      </c>
      <c r="Z777" s="1">
        <f>P777-Y777</f>
        <v>0.352476757997577</v>
      </c>
      <c r="AB777" s="1">
        <f>C777</f>
        <v>1.239</v>
      </c>
      <c r="AC777" s="1">
        <f>D777</f>
        <v>94</v>
      </c>
      <c r="AD777" s="1">
        <f>E777</f>
        <v>4</v>
      </c>
      <c r="AE777" s="1">
        <f>F777</f>
        <v>0</v>
      </c>
      <c r="AF777" s="1">
        <f>G777</f>
        <v>0</v>
      </c>
      <c r="AG777" s="1">
        <f>I777</f>
        <v>0</v>
      </c>
      <c r="AH777" s="1">
        <f>J777</f>
        <v>0</v>
      </c>
      <c r="AI777" s="1">
        <f>Q777</f>
        <v>0</v>
      </c>
      <c r="AJ777" s="1">
        <f>K777</f>
        <v>0</v>
      </c>
      <c r="AK777" s="1">
        <f>L777</f>
        <v>0</v>
      </c>
      <c r="AL777" s="1">
        <f>M777</f>
        <v>1</v>
      </c>
      <c r="AM777" s="1">
        <f>N777</f>
        <v>0</v>
      </c>
      <c r="AN777" s="1">
        <f>O777</f>
        <v>0</v>
      </c>
    </row>
    <row r="778">
      <c r="A778" s="1">
        <v>1035</v>
      </c>
      <c r="B778" s="1">
        <v>75</v>
      </c>
      <c r="C778" s="1">
        <v>0.28</v>
      </c>
      <c r="D778" s="1">
        <v>92</v>
      </c>
      <c r="E778" s="1">
        <v>4</v>
      </c>
      <c r="F778" s="1">
        <v>1</v>
      </c>
      <c r="G778" s="1">
        <v>0</v>
      </c>
      <c r="H778" s="1">
        <v>0</v>
      </c>
      <c r="I778" s="1">
        <v>0</v>
      </c>
      <c r="J778" s="1">
        <v>0</v>
      </c>
      <c r="K778" s="1">
        <v>0</v>
      </c>
      <c r="L778" s="1">
        <v>0</v>
      </c>
      <c r="M778" s="1">
        <v>0</v>
      </c>
      <c r="N778" s="1">
        <v>0</v>
      </c>
      <c r="O778" s="1">
        <v>1</v>
      </c>
      <c r="P778" s="1">
        <f>LN(B778)</f>
        <v>4.31748811353631</v>
      </c>
      <c r="Q778" s="1">
        <f>1-SUM(F778:J778)</f>
        <v>0</v>
      </c>
      <c r="R778" s="1" t="str">
        <f>IF(F778=1,"Napa valley",IF(G778=1,"Bay area",IF(H778=1,"Sonoma",IF(I778=1,"Sierra/foothills",IF(J778=1,"Mendocino/lake","Generic California")))))</f>
        <v>Napa valley</v>
      </c>
      <c r="S778" s="1" t="str">
        <f>IF(F778=1,"Napa valley",IF(H778=1,"Sonoma","Other"))</f>
        <v>Napa valley</v>
      </c>
      <c r="T778" s="1" t="str">
        <f>IF(M778=1,"Cabernet",IF(N778=1,"Merlot",IF(L778=1,"Pinot noir","Other")))</f>
        <v>Other</v>
      </c>
      <c r="U778" s="1">
        <f>IF(F778=1,B778,"")</f>
        <v>75</v>
      </c>
      <c r="V778" s="1" t="str">
        <f>IF(F778=0,B778,"")</f>
        <v/>
      </c>
      <c r="W778" s="1">
        <f>'Part B'!$B$150+SUMPRODUCT('Part B'!$B$164:$N$164,C778:O778)</f>
        <v>49.9883894474987</v>
      </c>
      <c r="X778" s="1">
        <f>B778-W778</f>
        <v>25.0116105525013</v>
      </c>
      <c r="Y778" s="1">
        <f>'Part B'!$B$179+SUMPRODUCT('Part B'!$B$193:$N$193,C778:O778)</f>
        <v>3.69921809908898</v>
      </c>
      <c r="Z778" s="1">
        <f>P778-Y778</f>
        <v>0.618270014447333</v>
      </c>
      <c r="AB778" s="1">
        <f>C778</f>
        <v>0.28</v>
      </c>
      <c r="AC778" s="1">
        <f>D778</f>
        <v>92</v>
      </c>
      <c r="AD778" s="1">
        <f>E778</f>
        <v>4</v>
      </c>
      <c r="AE778" s="1">
        <f>F778</f>
        <v>1</v>
      </c>
      <c r="AF778" s="1">
        <f>G778</f>
        <v>0</v>
      </c>
      <c r="AG778" s="1">
        <f>I778</f>
        <v>0</v>
      </c>
      <c r="AH778" s="1">
        <f>J778</f>
        <v>0</v>
      </c>
      <c r="AI778" s="1">
        <f>Q778</f>
        <v>0</v>
      </c>
      <c r="AJ778" s="1">
        <f>K778</f>
        <v>0</v>
      </c>
      <c r="AK778" s="1">
        <f>L778</f>
        <v>0</v>
      </c>
      <c r="AL778" s="1">
        <f>M778</f>
        <v>0</v>
      </c>
      <c r="AM778" s="1">
        <f>N778</f>
        <v>0</v>
      </c>
      <c r="AN778" s="1">
        <f>O778</f>
        <v>1</v>
      </c>
    </row>
    <row r="779">
      <c r="A779" s="1">
        <v>1036</v>
      </c>
      <c r="B779" s="1">
        <v>77</v>
      </c>
      <c r="C779" s="1">
        <v>3.6</v>
      </c>
      <c r="D779" s="1">
        <v>92</v>
      </c>
      <c r="E779" s="1">
        <v>3</v>
      </c>
      <c r="F779" s="1">
        <v>0</v>
      </c>
      <c r="G779" s="1">
        <v>1</v>
      </c>
      <c r="H779" s="1">
        <v>0</v>
      </c>
      <c r="I779" s="1">
        <v>0</v>
      </c>
      <c r="J779" s="1">
        <v>0</v>
      </c>
      <c r="K779" s="1">
        <v>1</v>
      </c>
      <c r="L779" s="1">
        <v>0</v>
      </c>
      <c r="M779" s="1">
        <v>0</v>
      </c>
      <c r="N779" s="1">
        <v>0</v>
      </c>
      <c r="O779" s="1">
        <v>0</v>
      </c>
      <c r="P779" s="1">
        <f>LN(B779)</f>
        <v>4.34380542185368</v>
      </c>
      <c r="Q779" s="1">
        <f>1-SUM(F779:J779)</f>
        <v>0</v>
      </c>
      <c r="R779" s="1" t="str">
        <f>IF(F779=1,"Napa valley",IF(G779=1,"Bay area",IF(H779=1,"Sonoma",IF(I779=1,"Sierra/foothills",IF(J779=1,"Mendocino/lake","Generic California")))))</f>
        <v>Bay area</v>
      </c>
      <c r="S779" s="1" t="str">
        <f>IF(F779=1,"Napa valley",IF(H779=1,"Sonoma","Other"))</f>
        <v>Other</v>
      </c>
      <c r="T779" s="1" t="str">
        <f>IF(M779=1,"Cabernet",IF(N779=1,"Merlot",IF(L779=1,"Pinot noir","Other")))</f>
        <v>Other</v>
      </c>
      <c r="U779" s="1" t="str">
        <f>IF(F779=1,B779,"")</f>
        <v/>
      </c>
      <c r="V779" s="1">
        <f>IF(F779=0,B779,"")</f>
        <v>77</v>
      </c>
      <c r="W779" s="1">
        <f>'Part B'!$B$150+SUMPRODUCT('Part B'!$B$164:$N$164,C779:O779)</f>
        <v>58.9656248754529</v>
      </c>
      <c r="X779" s="1">
        <f>B779-W779</f>
        <v>18.0343751245471</v>
      </c>
      <c r="Y779" s="1">
        <f>'Part B'!$B$179+SUMPRODUCT('Part B'!$B$193:$N$193,C779:O779)</f>
        <v>3.76254738642108</v>
      </c>
      <c r="Z779" s="1">
        <f>P779-Y779</f>
        <v>0.581258035432608</v>
      </c>
      <c r="AB779" s="1">
        <f>C779</f>
        <v>3.6</v>
      </c>
      <c r="AC779" s="1">
        <f>D779</f>
        <v>92</v>
      </c>
      <c r="AD779" s="1">
        <f>E779</f>
        <v>3</v>
      </c>
      <c r="AE779" s="1">
        <f>F779</f>
        <v>0</v>
      </c>
      <c r="AF779" s="1">
        <f>G779</f>
        <v>1</v>
      </c>
      <c r="AG779" s="1">
        <f>I779</f>
        <v>0</v>
      </c>
      <c r="AH779" s="1">
        <f>J779</f>
        <v>0</v>
      </c>
      <c r="AI779" s="1">
        <f>Q779</f>
        <v>0</v>
      </c>
      <c r="AJ779" s="1">
        <f>K779</f>
        <v>1</v>
      </c>
      <c r="AK779" s="1">
        <f>L779</f>
        <v>0</v>
      </c>
      <c r="AL779" s="1">
        <f>M779</f>
        <v>0</v>
      </c>
      <c r="AM779" s="1">
        <f>N779</f>
        <v>0</v>
      </c>
      <c r="AN779" s="1">
        <f>O779</f>
        <v>0</v>
      </c>
    </row>
    <row r="780">
      <c r="A780" s="1">
        <v>1037</v>
      </c>
      <c r="B780" s="1">
        <v>80</v>
      </c>
      <c r="C780" s="1">
        <v>0.7</v>
      </c>
      <c r="D780" s="1">
        <v>92</v>
      </c>
      <c r="E780" s="1">
        <v>4</v>
      </c>
      <c r="F780" s="1">
        <v>1</v>
      </c>
      <c r="G780" s="1">
        <v>0</v>
      </c>
      <c r="H780" s="1">
        <v>0</v>
      </c>
      <c r="I780" s="1">
        <v>0</v>
      </c>
      <c r="J780" s="1">
        <v>0</v>
      </c>
      <c r="K780" s="1">
        <v>1</v>
      </c>
      <c r="L780" s="1">
        <v>0</v>
      </c>
      <c r="M780" s="1">
        <v>0</v>
      </c>
      <c r="N780" s="1">
        <v>0</v>
      </c>
      <c r="O780" s="1">
        <v>0</v>
      </c>
      <c r="P780" s="1">
        <f>LN(B780)</f>
        <v>4.38202663467388</v>
      </c>
      <c r="Q780" s="1">
        <f>1-SUM(F780:J780)</f>
        <v>0</v>
      </c>
      <c r="R780" s="1" t="str">
        <f>IF(F780=1,"Napa valley",IF(G780=1,"Bay area",IF(H780=1,"Sonoma",IF(I780=1,"Sierra/foothills",IF(J780=1,"Mendocino/lake","Generic California")))))</f>
        <v>Napa valley</v>
      </c>
      <c r="S780" s="1" t="str">
        <f>IF(F780=1,"Napa valley",IF(H780=1,"Sonoma","Other"))</f>
        <v>Napa valley</v>
      </c>
      <c r="T780" s="1" t="str">
        <f>IF(M780=1,"Cabernet",IF(N780=1,"Merlot",IF(L780=1,"Pinot noir","Other")))</f>
        <v>Other</v>
      </c>
      <c r="U780" s="1">
        <f>IF(F780=1,B780,"")</f>
        <v>80</v>
      </c>
      <c r="V780" s="1" t="str">
        <f>IF(F780=0,B780,"")</f>
        <v/>
      </c>
      <c r="W780" s="1">
        <f>'Part B'!$B$150+SUMPRODUCT('Part B'!$B$164:$N$164,C780:O780)</f>
        <v>70.6426062721603</v>
      </c>
      <c r="X780" s="1">
        <f>B780-W780</f>
        <v>9.35739372783968</v>
      </c>
      <c r="Y780" s="1">
        <f>'Part B'!$B$179+SUMPRODUCT('Part B'!$B$193:$N$193,C780:O780)</f>
        <v>4.13277440366906</v>
      </c>
      <c r="Z780" s="1">
        <f>P780-Y780</f>
        <v>0.249252231004825</v>
      </c>
      <c r="AB780" s="1">
        <f>C780</f>
        <v>0.7</v>
      </c>
      <c r="AC780" s="1">
        <f>D780</f>
        <v>92</v>
      </c>
      <c r="AD780" s="1">
        <f>E780</f>
        <v>4</v>
      </c>
      <c r="AE780" s="1">
        <f>F780</f>
        <v>1</v>
      </c>
      <c r="AF780" s="1">
        <f>G780</f>
        <v>0</v>
      </c>
      <c r="AG780" s="1">
        <f>I780</f>
        <v>0</v>
      </c>
      <c r="AH780" s="1">
        <f>J780</f>
        <v>0</v>
      </c>
      <c r="AI780" s="1">
        <f>Q780</f>
        <v>0</v>
      </c>
      <c r="AJ780" s="1">
        <f>K780</f>
        <v>1</v>
      </c>
      <c r="AK780" s="1">
        <f>L780</f>
        <v>0</v>
      </c>
      <c r="AL780" s="1">
        <f>M780</f>
        <v>0</v>
      </c>
      <c r="AM780" s="1">
        <f>N780</f>
        <v>0</v>
      </c>
      <c r="AN780" s="1">
        <f>O780</f>
        <v>0</v>
      </c>
    </row>
    <row r="781">
      <c r="A781" s="1">
        <v>1038</v>
      </c>
      <c r="B781" s="1">
        <v>80</v>
      </c>
      <c r="C781" s="1">
        <v>0.95</v>
      </c>
      <c r="D781" s="1">
        <v>90</v>
      </c>
      <c r="E781" s="1">
        <v>3</v>
      </c>
      <c r="F781" s="1">
        <v>0</v>
      </c>
      <c r="G781" s="1">
        <v>0</v>
      </c>
      <c r="H781" s="1">
        <v>1</v>
      </c>
      <c r="I781" s="1">
        <v>0</v>
      </c>
      <c r="J781" s="1">
        <v>0</v>
      </c>
      <c r="K781" s="1">
        <v>0</v>
      </c>
      <c r="L781" s="1">
        <v>0</v>
      </c>
      <c r="M781" s="1">
        <v>1</v>
      </c>
      <c r="N781" s="1">
        <v>0</v>
      </c>
      <c r="O781" s="1">
        <v>0</v>
      </c>
      <c r="P781" s="1">
        <f>LN(B781)</f>
        <v>4.38202663467388</v>
      </c>
      <c r="Q781" s="1">
        <f>1-SUM(F781:J781)</f>
        <v>0</v>
      </c>
      <c r="R781" s="1" t="str">
        <f>IF(F781=1,"Napa valley",IF(G781=1,"Bay area",IF(H781=1,"Sonoma",IF(I781=1,"Sierra/foothills",IF(J781=1,"Mendocino/lake","Generic California")))))</f>
        <v>Sonoma</v>
      </c>
      <c r="S781" s="1" t="str">
        <f>IF(F781=1,"Napa valley",IF(H781=1,"Sonoma","Other"))</f>
        <v>Sonoma</v>
      </c>
      <c r="T781" s="1" t="str">
        <f>IF(M781=1,"Cabernet",IF(N781=1,"Merlot",IF(L781=1,"Pinot noir","Other")))</f>
        <v>Cabernet</v>
      </c>
      <c r="U781" s="1" t="str">
        <f>IF(F781=1,B781,"")</f>
        <v/>
      </c>
      <c r="V781" s="1">
        <f>IF(F781=0,B781,"")</f>
        <v>80</v>
      </c>
      <c r="W781" s="1">
        <f>'Part B'!$B$150+SUMPRODUCT('Part B'!$B$164:$N$164,C781:O781)</f>
        <v>42.1520913017062</v>
      </c>
      <c r="X781" s="1">
        <f>B781-W781</f>
        <v>37.8479086982938</v>
      </c>
      <c r="Y781" s="1">
        <f>'Part B'!$B$179+SUMPRODUCT('Part B'!$B$193:$N$193,C781:O781)</f>
        <v>3.50331724831235</v>
      </c>
      <c r="Z781" s="1">
        <f>P781-Y781</f>
        <v>0.878709386361535</v>
      </c>
      <c r="AB781" s="1">
        <f>C781</f>
        <v>0.95</v>
      </c>
      <c r="AC781" s="1">
        <f>D781</f>
        <v>90</v>
      </c>
      <c r="AD781" s="1">
        <f>E781</f>
        <v>3</v>
      </c>
      <c r="AE781" s="1">
        <f>F781</f>
        <v>0</v>
      </c>
      <c r="AF781" s="1">
        <f>G781</f>
        <v>0</v>
      </c>
      <c r="AG781" s="1">
        <f>I781</f>
        <v>0</v>
      </c>
      <c r="AH781" s="1">
        <f>J781</f>
        <v>0</v>
      </c>
      <c r="AI781" s="1">
        <f>Q781</f>
        <v>0</v>
      </c>
      <c r="AJ781" s="1">
        <f>K781</f>
        <v>0</v>
      </c>
      <c r="AK781" s="1">
        <f>L781</f>
        <v>0</v>
      </c>
      <c r="AL781" s="1">
        <f>M781</f>
        <v>1</v>
      </c>
      <c r="AM781" s="1">
        <f>N781</f>
        <v>0</v>
      </c>
      <c r="AN781" s="1">
        <f>O781</f>
        <v>0</v>
      </c>
    </row>
    <row r="782">
      <c r="A782" s="1">
        <v>1039</v>
      </c>
      <c r="B782" s="1">
        <v>81</v>
      </c>
      <c r="C782" s="1">
        <v>0.7</v>
      </c>
      <c r="D782" s="1">
        <v>93</v>
      </c>
      <c r="E782" s="1">
        <v>2</v>
      </c>
      <c r="F782" s="1">
        <v>1</v>
      </c>
      <c r="G782" s="1">
        <v>0</v>
      </c>
      <c r="H782" s="1">
        <v>0</v>
      </c>
      <c r="I782" s="1">
        <v>0</v>
      </c>
      <c r="J782" s="1">
        <v>0</v>
      </c>
      <c r="K782" s="1">
        <v>0</v>
      </c>
      <c r="L782" s="1">
        <v>0</v>
      </c>
      <c r="M782" s="1">
        <v>0</v>
      </c>
      <c r="N782" s="1">
        <v>0</v>
      </c>
      <c r="O782" s="1">
        <v>0</v>
      </c>
      <c r="P782" s="1">
        <f>LN(B782)</f>
        <v>4.39444915467244</v>
      </c>
      <c r="Q782" s="1">
        <f>1-SUM(F782:J782)</f>
        <v>0</v>
      </c>
      <c r="R782" s="1" t="str">
        <f>IF(F782=1,"Napa valley",IF(G782=1,"Bay area",IF(H782=1,"Sonoma",IF(I782=1,"Sierra/foothills",IF(J782=1,"Mendocino/lake","Generic California")))))</f>
        <v>Napa valley</v>
      </c>
      <c r="S782" s="1" t="str">
        <f>IF(F782=1,"Napa valley",IF(H782=1,"Sonoma","Other"))</f>
        <v>Napa valley</v>
      </c>
      <c r="T782" s="1" t="str">
        <f>IF(M782=1,"Cabernet",IF(N782=1,"Merlot",IF(L782=1,"Pinot noir","Other")))</f>
        <v>Other</v>
      </c>
      <c r="U782" s="1">
        <f>IF(F782=1,B782,"")</f>
        <v>81</v>
      </c>
      <c r="V782" s="1" t="str">
        <f>IF(F782=0,B782,"")</f>
        <v/>
      </c>
      <c r="W782" s="1">
        <f>'Part B'!$B$150+SUMPRODUCT('Part B'!$B$164:$N$164,C782:O782)</f>
        <v>40.2607004404246</v>
      </c>
      <c r="X782" s="1">
        <f>B782-W782</f>
        <v>40.7392995595754</v>
      </c>
      <c r="Y782" s="1">
        <f>'Part B'!$B$179+SUMPRODUCT('Part B'!$B$193:$N$193,C782:O782)</f>
        <v>3.35797774356209</v>
      </c>
      <c r="Z782" s="1">
        <f>P782-Y782</f>
        <v>1.03647141111035</v>
      </c>
      <c r="AB782" s="1">
        <f>C782</f>
        <v>0.7</v>
      </c>
      <c r="AC782" s="1">
        <f>D782</f>
        <v>93</v>
      </c>
      <c r="AD782" s="1">
        <f>E782</f>
        <v>2</v>
      </c>
      <c r="AE782" s="1">
        <f>F782</f>
        <v>1</v>
      </c>
      <c r="AF782" s="1">
        <f>G782</f>
        <v>0</v>
      </c>
      <c r="AG782" s="1">
        <f>I782</f>
        <v>0</v>
      </c>
      <c r="AH782" s="1">
        <f>J782</f>
        <v>0</v>
      </c>
      <c r="AI782" s="1">
        <f>Q782</f>
        <v>0</v>
      </c>
      <c r="AJ782" s="1">
        <f>K782</f>
        <v>0</v>
      </c>
      <c r="AK782" s="1">
        <f>L782</f>
        <v>0</v>
      </c>
      <c r="AL782" s="1">
        <f>M782</f>
        <v>0</v>
      </c>
      <c r="AM782" s="1">
        <f>N782</f>
        <v>0</v>
      </c>
      <c r="AN782" s="1">
        <f>O782</f>
        <v>0</v>
      </c>
    </row>
    <row r="783">
      <c r="A783" s="1">
        <v>1040</v>
      </c>
      <c r="B783" s="1">
        <v>82</v>
      </c>
      <c r="C783" s="1">
        <v>2.5</v>
      </c>
      <c r="D783" s="1">
        <v>92</v>
      </c>
      <c r="E783" s="1">
        <v>3</v>
      </c>
      <c r="F783" s="1">
        <v>1</v>
      </c>
      <c r="G783" s="1">
        <v>0</v>
      </c>
      <c r="H783" s="1">
        <v>0</v>
      </c>
      <c r="I783" s="1">
        <v>0</v>
      </c>
      <c r="J783" s="1">
        <v>0</v>
      </c>
      <c r="K783" s="1">
        <v>1</v>
      </c>
      <c r="L783" s="1">
        <v>0</v>
      </c>
      <c r="M783" s="1">
        <v>0</v>
      </c>
      <c r="N783" s="1">
        <v>0</v>
      </c>
      <c r="O783" s="1">
        <v>0</v>
      </c>
      <c r="P783" s="1">
        <f>LN(B783)</f>
        <v>4.40671924726425</v>
      </c>
      <c r="Q783" s="1">
        <f>1-SUM(F783:J783)</f>
        <v>0</v>
      </c>
      <c r="R783" s="1" t="str">
        <f>IF(F783=1,"Napa valley",IF(G783=1,"Bay area",IF(H783=1,"Sonoma",IF(I783=1,"Sierra/foothills",IF(J783=1,"Mendocino/lake","Generic California")))))</f>
        <v>Napa valley</v>
      </c>
      <c r="S783" s="1" t="str">
        <f>IF(F783=1,"Napa valley",IF(H783=1,"Sonoma","Other"))</f>
        <v>Napa valley</v>
      </c>
      <c r="T783" s="1" t="str">
        <f>IF(M783=1,"Cabernet",IF(N783=1,"Merlot",IF(L783=1,"Pinot noir","Other")))</f>
        <v>Other</v>
      </c>
      <c r="U783" s="1">
        <f>IF(F783=1,B783,"")</f>
        <v>82</v>
      </c>
      <c r="V783" s="1" t="str">
        <f>IF(F783=0,B783,"")</f>
        <v/>
      </c>
      <c r="W783" s="1">
        <f>'Part B'!$B$150+SUMPRODUCT('Part B'!$B$164:$N$164,C783:O783)</f>
        <v>63.8521567284482</v>
      </c>
      <c r="X783" s="1">
        <f>B783-W783</f>
        <v>18.1478432715518</v>
      </c>
      <c r="Y783" s="1">
        <f>'Part B'!$B$179+SUMPRODUCT('Part B'!$B$193:$N$193,C783:O783)</f>
        <v>3.9419868003663</v>
      </c>
      <c r="Z783" s="1">
        <f>P783-Y783</f>
        <v>0.464732446897957</v>
      </c>
      <c r="AB783" s="1">
        <f>C783</f>
        <v>2.5</v>
      </c>
      <c r="AC783" s="1">
        <f>D783</f>
        <v>92</v>
      </c>
      <c r="AD783" s="1">
        <f>E783</f>
        <v>3</v>
      </c>
      <c r="AE783" s="1">
        <f>F783</f>
        <v>1</v>
      </c>
      <c r="AF783" s="1">
        <f>G783</f>
        <v>0</v>
      </c>
      <c r="AG783" s="1">
        <f>I783</f>
        <v>0</v>
      </c>
      <c r="AH783" s="1">
        <f>J783</f>
        <v>0</v>
      </c>
      <c r="AI783" s="1">
        <f>Q783</f>
        <v>0</v>
      </c>
      <c r="AJ783" s="1">
        <f>K783</f>
        <v>1</v>
      </c>
      <c r="AK783" s="1">
        <f>L783</f>
        <v>0</v>
      </c>
      <c r="AL783" s="1">
        <f>M783</f>
        <v>0</v>
      </c>
      <c r="AM783" s="1">
        <f>N783</f>
        <v>0</v>
      </c>
      <c r="AN783" s="1">
        <f>O783</f>
        <v>0</v>
      </c>
    </row>
    <row r="784">
      <c r="A784" s="1">
        <v>1041</v>
      </c>
      <c r="B784" s="1">
        <v>85</v>
      </c>
      <c r="C784" s="1">
        <v>0.918</v>
      </c>
      <c r="D784" s="1">
        <v>91</v>
      </c>
      <c r="E784" s="1">
        <v>5</v>
      </c>
      <c r="F784" s="1">
        <v>1</v>
      </c>
      <c r="G784" s="1">
        <v>0</v>
      </c>
      <c r="H784" s="1">
        <v>0</v>
      </c>
      <c r="I784" s="1">
        <v>0</v>
      </c>
      <c r="J784" s="1">
        <v>0</v>
      </c>
      <c r="K784" s="1">
        <v>0</v>
      </c>
      <c r="L784" s="1">
        <v>0</v>
      </c>
      <c r="M784" s="1">
        <v>1</v>
      </c>
      <c r="N784" s="1">
        <v>0</v>
      </c>
      <c r="O784" s="1">
        <v>0</v>
      </c>
      <c r="P784" s="1">
        <f>LN(B784)</f>
        <v>4.44265125649032</v>
      </c>
      <c r="Q784" s="1">
        <f>1-SUM(F784:J784)</f>
        <v>0</v>
      </c>
      <c r="R784" s="1" t="str">
        <f>IF(F784=1,"Napa valley",IF(G784=1,"Bay area",IF(H784=1,"Sonoma",IF(I784=1,"Sierra/foothills",IF(J784=1,"Mendocino/lake","Generic California")))))</f>
        <v>Napa valley</v>
      </c>
      <c r="S784" s="1" t="str">
        <f>IF(F784=1,"Napa valley",IF(H784=1,"Sonoma","Other"))</f>
        <v>Napa valley</v>
      </c>
      <c r="T784" s="1" t="str">
        <f>IF(M784=1,"Cabernet",IF(N784=1,"Merlot",IF(L784=1,"Pinot noir","Other")))</f>
        <v>Cabernet</v>
      </c>
      <c r="U784" s="1">
        <f>IF(F784=1,B784,"")</f>
        <v>85</v>
      </c>
      <c r="V784" s="1" t="str">
        <f>IF(F784=0,B784,"")</f>
        <v/>
      </c>
      <c r="W784" s="1">
        <f>'Part B'!$B$150+SUMPRODUCT('Part B'!$B$164:$N$164,C784:O784)</f>
        <v>66.4358829712484</v>
      </c>
      <c r="X784" s="1">
        <f>B784-W784</f>
        <v>18.5641170287516</v>
      </c>
      <c r="Y784" s="1">
        <f>'Part B'!$B$179+SUMPRODUCT('Part B'!$B$193:$N$193,C784:O784)</f>
        <v>4.08737367704181</v>
      </c>
      <c r="Z784" s="1">
        <f>P784-Y784</f>
        <v>0.355277579448511</v>
      </c>
      <c r="AB784" s="1">
        <f>C784</f>
        <v>0.918</v>
      </c>
      <c r="AC784" s="1">
        <f>D784</f>
        <v>91</v>
      </c>
      <c r="AD784" s="1">
        <f>E784</f>
        <v>5</v>
      </c>
      <c r="AE784" s="1">
        <f>F784</f>
        <v>1</v>
      </c>
      <c r="AF784" s="1">
        <f>G784</f>
        <v>0</v>
      </c>
      <c r="AG784" s="1">
        <f>I784</f>
        <v>0</v>
      </c>
      <c r="AH784" s="1">
        <f>J784</f>
        <v>0</v>
      </c>
      <c r="AI784" s="1">
        <f>Q784</f>
        <v>0</v>
      </c>
      <c r="AJ784" s="1">
        <f>K784</f>
        <v>0</v>
      </c>
      <c r="AK784" s="1">
        <f>L784</f>
        <v>0</v>
      </c>
      <c r="AL784" s="1">
        <f>M784</f>
        <v>1</v>
      </c>
      <c r="AM784" s="1">
        <f>N784</f>
        <v>0</v>
      </c>
      <c r="AN784" s="1">
        <f>O784</f>
        <v>0</v>
      </c>
    </row>
    <row r="785">
      <c r="A785" s="1">
        <v>1042</v>
      </c>
      <c r="B785" s="1">
        <v>85</v>
      </c>
      <c r="C785" s="1">
        <v>0.2</v>
      </c>
      <c r="D785" s="1">
        <v>92</v>
      </c>
      <c r="E785" s="1">
        <v>4</v>
      </c>
      <c r="F785" s="1">
        <v>1</v>
      </c>
      <c r="G785" s="1">
        <v>0</v>
      </c>
      <c r="H785" s="1">
        <v>0</v>
      </c>
      <c r="I785" s="1">
        <v>0</v>
      </c>
      <c r="J785" s="1">
        <v>0</v>
      </c>
      <c r="K785" s="1">
        <v>0</v>
      </c>
      <c r="L785" s="1">
        <v>0</v>
      </c>
      <c r="M785" s="1">
        <v>1</v>
      </c>
      <c r="N785" s="1">
        <v>0</v>
      </c>
      <c r="O785" s="1">
        <v>0</v>
      </c>
      <c r="P785" s="1">
        <f>LN(B785)</f>
        <v>4.44265125649032</v>
      </c>
      <c r="Q785" s="1">
        <f>1-SUM(F785:J785)</f>
        <v>0</v>
      </c>
      <c r="R785" s="1" t="str">
        <f>IF(F785=1,"Napa valley",IF(G785=1,"Bay area",IF(H785=1,"Sonoma",IF(I785=1,"Sierra/foothills",IF(J785=1,"Mendocino/lake","Generic California")))))</f>
        <v>Napa valley</v>
      </c>
      <c r="S785" s="1" t="str">
        <f>IF(F785=1,"Napa valley",IF(H785=1,"Sonoma","Other"))</f>
        <v>Napa valley</v>
      </c>
      <c r="T785" s="1" t="str">
        <f>IF(M785=1,"Cabernet",IF(N785=1,"Merlot",IF(L785=1,"Pinot noir","Other")))</f>
        <v>Cabernet</v>
      </c>
      <c r="U785" s="1">
        <f>IF(F785=1,B785,"")</f>
        <v>85</v>
      </c>
      <c r="V785" s="1" t="str">
        <f>IF(F785=0,B785,"")</f>
        <v/>
      </c>
      <c r="W785" s="1">
        <f>'Part B'!$B$150+SUMPRODUCT('Part B'!$B$164:$N$164,C785:O785)</f>
        <v>63.0295233918253</v>
      </c>
      <c r="X785" s="1">
        <f>B785-W785</f>
        <v>21.9704766081747</v>
      </c>
      <c r="Y785" s="1">
        <f>'Part B'!$B$179+SUMPRODUCT('Part B'!$B$193:$N$193,C785:O785)</f>
        <v>3.97732213360779</v>
      </c>
      <c r="Z785" s="1">
        <f>P785-Y785</f>
        <v>0.465329122882524</v>
      </c>
      <c r="AB785" s="1">
        <f>C785</f>
        <v>0.2</v>
      </c>
      <c r="AC785" s="1">
        <f>D785</f>
        <v>92</v>
      </c>
      <c r="AD785" s="1">
        <f>E785</f>
        <v>4</v>
      </c>
      <c r="AE785" s="1">
        <f>F785</f>
        <v>1</v>
      </c>
      <c r="AF785" s="1">
        <f>G785</f>
        <v>0</v>
      </c>
      <c r="AG785" s="1">
        <f>I785</f>
        <v>0</v>
      </c>
      <c r="AH785" s="1">
        <f>J785</f>
        <v>0</v>
      </c>
      <c r="AI785" s="1">
        <f>Q785</f>
        <v>0</v>
      </c>
      <c r="AJ785" s="1">
        <f>K785</f>
        <v>0</v>
      </c>
      <c r="AK785" s="1">
        <f>L785</f>
        <v>0</v>
      </c>
      <c r="AL785" s="1">
        <f>M785</f>
        <v>1</v>
      </c>
      <c r="AM785" s="1">
        <f>N785</f>
        <v>0</v>
      </c>
      <c r="AN785" s="1">
        <f>O785</f>
        <v>0</v>
      </c>
    </row>
    <row r="786">
      <c r="A786" s="1">
        <v>1043</v>
      </c>
      <c r="B786" s="1">
        <v>85</v>
      </c>
      <c r="C786" s="1">
        <v>0.2</v>
      </c>
      <c r="D786" s="1">
        <v>94</v>
      </c>
      <c r="E786" s="1">
        <v>4</v>
      </c>
      <c r="F786" s="1">
        <v>1</v>
      </c>
      <c r="G786" s="1">
        <v>0</v>
      </c>
      <c r="H786" s="1">
        <v>0</v>
      </c>
      <c r="I786" s="1">
        <v>0</v>
      </c>
      <c r="J786" s="1">
        <v>0</v>
      </c>
      <c r="K786" s="1">
        <v>0</v>
      </c>
      <c r="L786" s="1">
        <v>0</v>
      </c>
      <c r="M786" s="1">
        <v>1</v>
      </c>
      <c r="N786" s="1">
        <v>0</v>
      </c>
      <c r="O786" s="1">
        <v>0</v>
      </c>
      <c r="P786" s="1">
        <f>LN(B786)</f>
        <v>4.44265125649032</v>
      </c>
      <c r="Q786" s="1">
        <f>1-SUM(F786:J786)</f>
        <v>0</v>
      </c>
      <c r="R786" s="1" t="str">
        <f>IF(F786=1,"Napa valley",IF(G786=1,"Bay area",IF(H786=1,"Sonoma",IF(I786=1,"Sierra/foothills",IF(J786=1,"Mendocino/lake","Generic California")))))</f>
        <v>Napa valley</v>
      </c>
      <c r="S786" s="1" t="str">
        <f>IF(F786=1,"Napa valley",IF(H786=1,"Sonoma","Other"))</f>
        <v>Napa valley</v>
      </c>
      <c r="T786" s="1" t="str">
        <f>IF(M786=1,"Cabernet",IF(N786=1,"Merlot",IF(L786=1,"Pinot noir","Other")))</f>
        <v>Cabernet</v>
      </c>
      <c r="U786" s="1">
        <f>IF(F786=1,B786,"")</f>
        <v>85</v>
      </c>
      <c r="V786" s="1" t="str">
        <f>IF(F786=0,B786,"")</f>
        <v/>
      </c>
      <c r="W786" s="1">
        <f>'Part B'!$B$150+SUMPRODUCT('Part B'!$B$164:$N$164,C786:O786)</f>
        <v>69.3197175765466</v>
      </c>
      <c r="X786" s="1">
        <f>B786-W786</f>
        <v>15.6802824234534</v>
      </c>
      <c r="Y786" s="1">
        <f>'Part B'!$B$179+SUMPRODUCT('Part B'!$B$193:$N$193,C786:O786)</f>
        <v>4.11724487120265</v>
      </c>
      <c r="Z786" s="1">
        <f>P786-Y786</f>
        <v>0.32540638528767</v>
      </c>
      <c r="AB786" s="1">
        <f>C786</f>
        <v>0.2</v>
      </c>
      <c r="AC786" s="1">
        <f>D786</f>
        <v>94</v>
      </c>
      <c r="AD786" s="1">
        <f>E786</f>
        <v>4</v>
      </c>
      <c r="AE786" s="1">
        <f>F786</f>
        <v>1</v>
      </c>
      <c r="AF786" s="1">
        <f>G786</f>
        <v>0</v>
      </c>
      <c r="AG786" s="1">
        <f>I786</f>
        <v>0</v>
      </c>
      <c r="AH786" s="1">
        <f>J786</f>
        <v>0</v>
      </c>
      <c r="AI786" s="1">
        <f>Q786</f>
        <v>0</v>
      </c>
      <c r="AJ786" s="1">
        <f>K786</f>
        <v>0</v>
      </c>
      <c r="AK786" s="1">
        <f>L786</f>
        <v>0</v>
      </c>
      <c r="AL786" s="1">
        <f>M786</f>
        <v>1</v>
      </c>
      <c r="AM786" s="1">
        <f>N786</f>
        <v>0</v>
      </c>
      <c r="AN786" s="1">
        <f>O786</f>
        <v>0</v>
      </c>
    </row>
    <row r="787">
      <c r="A787" s="1">
        <v>1044</v>
      </c>
      <c r="B787" s="1">
        <v>85</v>
      </c>
      <c r="C787" s="1">
        <v>0.2</v>
      </c>
      <c r="D787" s="1">
        <v>94</v>
      </c>
      <c r="E787" s="1">
        <v>4</v>
      </c>
      <c r="F787" s="1">
        <v>1</v>
      </c>
      <c r="G787" s="1">
        <v>0</v>
      </c>
      <c r="H787" s="1">
        <v>0</v>
      </c>
      <c r="I787" s="1">
        <v>0</v>
      </c>
      <c r="J787" s="1">
        <v>0</v>
      </c>
      <c r="K787" s="1">
        <v>0</v>
      </c>
      <c r="L787" s="1">
        <v>0</v>
      </c>
      <c r="M787" s="1">
        <v>1</v>
      </c>
      <c r="N787" s="1">
        <v>0</v>
      </c>
      <c r="O787" s="1">
        <v>0</v>
      </c>
      <c r="P787" s="1">
        <f>LN(B787)</f>
        <v>4.44265125649032</v>
      </c>
      <c r="Q787" s="1">
        <f>1-SUM(F787:J787)</f>
        <v>0</v>
      </c>
      <c r="R787" s="1" t="str">
        <f>IF(F787=1,"Napa valley",IF(G787=1,"Bay area",IF(H787=1,"Sonoma",IF(I787=1,"Sierra/foothills",IF(J787=1,"Mendocino/lake","Generic California")))))</f>
        <v>Napa valley</v>
      </c>
      <c r="S787" s="1" t="str">
        <f>IF(F787=1,"Napa valley",IF(H787=1,"Sonoma","Other"))</f>
        <v>Napa valley</v>
      </c>
      <c r="T787" s="1" t="str">
        <f>IF(M787=1,"Cabernet",IF(N787=1,"Merlot",IF(L787=1,"Pinot noir","Other")))</f>
        <v>Cabernet</v>
      </c>
      <c r="U787" s="1">
        <f>IF(F787=1,B787,"")</f>
        <v>85</v>
      </c>
      <c r="V787" s="1" t="str">
        <f>IF(F787=0,B787,"")</f>
        <v/>
      </c>
      <c r="W787" s="1">
        <f>'Part B'!$B$150+SUMPRODUCT('Part B'!$B$164:$N$164,C787:O787)</f>
        <v>69.3197175765466</v>
      </c>
      <c r="X787" s="1">
        <f>B787-W787</f>
        <v>15.6802824234534</v>
      </c>
      <c r="Y787" s="1">
        <f>'Part B'!$B$179+SUMPRODUCT('Part B'!$B$193:$N$193,C787:O787)</f>
        <v>4.11724487120265</v>
      </c>
      <c r="Z787" s="1">
        <f>P787-Y787</f>
        <v>0.32540638528767</v>
      </c>
      <c r="AB787" s="1">
        <f>C787</f>
        <v>0.2</v>
      </c>
      <c r="AC787" s="1">
        <f>D787</f>
        <v>94</v>
      </c>
      <c r="AD787" s="1">
        <f>E787</f>
        <v>4</v>
      </c>
      <c r="AE787" s="1">
        <f>F787</f>
        <v>1</v>
      </c>
      <c r="AF787" s="1">
        <f>G787</f>
        <v>0</v>
      </c>
      <c r="AG787" s="1">
        <f>I787</f>
        <v>0</v>
      </c>
      <c r="AH787" s="1">
        <f>J787</f>
        <v>0</v>
      </c>
      <c r="AI787" s="1">
        <f>Q787</f>
        <v>0</v>
      </c>
      <c r="AJ787" s="1">
        <f>K787</f>
        <v>0</v>
      </c>
      <c r="AK787" s="1">
        <f>L787</f>
        <v>0</v>
      </c>
      <c r="AL787" s="1">
        <f>M787</f>
        <v>1</v>
      </c>
      <c r="AM787" s="1">
        <f>N787</f>
        <v>0</v>
      </c>
      <c r="AN787" s="1">
        <f>O787</f>
        <v>0</v>
      </c>
    </row>
    <row r="788">
      <c r="A788" s="1">
        <v>1045</v>
      </c>
      <c r="B788" s="1">
        <v>90</v>
      </c>
      <c r="C788" s="1">
        <v>2</v>
      </c>
      <c r="D788" s="1">
        <v>92</v>
      </c>
      <c r="E788" s="1">
        <v>4</v>
      </c>
      <c r="F788" s="1">
        <v>1</v>
      </c>
      <c r="G788" s="1">
        <v>0</v>
      </c>
      <c r="H788" s="1">
        <v>0</v>
      </c>
      <c r="I788" s="1">
        <v>0</v>
      </c>
      <c r="J788" s="1">
        <v>0</v>
      </c>
      <c r="K788" s="1">
        <v>1</v>
      </c>
      <c r="L788" s="1">
        <v>0</v>
      </c>
      <c r="M788" s="1">
        <v>0</v>
      </c>
      <c r="N788" s="1">
        <v>0</v>
      </c>
      <c r="O788" s="1">
        <v>0</v>
      </c>
      <c r="P788" s="1">
        <f>LN(B788)</f>
        <v>4.49980967033027</v>
      </c>
      <c r="Q788" s="1">
        <f>1-SUM(F788:J788)</f>
        <v>0</v>
      </c>
      <c r="R788" s="1" t="str">
        <f>IF(F788=1,"Napa valley",IF(G788=1,"Bay area",IF(H788=1,"Sonoma",IF(I788=1,"Sierra/foothills",IF(J788=1,"Mendocino/lake","Generic California")))))</f>
        <v>Napa valley</v>
      </c>
      <c r="S788" s="1" t="str">
        <f>IF(F788=1,"Napa valley",IF(H788=1,"Sonoma","Other"))</f>
        <v>Napa valley</v>
      </c>
      <c r="T788" s="1" t="str">
        <f>IF(M788=1,"Cabernet",IF(N788=1,"Merlot",IF(L788=1,"Pinot noir","Other")))</f>
        <v>Other</v>
      </c>
      <c r="U788" s="1">
        <f>IF(F788=1,B788,"")</f>
        <v>90</v>
      </c>
      <c r="V788" s="1" t="str">
        <f>IF(F788=0,B788,"")</f>
        <v/>
      </c>
      <c r="W788" s="1">
        <f>'Part B'!$B$150+SUMPRODUCT('Part B'!$B$164:$N$164,C788:O788)</f>
        <v>70.5192183716413</v>
      </c>
      <c r="X788" s="1">
        <f>B788-W788</f>
        <v>19.4807816283587</v>
      </c>
      <c r="Y788" s="1">
        <f>'Part B'!$B$179+SUMPRODUCT('Part B'!$B$193:$N$193,C788:O788)</f>
        <v>4.12721161638045</v>
      </c>
      <c r="Z788" s="1">
        <f>P788-Y788</f>
        <v>0.372598053949818</v>
      </c>
      <c r="AB788" s="1">
        <f>C788</f>
        <v>2</v>
      </c>
      <c r="AC788" s="1">
        <f>D788</f>
        <v>92</v>
      </c>
      <c r="AD788" s="1">
        <f>E788</f>
        <v>4</v>
      </c>
      <c r="AE788" s="1">
        <f>F788</f>
        <v>1</v>
      </c>
      <c r="AF788" s="1">
        <f>G788</f>
        <v>0</v>
      </c>
      <c r="AG788" s="1">
        <f>I788</f>
        <v>0</v>
      </c>
      <c r="AH788" s="1">
        <f>J788</f>
        <v>0</v>
      </c>
      <c r="AI788" s="1">
        <f>Q788</f>
        <v>0</v>
      </c>
      <c r="AJ788" s="1">
        <f>K788</f>
        <v>1</v>
      </c>
      <c r="AK788" s="1">
        <f>L788</f>
        <v>0</v>
      </c>
      <c r="AL788" s="1">
        <f>M788</f>
        <v>0</v>
      </c>
      <c r="AM788" s="1">
        <f>N788</f>
        <v>0</v>
      </c>
      <c r="AN788" s="1">
        <f>O788</f>
        <v>0</v>
      </c>
    </row>
    <row r="789">
      <c r="A789" s="1">
        <v>1046</v>
      </c>
      <c r="B789" s="1">
        <v>90</v>
      </c>
      <c r="C789" s="1">
        <v>6</v>
      </c>
      <c r="D789" s="1">
        <v>87</v>
      </c>
      <c r="E789" s="1">
        <v>3</v>
      </c>
      <c r="F789" s="1">
        <v>1</v>
      </c>
      <c r="G789" s="1">
        <v>0</v>
      </c>
      <c r="H789" s="1">
        <v>0</v>
      </c>
      <c r="I789" s="1">
        <v>0</v>
      </c>
      <c r="J789" s="1">
        <v>0</v>
      </c>
      <c r="K789" s="1">
        <v>1</v>
      </c>
      <c r="L789" s="1">
        <v>0</v>
      </c>
      <c r="M789" s="1">
        <v>0</v>
      </c>
      <c r="N789" s="1">
        <v>0</v>
      </c>
      <c r="O789" s="1">
        <v>0</v>
      </c>
      <c r="P789" s="1">
        <f>LN(B789)</f>
        <v>4.49980967033027</v>
      </c>
      <c r="Q789" s="1">
        <f>1-SUM(F789:J789)</f>
        <v>0</v>
      </c>
      <c r="R789" s="1" t="str">
        <f>IF(F789=1,"Napa valley",IF(G789=1,"Bay area",IF(H789=1,"Sonoma",IF(I789=1,"Sierra/foothills",IF(J789=1,"Mendocino/lake","Generic California")))))</f>
        <v>Napa valley</v>
      </c>
      <c r="S789" s="1" t="str">
        <f>IF(F789=1,"Napa valley",IF(H789=1,"Sonoma","Other"))</f>
        <v>Napa valley</v>
      </c>
      <c r="T789" s="1" t="str">
        <f>IF(M789=1,"Cabernet",IF(N789=1,"Merlot",IF(L789=1,"Pinot noir","Other")))</f>
        <v>Other</v>
      </c>
      <c r="U789" s="1">
        <f>IF(F789=1,B789,"")</f>
        <v>90</v>
      </c>
      <c r="V789" s="1" t="str">
        <f>IF(F789=0,B789,"")</f>
        <v/>
      </c>
      <c r="W789" s="1">
        <f>'Part B'!$B$150+SUMPRODUCT('Part B'!$B$164:$N$164,C789:O789)</f>
        <v>47.7944730729398</v>
      </c>
      <c r="X789" s="1">
        <f>B789-W789</f>
        <v>42.2055269270602</v>
      </c>
      <c r="Y789" s="1">
        <f>'Part B'!$B$179+SUMPRODUCT('Part B'!$B$193:$N$193,C789:O789)</f>
        <v>3.57720322137137</v>
      </c>
      <c r="Z789" s="1">
        <f>P789-Y789</f>
        <v>0.922606448958894</v>
      </c>
      <c r="AB789" s="1">
        <f>C789</f>
        <v>6</v>
      </c>
      <c r="AC789" s="1">
        <f>D789</f>
        <v>87</v>
      </c>
      <c r="AD789" s="1">
        <f>E789</f>
        <v>3</v>
      </c>
      <c r="AE789" s="1">
        <f>F789</f>
        <v>1</v>
      </c>
      <c r="AF789" s="1">
        <f>G789</f>
        <v>0</v>
      </c>
      <c r="AG789" s="1">
        <f>I789</f>
        <v>0</v>
      </c>
      <c r="AH789" s="1">
        <f>J789</f>
        <v>0</v>
      </c>
      <c r="AI789" s="1">
        <f>Q789</f>
        <v>0</v>
      </c>
      <c r="AJ789" s="1">
        <f>K789</f>
        <v>1</v>
      </c>
      <c r="AK789" s="1">
        <f>L789</f>
        <v>0</v>
      </c>
      <c r="AL789" s="1">
        <f>M789</f>
        <v>0</v>
      </c>
      <c r="AM789" s="1">
        <f>N789</f>
        <v>0</v>
      </c>
      <c r="AN789" s="1">
        <f>O789</f>
        <v>0</v>
      </c>
    </row>
    <row r="790">
      <c r="A790" s="1">
        <v>1047</v>
      </c>
      <c r="B790" s="1">
        <v>90</v>
      </c>
      <c r="C790" s="1">
        <v>10</v>
      </c>
      <c r="D790" s="1">
        <v>93</v>
      </c>
      <c r="E790" s="1">
        <v>3</v>
      </c>
      <c r="F790" s="1">
        <v>1</v>
      </c>
      <c r="G790" s="1">
        <v>0</v>
      </c>
      <c r="H790" s="1">
        <v>0</v>
      </c>
      <c r="I790" s="1">
        <v>0</v>
      </c>
      <c r="J790" s="1">
        <v>0</v>
      </c>
      <c r="K790" s="1">
        <v>1</v>
      </c>
      <c r="L790" s="1">
        <v>0</v>
      </c>
      <c r="M790" s="1">
        <v>0</v>
      </c>
      <c r="N790" s="1">
        <v>0</v>
      </c>
      <c r="O790" s="1">
        <v>0</v>
      </c>
      <c r="P790" s="1">
        <f>LN(B790)</f>
        <v>4.49980967033027</v>
      </c>
      <c r="Q790" s="1">
        <f>1-SUM(F790:J790)</f>
        <v>0</v>
      </c>
      <c r="R790" s="1" t="str">
        <f>IF(F790=1,"Napa valley",IF(G790=1,"Bay area",IF(H790=1,"Sonoma",IF(I790=1,"Sierra/foothills",IF(J790=1,"Mendocino/lake","Generic California")))))</f>
        <v>Napa valley</v>
      </c>
      <c r="S790" s="1" t="str">
        <f>IF(F790=1,"Napa valley",IF(H790=1,"Sonoma","Other"))</f>
        <v>Napa valley</v>
      </c>
      <c r="T790" s="1" t="str">
        <f>IF(M790=1,"Cabernet",IF(N790=1,"Merlot",IF(L790=1,"Pinot noir","Other")))</f>
        <v>Other</v>
      </c>
      <c r="U790" s="1">
        <f>IF(F790=1,B790,"")</f>
        <v>90</v>
      </c>
      <c r="V790" s="1" t="str">
        <f>IF(F790=0,B790,"")</f>
        <v/>
      </c>
      <c r="W790" s="1">
        <f>'Part B'!$B$150+SUMPRODUCT('Part B'!$B$164:$N$164,C790:O790)</f>
        <v>66.2854005485834</v>
      </c>
      <c r="X790" s="1">
        <f>B790-W790</f>
        <v>23.7145994514166</v>
      </c>
      <c r="Y790" s="1">
        <f>'Part B'!$B$179+SUMPRODUCT('Part B'!$B$193:$N$193,C790:O790)</f>
        <v>3.9798551655756</v>
      </c>
      <c r="Z790" s="1">
        <f>P790-Y790</f>
        <v>0.519954504754669</v>
      </c>
      <c r="AB790" s="1">
        <f>C790</f>
        <v>10</v>
      </c>
      <c r="AC790" s="1">
        <f>D790</f>
        <v>93</v>
      </c>
      <c r="AD790" s="1">
        <f>E790</f>
        <v>3</v>
      </c>
      <c r="AE790" s="1">
        <f>F790</f>
        <v>1</v>
      </c>
      <c r="AF790" s="1">
        <f>G790</f>
        <v>0</v>
      </c>
      <c r="AG790" s="1">
        <f>I790</f>
        <v>0</v>
      </c>
      <c r="AH790" s="1">
        <f>J790</f>
        <v>0</v>
      </c>
      <c r="AI790" s="1">
        <f>Q790</f>
        <v>0</v>
      </c>
      <c r="AJ790" s="1">
        <f>K790</f>
        <v>1</v>
      </c>
      <c r="AK790" s="1">
        <f>L790</f>
        <v>0</v>
      </c>
      <c r="AL790" s="1">
        <f>M790</f>
        <v>0</v>
      </c>
      <c r="AM790" s="1">
        <f>N790</f>
        <v>0</v>
      </c>
      <c r="AN790" s="1">
        <f>O790</f>
        <v>0</v>
      </c>
    </row>
    <row r="791">
      <c r="A791" s="1">
        <v>1048</v>
      </c>
      <c r="B791" s="1">
        <v>93</v>
      </c>
      <c r="C791" s="1">
        <v>2.2</v>
      </c>
      <c r="D791" s="1">
        <v>94</v>
      </c>
      <c r="E791" s="1">
        <v>3</v>
      </c>
      <c r="F791" s="1">
        <v>1</v>
      </c>
      <c r="G791" s="1">
        <v>0</v>
      </c>
      <c r="H791" s="1">
        <v>0</v>
      </c>
      <c r="I791" s="1">
        <v>0</v>
      </c>
      <c r="J791" s="1">
        <v>0</v>
      </c>
      <c r="K791" s="1">
        <v>0</v>
      </c>
      <c r="L791" s="1">
        <v>0</v>
      </c>
      <c r="M791" s="1">
        <v>1</v>
      </c>
      <c r="N791" s="1">
        <v>0</v>
      </c>
      <c r="O791" s="1">
        <v>0</v>
      </c>
      <c r="P791" s="1">
        <f>LN(B791)</f>
        <v>4.53259949315326</v>
      </c>
      <c r="Q791" s="1">
        <f>1-SUM(F791:J791)</f>
        <v>0</v>
      </c>
      <c r="R791" s="1" t="str">
        <f>IF(F791=1,"Napa valley",IF(G791=1,"Bay area",IF(H791=1,"Sonoma",IF(I791=1,"Sierra/foothills",IF(J791=1,"Mendocino/lake","Generic California")))))</f>
        <v>Napa valley</v>
      </c>
      <c r="S791" s="1" t="str">
        <f>IF(F791=1,"Napa valley",IF(H791=1,"Sonoma","Other"))</f>
        <v>Napa valley</v>
      </c>
      <c r="T791" s="1" t="str">
        <f>IF(M791=1,"Cabernet",IF(N791=1,"Merlot",IF(L791=1,"Pinot noir","Other")))</f>
        <v>Cabernet</v>
      </c>
      <c r="U791" s="1">
        <f>IF(F791=1,B791,"")</f>
        <v>93</v>
      </c>
      <c r="V791" s="1" t="str">
        <f>IF(F791=0,B791,"")</f>
        <v/>
      </c>
      <c r="W791" s="1">
        <f>'Part B'!$B$150+SUMPRODUCT('Part B'!$B$164:$N$164,C791:O791)</f>
        <v>62.5102852789085</v>
      </c>
      <c r="X791" s="1">
        <f>B791-W791</f>
        <v>30.4897147210915</v>
      </c>
      <c r="Y791" s="1">
        <f>'Part B'!$B$179+SUMPRODUCT('Part B'!$B$193:$N$193,C791:O791)</f>
        <v>3.92560145447087</v>
      </c>
      <c r="Z791" s="1">
        <f>P791-Y791</f>
        <v>0.606998038682387</v>
      </c>
      <c r="AB791" s="1">
        <f>C791</f>
        <v>2.2</v>
      </c>
      <c r="AC791" s="1">
        <f>D791</f>
        <v>94</v>
      </c>
      <c r="AD791" s="1">
        <f>E791</f>
        <v>3</v>
      </c>
      <c r="AE791" s="1">
        <f>F791</f>
        <v>1</v>
      </c>
      <c r="AF791" s="1">
        <f>G791</f>
        <v>0</v>
      </c>
      <c r="AG791" s="1">
        <f>I791</f>
        <v>0</v>
      </c>
      <c r="AH791" s="1">
        <f>J791</f>
        <v>0</v>
      </c>
      <c r="AI791" s="1">
        <f>Q791</f>
        <v>0</v>
      </c>
      <c r="AJ791" s="1">
        <f>K791</f>
        <v>0</v>
      </c>
      <c r="AK791" s="1">
        <f>L791</f>
        <v>0</v>
      </c>
      <c r="AL791" s="1">
        <f>M791</f>
        <v>1</v>
      </c>
      <c r="AM791" s="1">
        <f>N791</f>
        <v>0</v>
      </c>
      <c r="AN791" s="1">
        <f>O791</f>
        <v>0</v>
      </c>
    </row>
    <row r="792">
      <c r="A792" s="1">
        <v>1049</v>
      </c>
      <c r="B792" s="1">
        <v>95</v>
      </c>
      <c r="C792" s="1">
        <v>0.22</v>
      </c>
      <c r="D792" s="1">
        <v>94</v>
      </c>
      <c r="E792" s="1">
        <v>4</v>
      </c>
      <c r="F792" s="1">
        <v>1</v>
      </c>
      <c r="G792" s="1">
        <v>0</v>
      </c>
      <c r="H792" s="1">
        <v>0</v>
      </c>
      <c r="I792" s="1">
        <v>0</v>
      </c>
      <c r="J792" s="1">
        <v>0</v>
      </c>
      <c r="K792" s="1">
        <v>1</v>
      </c>
      <c r="L792" s="1">
        <v>0</v>
      </c>
      <c r="M792" s="1">
        <v>0</v>
      </c>
      <c r="N792" s="1">
        <v>0</v>
      </c>
      <c r="O792" s="1">
        <v>0</v>
      </c>
      <c r="P792" s="1">
        <f>LN(B792)</f>
        <v>4.55387689160054</v>
      </c>
      <c r="Q792" s="1">
        <f>1-SUM(F792:J792)</f>
        <v>0</v>
      </c>
      <c r="R792" s="1" t="str">
        <f>IF(F792=1,"Napa valley",IF(G792=1,"Bay area",IF(H792=1,"Sonoma",IF(I792=1,"Sierra/foothills",IF(J792=1,"Mendocino/lake","Generic California")))))</f>
        <v>Napa valley</v>
      </c>
      <c r="S792" s="1" t="str">
        <f>IF(F792=1,"Napa valley",IF(H792=1,"Sonoma","Other"))</f>
        <v>Napa valley</v>
      </c>
      <c r="T792" s="1" t="str">
        <f>IF(M792=1,"Cabernet",IF(N792=1,"Merlot",IF(L792=1,"Pinot noir","Other")))</f>
        <v>Other</v>
      </c>
      <c r="U792" s="1">
        <f>IF(F792=1,B792,"")</f>
        <v>95</v>
      </c>
      <c r="V792" s="1" t="str">
        <f>IF(F792=0,B792,"")</f>
        <v/>
      </c>
      <c r="W792" s="1">
        <f>'Part B'!$B$150+SUMPRODUCT('Part B'!$B$164:$N$164,C792:O792)</f>
        <v>76.9783590663041</v>
      </c>
      <c r="X792" s="1">
        <f>B792-W792</f>
        <v>18.0216409336959</v>
      </c>
      <c r="Y792" s="1">
        <f>'Part B'!$B$179+SUMPRODUCT('Part B'!$B$193:$N$193,C792:O792)</f>
        <v>4.27475109349355</v>
      </c>
      <c r="Z792" s="1">
        <f>P792-Y792</f>
        <v>0.279125798106991</v>
      </c>
      <c r="AB792" s="1">
        <f>C792</f>
        <v>0.22</v>
      </c>
      <c r="AC792" s="1">
        <f>D792</f>
        <v>94</v>
      </c>
      <c r="AD792" s="1">
        <f>E792</f>
        <v>4</v>
      </c>
      <c r="AE792" s="1">
        <f>F792</f>
        <v>1</v>
      </c>
      <c r="AF792" s="1">
        <f>G792</f>
        <v>0</v>
      </c>
      <c r="AG792" s="1">
        <f>I792</f>
        <v>0</v>
      </c>
      <c r="AH792" s="1">
        <f>J792</f>
        <v>0</v>
      </c>
      <c r="AI792" s="1">
        <f>Q792</f>
        <v>0</v>
      </c>
      <c r="AJ792" s="1">
        <f>K792</f>
        <v>1</v>
      </c>
      <c r="AK792" s="1">
        <f>L792</f>
        <v>0</v>
      </c>
      <c r="AL792" s="1">
        <f>M792</f>
        <v>0</v>
      </c>
      <c r="AM792" s="1">
        <f>N792</f>
        <v>0</v>
      </c>
      <c r="AN792" s="1">
        <f>O792</f>
        <v>0</v>
      </c>
    </row>
    <row r="793">
      <c r="A793" s="1">
        <v>1050</v>
      </c>
      <c r="B793" s="1">
        <v>94</v>
      </c>
      <c r="C793" s="1">
        <v>0.7</v>
      </c>
      <c r="D793" s="1">
        <v>93</v>
      </c>
      <c r="E793" s="1">
        <v>2</v>
      </c>
      <c r="F793" s="1">
        <v>0</v>
      </c>
      <c r="G793" s="1">
        <v>0</v>
      </c>
      <c r="H793" s="1">
        <v>1</v>
      </c>
      <c r="I793" s="1">
        <v>0</v>
      </c>
      <c r="J793" s="1">
        <v>0</v>
      </c>
      <c r="K793" s="1">
        <v>0</v>
      </c>
      <c r="L793" s="1">
        <v>1</v>
      </c>
      <c r="M793" s="1">
        <v>0</v>
      </c>
      <c r="N793" s="1">
        <v>0</v>
      </c>
      <c r="O793" s="1">
        <v>0</v>
      </c>
      <c r="P793" s="1">
        <f>LN(B793)</f>
        <v>4.54329478227</v>
      </c>
      <c r="Q793" s="1">
        <f>1-SUM(F793:J793)</f>
        <v>0</v>
      </c>
      <c r="R793" s="1" t="str">
        <f>IF(F793=1,"Napa valley",IF(G793=1,"Bay area",IF(H793=1,"Sonoma",IF(I793=1,"Sierra/foothills",IF(J793=1,"Mendocino/lake","Generic California")))))</f>
        <v>Sonoma</v>
      </c>
      <c r="S793" s="1" t="str">
        <f>IF(F793=1,"Napa valley",IF(H793=1,"Sonoma","Other"))</f>
        <v>Sonoma</v>
      </c>
      <c r="T793" s="1" t="str">
        <f>IF(M793=1,"Cabernet",IF(N793=1,"Merlot",IF(L793=1,"Pinot noir","Other")))</f>
        <v>Pinot noir</v>
      </c>
      <c r="U793" s="1" t="str">
        <f>IF(F793=1,B793,"")</f>
        <v/>
      </c>
      <c r="V793" s="1">
        <f>IF(F793=0,B793,"")</f>
        <v>94</v>
      </c>
      <c r="W793" s="1">
        <f>'Part B'!$B$150+SUMPRODUCT('Part B'!$B$164:$N$164,C793:O793)</f>
        <v>41.8185121473052</v>
      </c>
      <c r="X793" s="1">
        <f>B793-W793</f>
        <v>52.1814878526948</v>
      </c>
      <c r="Y793" s="1">
        <f>'Part B'!$B$179+SUMPRODUCT('Part B'!$B$193:$N$193,C793:O793)</f>
        <v>3.55671245672623</v>
      </c>
      <c r="Z793" s="1">
        <f>P793-Y793</f>
        <v>0.986582325543774</v>
      </c>
      <c r="AB793" s="1">
        <f>C793</f>
        <v>0.7</v>
      </c>
      <c r="AC793" s="1">
        <f>D793</f>
        <v>93</v>
      </c>
      <c r="AD793" s="1">
        <f>E793</f>
        <v>2</v>
      </c>
      <c r="AE793" s="1">
        <f>F793</f>
        <v>0</v>
      </c>
      <c r="AF793" s="1">
        <f>G793</f>
        <v>0</v>
      </c>
      <c r="AG793" s="1">
        <f>I793</f>
        <v>0</v>
      </c>
      <c r="AH793" s="1">
        <f>J793</f>
        <v>0</v>
      </c>
      <c r="AI793" s="1">
        <f>Q793</f>
        <v>0</v>
      </c>
      <c r="AJ793" s="1">
        <f>K793</f>
        <v>0</v>
      </c>
      <c r="AK793" s="1">
        <f>L793</f>
        <v>1</v>
      </c>
      <c r="AL793" s="1">
        <f>M793</f>
        <v>0</v>
      </c>
      <c r="AM793" s="1">
        <f>N793</f>
        <v>0</v>
      </c>
      <c r="AN793" s="1">
        <f>O793</f>
        <v>0</v>
      </c>
    </row>
    <row r="794">
      <c r="A794" s="1">
        <v>1051</v>
      </c>
      <c r="B794" s="1">
        <v>100</v>
      </c>
      <c r="C794" s="1">
        <v>0.2</v>
      </c>
      <c r="D794" s="1">
        <v>93</v>
      </c>
      <c r="E794" s="1">
        <v>4</v>
      </c>
      <c r="F794" s="1">
        <v>1</v>
      </c>
      <c r="G794" s="1">
        <v>0</v>
      </c>
      <c r="H794" s="1">
        <v>0</v>
      </c>
      <c r="I794" s="1">
        <v>0</v>
      </c>
      <c r="J794" s="1">
        <v>0</v>
      </c>
      <c r="K794" s="1">
        <v>0</v>
      </c>
      <c r="L794" s="1">
        <v>0</v>
      </c>
      <c r="M794" s="1">
        <v>1</v>
      </c>
      <c r="N794" s="1">
        <v>0</v>
      </c>
      <c r="O794" s="1">
        <v>0</v>
      </c>
      <c r="P794" s="1">
        <f>LN(B794)</f>
        <v>4.60517018598809</v>
      </c>
      <c r="Q794" s="1">
        <f>1-SUM(F794:J794)</f>
        <v>0</v>
      </c>
      <c r="R794" s="1" t="str">
        <f>IF(F794=1,"Napa valley",IF(G794=1,"Bay area",IF(H794=1,"Sonoma",IF(I794=1,"Sierra/foothills",IF(J794=1,"Mendocino/lake","Generic California")))))</f>
        <v>Napa valley</v>
      </c>
      <c r="S794" s="1" t="str">
        <f>IF(F794=1,"Napa valley",IF(H794=1,"Sonoma","Other"))</f>
        <v>Napa valley</v>
      </c>
      <c r="T794" s="1" t="str">
        <f>IF(M794=1,"Cabernet",IF(N794=1,"Merlot",IF(L794=1,"Pinot noir","Other")))</f>
        <v>Cabernet</v>
      </c>
      <c r="U794" s="1">
        <f>IF(F794=1,B794,"")</f>
        <v>100</v>
      </c>
      <c r="V794" s="1" t="str">
        <f>IF(F794=0,B794,"")</f>
        <v/>
      </c>
      <c r="W794" s="1">
        <f>'Part B'!$B$150+SUMPRODUCT('Part B'!$B$164:$N$164,C794:O794)</f>
        <v>66.1746204841859</v>
      </c>
      <c r="X794" s="1">
        <f>B794-W794</f>
        <v>33.8253795158141</v>
      </c>
      <c r="Y794" s="1">
        <f>'Part B'!$B$179+SUMPRODUCT('Part B'!$B$193:$N$193,C794:O794)</f>
        <v>4.04728350240522</v>
      </c>
      <c r="Z794" s="1">
        <f>P794-Y794</f>
        <v>0.557886683582873</v>
      </c>
      <c r="AB794" s="1">
        <f>C794</f>
        <v>0.2</v>
      </c>
      <c r="AC794" s="1">
        <f>D794</f>
        <v>93</v>
      </c>
      <c r="AD794" s="1">
        <f>E794</f>
        <v>4</v>
      </c>
      <c r="AE794" s="1">
        <f>F794</f>
        <v>1</v>
      </c>
      <c r="AF794" s="1">
        <f>G794</f>
        <v>0</v>
      </c>
      <c r="AG794" s="1">
        <f>I794</f>
        <v>0</v>
      </c>
      <c r="AH794" s="1">
        <f>J794</f>
        <v>0</v>
      </c>
      <c r="AI794" s="1">
        <f>Q794</f>
        <v>0</v>
      </c>
      <c r="AJ794" s="1">
        <f>K794</f>
        <v>0</v>
      </c>
      <c r="AK794" s="1">
        <f>L794</f>
        <v>0</v>
      </c>
      <c r="AL794" s="1">
        <f>M794</f>
        <v>1</v>
      </c>
      <c r="AM794" s="1">
        <f>N794</f>
        <v>0</v>
      </c>
      <c r="AN794" s="1">
        <f>O794</f>
        <v>0</v>
      </c>
    </row>
    <row r="795">
      <c r="A795" s="1">
        <v>1052</v>
      </c>
      <c r="B795" s="1">
        <v>100</v>
      </c>
      <c r="C795" s="1">
        <v>0.18</v>
      </c>
      <c r="D795" s="1">
        <v>92</v>
      </c>
      <c r="E795" s="1">
        <v>4</v>
      </c>
      <c r="F795" s="1">
        <v>0</v>
      </c>
      <c r="G795" s="1">
        <v>0</v>
      </c>
      <c r="H795" s="1">
        <v>1</v>
      </c>
      <c r="I795" s="1">
        <v>0</v>
      </c>
      <c r="J795" s="1">
        <v>0</v>
      </c>
      <c r="K795" s="1">
        <v>0</v>
      </c>
      <c r="L795" s="1">
        <v>0</v>
      </c>
      <c r="M795" s="1">
        <v>1</v>
      </c>
      <c r="N795" s="1">
        <v>0</v>
      </c>
      <c r="O795" s="1">
        <v>0</v>
      </c>
      <c r="P795" s="1">
        <f>LN(B795)</f>
        <v>4.60517018598809</v>
      </c>
      <c r="Q795" s="1">
        <f>1-SUM(F795:J795)</f>
        <v>0</v>
      </c>
      <c r="R795" s="1" t="str">
        <f>IF(F795=1,"Napa valley",IF(G795=1,"Bay area",IF(H795=1,"Sonoma",IF(I795=1,"Sierra/foothills",IF(J795=1,"Mendocino/lake","Generic California")))))</f>
        <v>Sonoma</v>
      </c>
      <c r="S795" s="1" t="str">
        <f>IF(F795=1,"Napa valley",IF(H795=1,"Sonoma","Other"))</f>
        <v>Sonoma</v>
      </c>
      <c r="T795" s="1" t="str">
        <f>IF(M795=1,"Cabernet",IF(N795=1,"Merlot",IF(L795=1,"Pinot noir","Other")))</f>
        <v>Cabernet</v>
      </c>
      <c r="U795" s="1" t="str">
        <f>IF(F795=1,B795,"")</f>
        <v/>
      </c>
      <c r="V795" s="1">
        <f>IF(F795=0,B795,"")</f>
        <v>100</v>
      </c>
      <c r="W795" s="1">
        <f>'Part B'!$B$150+SUMPRODUCT('Part B'!$B$164:$N$164,C795:O795)</f>
        <v>55.1349738474207</v>
      </c>
      <c r="X795" s="1">
        <f>B795-W795</f>
        <v>44.8650261525793</v>
      </c>
      <c r="Y795" s="1">
        <f>'Part B'!$B$179+SUMPRODUCT('Part B'!$B$193:$N$193,C795:O795)</f>
        <v>3.82962015005052</v>
      </c>
      <c r="Z795" s="1">
        <f>P795-Y795</f>
        <v>0.775550035937568</v>
      </c>
      <c r="AB795" s="1">
        <f>C795</f>
        <v>0.18</v>
      </c>
      <c r="AC795" s="1">
        <f>D795</f>
        <v>92</v>
      </c>
      <c r="AD795" s="1">
        <f>E795</f>
        <v>4</v>
      </c>
      <c r="AE795" s="1">
        <f>F795</f>
        <v>0</v>
      </c>
      <c r="AF795" s="1">
        <f>G795</f>
        <v>0</v>
      </c>
      <c r="AG795" s="1">
        <f>I795</f>
        <v>0</v>
      </c>
      <c r="AH795" s="1">
        <f>J795</f>
        <v>0</v>
      </c>
      <c r="AI795" s="1">
        <f>Q795</f>
        <v>0</v>
      </c>
      <c r="AJ795" s="1">
        <f>K795</f>
        <v>0</v>
      </c>
      <c r="AK795" s="1">
        <f>L795</f>
        <v>0</v>
      </c>
      <c r="AL795" s="1">
        <f>M795</f>
        <v>1</v>
      </c>
      <c r="AM795" s="1">
        <f>N795</f>
        <v>0</v>
      </c>
      <c r="AN795" s="1">
        <f>O795</f>
        <v>0</v>
      </c>
    </row>
    <row r="796">
      <c r="A796" s="1">
        <v>1053</v>
      </c>
      <c r="B796" s="1">
        <v>100</v>
      </c>
      <c r="C796" s="1">
        <v>0.285</v>
      </c>
      <c r="D796" s="1">
        <v>92</v>
      </c>
      <c r="E796" s="1">
        <v>3</v>
      </c>
      <c r="F796" s="1">
        <v>1</v>
      </c>
      <c r="G796" s="1">
        <v>0</v>
      </c>
      <c r="H796" s="1">
        <v>0</v>
      </c>
      <c r="I796" s="1">
        <v>0</v>
      </c>
      <c r="J796" s="1">
        <v>0</v>
      </c>
      <c r="K796" s="1">
        <v>0</v>
      </c>
      <c r="L796" s="1">
        <v>0</v>
      </c>
      <c r="M796" s="1">
        <v>1</v>
      </c>
      <c r="N796" s="1">
        <v>0</v>
      </c>
      <c r="O796" s="1">
        <v>0</v>
      </c>
      <c r="P796" s="1">
        <f>LN(B796)</f>
        <v>4.60517018598809</v>
      </c>
      <c r="Q796" s="1">
        <f>1-SUM(F796:J796)</f>
        <v>0</v>
      </c>
      <c r="R796" s="1" t="str">
        <f>IF(F796=1,"Napa valley",IF(G796=1,"Bay area",IF(H796=1,"Sonoma",IF(I796=1,"Sierra/foothills",IF(J796=1,"Mendocino/lake","Generic California")))))</f>
        <v>Napa valley</v>
      </c>
      <c r="S796" s="1" t="str">
        <f>IF(F796=1,"Napa valley",IF(H796=1,"Sonoma","Other"))</f>
        <v>Napa valley</v>
      </c>
      <c r="T796" s="1" t="str">
        <f>IF(M796=1,"Cabernet",IF(N796=1,"Merlot",IF(L796=1,"Pinot noir","Other")))</f>
        <v>Cabernet</v>
      </c>
      <c r="U796" s="1">
        <f>IF(F796=1,B796,"")</f>
        <v>100</v>
      </c>
      <c r="V796" s="1" t="str">
        <f>IF(F796=0,B796,"")</f>
        <v/>
      </c>
      <c r="W796" s="1">
        <f>'Part B'!$B$150+SUMPRODUCT('Part B'!$B$164:$N$164,C796:O796)</f>
        <v>56.4018509630287</v>
      </c>
      <c r="X796" s="1">
        <f>B796-W796</f>
        <v>43.5981490369713</v>
      </c>
      <c r="Y796" s="1">
        <f>'Part B'!$B$179+SUMPRODUCT('Part B'!$B$193:$N$193,C796:O796)</f>
        <v>3.79387313045885</v>
      </c>
      <c r="Z796" s="1">
        <f>P796-Y796</f>
        <v>0.811297055529241</v>
      </c>
      <c r="AB796" s="1">
        <f>C796</f>
        <v>0.285</v>
      </c>
      <c r="AC796" s="1">
        <f>D796</f>
        <v>92</v>
      </c>
      <c r="AD796" s="1">
        <f>E796</f>
        <v>3</v>
      </c>
      <c r="AE796" s="1">
        <f>F796</f>
        <v>1</v>
      </c>
      <c r="AF796" s="1">
        <f>G796</f>
        <v>0</v>
      </c>
      <c r="AG796" s="1">
        <f>I796</f>
        <v>0</v>
      </c>
      <c r="AH796" s="1">
        <f>J796</f>
        <v>0</v>
      </c>
      <c r="AI796" s="1">
        <f>Q796</f>
        <v>0</v>
      </c>
      <c r="AJ796" s="1">
        <f>K796</f>
        <v>0</v>
      </c>
      <c r="AK796" s="1">
        <f>L796</f>
        <v>0</v>
      </c>
      <c r="AL796" s="1">
        <f>M796</f>
        <v>1</v>
      </c>
      <c r="AM796" s="1">
        <f>N796</f>
        <v>0</v>
      </c>
      <c r="AN796" s="1">
        <f>O796</f>
        <v>0</v>
      </c>
    </row>
    <row r="797">
      <c r="A797" s="1">
        <v>1054</v>
      </c>
      <c r="B797" s="1">
        <v>100</v>
      </c>
      <c r="C797" s="1">
        <v>0.02</v>
      </c>
      <c r="D797" s="1">
        <v>88</v>
      </c>
      <c r="E797" s="1">
        <v>3</v>
      </c>
      <c r="F797" s="1">
        <v>1</v>
      </c>
      <c r="G797" s="1">
        <v>0</v>
      </c>
      <c r="H797" s="1">
        <v>0</v>
      </c>
      <c r="I797" s="1">
        <v>0</v>
      </c>
      <c r="J797" s="1">
        <v>0</v>
      </c>
      <c r="K797" s="1">
        <v>0</v>
      </c>
      <c r="L797" s="1">
        <v>0</v>
      </c>
      <c r="M797" s="1">
        <v>1</v>
      </c>
      <c r="N797" s="1">
        <v>0</v>
      </c>
      <c r="O797" s="1">
        <v>0</v>
      </c>
      <c r="P797" s="1">
        <f>LN(B797)</f>
        <v>4.60517018598809</v>
      </c>
      <c r="Q797" s="1">
        <f>1-SUM(F797:J797)</f>
        <v>0</v>
      </c>
      <c r="R797" s="1" t="str">
        <f>IF(F797=1,"Napa valley",IF(G797=1,"Bay area",IF(H797=1,"Sonoma",IF(I797=1,"Sierra/foothills",IF(J797=1,"Mendocino/lake","Generic California")))))</f>
        <v>Napa valley</v>
      </c>
      <c r="S797" s="1" t="str">
        <f>IF(F797=1,"Napa valley",IF(H797=1,"Sonoma","Other"))</f>
        <v>Napa valley</v>
      </c>
      <c r="T797" s="1" t="str">
        <f>IF(M797=1,"Cabernet",IF(N797=1,"Merlot",IF(L797=1,"Pinot noir","Other")))</f>
        <v>Cabernet</v>
      </c>
      <c r="U797" s="1">
        <f>IF(F797=1,B797,"")</f>
        <v>100</v>
      </c>
      <c r="V797" s="1" t="str">
        <f>IF(F797=0,B797,"")</f>
        <v/>
      </c>
      <c r="W797" s="1">
        <f>'Part B'!$B$150+SUMPRODUCT('Part B'!$B$164:$N$164,C797:O797)</f>
        <v>43.8466147425381</v>
      </c>
      <c r="X797" s="1">
        <f>B797-W797</f>
        <v>56.1533852574619</v>
      </c>
      <c r="Y797" s="1">
        <f>'Part B'!$B$179+SUMPRODUCT('Part B'!$B$193:$N$193,C797:O797)</f>
        <v>3.51516160806259</v>
      </c>
      <c r="Z797" s="1">
        <f>P797-Y797</f>
        <v>1.0900085779255</v>
      </c>
      <c r="AB797" s="1">
        <f>C797</f>
        <v>0.02</v>
      </c>
      <c r="AC797" s="1">
        <f>D797</f>
        <v>88</v>
      </c>
      <c r="AD797" s="1">
        <f>E797</f>
        <v>3</v>
      </c>
      <c r="AE797" s="1">
        <f>F797</f>
        <v>1</v>
      </c>
      <c r="AF797" s="1">
        <f>G797</f>
        <v>0</v>
      </c>
      <c r="AG797" s="1">
        <f>I797</f>
        <v>0</v>
      </c>
      <c r="AH797" s="1">
        <f>J797</f>
        <v>0</v>
      </c>
      <c r="AI797" s="1">
        <f>Q797</f>
        <v>0</v>
      </c>
      <c r="AJ797" s="1">
        <f>K797</f>
        <v>0</v>
      </c>
      <c r="AK797" s="1">
        <f>L797</f>
        <v>0</v>
      </c>
      <c r="AL797" s="1">
        <f>M797</f>
        <v>1</v>
      </c>
      <c r="AM797" s="1">
        <f>N797</f>
        <v>0</v>
      </c>
      <c r="AN797" s="1">
        <f>O797</f>
        <v>0</v>
      </c>
    </row>
    <row r="798">
      <c r="A798" s="1">
        <v>1055</v>
      </c>
      <c r="B798" s="1">
        <v>110</v>
      </c>
      <c r="C798" s="1">
        <v>0.7</v>
      </c>
      <c r="D798" s="1">
        <v>88</v>
      </c>
      <c r="E798" s="1">
        <v>3</v>
      </c>
      <c r="F798" s="1">
        <v>0</v>
      </c>
      <c r="G798" s="1">
        <v>1</v>
      </c>
      <c r="H798" s="1">
        <v>0</v>
      </c>
      <c r="I798" s="1">
        <v>0</v>
      </c>
      <c r="J798" s="1">
        <v>0</v>
      </c>
      <c r="K798" s="1">
        <v>0</v>
      </c>
      <c r="L798" s="1">
        <v>0</v>
      </c>
      <c r="M798" s="1">
        <v>1</v>
      </c>
      <c r="N798" s="1">
        <v>0</v>
      </c>
      <c r="O798" s="1">
        <v>0</v>
      </c>
      <c r="P798" s="1">
        <f>LN(B798)</f>
        <v>4.70048036579242</v>
      </c>
      <c r="Q798" s="1">
        <f>1-SUM(F798:J798)</f>
        <v>0</v>
      </c>
      <c r="R798" s="1" t="str">
        <f>IF(F798=1,"Napa valley",IF(G798=1,"Bay area",IF(H798=1,"Sonoma",IF(I798=1,"Sierra/foothills",IF(J798=1,"Mendocino/lake","Generic California")))))</f>
        <v>Bay area</v>
      </c>
      <c r="S798" s="1" t="str">
        <f>IF(F798=1,"Napa valley",IF(H798=1,"Sonoma","Other"))</f>
        <v>Other</v>
      </c>
      <c r="T798" s="1" t="str">
        <f>IF(M798=1,"Cabernet",IF(N798=1,"Merlot",IF(L798=1,"Pinot noir","Other")))</f>
        <v>Cabernet</v>
      </c>
      <c r="U798" s="1" t="str">
        <f>IF(F798=1,B798,"")</f>
        <v/>
      </c>
      <c r="V798" s="1">
        <f>IF(F798=0,B798,"")</f>
        <v>110</v>
      </c>
      <c r="W798" s="1">
        <f>'Part B'!$B$150+SUMPRODUCT('Part B'!$B$164:$N$164,C798:O798)</f>
        <v>38.9999466727874</v>
      </c>
      <c r="X798" s="1">
        <f>B798-W798</f>
        <v>71.0000533272126</v>
      </c>
      <c r="Y798" s="1">
        <f>'Part B'!$B$179+SUMPRODUCT('Part B'!$B$193:$N$193,C798:O798)</f>
        <v>3.33751940231831</v>
      </c>
      <c r="Z798" s="1">
        <f>P798-Y798</f>
        <v>1.36296096347411</v>
      </c>
      <c r="AB798" s="1">
        <f>C798</f>
        <v>0.7</v>
      </c>
      <c r="AC798" s="1">
        <f>D798</f>
        <v>88</v>
      </c>
      <c r="AD798" s="1">
        <f>E798</f>
        <v>3</v>
      </c>
      <c r="AE798" s="1">
        <f>F798</f>
        <v>0</v>
      </c>
      <c r="AF798" s="1">
        <f>G798</f>
        <v>1</v>
      </c>
      <c r="AG798" s="1">
        <f>I798</f>
        <v>0</v>
      </c>
      <c r="AH798" s="1">
        <f>J798</f>
        <v>0</v>
      </c>
      <c r="AI798" s="1">
        <f>Q798</f>
        <v>0</v>
      </c>
      <c r="AJ798" s="1">
        <f>K798</f>
        <v>0</v>
      </c>
      <c r="AK798" s="1">
        <f>L798</f>
        <v>0</v>
      </c>
      <c r="AL798" s="1">
        <f>M798</f>
        <v>1</v>
      </c>
      <c r="AM798" s="1">
        <f>N798</f>
        <v>0</v>
      </c>
      <c r="AN798" s="1">
        <f>O798</f>
        <v>0</v>
      </c>
    </row>
    <row r="799">
      <c r="A799" s="1">
        <v>1056</v>
      </c>
      <c r="B799" s="1">
        <v>111</v>
      </c>
      <c r="C799" s="1">
        <v>1.52</v>
      </c>
      <c r="D799" s="1">
        <v>94</v>
      </c>
      <c r="E799" s="1">
        <v>3</v>
      </c>
      <c r="F799" s="1">
        <v>1</v>
      </c>
      <c r="G799" s="1">
        <v>0</v>
      </c>
      <c r="H799" s="1">
        <v>0</v>
      </c>
      <c r="I799" s="1">
        <v>0</v>
      </c>
      <c r="J799" s="1">
        <v>0</v>
      </c>
      <c r="K799" s="1">
        <v>1</v>
      </c>
      <c r="L799" s="1">
        <v>0</v>
      </c>
      <c r="M799" s="1">
        <v>0</v>
      </c>
      <c r="N799" s="1">
        <v>0</v>
      </c>
      <c r="O799" s="1">
        <v>0</v>
      </c>
      <c r="P799" s="1">
        <f>LN(B799)</f>
        <v>4.70953020131233</v>
      </c>
      <c r="Q799" s="1">
        <f>1-SUM(F799:J799)</f>
        <v>0</v>
      </c>
      <c r="R799" s="1" t="str">
        <f>IF(F799=1,"Napa valley",IF(G799=1,"Bay area",IF(H799=1,"Sonoma",IF(I799=1,"Sierra/foothills",IF(J799=1,"Mendocino/lake","Generic California")))))</f>
        <v>Napa valley</v>
      </c>
      <c r="S799" s="1" t="str">
        <f>IF(F799=1,"Napa valley",IF(H799=1,"Sonoma","Other"))</f>
        <v>Napa valley</v>
      </c>
      <c r="T799" s="1" t="str">
        <f>IF(M799=1,"Cabernet",IF(N799=1,"Merlot",IF(L799=1,"Pinot noir","Other")))</f>
        <v>Other</v>
      </c>
      <c r="U799" s="1">
        <f>IF(F799=1,B799,"")</f>
        <v>111</v>
      </c>
      <c r="V799" s="1" t="str">
        <f>IF(F799=0,B799,"")</f>
        <v/>
      </c>
      <c r="W799" s="1">
        <f>'Part B'!$B$150+SUMPRODUCT('Part B'!$B$164:$N$164,C799:O799)</f>
        <v>70.235366407407</v>
      </c>
      <c r="X799" s="1">
        <f>B799-W799</f>
        <v>40.764633592593</v>
      </c>
      <c r="Y799" s="1">
        <f>'Part B'!$B$179+SUMPRODUCT('Part B'!$B$193:$N$193,C799:O799)</f>
        <v>4.08610302376333</v>
      </c>
      <c r="Z799" s="1">
        <f>P799-Y799</f>
        <v>0.623427177549003</v>
      </c>
      <c r="AB799" s="1">
        <f>C799</f>
        <v>1.52</v>
      </c>
      <c r="AC799" s="1">
        <f>D799</f>
        <v>94</v>
      </c>
      <c r="AD799" s="1">
        <f>E799</f>
        <v>3</v>
      </c>
      <c r="AE799" s="1">
        <f>F799</f>
        <v>1</v>
      </c>
      <c r="AF799" s="1">
        <f>G799</f>
        <v>0</v>
      </c>
      <c r="AG799" s="1">
        <f>I799</f>
        <v>0</v>
      </c>
      <c r="AH799" s="1">
        <f>J799</f>
        <v>0</v>
      </c>
      <c r="AI799" s="1">
        <f>Q799</f>
        <v>0</v>
      </c>
      <c r="AJ799" s="1">
        <f>K799</f>
        <v>1</v>
      </c>
      <c r="AK799" s="1">
        <f>L799</f>
        <v>0</v>
      </c>
      <c r="AL799" s="1">
        <f>M799</f>
        <v>0</v>
      </c>
      <c r="AM799" s="1">
        <f>N799</f>
        <v>0</v>
      </c>
      <c r="AN799" s="1">
        <f>O799</f>
        <v>0</v>
      </c>
    </row>
    <row r="800">
      <c r="A800" s="1">
        <v>1057</v>
      </c>
      <c r="B800" s="1">
        <v>115</v>
      </c>
      <c r="C800" s="1">
        <v>1.3</v>
      </c>
      <c r="D800" s="1">
        <v>92</v>
      </c>
      <c r="E800" s="1">
        <v>3</v>
      </c>
      <c r="F800" s="1">
        <v>1</v>
      </c>
      <c r="G800" s="1">
        <v>0</v>
      </c>
      <c r="H800" s="1">
        <v>0</v>
      </c>
      <c r="I800" s="1">
        <v>0</v>
      </c>
      <c r="J800" s="1">
        <v>0</v>
      </c>
      <c r="K800" s="1">
        <v>0</v>
      </c>
      <c r="L800" s="1">
        <v>0</v>
      </c>
      <c r="M800" s="1">
        <v>1</v>
      </c>
      <c r="N800" s="1">
        <v>0</v>
      </c>
      <c r="O800" s="1">
        <v>0</v>
      </c>
      <c r="P800" s="1">
        <f>LN(B800)</f>
        <v>4.74493212836325</v>
      </c>
      <c r="Q800" s="1">
        <f>1-SUM(F800:J800)</f>
        <v>0</v>
      </c>
      <c r="R800" s="1" t="str">
        <f>IF(F800=1,"Napa valley",IF(G800=1,"Bay area",IF(H800=1,"Sonoma",IF(I800=1,"Sierra/foothills",IF(J800=1,"Mendocino/lake","Generic California")))))</f>
        <v>Napa valley</v>
      </c>
      <c r="S800" s="1" t="str">
        <f>IF(F800=1,"Napa valley",IF(H800=1,"Sonoma","Other"))</f>
        <v>Napa valley</v>
      </c>
      <c r="T800" s="1" t="str">
        <f>IF(M800=1,"Cabernet",IF(N800=1,"Merlot",IF(L800=1,"Pinot noir","Other")))</f>
        <v>Cabernet</v>
      </c>
      <c r="U800" s="1">
        <f>IF(F800=1,B800,"")</f>
        <v>115</v>
      </c>
      <c r="V800" s="1" t="str">
        <f>IF(F800=0,B800,"")</f>
        <v/>
      </c>
      <c r="W800" s="1">
        <f>'Part B'!$B$150+SUMPRODUCT('Part B'!$B$164:$N$164,C800:O800)</f>
        <v>56.3055134868542</v>
      </c>
      <c r="X800" s="1">
        <f>B800-W800</f>
        <v>58.6944865131458</v>
      </c>
      <c r="Y800" s="1">
        <f>'Part B'!$B$179+SUMPRODUCT('Part B'!$B$193:$N$193,C800:O800)</f>
        <v>3.78952987730659</v>
      </c>
      <c r="Z800" s="1">
        <f>P800-Y800</f>
        <v>0.955402251056658</v>
      </c>
      <c r="AB800" s="1">
        <f>C800</f>
        <v>1.3</v>
      </c>
      <c r="AC800" s="1">
        <f>D800</f>
        <v>92</v>
      </c>
      <c r="AD800" s="1">
        <f>E800</f>
        <v>3</v>
      </c>
      <c r="AE800" s="1">
        <f>F800</f>
        <v>1</v>
      </c>
      <c r="AF800" s="1">
        <f>G800</f>
        <v>0</v>
      </c>
      <c r="AG800" s="1">
        <f>I800</f>
        <v>0</v>
      </c>
      <c r="AH800" s="1">
        <f>J800</f>
        <v>0</v>
      </c>
      <c r="AI800" s="1">
        <f>Q800</f>
        <v>0</v>
      </c>
      <c r="AJ800" s="1">
        <f>K800</f>
        <v>0</v>
      </c>
      <c r="AK800" s="1">
        <f>L800</f>
        <v>0</v>
      </c>
      <c r="AL800" s="1">
        <f>M800</f>
        <v>1</v>
      </c>
      <c r="AM800" s="1">
        <f>N800</f>
        <v>0</v>
      </c>
      <c r="AN800" s="1">
        <f>O800</f>
        <v>0</v>
      </c>
    </row>
    <row r="801">
      <c r="A801" s="1">
        <v>1058</v>
      </c>
      <c r="B801" s="1">
        <v>117</v>
      </c>
      <c r="C801" s="1">
        <v>0.35</v>
      </c>
      <c r="D801" s="1">
        <v>97</v>
      </c>
      <c r="E801" s="1">
        <v>3</v>
      </c>
      <c r="F801" s="1">
        <v>1</v>
      </c>
      <c r="G801" s="1">
        <v>0</v>
      </c>
      <c r="H801" s="1">
        <v>0</v>
      </c>
      <c r="I801" s="1">
        <v>0</v>
      </c>
      <c r="J801" s="1">
        <v>0</v>
      </c>
      <c r="K801" s="1">
        <v>0</v>
      </c>
      <c r="L801" s="1">
        <v>0</v>
      </c>
      <c r="M801" s="1">
        <v>1</v>
      </c>
      <c r="N801" s="1">
        <v>0</v>
      </c>
      <c r="O801" s="1">
        <v>0</v>
      </c>
      <c r="P801" s="1">
        <f>LN(B801)</f>
        <v>4.76217393479776</v>
      </c>
      <c r="Q801" s="1">
        <f>1-SUM(F801:J801)</f>
        <v>0</v>
      </c>
      <c r="R801" s="1" t="str">
        <f>IF(F801=1,"Napa valley",IF(G801=1,"Bay area",IF(H801=1,"Sonoma",IF(I801=1,"Sierra/foothills",IF(J801=1,"Mendocino/lake","Generic California")))))</f>
        <v>Napa valley</v>
      </c>
      <c r="S801" s="1" t="str">
        <f>IF(F801=1,"Napa valley",IF(H801=1,"Sonoma","Other"))</f>
        <v>Napa valley</v>
      </c>
      <c r="T801" s="1" t="str">
        <f>IF(M801=1,"Cabernet",IF(N801=1,"Merlot",IF(L801=1,"Pinot noir","Other")))</f>
        <v>Cabernet</v>
      </c>
      <c r="U801" s="1">
        <f>IF(F801=1,B801,"")</f>
        <v>117</v>
      </c>
      <c r="V801" s="1" t="str">
        <f>IF(F801=0,B801,"")</f>
        <v/>
      </c>
      <c r="W801" s="1">
        <f>'Part B'!$B$150+SUMPRODUCT('Part B'!$B$164:$N$164,C801:O801)</f>
        <v>72.121167029806</v>
      </c>
      <c r="X801" s="1">
        <f>B801-W801</f>
        <v>44.878832970194</v>
      </c>
      <c r="Y801" s="1">
        <f>'Part B'!$B$179+SUMPRODUCT('Part B'!$B$193:$N$193,C801:O801)</f>
        <v>4.14340183508155</v>
      </c>
      <c r="Z801" s="1">
        <f>P801-Y801</f>
        <v>0.618772099716202</v>
      </c>
      <c r="AB801" s="1">
        <f>C801</f>
        <v>0.35</v>
      </c>
      <c r="AC801" s="1">
        <f>D801</f>
        <v>97</v>
      </c>
      <c r="AD801" s="1">
        <f>E801</f>
        <v>3</v>
      </c>
      <c r="AE801" s="1">
        <f>F801</f>
        <v>1</v>
      </c>
      <c r="AF801" s="1">
        <f>G801</f>
        <v>0</v>
      </c>
      <c r="AG801" s="1">
        <f>I801</f>
        <v>0</v>
      </c>
      <c r="AH801" s="1">
        <f>J801</f>
        <v>0</v>
      </c>
      <c r="AI801" s="1">
        <f>Q801</f>
        <v>0</v>
      </c>
      <c r="AJ801" s="1">
        <f>K801</f>
        <v>0</v>
      </c>
      <c r="AK801" s="1">
        <f>L801</f>
        <v>0</v>
      </c>
      <c r="AL801" s="1">
        <f>M801</f>
        <v>1</v>
      </c>
      <c r="AM801" s="1">
        <f>N801</f>
        <v>0</v>
      </c>
      <c r="AN801" s="1">
        <f>O801</f>
        <v>0</v>
      </c>
    </row>
    <row r="802">
      <c r="A802" s="1">
        <v>1059</v>
      </c>
      <c r="B802" s="1">
        <v>264</v>
      </c>
      <c r="C802" s="1">
        <v>2.5</v>
      </c>
      <c r="D802" s="1">
        <v>95</v>
      </c>
      <c r="E802" s="1">
        <v>3</v>
      </c>
      <c r="F802" s="1">
        <v>1</v>
      </c>
      <c r="G802" s="1">
        <v>0</v>
      </c>
      <c r="H802" s="1">
        <v>0</v>
      </c>
      <c r="I802" s="1">
        <v>0</v>
      </c>
      <c r="J802" s="1">
        <v>0</v>
      </c>
      <c r="K802" s="1">
        <v>0</v>
      </c>
      <c r="L802" s="1">
        <v>0</v>
      </c>
      <c r="M802" s="1">
        <v>1</v>
      </c>
      <c r="N802" s="1">
        <v>0</v>
      </c>
      <c r="O802" s="1">
        <v>0</v>
      </c>
      <c r="P802" s="1">
        <f>LN(B802)</f>
        <v>5.57594910314632</v>
      </c>
      <c r="Q802" s="1">
        <f>1-SUM(F802:J802)</f>
        <v>0</v>
      </c>
      <c r="R802" s="1" t="str">
        <f>IF(F802=1,"Napa valley",IF(G802=1,"Bay area",IF(H802=1,"Sonoma",IF(I802=1,"Sierra/foothills",IF(J802=1,"Mendocino/lake","Generic California")))))</f>
        <v>Napa valley</v>
      </c>
      <c r="S802" s="1" t="str">
        <f>IF(F802=1,"Napa valley",IF(H802=1,"Sonoma","Other"))</f>
        <v>Napa valley</v>
      </c>
      <c r="T802" s="1" t="str">
        <f>IF(M802=1,"Cabernet",IF(N802=1,"Merlot",IF(L802=1,"Pinot noir","Other")))</f>
        <v>Cabernet</v>
      </c>
      <c r="U802" s="1">
        <f>IF(F802=1,B802,"")</f>
        <v>264</v>
      </c>
      <c r="V802" s="1" t="str">
        <f>IF(F802=0,B802,"")</f>
        <v/>
      </c>
      <c r="W802" s="1">
        <f>'Part B'!$B$150+SUMPRODUCT('Part B'!$B$164:$N$164,C802:O802)</f>
        <v>65.6269082403801</v>
      </c>
      <c r="X802" s="1">
        <f>B802-W802</f>
        <v>198.37309175962</v>
      </c>
      <c r="Y802" s="1">
        <f>'Part B'!$B$179+SUMPRODUCT('Part B'!$B$193:$N$193,C802:O802)</f>
        <v>3.99427910312477</v>
      </c>
      <c r="Z802" s="1">
        <f>P802-Y802</f>
        <v>1.58167000002155</v>
      </c>
      <c r="AB802" s="1">
        <f>C802</f>
        <v>2.5</v>
      </c>
      <c r="AC802" s="1">
        <f>D802</f>
        <v>95</v>
      </c>
      <c r="AD802" s="1">
        <f>E802</f>
        <v>3</v>
      </c>
      <c r="AE802" s="1">
        <f>F802</f>
        <v>1</v>
      </c>
      <c r="AF802" s="1">
        <f>G802</f>
        <v>0</v>
      </c>
      <c r="AG802" s="1">
        <f>I802</f>
        <v>0</v>
      </c>
      <c r="AH802" s="1">
        <f>J802</f>
        <v>0</v>
      </c>
      <c r="AI802" s="1">
        <f>Q802</f>
        <v>0</v>
      </c>
      <c r="AJ802" s="1">
        <f>K802</f>
        <v>0</v>
      </c>
      <c r="AK802" s="1">
        <f>L802</f>
        <v>0</v>
      </c>
      <c r="AL802" s="1">
        <f>M802</f>
        <v>1</v>
      </c>
      <c r="AM802" s="1">
        <f>N802</f>
        <v>0</v>
      </c>
      <c r="AN802" s="1">
        <f>O802</f>
        <v>0</v>
      </c>
    </row>
    <row r="803">
      <c r="A803" s="1">
        <v>1060</v>
      </c>
      <c r="B803" s="1">
        <v>332</v>
      </c>
      <c r="C803" s="1">
        <v>1.185</v>
      </c>
      <c r="D803" s="1">
        <v>96</v>
      </c>
      <c r="E803" s="1">
        <v>3</v>
      </c>
      <c r="F803" s="1">
        <v>1</v>
      </c>
      <c r="G803" s="1">
        <v>0</v>
      </c>
      <c r="H803" s="1">
        <v>0</v>
      </c>
      <c r="I803" s="1">
        <v>0</v>
      </c>
      <c r="J803" s="1">
        <v>0</v>
      </c>
      <c r="K803" s="1">
        <v>1</v>
      </c>
      <c r="L803" s="1">
        <v>0</v>
      </c>
      <c r="M803" s="1">
        <v>0</v>
      </c>
      <c r="N803" s="1">
        <v>0</v>
      </c>
      <c r="O803" s="1">
        <v>0</v>
      </c>
      <c r="P803" s="1">
        <f>LN(B803)</f>
        <v>5.80513496891649</v>
      </c>
      <c r="Q803" s="1">
        <f>1-SUM(F803:J803)</f>
        <v>0</v>
      </c>
      <c r="R803" s="1" t="str">
        <f>IF(F803=1,"Napa valley",IF(G803=1,"Bay area",IF(H803=1,"Sonoma",IF(I803=1,"Sierra/foothills",IF(J803=1,"Mendocino/lake","Generic California")))))</f>
        <v>Napa valley</v>
      </c>
      <c r="S803" s="1" t="str">
        <f>IF(F803=1,"Napa valley",IF(H803=1,"Sonoma","Other"))</f>
        <v>Napa valley</v>
      </c>
      <c r="T803" s="1" t="str">
        <f>IF(M803=1,"Cabernet",IF(N803=1,"Merlot",IF(L803=1,"Pinot noir","Other")))</f>
        <v>Other</v>
      </c>
      <c r="U803" s="1">
        <f>IF(F803=1,B803,"")</f>
        <v>332</v>
      </c>
      <c r="V803" s="1" t="str">
        <f>IF(F803=0,B803,"")</f>
        <v/>
      </c>
      <c r="W803" s="1">
        <f>'Part B'!$B$150+SUMPRODUCT('Part B'!$B$164:$N$164,C803:O803)</f>
        <v>76.5573567049543</v>
      </c>
      <c r="X803" s="1">
        <f>B803-W803</f>
        <v>255.442643295046</v>
      </c>
      <c r="Y803" s="1">
        <f>'Part B'!$B$179+SUMPRODUCT('Part B'!$B$193:$N$193,C803:O803)</f>
        <v>4.22745924885179</v>
      </c>
      <c r="Z803" s="1">
        <f>P803-Y803</f>
        <v>1.5776757200647</v>
      </c>
      <c r="AB803" s="1">
        <f>C803</f>
        <v>1.185</v>
      </c>
      <c r="AC803" s="1">
        <f>D803</f>
        <v>96</v>
      </c>
      <c r="AD803" s="1">
        <f>E803</f>
        <v>3</v>
      </c>
      <c r="AE803" s="1">
        <f>F803</f>
        <v>1</v>
      </c>
      <c r="AF803" s="1">
        <f>G803</f>
        <v>0</v>
      </c>
      <c r="AG803" s="1">
        <f>I803</f>
        <v>0</v>
      </c>
      <c r="AH803" s="1">
        <f>J803</f>
        <v>0</v>
      </c>
      <c r="AI803" s="1">
        <f>Q803</f>
        <v>0</v>
      </c>
      <c r="AJ803" s="1">
        <f>K803</f>
        <v>1</v>
      </c>
      <c r="AK803" s="1">
        <f>L803</f>
        <v>0</v>
      </c>
      <c r="AL803" s="1">
        <f>M803</f>
        <v>0</v>
      </c>
      <c r="AM803" s="1">
        <f>N803</f>
        <v>0</v>
      </c>
      <c r="AN803" s="1">
        <f>O803</f>
        <v>0</v>
      </c>
    </row>
    <row r="804">
      <c r="A804" s="1">
        <v>1061</v>
      </c>
      <c r="B804" s="1">
        <v>334</v>
      </c>
      <c r="C804" s="1">
        <v>0.47</v>
      </c>
      <c r="D804" s="1">
        <v>95</v>
      </c>
      <c r="E804" s="1">
        <v>3</v>
      </c>
      <c r="F804" s="1">
        <v>1</v>
      </c>
      <c r="G804" s="1">
        <v>0</v>
      </c>
      <c r="H804" s="1">
        <v>0</v>
      </c>
      <c r="I804" s="1">
        <v>0</v>
      </c>
      <c r="J804" s="1">
        <v>0</v>
      </c>
      <c r="K804" s="1">
        <v>1</v>
      </c>
      <c r="L804" s="1">
        <v>0</v>
      </c>
      <c r="M804" s="1">
        <v>0</v>
      </c>
      <c r="N804" s="1">
        <v>0</v>
      </c>
      <c r="O804" s="1">
        <v>0</v>
      </c>
      <c r="P804" s="1">
        <f>LN(B804)</f>
        <v>5.8111409929767</v>
      </c>
      <c r="Q804" s="1">
        <f>1-SUM(F804:J804)</f>
        <v>0</v>
      </c>
      <c r="R804" s="1" t="str">
        <f>IF(F804=1,"Napa valley",IF(G804=1,"Bay area",IF(H804=1,"Sonoma",IF(I804=1,"Sierra/foothills",IF(J804=1,"Mendocino/lake","Generic California")))))</f>
        <v>Napa valley</v>
      </c>
      <c r="S804" s="1" t="str">
        <f>IF(F804=1,"Napa valley",IF(H804=1,"Sonoma","Other"))</f>
        <v>Napa valley</v>
      </c>
      <c r="T804" s="1" t="str">
        <f>IF(M804=1,"Cabernet",IF(N804=1,"Merlot",IF(L804=1,"Pinot noir","Other")))</f>
        <v>Other</v>
      </c>
      <c r="U804" s="1">
        <f>IF(F804=1,B804,"")</f>
        <v>334</v>
      </c>
      <c r="V804" s="1" t="str">
        <f>IF(F804=0,B804,"")</f>
        <v/>
      </c>
      <c r="W804" s="1">
        <f>'Part B'!$B$150+SUMPRODUCT('Part B'!$B$164:$N$164,C804:O804)</f>
        <v>73.4801229578791</v>
      </c>
      <c r="X804" s="1">
        <f>B804-W804</f>
        <v>260.519877042121</v>
      </c>
      <c r="Y804" s="1">
        <f>'Part B'!$B$179+SUMPRODUCT('Part B'!$B$193:$N$193,C804:O804)</f>
        <v>4.1605574130631</v>
      </c>
      <c r="Z804" s="1">
        <f>P804-Y804</f>
        <v>1.6505835799136</v>
      </c>
      <c r="AB804" s="1">
        <f>C804</f>
        <v>0.47</v>
      </c>
      <c r="AC804" s="1">
        <f>D804</f>
        <v>95</v>
      </c>
      <c r="AD804" s="1">
        <f>E804</f>
        <v>3</v>
      </c>
      <c r="AE804" s="1">
        <f>F804</f>
        <v>1</v>
      </c>
      <c r="AF804" s="1">
        <f>G804</f>
        <v>0</v>
      </c>
      <c r="AG804" s="1">
        <f>I804</f>
        <v>0</v>
      </c>
      <c r="AH804" s="1">
        <f>J804</f>
        <v>0</v>
      </c>
      <c r="AI804" s="1">
        <f>Q804</f>
        <v>0</v>
      </c>
      <c r="AJ804" s="1">
        <f>K804</f>
        <v>1</v>
      </c>
      <c r="AK804" s="1">
        <f>L804</f>
        <v>0</v>
      </c>
      <c r="AL804" s="1">
        <f>M804</f>
        <v>0</v>
      </c>
      <c r="AM804" s="1">
        <f>N804</f>
        <v>0</v>
      </c>
      <c r="AN804" s="1">
        <f>O804</f>
        <v>0</v>
      </c>
    </row>
    <row r="805">
      <c r="A805" s="1">
        <v>1062</v>
      </c>
      <c r="B805" s="1">
        <v>365</v>
      </c>
      <c r="C805" s="1">
        <v>0.4</v>
      </c>
      <c r="D805" s="1">
        <v>94</v>
      </c>
      <c r="E805" s="1">
        <v>3</v>
      </c>
      <c r="F805" s="1">
        <v>1</v>
      </c>
      <c r="G805" s="1">
        <v>0</v>
      </c>
      <c r="H805" s="1">
        <v>0</v>
      </c>
      <c r="I805" s="1">
        <v>0</v>
      </c>
      <c r="J805" s="1">
        <v>0</v>
      </c>
      <c r="K805" s="1">
        <v>0</v>
      </c>
      <c r="L805" s="1">
        <v>0</v>
      </c>
      <c r="M805" s="1">
        <v>1</v>
      </c>
      <c r="N805" s="1">
        <v>0</v>
      </c>
      <c r="O805" s="1">
        <v>0</v>
      </c>
      <c r="P805" s="1">
        <f>LN(B805)</f>
        <v>5.89989735358249</v>
      </c>
      <c r="Q805" s="1">
        <f>1-SUM(F805:J805)</f>
        <v>0</v>
      </c>
      <c r="R805" s="1" t="str">
        <f>IF(F805=1,"Napa valley",IF(G805=1,"Bay area",IF(H805=1,"Sonoma",IF(I805=1,"Sierra/foothills",IF(J805=1,"Mendocino/lake","Generic California")))))</f>
        <v>Napa valley</v>
      </c>
      <c r="S805" s="1" t="str">
        <f>IF(F805=1,"Napa valley",IF(H805=1,"Sonoma","Other"))</f>
        <v>Napa valley</v>
      </c>
      <c r="T805" s="1" t="str">
        <f>IF(M805=1,"Cabernet",IF(N805=1,"Merlot",IF(L805=1,"Pinot noir","Other")))</f>
        <v>Cabernet</v>
      </c>
      <c r="U805" s="1">
        <f>IF(F805=1,B805,"")</f>
        <v>365</v>
      </c>
      <c r="V805" s="1" t="str">
        <f>IF(F805=0,B805,"")</f>
        <v/>
      </c>
      <c r="W805" s="1">
        <f>'Part B'!$B$150+SUMPRODUCT('Part B'!$B$164:$N$164,C805:O805)</f>
        <v>62.6811300642426</v>
      </c>
      <c r="X805" s="1">
        <f>B805-W805</f>
        <v>302.318869935757</v>
      </c>
      <c r="Y805" s="1">
        <f>'Part B'!$B$179+SUMPRODUCT('Part B'!$B$193:$N$193,C805:O805)</f>
        <v>3.93330377533202</v>
      </c>
      <c r="Z805" s="1">
        <f>P805-Y805</f>
        <v>1.96659357825047</v>
      </c>
      <c r="AB805" s="1">
        <f>C805</f>
        <v>0.4</v>
      </c>
      <c r="AC805" s="1">
        <f>D805</f>
        <v>94</v>
      </c>
      <c r="AD805" s="1">
        <f>E805</f>
        <v>3</v>
      </c>
      <c r="AE805" s="1">
        <f>F805</f>
        <v>1</v>
      </c>
      <c r="AF805" s="1">
        <f>G805</f>
        <v>0</v>
      </c>
      <c r="AG805" s="1">
        <f>I805</f>
        <v>0</v>
      </c>
      <c r="AH805" s="1">
        <f>J805</f>
        <v>0</v>
      </c>
      <c r="AI805" s="1">
        <f>Q805</f>
        <v>0</v>
      </c>
      <c r="AJ805" s="1">
        <f>K805</f>
        <v>0</v>
      </c>
      <c r="AK805" s="1">
        <f>L805</f>
        <v>0</v>
      </c>
      <c r="AL805" s="1">
        <f>M805</f>
        <v>1</v>
      </c>
      <c r="AM805" s="1">
        <f>N805</f>
        <v>0</v>
      </c>
      <c r="AN805" s="1">
        <f>O805</f>
        <v>0</v>
      </c>
    </row>
    <row r="806">
      <c r="A806" s="1">
        <v>1063</v>
      </c>
      <c r="B806" s="1">
        <v>440</v>
      </c>
      <c r="C806" s="1">
        <v>0.625</v>
      </c>
      <c r="D806" s="1">
        <v>95</v>
      </c>
      <c r="E806" s="1">
        <v>5</v>
      </c>
      <c r="F806" s="1">
        <v>1</v>
      </c>
      <c r="G806" s="1">
        <v>0</v>
      </c>
      <c r="H806" s="1">
        <v>0</v>
      </c>
      <c r="I806" s="1">
        <v>0</v>
      </c>
      <c r="J806" s="1">
        <v>0</v>
      </c>
      <c r="K806" s="1">
        <v>0</v>
      </c>
      <c r="L806" s="1">
        <v>0</v>
      </c>
      <c r="M806" s="1">
        <v>1</v>
      </c>
      <c r="N806" s="1">
        <v>0</v>
      </c>
      <c r="O806" s="1">
        <v>0</v>
      </c>
      <c r="P806" s="1">
        <f>LN(B806)</f>
        <v>6.08677472691231</v>
      </c>
      <c r="Q806" s="1">
        <f>1-SUM(F806:J806)</f>
        <v>0</v>
      </c>
      <c r="R806" s="1" t="str">
        <f>IF(F806=1,"Napa valley",IF(G806=1,"Bay area",IF(H806=1,"Sonoma",IF(I806=1,"Sierra/foothills",IF(J806=1,"Mendocino/lake","Generic California")))))</f>
        <v>Napa valley</v>
      </c>
      <c r="S806" s="1" t="str">
        <f>IF(F806=1,"Napa valley",IF(H806=1,"Sonoma","Other"))</f>
        <v>Napa valley</v>
      </c>
      <c r="T806" s="1" t="str">
        <f>IF(M806=1,"Cabernet",IF(N806=1,"Merlot",IF(L806=1,"Pinot noir","Other")))</f>
        <v>Cabernet</v>
      </c>
      <c r="U806" s="1">
        <f>IF(F806=1,B806,"")</f>
        <v>440</v>
      </c>
      <c r="V806" s="1" t="str">
        <f>IF(F806=0,B806,"")</f>
        <v/>
      </c>
      <c r="W806" s="1">
        <f>'Part B'!$B$150+SUMPRODUCT('Part B'!$B$164:$N$164,C806:O806)</f>
        <v>79.0440810751925</v>
      </c>
      <c r="X806" s="1">
        <f>B806-W806</f>
        <v>360.955918924807</v>
      </c>
      <c r="Y806" s="1">
        <f>'Part B'!$B$179+SUMPRODUCT('Part B'!$B$193:$N$193,C806:O806)</f>
        <v>4.36847291890502</v>
      </c>
      <c r="Z806" s="1">
        <f>P806-Y806</f>
        <v>1.71830180800729</v>
      </c>
      <c r="AB806" s="1">
        <f>C806</f>
        <v>0.625</v>
      </c>
      <c r="AC806" s="1">
        <f>D806</f>
        <v>95</v>
      </c>
      <c r="AD806" s="1">
        <f>E806</f>
        <v>5</v>
      </c>
      <c r="AE806" s="1">
        <f>F806</f>
        <v>1</v>
      </c>
      <c r="AF806" s="1">
        <f>G806</f>
        <v>0</v>
      </c>
      <c r="AG806" s="1">
        <f>I806</f>
        <v>0</v>
      </c>
      <c r="AH806" s="1">
        <f>J806</f>
        <v>0</v>
      </c>
      <c r="AI806" s="1">
        <f>Q806</f>
        <v>0</v>
      </c>
      <c r="AJ806" s="1">
        <f>K806</f>
        <v>0</v>
      </c>
      <c r="AK806" s="1">
        <f>L806</f>
        <v>0</v>
      </c>
      <c r="AL806" s="1">
        <f>M806</f>
        <v>1</v>
      </c>
      <c r="AM806" s="1">
        <f>N806</f>
        <v>0</v>
      </c>
      <c r="AN806" s="1">
        <f>O806</f>
        <v>0</v>
      </c>
    </row>
    <row r="807">
      <c r="A807" s="1">
        <v>1064</v>
      </c>
      <c r="B807" s="1">
        <v>440</v>
      </c>
      <c r="C807" s="1">
        <v>0.625</v>
      </c>
      <c r="D807" s="1">
        <v>97</v>
      </c>
      <c r="E807" s="1">
        <v>3</v>
      </c>
      <c r="F807" s="1">
        <v>1</v>
      </c>
      <c r="G807" s="1">
        <v>0</v>
      </c>
      <c r="H807" s="1">
        <v>0</v>
      </c>
      <c r="I807" s="1">
        <v>0</v>
      </c>
      <c r="J807" s="1">
        <v>0</v>
      </c>
      <c r="K807" s="1">
        <v>0</v>
      </c>
      <c r="L807" s="1">
        <v>0</v>
      </c>
      <c r="M807" s="1">
        <v>1</v>
      </c>
      <c r="N807" s="1">
        <v>0</v>
      </c>
      <c r="O807" s="1">
        <v>0</v>
      </c>
      <c r="P807" s="1">
        <f>LN(B807)</f>
        <v>6.08677472691231</v>
      </c>
      <c r="Q807" s="1">
        <f>1-SUM(F807:J807)</f>
        <v>0</v>
      </c>
      <c r="R807" s="1" t="str">
        <f>IF(F807=1,"Napa valley",IF(G807=1,"Bay area",IF(H807=1,"Sonoma",IF(I807=1,"Sierra/foothills",IF(J807=1,"Mendocino/lake","Generic California")))))</f>
        <v>Napa valley</v>
      </c>
      <c r="S807" s="1" t="str">
        <f>IF(F807=1,"Napa valley",IF(H807=1,"Sonoma","Other"))</f>
        <v>Napa valley</v>
      </c>
      <c r="T807" s="1" t="str">
        <f>IF(M807=1,"Cabernet",IF(N807=1,"Merlot",IF(L807=1,"Pinot noir","Other")))</f>
        <v>Cabernet</v>
      </c>
      <c r="U807" s="1">
        <f>IF(F807=1,B807,"")</f>
        <v>440</v>
      </c>
      <c r="V807" s="1" t="str">
        <f>IF(F807=0,B807,"")</f>
        <v/>
      </c>
      <c r="W807" s="1">
        <f>'Part B'!$B$150+SUMPRODUCT('Part B'!$B$164:$N$164,C807:O807)</f>
        <v>72.0950657431578</v>
      </c>
      <c r="X807" s="1">
        <f>B807-W807</f>
        <v>367.904934256842</v>
      </c>
      <c r="Y807" s="1">
        <f>'Part B'!$B$179+SUMPRODUCT('Part B'!$B$193:$N$193,C807:O807)</f>
        <v>4.14222509161666</v>
      </c>
      <c r="Z807" s="1">
        <f>P807-Y807</f>
        <v>1.94454963529565</v>
      </c>
      <c r="AB807" s="1">
        <f>C807</f>
        <v>0.625</v>
      </c>
      <c r="AC807" s="1">
        <f>D807</f>
        <v>97</v>
      </c>
      <c r="AD807" s="1">
        <f>E807</f>
        <v>3</v>
      </c>
      <c r="AE807" s="1">
        <f>F807</f>
        <v>1</v>
      </c>
      <c r="AF807" s="1">
        <f>G807</f>
        <v>0</v>
      </c>
      <c r="AG807" s="1">
        <f>I807</f>
        <v>0</v>
      </c>
      <c r="AH807" s="1">
        <f>J807</f>
        <v>0</v>
      </c>
      <c r="AI807" s="1">
        <f>Q807</f>
        <v>0</v>
      </c>
      <c r="AJ807" s="1">
        <f>K807</f>
        <v>0</v>
      </c>
      <c r="AK807" s="1">
        <f>L807</f>
        <v>0</v>
      </c>
      <c r="AL807" s="1">
        <f>M807</f>
        <v>1</v>
      </c>
      <c r="AM807" s="1">
        <f>N807</f>
        <v>0</v>
      </c>
      <c r="AN807" s="1">
        <f>O807</f>
        <v>0</v>
      </c>
    </row>
  </sheetData>
  <pageMargins left="0.75" right="0.75" top="1" bottom="1" header="0.511811023622047" footer="0.511811023622047"/>
  <ignoredErrors>
    <ignoredError numberStoredAsText="1" sqref="A1:AN807"/>
  </ignoredErrors>
</worksheet>
</file>

<file path=docProps/app.xml><?xml version="1.0" encoding="utf-8"?>
<Properties xmlns="http://schemas.openxmlformats.org/officeDocument/2006/extended-properties" xmlns:vt="http://schemas.openxmlformats.org/officeDocument/2006/docPropsVTypes">
  <Application>SheetJS</Application>
  <AppVersion>15.0000</AppVersion>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Part A</vt:lpstr>
      <vt:lpstr>Part B</vt:lpstr>
      <vt:lpstr>Part C</vt: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2026-10-09T06:50:43Z</dcterms:created>
  <dcterms:modified xsi:type="dcterms:W3CDTF">2026-10-09T06:50:43Z</dcterms:modified>
  <cp:revision>0</cp:revision>
  <dc:creator>openpyxl</dc:creator>
  <dc:language>en-US</dc:language>
</cp:coreProperties>
</file>