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pment" sheetId="1" r:id="rId4"/>
    <sheet state="visible" name="Shipment dự kiến" sheetId="2" r:id="rId5"/>
    <sheet state="visible" name="Forwarder" sheetId="3" r:id="rId6"/>
    <sheet state="visible" name="Address Sup" sheetId="4" r:id="rId7"/>
    <sheet state="visible" name="Cập nhật số Invoice" sheetId="5" r:id="rId8"/>
  </sheets>
  <definedNames/>
  <calcPr/>
  <extLst>
    <ext uri="GoogleSheetsCustomDataVersion2">
      <go:sheetsCustomData xmlns:go="http://customooxmlschemas.google.com/" r:id="rId9" roundtripDataChecksum="cElfqiBN4wLwSgNfqHlrUaxmDqm5Unfta+mBgevGCf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">
      <text>
        <t xml:space="preserve">- White: done.
- Yellow: note.
- Green: review.
- Red: act.
======</t>
      </text>
    </comment>
    <comment authorId="0" ref="O375">
      <text>
        <t xml:space="preserve">Kho gần lùi 4 ngày
Kho xa lùi 3 ngày
======</t>
      </text>
    </comment>
  </commentList>
</comments>
</file>

<file path=xl/sharedStrings.xml><?xml version="1.0" encoding="utf-8"?>
<sst xmlns="http://schemas.openxmlformats.org/spreadsheetml/2006/main" count="6078" uniqueCount="2732">
  <si>
    <t>Shipment</t>
  </si>
  <si>
    <t>Shipment ID</t>
  </si>
  <si>
    <t>Tnb</t>
  </si>
  <si>
    <t>Order ID</t>
  </si>
  <si>
    <t>Weight</t>
  </si>
  <si>
    <t>Shipping Cost</t>
  </si>
  <si>
    <t>SF/Weight</t>
  </si>
  <si>
    <t>Supplier/PN</t>
  </si>
  <si>
    <t>Care By</t>
  </si>
  <si>
    <t>Note</t>
  </si>
  <si>
    <t>Status</t>
  </si>
  <si>
    <t>Pay/POD/Case ID/Invoice</t>
  </si>
  <si>
    <t>Dự kiến rời CN</t>
  </si>
  <si>
    <t>Dự kiến đến US</t>
  </si>
  <si>
    <t>Dự kiến nhập kho</t>
  </si>
  <si>
    <t>Case</t>
  </si>
  <si>
    <t>S122</t>
  </si>
  <si>
    <t>FBA164H4KCKJ</t>
  </si>
  <si>
    <t>86948902501027835</t>
  </si>
  <si>
    <t>Clicks</t>
  </si>
  <si>
    <t>ship by express</t>
  </si>
  <si>
    <t>S123</t>
  </si>
  <si>
    <t>FBA1654BGQDW</t>
  </si>
  <si>
    <t>1ZR78F960314280663</t>
  </si>
  <si>
    <t>US inventory</t>
  </si>
  <si>
    <t>NMH</t>
  </si>
  <si>
    <t>ship by ground US</t>
  </si>
  <si>
    <t>S124</t>
  </si>
  <si>
    <t>FBA1654BSVNT</t>
  </si>
  <si>
    <t>1Z9W76V50498685207</t>
  </si>
  <si>
    <t>83024943001027835
82766954001027835
83025727001027835</t>
  </si>
  <si>
    <t>Ziyue</t>
  </si>
  <si>
    <t>ship by express ™</t>
  </si>
  <si>
    <t>S125</t>
  </si>
  <si>
    <t>FBA165CX5D67</t>
  </si>
  <si>
    <t>1Z8720R70330162250</t>
  </si>
  <si>
    <t>84186739501027835</t>
  </si>
  <si>
    <t>ship by express by Millennium</t>
  </si>
  <si>
    <t>S126</t>
  </si>
  <si>
    <t>FBA165D5F72N</t>
  </si>
  <si>
    <t>810086210505009</t>
  </si>
  <si>
    <t>ship by sea by Millennium</t>
  </si>
  <si>
    <t>S127</t>
  </si>
  <si>
    <t>FBA165L6YJRK</t>
  </si>
  <si>
    <t>787542202374</t>
  </si>
  <si>
    <t>ship by sea ™</t>
  </si>
  <si>
    <t>S128</t>
  </si>
  <si>
    <t>FBA1660KHPY6</t>
  </si>
  <si>
    <t>1ZE106A60395752888</t>
  </si>
  <si>
    <t>83024943001027835
82766954001027835
83025727001027835
86945615501027835</t>
  </si>
  <si>
    <t>S129</t>
  </si>
  <si>
    <t>FBA165R1J78S</t>
  </si>
  <si>
    <t>1Z86285V0420459400</t>
  </si>
  <si>
    <t>83024943001027835
82766954001027835
83025727001027835
86945615501027835
92333135501027835</t>
  </si>
  <si>
    <t>S130</t>
  </si>
  <si>
    <t>FBA166QX4BGZ</t>
  </si>
  <si>
    <t>1Z593Y5F0337771839</t>
  </si>
  <si>
    <t>91679518501027835</t>
  </si>
  <si>
    <t>S131</t>
  </si>
  <si>
    <t>FBA167L56FMJ</t>
  </si>
  <si>
    <t>1ZVY77570312896431</t>
  </si>
  <si>
    <t>S132</t>
  </si>
  <si>
    <t>FBA167LCPXG5</t>
  </si>
  <si>
    <t>1Z9XY9076711353004</t>
  </si>
  <si>
    <t>S133</t>
  </si>
  <si>
    <t>FBA167S59D43</t>
  </si>
  <si>
    <t>1Z9XY9076735603412</t>
  </si>
  <si>
    <t>83024943001027835
82766954001027835
83025727001027835
92333135501027835
93431258501027835
93678103501027835</t>
  </si>
  <si>
    <t>S134</t>
  </si>
  <si>
    <t>FBA167KTJF2S</t>
  </si>
  <si>
    <t>1ZY468540393624006</t>
  </si>
  <si>
    <t>91679518501027835
89840131001027835</t>
  </si>
  <si>
    <t>ship by sea</t>
  </si>
  <si>
    <t>Invoice</t>
  </si>
  <si>
    <t>S135</t>
  </si>
  <si>
    <t>FBA16872VZ10</t>
  </si>
  <si>
    <t>TK 2</t>
  </si>
  <si>
    <t>NA</t>
  </si>
  <si>
    <t>S136</t>
  </si>
  <si>
    <t>FBA168Q30JBH</t>
  </si>
  <si>
    <t>1ZR78R720388487209</t>
  </si>
  <si>
    <t>HL</t>
  </si>
  <si>
    <t>S137</t>
  </si>
  <si>
    <t>FBA168YCRW9K</t>
  </si>
  <si>
    <t>S138</t>
  </si>
  <si>
    <t>FBA1693V2N4N</t>
  </si>
  <si>
    <t>1Z92X1W00491981485</t>
  </si>
  <si>
    <t>83024943001027835
82766954001027835
83025727001027835
93431258501027835
93678103501027835</t>
  </si>
  <si>
    <t>S139</t>
  </si>
  <si>
    <t>FBA16B2G4HWD</t>
  </si>
  <si>
    <t>1ZY468540397000593
1ZY468540399627467</t>
  </si>
  <si>
    <t>94211622501027835</t>
  </si>
  <si>
    <t>S140</t>
  </si>
  <si>
    <t>send to HL</t>
  </si>
  <si>
    <t>1ZVY77570329444101
1ZVY77570316984598</t>
  </si>
  <si>
    <t>83024943001027835
82766954001027835
83025727001027835
86945615501027835
93431258501027835
93678103501027835</t>
  </si>
  <si>
    <t>S141</t>
  </si>
  <si>
    <t>FBA16C92SWQ9</t>
  </si>
  <si>
    <t>1ZR78R850354485483</t>
  </si>
  <si>
    <t>S142</t>
  </si>
  <si>
    <t>1ZXA67480395989860</t>
  </si>
  <si>
    <t>83024943001027835
82766954001027835
83025727001027835
106255322001027835
106454954501027835</t>
  </si>
  <si>
    <t>S143</t>
  </si>
  <si>
    <t>FBA16CPVH5NJ</t>
  </si>
  <si>
    <t>106255322001027835 
106454954501027835</t>
  </si>
  <si>
    <t>S144</t>
  </si>
  <si>
    <t>FBA16DBBP8HL</t>
  </si>
  <si>
    <t>1ZT738T70369733185</t>
  </si>
  <si>
    <t>S145</t>
  </si>
  <si>
    <t>FBA16DQT8MKP</t>
  </si>
  <si>
    <t>1ZT738T70330995322</t>
  </si>
  <si>
    <t>S146</t>
  </si>
  <si>
    <t>1ZT74T080301425600</t>
  </si>
  <si>
    <t>S147</t>
  </si>
  <si>
    <t>FBA16FRT2NNP</t>
  </si>
  <si>
    <t>1ZT74T170352148842</t>
  </si>
  <si>
    <t>S148</t>
  </si>
  <si>
    <t>FBA16FT5VBDF</t>
  </si>
  <si>
    <t>1ZT74T170337659248</t>
  </si>
  <si>
    <t>S149</t>
  </si>
  <si>
    <t>1Z7709XW0393759083</t>
  </si>
  <si>
    <t>2 - 6 - 10</t>
  </si>
  <si>
    <t>S150</t>
  </si>
  <si>
    <t>send to NA</t>
  </si>
  <si>
    <t>1Z84V17F0392515338</t>
  </si>
  <si>
    <t>ship by air ™</t>
  </si>
  <si>
    <t>S151</t>
  </si>
  <si>
    <t>FBA16GB4CJ09
FBA16GC4LW3K</t>
  </si>
  <si>
    <t>1ZT74T280314931215
1ZT74T280355389208</t>
  </si>
  <si>
    <t>S152</t>
  </si>
  <si>
    <t>FBA16G8XQC3L
FBA16G8TR879</t>
  </si>
  <si>
    <t>10 - 13</t>
  </si>
  <si>
    <t>41
62</t>
  </si>
  <si>
    <t>550
340</t>
  </si>
  <si>
    <t>13.41
5.48</t>
  </si>
  <si>
    <t>ship by express
ship by sea</t>
  </si>
  <si>
    <t>S153</t>
  </si>
  <si>
    <t>FBA16GPK1515</t>
  </si>
  <si>
    <t>1ZT74T280329146484</t>
  </si>
  <si>
    <t>S154</t>
  </si>
  <si>
    <t>FBA16GJQCHRF</t>
  </si>
  <si>
    <t>1Z53W82W0496540365</t>
  </si>
  <si>
    <t>13 - 15</t>
  </si>
  <si>
    <t>S155</t>
  </si>
  <si>
    <t>FBA16GVBTY8D</t>
  </si>
  <si>
    <t>S156</t>
  </si>
  <si>
    <t>FBA16GVC898L</t>
  </si>
  <si>
    <t>1Z86285V0435141644</t>
  </si>
  <si>
    <t>S157</t>
  </si>
  <si>
    <t>FBA16H8P7625</t>
  </si>
  <si>
    <t>1ZT74T370304895703</t>
  </si>
  <si>
    <t>US inventory (S150)</t>
  </si>
  <si>
    <t>S158</t>
  </si>
  <si>
    <t>FBA16HK35DMF</t>
  </si>
  <si>
    <t>1ZT74T370321545415</t>
  </si>
  <si>
    <t>US inventory (S140)</t>
  </si>
  <si>
    <t>S159</t>
  </si>
  <si>
    <t>FBA16HMHBR7T</t>
  </si>
  <si>
    <t>286935131918</t>
  </si>
  <si>
    <t>S160</t>
  </si>
  <si>
    <t>FBA16HPGQFJR</t>
  </si>
  <si>
    <t>286935082206</t>
  </si>
  <si>
    <t>S161</t>
  </si>
  <si>
    <t>1Z87W6630310602578</t>
  </si>
  <si>
    <t>2 - 8 - 13</t>
  </si>
  <si>
    <t>S162</t>
  </si>
  <si>
    <t>FBA16HR8W2R6</t>
  </si>
  <si>
    <t>1ZT74T770315858676</t>
  </si>
  <si>
    <t>S163</t>
  </si>
  <si>
    <t>FBA16HTNRT2S</t>
  </si>
  <si>
    <t>1ZT74T770355832725</t>
  </si>
  <si>
    <t>S164</t>
  </si>
  <si>
    <t>FBA16J2MTRJ3</t>
  </si>
  <si>
    <t>1ZT740T70377061739</t>
  </si>
  <si>
    <t>S165</t>
  </si>
  <si>
    <t>FBA16JD2X466</t>
  </si>
  <si>
    <t>1ZT740T70344368998</t>
  </si>
  <si>
    <t>US inventory (S149)</t>
  </si>
  <si>
    <t>S166</t>
  </si>
  <si>
    <t>FBA16JF3882G</t>
  </si>
  <si>
    <t>1ZW5124W0318025963</t>
  </si>
  <si>
    <t>S167</t>
  </si>
  <si>
    <t>FBA16JK80FPM</t>
  </si>
  <si>
    <t>288153164357</t>
  </si>
  <si>
    <t>16 - 17 - 18 - 19 - 20</t>
  </si>
  <si>
    <t>S168</t>
  </si>
  <si>
    <t>FBA16HZ64FQ4</t>
  </si>
  <si>
    <t>by truck</t>
  </si>
  <si>
    <t>S169</t>
  </si>
  <si>
    <t>FBA16JVW4HQS</t>
  </si>
  <si>
    <t>1ZW71A540387633065</t>
  </si>
  <si>
    <t>US inventory (S150 + removal stool)</t>
  </si>
  <si>
    <t>S170</t>
  </si>
  <si>
    <t>FBA16K3DYWJZ</t>
  </si>
  <si>
    <t>1Z9Y31520411794005</t>
  </si>
  <si>
    <t>17 - 18 - 19 - 20</t>
  </si>
  <si>
    <t>S171</t>
  </si>
  <si>
    <t>FBA16K4MF6GC</t>
  </si>
  <si>
    <t>1Z4T496T0394149889</t>
  </si>
  <si>
    <t>16 - 17 - 18 - 19 - 21</t>
  </si>
  <si>
    <t>ship by sea ™ (long)</t>
  </si>
  <si>
    <t>S172</t>
  </si>
  <si>
    <t>FBA16K69TNSR</t>
  </si>
  <si>
    <t>1ZW71A540367944490</t>
  </si>
  <si>
    <t>US inventory (S161)</t>
  </si>
  <si>
    <t>S173</t>
  </si>
  <si>
    <t>FBA16K8QS15W</t>
  </si>
  <si>
    <t>20 - 22</t>
  </si>
  <si>
    <t>S174</t>
  </si>
  <si>
    <t>FBA16K8PYN1L</t>
  </si>
  <si>
    <t>10 - 20 - 22</t>
  </si>
  <si>
    <t>S175</t>
  </si>
  <si>
    <t>FBA16KFLW1J2</t>
  </si>
  <si>
    <t>1ZW762R80360717018</t>
  </si>
  <si>
    <t>S176</t>
  </si>
  <si>
    <t>FBA16KGHC5T7</t>
  </si>
  <si>
    <t>1ZW762R80315413261</t>
  </si>
  <si>
    <t>S177</t>
  </si>
  <si>
    <t>FBA16LX67V9N</t>
  </si>
  <si>
    <t>1Z70W0420427871488</t>
  </si>
  <si>
    <t>23 - 24 - 25</t>
  </si>
  <si>
    <t>359672 - 359673</t>
  </si>
  <si>
    <t>S178</t>
  </si>
  <si>
    <t>FBA16LW29W8R</t>
  </si>
  <si>
    <t>S179</t>
  </si>
  <si>
    <t>FBA16MR87K37</t>
  </si>
  <si>
    <t>1ZA564520311172027
1ZA564520335682593</t>
  </si>
  <si>
    <t>17 - 24 - 25</t>
  </si>
  <si>
    <t>S180</t>
  </si>
  <si>
    <t>FBA16MYCQT2J</t>
  </si>
  <si>
    <t>1ZW94F020326021887</t>
  </si>
  <si>
    <t>S181</t>
  </si>
  <si>
    <t>FBA16N5VMSBZ</t>
  </si>
  <si>
    <t>1Z30AY940492774760</t>
  </si>
  <si>
    <t>S182</t>
  </si>
  <si>
    <t>FBA16N4YD07D</t>
  </si>
  <si>
    <t>1ZA564530321174700</t>
  </si>
  <si>
    <t>S183</t>
  </si>
  <si>
    <t>FBA16P4CTPN2</t>
  </si>
  <si>
    <t>1ZVY77570316691789
1ZVY77570317172472</t>
  </si>
  <si>
    <t>24 - 25</t>
  </si>
  <si>
    <t>S184</t>
  </si>
  <si>
    <t>FBA16Q1MDHBT</t>
  </si>
  <si>
    <t>1Z30AY940493498763</t>
  </si>
  <si>
    <t>29 - 30</t>
  </si>
  <si>
    <t>S185</t>
  </si>
  <si>
    <t>FBA16Q3LNGK0</t>
  </si>
  <si>
    <t>1ZR89A330327688618</t>
  </si>
  <si>
    <t>US inventory (removal stool)</t>
  </si>
  <si>
    <t>S186</t>
  </si>
  <si>
    <t>FBA16PFFKY38</t>
  </si>
  <si>
    <t>1ZA564520316677536</t>
  </si>
  <si>
    <t>25 - 29 - 31</t>
  </si>
  <si>
    <t>S187 - TK 2</t>
  </si>
  <si>
    <t>FBA16RVF5DF2</t>
  </si>
  <si>
    <t>TK 2
1Z30AY940496473917</t>
  </si>
  <si>
    <t>10 - 29 - 35</t>
  </si>
  <si>
    <t>S188</t>
  </si>
  <si>
    <t>FBA16RZ5WJC2</t>
  </si>
  <si>
    <t>1ZR700380329157111</t>
  </si>
  <si>
    <t>S189</t>
  </si>
  <si>
    <t>FBA16RS8HB7W</t>
  </si>
  <si>
    <t>1Z8WY0010414993241</t>
  </si>
  <si>
    <t>Thành</t>
  </si>
  <si>
    <t>S190</t>
  </si>
  <si>
    <t>FBA16S7Q294J</t>
  </si>
  <si>
    <t>1ZFR46726720028611</t>
  </si>
  <si>
    <t>Hai Anh</t>
  </si>
  <si>
    <t>Yến</t>
  </si>
  <si>
    <t>ship by STA</t>
  </si>
  <si>
    <t>S191 - TK 2</t>
  </si>
  <si>
    <t>FBA16S96LWY1</t>
  </si>
  <si>
    <t>1ZA5X1700390866076</t>
  </si>
  <si>
    <t>full</t>
  </si>
  <si>
    <t>S192</t>
  </si>
  <si>
    <t>FBA16RHXFWDJ</t>
  </si>
  <si>
    <t>1Z581VV10347667964</t>
  </si>
  <si>
    <t>ship by air</t>
  </si>
  <si>
    <t>S193 - TK 2</t>
  </si>
  <si>
    <t>notebooks</t>
  </si>
  <si>
    <t>1Z7EF9760311135051</t>
  </si>
  <si>
    <t>Jeremy</t>
  </si>
  <si>
    <t>S194 - VN</t>
  </si>
  <si>
    <t>FBA16QY0ZNJW</t>
  </si>
  <si>
    <t>1ZR7V1270328027770</t>
  </si>
  <si>
    <t>RNH from BM</t>
  </si>
  <si>
    <t>BM</t>
  </si>
  <si>
    <t>ship by sea by Tien</t>
  </si>
  <si>
    <t>S195</t>
  </si>
  <si>
    <t>FBA16RMBPS1V
FBA16SFPY45X</t>
  </si>
  <si>
    <t>1Z8E80X30399557980</t>
  </si>
  <si>
    <t>33
32 - 36</t>
  </si>
  <si>
    <t>S-Lord
Clicks</t>
  </si>
  <si>
    <t>ship by air by Millennium</t>
  </si>
  <si>
    <t>S196</t>
  </si>
  <si>
    <t>FBA16TF02FWG</t>
  </si>
  <si>
    <t>1Z8717R30315896812</t>
  </si>
  <si>
    <t>32 - 41 - 48</t>
  </si>
  <si>
    <t>ship by air by Mr Gan</t>
  </si>
  <si>
    <t>S197</t>
  </si>
  <si>
    <t>FBA16V64L3NK</t>
  </si>
  <si>
    <t>1ZF1R8720426330755</t>
  </si>
  <si>
    <t>40 - 47</t>
  </si>
  <si>
    <t>S198</t>
  </si>
  <si>
    <t>FBA16V647GWB</t>
  </si>
  <si>
    <t>1ZA5X1700397385958</t>
  </si>
  <si>
    <t>32 - 40 - 47</t>
  </si>
  <si>
    <t>S199</t>
  </si>
  <si>
    <t>FBA16V64L910</t>
  </si>
  <si>
    <t xml:space="preserve">1Z641E710302353820
1Z641E710328074173
1Z641E710330149276
1Z641E710335004378 </t>
  </si>
  <si>
    <t>S200 - UK</t>
  </si>
  <si>
    <t>FBA15G66X7F2</t>
  </si>
  <si>
    <t>15502265404255</t>
  </si>
  <si>
    <t>S201</t>
  </si>
  <si>
    <t>FBA16V76SJS1</t>
  </si>
  <si>
    <t>1ZV541Y50334943482</t>
  </si>
  <si>
    <t>37 - 39 - 44</t>
  </si>
  <si>
    <t>S202</t>
  </si>
  <si>
    <t>FBA16VC5SGRC</t>
  </si>
  <si>
    <t>1ZR719110316682897</t>
  </si>
  <si>
    <t>S203 - TK 2</t>
  </si>
  <si>
    <t>FBA16VQTB4RG</t>
  </si>
  <si>
    <t>1Z1004TT0328840688</t>
  </si>
  <si>
    <t>29 - 45</t>
  </si>
  <si>
    <t>S204 - TK 2</t>
  </si>
  <si>
    <t>FBA16VQWW2ZZ</t>
  </si>
  <si>
    <t>1Z9A60810315337991</t>
  </si>
  <si>
    <t>10 - 29 - 34 - 45</t>
  </si>
  <si>
    <t>S205</t>
  </si>
  <si>
    <t>FBA16VDC7CJP
FBA16W51L8J9</t>
  </si>
  <si>
    <t>1Z01WY930395247461</t>
  </si>
  <si>
    <t>33 - 42 - 48</t>
  </si>
  <si>
    <t>23
24</t>
  </si>
  <si>
    <t>S206</t>
  </si>
  <si>
    <t>FBA16V77Q3T4</t>
  </si>
  <si>
    <t>1Z9A60810322294470
1Z9A60810325237508
1Z9A60810331859218</t>
  </si>
  <si>
    <t>38 - 49</t>
  </si>
  <si>
    <t>11691470381
11894885461</t>
  </si>
  <si>
    <t>S207</t>
  </si>
  <si>
    <t>FBA16XJXW9Z6</t>
  </si>
  <si>
    <t>1ZR719110398237143</t>
  </si>
  <si>
    <t>US inventory (removal stool, opener, groot)</t>
  </si>
  <si>
    <t>S208</t>
  </si>
  <si>
    <t>FBA16XQTQ6RL</t>
  </si>
  <si>
    <t>1ZW137F70390429684
1ZA43T660310791022</t>
  </si>
  <si>
    <t>51 - 56</t>
  </si>
  <si>
    <t>Thành 
Hùng</t>
  </si>
  <si>
    <t>S209</t>
  </si>
  <si>
    <t>FBA16XZLPP06</t>
  </si>
  <si>
    <t>1ZA8T5590392085419</t>
  </si>
  <si>
    <t>52 - 54</t>
  </si>
  <si>
    <t>S210 - TK 2</t>
  </si>
  <si>
    <t>FBA16Y8P9PZ6</t>
  </si>
  <si>
    <t>1ZR722F90356330755</t>
  </si>
  <si>
    <t>US inventory (removal collars)</t>
  </si>
  <si>
    <t>S211</t>
  </si>
  <si>
    <t>FBA16Y7BDV37</t>
  </si>
  <si>
    <t>1ZV4Y4100333826789</t>
  </si>
  <si>
    <t>53 - 57</t>
  </si>
  <si>
    <t>Easehome</t>
  </si>
  <si>
    <t>Hùng</t>
  </si>
  <si>
    <t>ship by air by Gan</t>
  </si>
  <si>
    <t>S212</t>
  </si>
  <si>
    <t>FBA16Y9CZ0H0</t>
  </si>
  <si>
    <t>1ZV4Y4100332215226</t>
  </si>
  <si>
    <t>52 - 54 -57</t>
  </si>
  <si>
    <t>S213</t>
  </si>
  <si>
    <t>FBA16Y9D6JM3</t>
  </si>
  <si>
    <t>1ZA0A1620390644501</t>
  </si>
  <si>
    <t>Youshu</t>
  </si>
  <si>
    <t>ship by air by Youshu</t>
  </si>
  <si>
    <t>12850780231 Amz không đền -&gt; Andy Quan đền 5 units = $14 -&gt; khấu trừ bằng $13 tiền bag S250</t>
  </si>
  <si>
    <t>S214</t>
  </si>
  <si>
    <t>FBA16YHX05V1</t>
  </si>
  <si>
    <t>1ZR722F90381028437</t>
  </si>
  <si>
    <t>US inventory (removal avocado &amp; melon cutters)</t>
  </si>
  <si>
    <t>-1, đã điều tra</t>
  </si>
  <si>
    <t>FBA16YHWWHLR</t>
  </si>
  <si>
    <t>1ZR722F90342263461</t>
  </si>
  <si>
    <t>S215</t>
  </si>
  <si>
    <t>FBA16YQTXRJC</t>
  </si>
  <si>
    <t>1Z9A60810334079029</t>
  </si>
  <si>
    <t>43 - 59</t>
  </si>
  <si>
    <t>ship by sea by Gan</t>
  </si>
  <si>
    <t>S216</t>
  </si>
  <si>
    <t>FBA16Z9QTRZH</t>
  </si>
  <si>
    <t>1Z01Y30F0393983414</t>
  </si>
  <si>
    <t>S217</t>
  </si>
  <si>
    <t>391525638581</t>
  </si>
  <si>
    <t>S218</t>
  </si>
  <si>
    <t>FBA16ZGX9G45</t>
  </si>
  <si>
    <t>1ZR722F90311590415</t>
  </si>
  <si>
    <t>US inventory (removal avocado cutters, groot, breaker)</t>
  </si>
  <si>
    <t>S219</t>
  </si>
  <si>
    <t>FBA16ZGX8NTM</t>
  </si>
  <si>
    <t>1ZR722F90318639235</t>
  </si>
  <si>
    <t>S220</t>
  </si>
  <si>
    <t>FBA16ZM6B8SW</t>
  </si>
  <si>
    <t>1ZEE43430398148531</t>
  </si>
  <si>
    <t>60 - 43</t>
  </si>
  <si>
    <t>S221</t>
  </si>
  <si>
    <t>FBA16ZSQL93L</t>
  </si>
  <si>
    <t>1Z04VW390392698394</t>
  </si>
  <si>
    <t>39 - 61</t>
  </si>
  <si>
    <t>S222</t>
  </si>
  <si>
    <t>FBA1702DS2J7</t>
  </si>
  <si>
    <t>1ZEE43430308164361</t>
  </si>
  <si>
    <t>46 - 64</t>
  </si>
  <si>
    <t>S223</t>
  </si>
  <si>
    <t>FBA1704M55G6</t>
  </si>
  <si>
    <t>1ZEE43430338731709</t>
  </si>
  <si>
    <t>62 - 66</t>
  </si>
  <si>
    <t>Thành &amp; Hùng</t>
  </si>
  <si>
    <t>ship by air to FWA4 by Shihang</t>
  </si>
  <si>
    <t>leave ctn 7 in forwarder Shihang -&gt; FBA1704M13XL - shipment 2 - ship by air to MEM1 (protector + brush + dumpling maker 1.0)</t>
  </si>
  <si>
    <t>S224</t>
  </si>
  <si>
    <t>FBA17046QRH3</t>
  </si>
  <si>
    <t>1Z4X80V20323007617</t>
  </si>
  <si>
    <t>ship by sea to IND9 by Shihang</t>
  </si>
  <si>
    <t>more</t>
  </si>
  <si>
    <t>S225</t>
  </si>
  <si>
    <t>FBA170475PD4</t>
  </si>
  <si>
    <t>1Z4X80V20307582615</t>
  </si>
  <si>
    <t>ship by sea to FTW1 together TK 2 by Shihang</t>
  </si>
  <si>
    <t>S226 - TK 2</t>
  </si>
  <si>
    <t>FBA16ZTMY02Y</t>
  </si>
  <si>
    <t>1Z4X80V20307383045</t>
  </si>
  <si>
    <t>46 - 66</t>
  </si>
  <si>
    <t>Yến (24/12)</t>
  </si>
  <si>
    <t>ship by sea to FTW1 - TK 2 by Shihang</t>
  </si>
  <si>
    <t>S227</t>
  </si>
  <si>
    <t>FBA170CCSSLT</t>
  </si>
  <si>
    <t>1ZR733340377377006
1ZR733340347877586</t>
  </si>
  <si>
    <t>US inventory (removal collar, breaker)</t>
  </si>
  <si>
    <t>Yến
Thành</t>
  </si>
  <si>
    <t>S228 - TK 2</t>
  </si>
  <si>
    <t>FBA16ZXQ95Z0</t>
  </si>
  <si>
    <t>1ZR733340354434139</t>
  </si>
  <si>
    <t>US inventory (removal collars) - S203 &amp; S204</t>
  </si>
  <si>
    <t xml:space="preserve"> </t>
  </si>
  <si>
    <t>S229</t>
  </si>
  <si>
    <t>FBA170DD1WC0</t>
  </si>
  <si>
    <t>1Z8174V40325371526</t>
  </si>
  <si>
    <t>65 - 67</t>
  </si>
  <si>
    <t>ship by air by Shihang (leave ctn 5 in forwarder Li Qiu - FBA170DFW29N - shipment 2 - ship by air to MQJ1)</t>
  </si>
  <si>
    <t>leave ctn 5 in forwarder Shihang -&gt; FBA170DFW29N - shipment 2 - ship by air to MQJ1</t>
  </si>
  <si>
    <t>1Z0VE5970300591041</t>
  </si>
  <si>
    <t>ship by sea by Shihang</t>
  </si>
  <si>
    <t>S230 - TK 2</t>
  </si>
  <si>
    <t>FBA1702CZ97G</t>
  </si>
  <si>
    <t>1Z2RA8950335168174</t>
  </si>
  <si>
    <t>46 - 67</t>
  </si>
  <si>
    <t>ship by air by Shihang</t>
  </si>
  <si>
    <t>S231</t>
  </si>
  <si>
    <t>FBA170L0THG1</t>
  </si>
  <si>
    <t>393324796051
393324785570</t>
  </si>
  <si>
    <t>43 - 68</t>
  </si>
  <si>
    <t>ship by sea by Clicks</t>
  </si>
  <si>
    <t>S232</t>
  </si>
  <si>
    <t>FBA170MXM13R</t>
  </si>
  <si>
    <t>1Z7742AR0390877785</t>
  </si>
  <si>
    <t>25 - 29 - 39 -63- 69</t>
  </si>
  <si>
    <t>Yến (14/01)</t>
  </si>
  <si>
    <t>ship by sea ™ by Ziyue</t>
  </si>
  <si>
    <t>22 &amp; 23</t>
  </si>
  <si>
    <t>12830506421 (-18 cái không kiện được)</t>
  </si>
  <si>
    <t>S233</t>
  </si>
  <si>
    <t>FBA170TFGLDC</t>
  </si>
  <si>
    <t>1Z4192XR0313997118</t>
  </si>
  <si>
    <t>S234</t>
  </si>
  <si>
    <t>FBA170TG4DYM</t>
  </si>
  <si>
    <t>1ZEF49390308718115</t>
  </si>
  <si>
    <t>12849275141 &amp; 12593211671 - 718115 -&gt; amz đền 5 units bằng tiền &amp; 2 units bằng hàng tìm lại</t>
  </si>
  <si>
    <t>S235</t>
  </si>
  <si>
    <t>FBA170ZCMRJG</t>
  </si>
  <si>
    <t>1ZXA67480314003905</t>
  </si>
  <si>
    <t>70 - 71</t>
  </si>
  <si>
    <t>S236 - collar</t>
  </si>
  <si>
    <t>FBA1710GKRGS</t>
  </si>
  <si>
    <t>1ZXA67480312702270</t>
  </si>
  <si>
    <t>46 - 71</t>
  </si>
  <si>
    <t>S237</t>
  </si>
  <si>
    <t>FBA171J0SHLY</t>
  </si>
  <si>
    <t>1ZAC21310311746618</t>
  </si>
  <si>
    <t>72 - 74</t>
  </si>
  <si>
    <t xml:space="preserve">different </t>
  </si>
  <si>
    <t>S238 - collar</t>
  </si>
  <si>
    <t>FBA171HSLF02</t>
  </si>
  <si>
    <t>1Z0728YF0363956658</t>
  </si>
  <si>
    <t>46 - 76</t>
  </si>
  <si>
    <t>ship by air by Shihang to MDW2 together S239</t>
  </si>
  <si>
    <t>S239</t>
  </si>
  <si>
    <t>FBA17208FDD6</t>
  </si>
  <si>
    <t>1Z6F710W0363959392</t>
  </si>
  <si>
    <t>75 - 76</t>
  </si>
  <si>
    <t>ship by air by Shihang to MDW2 together S238</t>
  </si>
  <si>
    <t>S240</t>
  </si>
  <si>
    <t>FBA172082R1K</t>
  </si>
  <si>
    <t>1ZA477J50336874118</t>
  </si>
  <si>
    <t>75 - 77</t>
  </si>
  <si>
    <t>S241</t>
  </si>
  <si>
    <t>FBA172KXP6MN</t>
  </si>
  <si>
    <t>1Z872V910309070761</t>
  </si>
  <si>
    <t>75 - 76 - 77</t>
  </si>
  <si>
    <t>S242</t>
  </si>
  <si>
    <t>FBA172JN6T0G</t>
  </si>
  <si>
    <t>1ZAC21310312646402</t>
  </si>
  <si>
    <t>S243</t>
  </si>
  <si>
    <t>FBA172JN6KYR</t>
  </si>
  <si>
    <t>1ZA477J50331609020</t>
  </si>
  <si>
    <t>S244.1
S244.2</t>
  </si>
  <si>
    <t>FBA172J3X26V</t>
  </si>
  <si>
    <t>1ZX2251X0423057587</t>
  </si>
  <si>
    <t>38 - 39 - 63 - 78</t>
  </si>
  <si>
    <t>ship by air ™ by Ziyue</t>
  </si>
  <si>
    <t>different
reimbursed</t>
  </si>
  <si>
    <t>1ZA03T990395206898</t>
  </si>
  <si>
    <t>S245</t>
  </si>
  <si>
    <t>FBA172J7C75H</t>
  </si>
  <si>
    <t>1ZA03T990392558764
1ZA03T990394379785</t>
  </si>
  <si>
    <t>38 - 39 - 63 - 79</t>
  </si>
  <si>
    <t>more &amp; miss</t>
  </si>
  <si>
    <t>S246 - collar</t>
  </si>
  <si>
    <t>FBA172J6T8CH</t>
  </si>
  <si>
    <t>46 -79</t>
  </si>
  <si>
    <t>S247 - collar</t>
  </si>
  <si>
    <t>FBA17337P5GZ</t>
  </si>
  <si>
    <t>1ZEF49390301473624</t>
  </si>
  <si>
    <t>10-39-46 -63-73-80</t>
  </si>
  <si>
    <t>S247 - TK 2</t>
  </si>
  <si>
    <t>FBA1733645S8</t>
  </si>
  <si>
    <t>S248</t>
  </si>
  <si>
    <t>FBA173M4K7Z3</t>
  </si>
  <si>
    <t>1Z5E123F0352229761</t>
  </si>
  <si>
    <t>Tanfu</t>
  </si>
  <si>
    <t>S249</t>
  </si>
  <si>
    <t>FBA173T1F6LK</t>
  </si>
  <si>
    <t>1ZE0556W0341479515</t>
  </si>
  <si>
    <t>38 - 39 - 46 - 91</t>
  </si>
  <si>
    <t>ship by air™ by Shihang</t>
  </si>
  <si>
    <t>S250</t>
  </si>
  <si>
    <t>FBA176BHLCC2</t>
  </si>
  <si>
    <t>1ZBH40820316180169</t>
  </si>
  <si>
    <t>83 - 90</t>
  </si>
  <si>
    <t>28/05/2023</t>
  </si>
  <si>
    <t>S251</t>
  </si>
  <si>
    <t>FBA176BNBSZR</t>
  </si>
  <si>
    <t>KQFBA176BNBSZR</t>
  </si>
  <si>
    <t>83 - 95</t>
  </si>
  <si>
    <t>ship by sea by Nain</t>
  </si>
  <si>
    <t>reimbursed</t>
  </si>
  <si>
    <t>25/05/2023</t>
  </si>
  <si>
    <t>15/06/2023</t>
  </si>
  <si>
    <t>S252</t>
  </si>
  <si>
    <t>FBA176DBPN95</t>
  </si>
  <si>
    <t>1ZBH40820300681773</t>
  </si>
  <si>
    <t>92 - 90</t>
  </si>
  <si>
    <t>Puberty (1688)</t>
  </si>
  <si>
    <t>26/5/2023</t>
  </si>
  <si>
    <t>3/6-4/6/2023</t>
  </si>
  <si>
    <t>7/6-9/6/2023</t>
  </si>
  <si>
    <t>S253</t>
  </si>
  <si>
    <t>FBA176DDF11L</t>
  </si>
  <si>
    <t>1ZBH40820316117184</t>
  </si>
  <si>
    <t>86 - 90</t>
  </si>
  <si>
    <t>Jun</t>
  </si>
  <si>
    <t>S254</t>
  </si>
  <si>
    <t>FBA176D8N82W</t>
  </si>
  <si>
    <t>KQFBA176D8N82W</t>
  </si>
  <si>
    <t>86 - 95</t>
  </si>
  <si>
    <t>13/6/2023</t>
  </si>
  <si>
    <t>20/6/2023</t>
  </si>
  <si>
    <t>S255</t>
  </si>
  <si>
    <t>FBA176TZYNS9</t>
  </si>
  <si>
    <t>1Z7XA5560419031260 / 1Z7XA5560415944291</t>
  </si>
  <si>
    <t>87 - 91</t>
  </si>
  <si>
    <t>ship express by Shihang</t>
  </si>
  <si>
    <t>S256</t>
  </si>
  <si>
    <t>FBA176VBB993</t>
  </si>
  <si>
    <t>84 - 89 - 97 - 99</t>
  </si>
  <si>
    <t>Kalvmei</t>
  </si>
  <si>
    <t>ship by air by JiuFang</t>
  </si>
  <si>
    <t>14/06/2023</t>
  </si>
  <si>
    <t>S257</t>
  </si>
  <si>
    <t>FBA176X1FK4S</t>
  </si>
  <si>
    <t>LCL23067050</t>
  </si>
  <si>
    <t>ship by sea (chính) by JiuFang - track: www.jiufanglogistics.com/track</t>
  </si>
  <si>
    <t>more (ship dư 10 pcs Auto seat belt shoulder protection)</t>
  </si>
  <si>
    <t>13/06/2023</t>
  </si>
  <si>
    <t>26/06/2023</t>
  </si>
  <si>
    <t>13-18/07/2023</t>
  </si>
  <si>
    <t>S258</t>
  </si>
  <si>
    <t>FBA176W60WYX</t>
  </si>
  <si>
    <t>1ZBH40820326936486</t>
  </si>
  <si>
    <t>92 - 82 - 89 - 93</t>
  </si>
  <si>
    <t>Puberty</t>
  </si>
  <si>
    <t>S259</t>
  </si>
  <si>
    <t>FBA176V51K4G</t>
  </si>
  <si>
    <t>1Z0176Y40326269619
1Z0176Y40331722654</t>
  </si>
  <si>
    <t>more &amp; different
reimbursed</t>
  </si>
  <si>
    <t>S260</t>
  </si>
  <si>
    <t>FBA176V6T2FT</t>
  </si>
  <si>
    <t>1ZAC21310337777582</t>
  </si>
  <si>
    <t>S261</t>
  </si>
  <si>
    <t>FBA176X4HLZD</t>
  </si>
  <si>
    <t>1Z74WF390414012998</t>
  </si>
  <si>
    <t>38 - 46 - 85 - 88 - 93</t>
  </si>
  <si>
    <t>S262</t>
  </si>
  <si>
    <t>FBA17715RNC6</t>
  </si>
  <si>
    <t>1Z04VW390395636267</t>
  </si>
  <si>
    <t>84 - 89 - 97 - 98</t>
  </si>
  <si>
    <t>27/06/2023</t>
  </si>
  <si>
    <t>S263</t>
  </si>
  <si>
    <t>FBA176JJZBVM</t>
  </si>
  <si>
    <t>1ZR75E590352885656</t>
  </si>
  <si>
    <t>US inventory
(removal breaker)</t>
  </si>
  <si>
    <t>S264</t>
  </si>
  <si>
    <t>FBA1776W64V7</t>
  </si>
  <si>
    <t>88 - 111</t>
  </si>
  <si>
    <t>21 (19.5kg)</t>
  </si>
  <si>
    <t>Shihang</t>
  </si>
  <si>
    <t>09/07</t>
  </si>
  <si>
    <t>14/07</t>
  </si>
  <si>
    <t>S265.2</t>
  </si>
  <si>
    <t>FBA177HV4RZ8</t>
  </si>
  <si>
    <t>38-39-63-73-85-111</t>
  </si>
  <si>
    <t>ship by sea™ by Shihang</t>
  </si>
  <si>
    <t>reallocated &amp; reimbursed</t>
  </si>
  <si>
    <t>22/06/2023</t>
  </si>
  <si>
    <t>17/07</t>
  </si>
  <si>
    <r>
      <rPr>
        <rFont val="Calibri"/>
        <color rgb="FFB7B7B7"/>
        <sz val="11.0"/>
      </rPr>
      <t>22/07</t>
    </r>
    <r>
      <rPr>
        <rFont val="Calibri"/>
        <color theme="1"/>
        <sz val="11.0"/>
      </rPr>
      <t>-07/08</t>
    </r>
  </si>
  <si>
    <t>S265.1</t>
  </si>
  <si>
    <t>FBA177HMPD4T</t>
  </si>
  <si>
    <t>1Z2E44Y10395736762</t>
  </si>
  <si>
    <r>
      <rPr>
        <rFont val="Calibri"/>
        <color rgb="FF999999"/>
        <sz val="11.0"/>
      </rPr>
      <t>22/07</t>
    </r>
    <r>
      <rPr>
        <rFont val="Calibri"/>
        <color theme="1"/>
        <sz val="11.0"/>
      </rPr>
      <t>-18/07</t>
    </r>
  </si>
  <si>
    <t>S266</t>
  </si>
  <si>
    <t>FBA177TSL48W</t>
  </si>
  <si>
    <t>1Z0488680390153150</t>
  </si>
  <si>
    <t>94 - 110</t>
  </si>
  <si>
    <t>ship by air by  Shihang</t>
  </si>
  <si>
    <t>16/06/2023</t>
  </si>
  <si>
    <t>28/06/2023</t>
  </si>
  <si>
    <t>S267</t>
  </si>
  <si>
    <t>FBA177P3VZ2S</t>
  </si>
  <si>
    <t>1Z0176Y40317965142</t>
  </si>
  <si>
    <t>23/06/2023</t>
  </si>
  <si>
    <t>21/07/2023</t>
  </si>
  <si>
    <t>S268.1</t>
  </si>
  <si>
    <t>FBA178XX0NFJ</t>
  </si>
  <si>
    <t>94 - 109 - 113 - 119</t>
  </si>
  <si>
    <t>Youshu (4ctns)
eBay (1 ctn)</t>
  </si>
  <si>
    <t>ship by express by Shihang</t>
  </si>
  <si>
    <t>reallocated
reimbursed</t>
  </si>
  <si>
    <t>13/07/2023</t>
  </si>
  <si>
    <t>18/07/2023</t>
  </si>
  <si>
    <t>S268.2</t>
  </si>
  <si>
    <t>107 - 119</t>
  </si>
  <si>
    <t>Mini Auto Accessories (1 ctn)</t>
  </si>
  <si>
    <t>S268.3</t>
  </si>
  <si>
    <t>FBA179081WFT</t>
  </si>
  <si>
    <t>46 - 114 - 119</t>
  </si>
  <si>
    <t>S269</t>
  </si>
  <si>
    <t>FBA178DCPZKS</t>
  </si>
  <si>
    <t xml:space="preserve">1Z74WF390422505922
</t>
  </si>
  <si>
    <t>39-73-101-102-111</t>
  </si>
  <si>
    <t>ship by express™ by Shihang</t>
  </si>
  <si>
    <t>04/07/2023</t>
  </si>
  <si>
    <t>07/07/2023</t>
  </si>
  <si>
    <t>S270</t>
  </si>
  <si>
    <t>FBA178WJYF3K</t>
  </si>
  <si>
    <t>1Z64W3460438197105</t>
  </si>
  <si>
    <t>109 - 115</t>
  </si>
  <si>
    <t>eBay</t>
  </si>
  <si>
    <t>ship by express Jiufang</t>
  </si>
  <si>
    <t>reallocated</t>
  </si>
  <si>
    <t>14/07/2023</t>
  </si>
  <si>
    <t>17/07/2023</t>
  </si>
  <si>
    <t>S271.1</t>
  </si>
  <si>
    <t>FBA178PW496L</t>
  </si>
  <si>
    <t>109 - 113 - 115</t>
  </si>
  <si>
    <t>ship by sea by Bestone</t>
  </si>
  <si>
    <t>28/07/2023</t>
  </si>
  <si>
    <t>14/08/2023</t>
  </si>
  <si>
    <t>S271.2</t>
  </si>
  <si>
    <t>FBA178Q16GH7</t>
  </si>
  <si>
    <t>72 - 115</t>
  </si>
  <si>
    <t>17/08/2023</t>
  </si>
  <si>
    <t>S272</t>
  </si>
  <si>
    <t>FBA17BK7J300</t>
  </si>
  <si>
    <t>LCL23084266</t>
  </si>
  <si>
    <t>109 - 128 - 137</t>
  </si>
  <si>
    <t>ship by sea (Truck) by JiuFang - track: www.jiufanglogistics.com/track</t>
  </si>
  <si>
    <t>22/08/2023</t>
  </si>
  <si>
    <t>20/09/2023</t>
  </si>
  <si>
    <t>S273.1</t>
  </si>
  <si>
    <t>FBA178LR1ZM4</t>
  </si>
  <si>
    <t>1ZB651J50307513329</t>
  </si>
  <si>
    <t>63-85-73-101-102-114</t>
  </si>
  <si>
    <t xml:space="preserve">ship by sea ™ by Ziyue
</t>
  </si>
  <si>
    <t>08/08/2023</t>
  </si>
  <si>
    <t>S273.2-collar</t>
  </si>
  <si>
    <t>FBA178MQBGFK</t>
  </si>
  <si>
    <t>46-88-114</t>
  </si>
  <si>
    <t>S273.3</t>
  </si>
  <si>
    <t>FBA178LR1ZLH</t>
  </si>
  <si>
    <t>1ZB651J50308844489</t>
  </si>
  <si>
    <t>39-73-102-104-114</t>
  </si>
  <si>
    <t>S273.4-TK2</t>
  </si>
  <si>
    <t>FBA1785VGMC0</t>
  </si>
  <si>
    <t>104-114</t>
  </si>
  <si>
    <t>S274</t>
  </si>
  <si>
    <t>FBA178YVN29Y</t>
  </si>
  <si>
    <t>1Z7Y7V750390421552</t>
  </si>
  <si>
    <t>Mini Auto Accessories (3 ctns)</t>
  </si>
  <si>
    <t>missing goods -&gt; compensated by Shihang</t>
  </si>
  <si>
    <t>S275-collar</t>
  </si>
  <si>
    <t>FBA1792YWNN6</t>
  </si>
  <si>
    <t>1ZBH40820313235070</t>
  </si>
  <si>
    <t>46 - 134</t>
  </si>
  <si>
    <t>29/07/2023</t>
  </si>
  <si>
    <t>04/08/2023</t>
  </si>
  <si>
    <t>S276</t>
  </si>
  <si>
    <t>FBA179JHCG4S</t>
  </si>
  <si>
    <t>118 - 134</t>
  </si>
  <si>
    <t>Wanzhu</t>
  </si>
  <si>
    <t>ship by express by  Shihang</t>
  </si>
  <si>
    <t>26/07/2023</t>
  </si>
  <si>
    <t>S277</t>
  </si>
  <si>
    <t>FBA179F753V0</t>
  </si>
  <si>
    <t>1ZBH40820335373282</t>
  </si>
  <si>
    <t>27/07/2023</t>
  </si>
  <si>
    <t>S278.1</t>
  </si>
  <si>
    <t>FBA179JJNQY1</t>
  </si>
  <si>
    <t>ship by sea (truck) by Shihang</t>
  </si>
  <si>
    <t>different &amp; reimbursed</t>
  </si>
  <si>
    <t>S278.2-bamboo</t>
  </si>
  <si>
    <t>FBA179QQ7S63</t>
  </si>
  <si>
    <t>108 - 134</t>
  </si>
  <si>
    <t>ship by fast sea &amp; deliver by truck</t>
  </si>
  <si>
    <t>S279-glove</t>
  </si>
  <si>
    <t>FBA179FFWYPP</t>
  </si>
  <si>
    <t>121 - 134</t>
  </si>
  <si>
    <t>Weijia 1688</t>
  </si>
  <si>
    <t>S280 - VN</t>
  </si>
  <si>
    <t>FBA177FN5V66</t>
  </si>
  <si>
    <t>1ZR751V40386596844</t>
  </si>
  <si>
    <t>ship by sea from VN</t>
  </si>
  <si>
    <t>S281</t>
  </si>
  <si>
    <t>FBA179M7SRBP</t>
  </si>
  <si>
    <t>JD014600011100431715
JD014600011100431716</t>
  </si>
  <si>
    <t>Xuhao</t>
  </si>
  <si>
    <t>ship by express by Jiufang</t>
  </si>
  <si>
    <t>31/07/2023</t>
  </si>
  <si>
    <t>S282-NA</t>
  </si>
  <si>
    <t>FBA178KCP3J7</t>
  </si>
  <si>
    <t>1ZR751V40316308036</t>
  </si>
  <si>
    <t>US inventory (removal M0D) - S186 &amp; S183 &amp; S179</t>
  </si>
  <si>
    <t>S283.1</t>
  </si>
  <si>
    <t>FBA179VQJQHR</t>
  </si>
  <si>
    <t>118 - 123 - 134</t>
  </si>
  <si>
    <t>ship by slow boat by Shihang</t>
  </si>
  <si>
    <t>15/09/2023</t>
  </si>
  <si>
    <t>S283.2-bamboo</t>
  </si>
  <si>
    <t>FBA179J6SZG4</t>
  </si>
  <si>
    <t>ship by slow sea &amp; deliver by truck by Shihang</t>
  </si>
  <si>
    <t>S284.1</t>
  </si>
  <si>
    <t>FBA17B1HQ6L1</t>
  </si>
  <si>
    <t>1ZBH40820328064950</t>
  </si>
  <si>
    <t>116 - 134</t>
  </si>
  <si>
    <t>S284.2</t>
  </si>
  <si>
    <t>FBA179XVZH3Q</t>
  </si>
  <si>
    <t>1ZBH40820326214738</t>
  </si>
  <si>
    <t>124 - 134</t>
  </si>
  <si>
    <t>03/08/2023</t>
  </si>
  <si>
    <t>S284.3-bamboo</t>
  </si>
  <si>
    <t>FBA17B3F1F0R</t>
  </si>
  <si>
    <t>1ZBH40820329166928</t>
  </si>
  <si>
    <t>12/08/2023</t>
  </si>
  <si>
    <t>S285</t>
  </si>
  <si>
    <t>FBA17DWR8NL5</t>
  </si>
  <si>
    <t>1ZR79Y210395404723</t>
  </si>
  <si>
    <t>US inventory
(removal groot)</t>
  </si>
  <si>
    <t>S286</t>
  </si>
  <si>
    <t>FBA179V6J394</t>
  </si>
  <si>
    <t>117 - 120 - 127 - 134</t>
  </si>
  <si>
    <t>11/08/2023</t>
  </si>
  <si>
    <t>04/09/2023</t>
  </si>
  <si>
    <r>
      <rPr>
        <rFont val="Calibri"/>
        <color rgb="FFFF0000"/>
        <sz val="11.0"/>
      </rPr>
      <t>11/09/2023</t>
    </r>
    <r>
      <rPr>
        <rFont val="Calibri"/>
        <color theme="1"/>
        <sz val="11.0"/>
      </rPr>
      <t>-23/09/2023</t>
    </r>
  </si>
  <si>
    <t>S287</t>
  </si>
  <si>
    <t>FBA179V9P3FQ</t>
  </si>
  <si>
    <t>29-39-63-117-120-127-134</t>
  </si>
  <si>
    <r>
      <rPr>
        <rFont val="Calibri"/>
        <color rgb="FFFF0000"/>
        <sz val="11.0"/>
      </rPr>
      <t>11/09/2023</t>
    </r>
    <r>
      <rPr>
        <rFont val="Calibri"/>
        <color theme="1"/>
        <sz val="11.0"/>
      </rPr>
      <t>-17/09/2023</t>
    </r>
  </si>
  <si>
    <t>S288.1</t>
  </si>
  <si>
    <t>FBA179W11FLG</t>
  </si>
  <si>
    <t>46 - 133 - 134</t>
  </si>
  <si>
    <t>31/08/2023</t>
  </si>
  <si>
    <t>07/09/2023</t>
  </si>
  <si>
    <t>S288.2</t>
  </si>
  <si>
    <t>FBA179VXQ9DK</t>
  </si>
  <si>
    <t>S288.3</t>
  </si>
  <si>
    <t>FBA179W10JRW</t>
  </si>
  <si>
    <t>S289.1</t>
  </si>
  <si>
    <t>FBA17BHCFQLG</t>
  </si>
  <si>
    <t>1ZBH40820307874025</t>
  </si>
  <si>
    <t>129 - TNY 2303</t>
  </si>
  <si>
    <t>27/08/2023</t>
  </si>
  <si>
    <t>31/08/2023-17/09/2023</t>
  </si>
  <si>
    <t>S289.2</t>
  </si>
  <si>
    <t>FBA17BM1K7F6</t>
  </si>
  <si>
    <t>46 - TNY 2303</t>
  </si>
  <si>
    <t>S290.1</t>
  </si>
  <si>
    <t>FBA17BBTPJNC</t>
  </si>
  <si>
    <t>16/08/2023</t>
  </si>
  <si>
    <t>16/09/2023</t>
  </si>
  <si>
    <t>S290.2</t>
  </si>
  <si>
    <t>FBA17BBSNH59</t>
  </si>
  <si>
    <t>S290.3</t>
  </si>
  <si>
    <t>FBA17BBRMKD2</t>
  </si>
  <si>
    <t>S290.4</t>
  </si>
  <si>
    <t>FBA17BBSMQ7C</t>
  </si>
  <si>
    <t>S290.5</t>
  </si>
  <si>
    <t>FBA17BDK2ZP1</t>
  </si>
  <si>
    <t>130 - TNY 2303</t>
  </si>
  <si>
    <t>Quan Vu</t>
  </si>
  <si>
    <t>S291</t>
  </si>
  <si>
    <t>FBA17BQ83TYV</t>
  </si>
  <si>
    <t>128 - 134</t>
  </si>
  <si>
    <t>Ship by slowest (truck) by shihang</t>
  </si>
  <si>
    <t>24/08/2023</t>
  </si>
  <si>
    <t>S292.1</t>
  </si>
  <si>
    <t>FBA17CN67B54</t>
  </si>
  <si>
    <t>1ZBH40820334140089</t>
  </si>
  <si>
    <t>139 - HT 2309</t>
  </si>
  <si>
    <t>Mini Auto</t>
  </si>
  <si>
    <t>reimbursed &amp; miss real goods</t>
  </si>
  <si>
    <t>29/09/2023</t>
  </si>
  <si>
    <t>S292.2</t>
  </si>
  <si>
    <t>1ZBH40820333075090</t>
  </si>
  <si>
    <t>125 - HNV 2312</t>
  </si>
  <si>
    <t>S293-TK2</t>
  </si>
  <si>
    <t>FBA17CFL853T</t>
  </si>
  <si>
    <t>1ZBH40820339232720</t>
  </si>
  <si>
    <t>46 - 133 - TNY 2303</t>
  </si>
  <si>
    <t>11/09/2023</t>
  </si>
  <si>
    <t>25/09/2023-04/10/2023</t>
  </si>
  <si>
    <t>S294-TK2</t>
  </si>
  <si>
    <t>FBA17CNJRVJP</t>
  </si>
  <si>
    <t>12/09/2023</t>
  </si>
  <si>
    <t>12/10/2023</t>
  </si>
  <si>
    <t>S295</t>
  </si>
  <si>
    <t>FBA17CCQ4ZVY</t>
  </si>
  <si>
    <t>POD - LCL20397506</t>
  </si>
  <si>
    <t>TNY2300 - TNY2303</t>
  </si>
  <si>
    <t>ship by sea truck by Jiufang</t>
  </si>
  <si>
    <r>
      <rPr>
        <rFont val="Calibri"/>
        <color rgb="FF4A86E8"/>
        <sz val="11.0"/>
      </rPr>
      <t>20/10/2023</t>
    </r>
    <r>
      <rPr>
        <rFont val="Calibri"/>
        <color theme="1"/>
        <sz val="11.0"/>
      </rPr>
      <t>-13/10/2023</t>
    </r>
  </si>
  <si>
    <t>S296.1</t>
  </si>
  <si>
    <t>FBA17D11LQMZ</t>
  </si>
  <si>
    <t>29-39-63-85-104-132-135-TNY2301</t>
  </si>
  <si>
    <t>ship by sea ™ by Ziyue (sensitive)</t>
  </si>
  <si>
    <t>reimbursed &amp; more</t>
  </si>
  <si>
    <t>19/09/2023</t>
  </si>
  <si>
    <t>20/10/2023</t>
  </si>
  <si>
    <t>S296.2</t>
  </si>
  <si>
    <t>FBA17D11NH22</t>
  </si>
  <si>
    <t>104-132-TNY2301</t>
  </si>
  <si>
    <t>S296.3</t>
  </si>
  <si>
    <t>FBA17D1BWWJZ</t>
  </si>
  <si>
    <t>1ZB4D7590309369849</t>
  </si>
  <si>
    <t>S297</t>
  </si>
  <si>
    <t>FBA17D5JNRQH</t>
  </si>
  <si>
    <t>1Z01Y30F0394260881</t>
  </si>
  <si>
    <t>HNV 2301 - HNV 2310</t>
  </si>
  <si>
    <t>Liansheng</t>
  </si>
  <si>
    <t>Ship by air by Nain</t>
  </si>
  <si>
    <t>24/09/2023</t>
  </si>
  <si>
    <t>28/11/2023</t>
  </si>
  <si>
    <t>S298.1</t>
  </si>
  <si>
    <t>FBA17D5MQPSB</t>
  </si>
  <si>
    <t>Ship by sea truck by Nain</t>
  </si>
  <si>
    <t>24/10/2023</t>
  </si>
  <si>
    <t>S298.2</t>
  </si>
  <si>
    <t>43 - HT 2303 - HT 2306</t>
  </si>
  <si>
    <t>Click</t>
  </si>
  <si>
    <t>S299</t>
  </si>
  <si>
    <t>FBA17D6T7VHD</t>
  </si>
  <si>
    <t>ZX23094596 
773493032097 / 773493032101</t>
  </si>
  <si>
    <t>HNV 2302 - HNV 2304 - HNV 2310</t>
  </si>
  <si>
    <t>Ship by air by JiuFang</t>
  </si>
  <si>
    <t>more
different</t>
  </si>
  <si>
    <t>S300</t>
  </si>
  <si>
    <t>FBA17D9XN75Q</t>
  </si>
  <si>
    <t>773493032112
773493032123</t>
  </si>
  <si>
    <t>HT 2302 - HT 2307</t>
  </si>
  <si>
    <t>Fulian</t>
  </si>
  <si>
    <t>Ship by air by JF</t>
  </si>
  <si>
    <t>23-24/9/2023</t>
  </si>
  <si>
    <t>30/9 - 5/10</t>
  </si>
  <si>
    <t>S301</t>
  </si>
  <si>
    <t>FBA17DBNZYCP</t>
  </si>
  <si>
    <t>1ZR52Y550390219522
1ZR52Y550390290918
1ZR52Y550391822501</t>
  </si>
  <si>
    <t>HT 2302 - HT 2308</t>
  </si>
  <si>
    <t>Ship by sea by JF</t>
  </si>
  <si>
    <t>26/9/2023</t>
  </si>
  <si>
    <t>S302</t>
  </si>
  <si>
    <t>FBA17DC2X7HX</t>
  </si>
  <si>
    <t>122 - 131.1 -131.2 - 131.3 - 131.4 - HT 2301 - HT 2305 - 3505564432995224829</t>
  </si>
  <si>
    <t>Ab roller</t>
  </si>
  <si>
    <t>27/09/2023</t>
  </si>
  <si>
    <t>S303</t>
  </si>
  <si>
    <t>FBA17DF0L1JF</t>
  </si>
  <si>
    <t>139 - HT 2310</t>
  </si>
  <si>
    <t>Ship by sea by Shihang</t>
  </si>
  <si>
    <t>S304.1</t>
  </si>
  <si>
    <t>FBA17DT8NK10</t>
  </si>
  <si>
    <t>HNV 2303 - HNV 2308</t>
  </si>
  <si>
    <t>Ship by sea truck by Bestone</t>
  </si>
  <si>
    <t>S304.2</t>
  </si>
  <si>
    <t>FBA17DT9TBYR</t>
  </si>
  <si>
    <t>S304.3</t>
  </si>
  <si>
    <t>FBA17DT9TFD7</t>
  </si>
  <si>
    <t>S304.4</t>
  </si>
  <si>
    <t>FBA17DT77ZVJ</t>
  </si>
  <si>
    <t>S304.5</t>
  </si>
  <si>
    <t>FBA17DT782BY</t>
  </si>
  <si>
    <t>S304.6</t>
  </si>
  <si>
    <t>FBA17DTJ4KSH</t>
  </si>
  <si>
    <t>S304.7</t>
  </si>
  <si>
    <t>FBA17DTJ8PM2</t>
  </si>
  <si>
    <t>S304.8</t>
  </si>
  <si>
    <t>FBA17DT2CBCQ</t>
  </si>
  <si>
    <t>S305.1</t>
  </si>
  <si>
    <t>FBA17DT8NK1N</t>
  </si>
  <si>
    <t>27/11/2023</t>
  </si>
  <si>
    <t>S305.2</t>
  </si>
  <si>
    <t>FBA17DT8NS0S</t>
  </si>
  <si>
    <t>S305.3</t>
  </si>
  <si>
    <t>FBA17DT05GWZ</t>
  </si>
  <si>
    <t>S305.4</t>
  </si>
  <si>
    <t>FBA17DT067YS</t>
  </si>
  <si>
    <t>S305.5</t>
  </si>
  <si>
    <t>FBA17DT8QZHC</t>
  </si>
  <si>
    <t>S305.6</t>
  </si>
  <si>
    <t>FBA17DT793SR</t>
  </si>
  <si>
    <t>S305.7</t>
  </si>
  <si>
    <t>FBA17DT6YV8K</t>
  </si>
  <si>
    <t>reimbursed (22)
reallocated (8)</t>
  </si>
  <si>
    <t>S306</t>
  </si>
  <si>
    <t>FBA17DT2BB86</t>
  </si>
  <si>
    <t>Ship by sea Fedex by Bestone</t>
  </si>
  <si>
    <t>23/10/2023</t>
  </si>
  <si>
    <t>S307</t>
  </si>
  <si>
    <t>FBA17DKY1DRM</t>
  </si>
  <si>
    <t>43 - HT 2311 - HT 2314</t>
  </si>
  <si>
    <t>Ship Truck by Shihan</t>
  </si>
  <si>
    <t>S308.1</t>
  </si>
  <si>
    <t>FBA17FQ13ZHM</t>
  </si>
  <si>
    <t>1ZEH98210302364455</t>
  </si>
  <si>
    <t>HNV 2303 - HNV 2306 - HNV 2315</t>
  </si>
  <si>
    <t>ship by sea by JiuFang</t>
  </si>
  <si>
    <t>17/10/2023</t>
  </si>
  <si>
    <t>S308.2</t>
  </si>
  <si>
    <t>FBA17FPYLC9Q</t>
  </si>
  <si>
    <t>LCL23105895</t>
  </si>
  <si>
    <t>S308.3</t>
  </si>
  <si>
    <t>FBA17FQ8JM0T</t>
  </si>
  <si>
    <t>1ZEH98210312655649</t>
  </si>
  <si>
    <t>S308.4</t>
  </si>
  <si>
    <t>FBA17FQ7NH60</t>
  </si>
  <si>
    <t>1ZEH98210316958234</t>
  </si>
  <si>
    <t>S308.5</t>
  </si>
  <si>
    <t>FBA17FQ7NJTZ</t>
  </si>
  <si>
    <t>1ZEH98210308356220</t>
  </si>
  <si>
    <t>S309.1</t>
  </si>
  <si>
    <t>FBA17FGY8PZX</t>
  </si>
  <si>
    <t xml:space="preserve">784940373585
LCL23102053 </t>
  </si>
  <si>
    <t>TNY2304-TNY2312</t>
  </si>
  <si>
    <t>10/11/2023</t>
  </si>
  <si>
    <t>S309.2</t>
  </si>
  <si>
    <t>FBA17FGW28SH</t>
  </si>
  <si>
    <t xml:space="preserve">784940368623 
LCL23109996 
784940366929 </t>
  </si>
  <si>
    <t>S310.1</t>
  </si>
  <si>
    <t>FBA17FPYLC92</t>
  </si>
  <si>
    <t>reallocated (9)</t>
  </si>
  <si>
    <t>LCL23104576</t>
  </si>
  <si>
    <t>19/10/2023</t>
  </si>
  <si>
    <t>15/11/2023</t>
  </si>
  <si>
    <t>S310.2</t>
  </si>
  <si>
    <t>FBA17FQ5S8B1</t>
  </si>
  <si>
    <t>reimbursed (17)</t>
  </si>
  <si>
    <t>S311</t>
  </si>
  <si>
    <t>FBA17G5DGKNC</t>
  </si>
  <si>
    <t>1ZB3681B0300280768</t>
  </si>
  <si>
    <t>HNV 2306 - HNV 2313</t>
  </si>
  <si>
    <t>ship by air by Nain</t>
  </si>
  <si>
    <t>21/10/2023</t>
  </si>
  <si>
    <t>25/10/2023</t>
  </si>
  <si>
    <t>S312.1</t>
  </si>
  <si>
    <t>FBA17FQFV2TD</t>
  </si>
  <si>
    <t>HNV 2306 - HNV 2315</t>
  </si>
  <si>
    <t>Ship by sea truck by Jiufang</t>
  </si>
  <si>
    <t>LCL23109677</t>
  </si>
  <si>
    <t>26/10/2023</t>
  </si>
  <si>
    <t>S312.2</t>
  </si>
  <si>
    <t>FBA17FQC92VB</t>
  </si>
  <si>
    <t>S313</t>
  </si>
  <si>
    <t>FBA17G73CDSD</t>
  </si>
  <si>
    <t>HT 2304 - HT 2313</t>
  </si>
  <si>
    <t>Ship Sea by Shihan (push-up bar)</t>
  </si>
  <si>
    <t>S314.1</t>
  </si>
  <si>
    <t>FBA17GRRBNWV</t>
  </si>
  <si>
    <t>43 - HT 2314 - HT 2415</t>
  </si>
  <si>
    <t>Ship Sea Truck by Shihan</t>
  </si>
  <si>
    <t>reimbursed (3)
reallocated</t>
  </si>
  <si>
    <t>S314.2</t>
  </si>
  <si>
    <t>FBA17GL4G94N</t>
  </si>
  <si>
    <t>125 - HNV 2413</t>
  </si>
  <si>
    <t>Ship Sea truck by Shihang</t>
  </si>
  <si>
    <t>20/11/2023</t>
  </si>
  <si>
    <t>S314.3</t>
  </si>
  <si>
    <t>FBA17GSC7W9C</t>
  </si>
  <si>
    <t>HT 2312 - HT 2415</t>
  </si>
  <si>
    <t>Dumpling</t>
  </si>
  <si>
    <t>Sea + Truck by Shihan (Dumpling)</t>
  </si>
  <si>
    <t>S315.1-TK2</t>
  </si>
  <si>
    <t>FBA17FGYNJCB</t>
  </si>
  <si>
    <t>46-TNY2311</t>
  </si>
  <si>
    <t>ship by sea by Shihang (collar)</t>
  </si>
  <si>
    <t>S315.2-TK2</t>
  </si>
  <si>
    <t>FBA17FGYNJBP</t>
  </si>
  <si>
    <t>S316.1</t>
  </si>
  <si>
    <t>FBA17GHZRF1K</t>
  </si>
  <si>
    <t>1ZEH98210310251132</t>
  </si>
  <si>
    <t>39-63-104-TNY2302-TNY2309</t>
  </si>
  <si>
    <t>ship by sea ™ by Ziyue(sensitive)</t>
  </si>
  <si>
    <t>25/11/2023</t>
  </si>
  <si>
    <t>S316.2</t>
  </si>
  <si>
    <t>FBA17GHZRZQY</t>
  </si>
  <si>
    <t xml:space="preserve">1ZEH98210319915417 </t>
  </si>
  <si>
    <t>104-TNY2302-TNY2305-TNY2309</t>
  </si>
  <si>
    <t>S317.1</t>
  </si>
  <si>
    <t>FBA17G9LWW62</t>
  </si>
  <si>
    <t>mất hàng</t>
  </si>
  <si>
    <t>need to return</t>
  </si>
  <si>
    <t>S317.2</t>
  </si>
  <si>
    <t>FBA17GX7BDF9</t>
  </si>
  <si>
    <t>TNY2308 -TNY2311</t>
  </si>
  <si>
    <t>ship by sea by Shihang (bbq)</t>
  </si>
  <si>
    <t>S317.3</t>
  </si>
  <si>
    <t>FBA17G9GJVHY</t>
  </si>
  <si>
    <t>46 - TNY2311</t>
  </si>
  <si>
    <t>S318</t>
  </si>
  <si>
    <t>FBA17H2T2LL3</t>
  </si>
  <si>
    <t>1ZC8389W0338114931</t>
  </si>
  <si>
    <t>TNY2307 - TNY2314</t>
  </si>
  <si>
    <t>S319.1</t>
  </si>
  <si>
    <t>FBA17H8LX996</t>
  </si>
  <si>
    <t>Sea exress by Shihan (Dumpling)</t>
  </si>
  <si>
    <t>S319.2</t>
  </si>
  <si>
    <t>FBA17H8WHP3G</t>
  </si>
  <si>
    <t>Sea exress by Shihan (dumpling 2)</t>
  </si>
  <si>
    <t>S320</t>
  </si>
  <si>
    <t>FBA17HFL1P4C</t>
  </si>
  <si>
    <t>Sea + Ups by Shihan (Template)</t>
  </si>
  <si>
    <t>S321</t>
  </si>
  <si>
    <t>FBA17HFWJXB4</t>
  </si>
  <si>
    <t>S322.1</t>
  </si>
  <si>
    <t>FBA17H94HJVL</t>
  </si>
  <si>
    <t>1ZC8389W0306352841</t>
  </si>
  <si>
    <t>HNV 2311 - HNV 2318</t>
  </si>
  <si>
    <t>Ship by sea by JiuFang</t>
  </si>
  <si>
    <t xml:space="preserve">LCL23102984 </t>
  </si>
  <si>
    <t>21/11/2023</t>
  </si>
  <si>
    <t>S322.2</t>
  </si>
  <si>
    <t>FBA17H9DR9FD</t>
  </si>
  <si>
    <t>1ZC8389W0318507830</t>
  </si>
  <si>
    <t>S323.1</t>
  </si>
  <si>
    <t>FBA17H9B3LMM</t>
  </si>
  <si>
    <t>1ZC8389W0314753296</t>
  </si>
  <si>
    <t xml:space="preserve">LCL23103884 </t>
  </si>
  <si>
    <t>S323.2</t>
  </si>
  <si>
    <t xml:space="preserve">FBA17H9B1ZZX </t>
  </si>
  <si>
    <t>1ZC8389W0306373319</t>
  </si>
  <si>
    <t>S324.1</t>
  </si>
  <si>
    <t>FBA17J1JXXKK</t>
  </si>
  <si>
    <t>125 - HNV 2314 - HNV 2413</t>
  </si>
  <si>
    <t>Sea express by Shihang</t>
  </si>
  <si>
    <t>16/11/2023</t>
  </si>
  <si>
    <t>S324.2</t>
  </si>
  <si>
    <t>FBA17J1W01DJ</t>
  </si>
  <si>
    <t>TNY2315-TNY2406</t>
  </si>
  <si>
    <t>Petchum</t>
  </si>
  <si>
    <t>15/12/2023</t>
  </si>
  <si>
    <t>S325.1</t>
  </si>
  <si>
    <t>FBA17J1JXXJX</t>
  </si>
  <si>
    <t>S325.2</t>
  </si>
  <si>
    <t>FBA17J1ZY2Y6</t>
  </si>
  <si>
    <t>15/12/2023-11/12/2023</t>
  </si>
  <si>
    <t>S326</t>
  </si>
  <si>
    <t>FBA17J1JX0SX</t>
  </si>
  <si>
    <t>S327.1</t>
  </si>
  <si>
    <t>FBA17H9JHKXR</t>
  </si>
  <si>
    <t>LCL23115517</t>
  </si>
  <si>
    <t>18/12/2023</t>
  </si>
  <si>
    <t>S327.2</t>
  </si>
  <si>
    <t>FBA17H9M1LRX</t>
  </si>
  <si>
    <t>S327.3</t>
  </si>
  <si>
    <t>FBA17H9CM65X</t>
  </si>
  <si>
    <t>S327.4</t>
  </si>
  <si>
    <t>FBA17H9B2JNP</t>
  </si>
  <si>
    <t>S327.5</t>
  </si>
  <si>
    <t>FBA17J65ZYRS</t>
  </si>
  <si>
    <t>different</t>
  </si>
  <si>
    <t>S328.1</t>
  </si>
  <si>
    <t>FBA17FQ8JM1G</t>
  </si>
  <si>
    <t>LCL23114374</t>
  </si>
  <si>
    <t>S328.2</t>
  </si>
  <si>
    <t>FBA17J19C9X9</t>
  </si>
  <si>
    <t>HNV 2309 - HNV 2318</t>
  </si>
  <si>
    <t>S329</t>
  </si>
  <si>
    <t>FBA17J1CLJCZ</t>
  </si>
  <si>
    <t>1ZCF76040313632964</t>
  </si>
  <si>
    <t xml:space="preserve">LCL23114585 </t>
  </si>
  <si>
    <t>S330-TK2</t>
  </si>
  <si>
    <t>FBA17HT3Z73N</t>
  </si>
  <si>
    <t>1ZC8389W0313370399</t>
  </si>
  <si>
    <t>TNY2308 - TNY2313</t>
  </si>
  <si>
    <t>12/11/2023</t>
  </si>
  <si>
    <t>S331</t>
  </si>
  <si>
    <t>FBA17JF4ZDPW</t>
  </si>
  <si>
    <t>1Z4X98X80308288655</t>
  </si>
  <si>
    <t>HNV 2316 - HNV 2317 - HNV 2319</t>
  </si>
  <si>
    <t>Sea express by Nain</t>
  </si>
  <si>
    <t>22/11/2023</t>
  </si>
  <si>
    <t>S332</t>
  </si>
  <si>
    <t>FBA17JF502P6</t>
  </si>
  <si>
    <t>1Z755Y680397694203</t>
  </si>
  <si>
    <t>24/11/2023</t>
  </si>
  <si>
    <t>S333</t>
  </si>
  <si>
    <t>FBA17JP3K47T</t>
  </si>
  <si>
    <t>TNY2308 - TNY2316</t>
  </si>
  <si>
    <t>Sea express by Lingzhe (bbq mould)</t>
  </si>
  <si>
    <t>Case ID: 15162696361, ID 15225611351</t>
  </si>
  <si>
    <t>18 ngày</t>
  </si>
  <si>
    <t>19/12/2023- 12/12/2023</t>
  </si>
  <si>
    <t>S334</t>
  </si>
  <si>
    <t>FBA17K1XKMZC</t>
  </si>
  <si>
    <t>1ZC8389W0333251239</t>
  </si>
  <si>
    <t>HT 2315 - HT 2322</t>
  </si>
  <si>
    <t>Lingzhe</t>
  </si>
  <si>
    <t>Sea express by Lingzhe</t>
  </si>
  <si>
    <t>S335.1</t>
  </si>
  <si>
    <t>FBA17JGXSTR3</t>
  </si>
  <si>
    <t>HNV 2311 - HNV 2324</t>
  </si>
  <si>
    <t>LCL23110544</t>
  </si>
  <si>
    <t>29/11/2023</t>
  </si>
  <si>
    <t>14/12/2023</t>
  </si>
  <si>
    <t>27/12/2023</t>
  </si>
  <si>
    <t>S335.2</t>
  </si>
  <si>
    <t>FBA17G5DGWW4</t>
  </si>
  <si>
    <t>HNV 2306 - HNV 2324</t>
  </si>
  <si>
    <t>S336</t>
  </si>
  <si>
    <t>FBA17K4TQ09J</t>
  </si>
  <si>
    <t>43 - HT 2323 - HT 2316</t>
  </si>
  <si>
    <t>Sea truck by Lingzhe</t>
  </si>
  <si>
    <t>S337.1</t>
  </si>
  <si>
    <t>FBA17H9M3XV3</t>
  </si>
  <si>
    <t>LCL23110934</t>
  </si>
  <si>
    <t>21/12/2023</t>
  </si>
  <si>
    <t>30/12/2023</t>
  </si>
  <si>
    <t>S337.2</t>
  </si>
  <si>
    <t>FBA17H9KJQCF</t>
  </si>
  <si>
    <t>S337.3</t>
  </si>
  <si>
    <t>FBA17H9B1STY</t>
  </si>
  <si>
    <t>S337.4</t>
  </si>
  <si>
    <t>FBA17H9DRPDC</t>
  </si>
  <si>
    <t>S338</t>
  </si>
  <si>
    <t>FBA17KCN9RJW</t>
  </si>
  <si>
    <t>1ZB4D7590308175238</t>
  </si>
  <si>
    <t>HNV 2320 - HNV 2321 - HNV 2407</t>
  </si>
  <si>
    <t>wanzhu</t>
  </si>
  <si>
    <t>S339.1</t>
  </si>
  <si>
    <t>FBA17KMFJYQK</t>
  </si>
  <si>
    <t>1ZC8389W0327740810</t>
  </si>
  <si>
    <t>HT 2317 - HT 2318 - HT 2407</t>
  </si>
  <si>
    <t>Sea express by Lingzhe Foot Sewing</t>
  </si>
  <si>
    <t>S339.2</t>
  </si>
  <si>
    <t>FBA17KM0THV1</t>
  </si>
  <si>
    <t>1ZC8389W0321641849
1ZC8389W0327786423
1ZC8389W0332461433</t>
  </si>
  <si>
    <t>TNY2310 - TNY2407</t>
  </si>
  <si>
    <t>Sea express FWA4 by Lingzhe (collar)</t>
  </si>
  <si>
    <t>15 ngày</t>
  </si>
  <si>
    <t>05/01/2024</t>
  </si>
  <si>
    <t>S340.1</t>
  </si>
  <si>
    <t>FBA17MC7CD5X</t>
  </si>
  <si>
    <t>1ZF203H80310709550</t>
  </si>
  <si>
    <t>TNY2302 - TNY2320 - TNY2321 - TNY2402</t>
  </si>
  <si>
    <t>ship by sea ™ FTW1 by Ziyue (sensitive)</t>
  </si>
  <si>
    <t>09/01/2024</t>
  </si>
  <si>
    <t>35 ngày</t>
  </si>
  <si>
    <t>14/02/2024-06/02/2023</t>
  </si>
  <si>
    <t>S340.2</t>
  </si>
  <si>
    <t>FBA17MCGRNM7</t>
  </si>
  <si>
    <t>1ZF203H80323456540</t>
  </si>
  <si>
    <t>TNY2302 - TNY2320 - TNY2402</t>
  </si>
  <si>
    <t>ship by sea ™ FWA4 by Ziyue (sensitive)</t>
  </si>
  <si>
    <t>S341.1</t>
  </si>
  <si>
    <t>FBA17L3RSB14</t>
  </si>
  <si>
    <t>1ZC8389W0309012104
1ZC8389W0307532145
1ZC8389W0301127111
1ZC8389W0300387137
1ZC8389W0301907091</t>
  </si>
  <si>
    <t>HNV 2323 - HNV 2325 - HNV 2326</t>
  </si>
  <si>
    <t>ship by sea by JSJ</t>
  </si>
  <si>
    <t>26/01/2024</t>
  </si>
  <si>
    <t>S341.2</t>
  </si>
  <si>
    <t>FBA17L3PY0ZQ</t>
  </si>
  <si>
    <t>1ZC8389W0308252124
1ZC8389W0319687153</t>
  </si>
  <si>
    <t>TNY2318 - TNY2319</t>
  </si>
  <si>
    <t>ship by sea MDW2 by a Hào (grey bathing glove)</t>
  </si>
  <si>
    <t>40 ngày</t>
  </si>
  <si>
    <t>19/01/2024 -13/01/2024</t>
  </si>
  <si>
    <t>S342</t>
  </si>
  <si>
    <t>FBA17KTQF1NT</t>
  </si>
  <si>
    <t>HNV 2322 - HNV 2327</t>
  </si>
  <si>
    <t>LCL23121351</t>
  </si>
  <si>
    <t>19/12/2023</t>
  </si>
  <si>
    <t>15/01/2024</t>
  </si>
  <si>
    <t>S343.1</t>
  </si>
  <si>
    <t>FBA17L8W9J5N</t>
  </si>
  <si>
    <t>1ZF86A560327304207</t>
  </si>
  <si>
    <t>HT 2320 - HT 2407</t>
  </si>
  <si>
    <t>Sea express by Lingzhe 1 CTN Breaker</t>
  </si>
  <si>
    <t>17/12/23</t>
  </si>
  <si>
    <t>S343.2</t>
  </si>
  <si>
    <t>FBA17L8W5XSR</t>
  </si>
  <si>
    <t>1ZF86A560329103591</t>
  </si>
  <si>
    <t>TNY2308 - TNY2317 - TNY2407</t>
  </si>
  <si>
    <t>Sea express MDW2 by Lingzhe (bbq mould)</t>
  </si>
  <si>
    <t>10/01/2024-17/01/2024</t>
  </si>
  <si>
    <t>S344</t>
  </si>
  <si>
    <t>FBA17K4TQVPL</t>
  </si>
  <si>
    <t>HT 2321 - HT 2407</t>
  </si>
  <si>
    <t>Sea Fedex by Lingzhe 6CTN Template</t>
  </si>
  <si>
    <t>S345.1</t>
  </si>
  <si>
    <t>FBA17M047MDD</t>
  </si>
  <si>
    <t>1ZC8389W0324598623</t>
  </si>
  <si>
    <t>HT 2324 - HT 2407</t>
  </si>
  <si>
    <t>Sea + UPS by Lingzhe ( bowl stanley )</t>
  </si>
  <si>
    <t>25/01/2024</t>
  </si>
  <si>
    <t>S345.2</t>
  </si>
  <si>
    <t>FBA17M17Y278</t>
  </si>
  <si>
    <t>HT 2319 - HT 2407</t>
  </si>
  <si>
    <t>Wahu</t>
  </si>
  <si>
    <t>Sea + UPS by Lingzhe ( bag stanley )</t>
  </si>
  <si>
    <t>reimbursed
reallocated</t>
  </si>
  <si>
    <t>S346.1</t>
  </si>
  <si>
    <t>FBA17MPT9MJG</t>
  </si>
  <si>
    <t>HT 2401 -HT 2406</t>
  </si>
  <si>
    <t>Sea Express by LZ - Cup Slicer 3 CTN</t>
  </si>
  <si>
    <t>31/01/2024</t>
  </si>
  <si>
    <t>S346.2</t>
  </si>
  <si>
    <t>FBA17MPTG99V</t>
  </si>
  <si>
    <t>HT 2401 - HT 2406</t>
  </si>
  <si>
    <t>Sea Express by LZ - Cup Slicer 8 CTN</t>
  </si>
  <si>
    <t>S346.3</t>
  </si>
  <si>
    <t>FBA17MQ5H5C6</t>
  </si>
  <si>
    <t>HT 2327 - HT 2406 - HT 2402</t>
  </si>
  <si>
    <t>Sea Express by LZ - 1 ctn dumpling</t>
  </si>
  <si>
    <t>S346.4</t>
  </si>
  <si>
    <t>FBA17MQ0D4WY</t>
  </si>
  <si>
    <t>Sea Express by LZ - 3 ctn dumpling</t>
  </si>
  <si>
    <t>S346.5</t>
  </si>
  <si>
    <t>FBA17MQ1J3QN</t>
  </si>
  <si>
    <t>HT 2325 - HT 2406</t>
  </si>
  <si>
    <t>Sea Express by LZ - 3 ctn BREAKER</t>
  </si>
  <si>
    <t>S346.6</t>
  </si>
  <si>
    <t>FBA17MQ2GMQ5</t>
  </si>
  <si>
    <t>789058444878 (789058444812-master)</t>
  </si>
  <si>
    <t>TNY2405 - TNY2407</t>
  </si>
  <si>
    <t>Sea Express MDW2 by LZ - Grey Glove</t>
  </si>
  <si>
    <t>28/01/2024</t>
  </si>
  <si>
    <t>S347</t>
  </si>
  <si>
    <t>FBA17MPW95KH</t>
  </si>
  <si>
    <t>HT 2401 - HT 2407</t>
  </si>
  <si>
    <t xml:space="preserve">AIR Express by LZ - Cup Slicer - 2 CTN </t>
  </si>
  <si>
    <t>S348</t>
  </si>
  <si>
    <t>FBA17MJ3H7MS</t>
  </si>
  <si>
    <t>HT 2326 - HT 2407</t>
  </si>
  <si>
    <t>Sea truck by LZ - 12 CTN Template</t>
  </si>
  <si>
    <t>14/01/2024</t>
  </si>
  <si>
    <t>S349</t>
  </si>
  <si>
    <t>FBA17MRTCGSW</t>
  </si>
  <si>
    <t>TNY2404 - TNY2408</t>
  </si>
  <si>
    <t>Woopet</t>
  </si>
  <si>
    <t>Sea express by Lingzhe (Steam Brush)</t>
  </si>
  <si>
    <t>25/01/2024-27/01/2024</t>
  </si>
  <si>
    <t>S350.1</t>
  </si>
  <si>
    <t>FBA17MJCD3SL</t>
  </si>
  <si>
    <t>TNY2401 - TNY2408</t>
  </si>
  <si>
    <t>Sea truck FWA4 by Lingzhe (washing glove)</t>
  </si>
  <si>
    <t>22/01/2024</t>
  </si>
  <si>
    <t>35-40 days</t>
  </si>
  <si>
    <t>27-30/02/2024&gt;10/02</t>
  </si>
  <si>
    <t>S350.2</t>
  </si>
  <si>
    <t>FBA17MJHS09B</t>
  </si>
  <si>
    <t>S350.3</t>
  </si>
  <si>
    <t>FBA17MJHS3HP</t>
  </si>
  <si>
    <t>S350.4</t>
  </si>
  <si>
    <t>FBA17N5TQXX5</t>
  </si>
  <si>
    <t>125 - HNV 2314 - HNV 2403 - HNV 2407</t>
  </si>
  <si>
    <t>30/02/2024</t>
  </si>
  <si>
    <t>S351.1</t>
  </si>
  <si>
    <t>FBA17N63L98M</t>
  </si>
  <si>
    <t>20/01/2024</t>
  </si>
  <si>
    <t>S351.2</t>
  </si>
  <si>
    <t>FBA17N6PBP6M</t>
  </si>
  <si>
    <t>TNY2310</t>
  </si>
  <si>
    <t>Sea truck FTW1 by Lingzhe (collar)</t>
  </si>
  <si>
    <t>25-30/02/2024-14/02/2024</t>
  </si>
  <si>
    <t>S351.3</t>
  </si>
  <si>
    <t>FBA17N6CP9H1</t>
  </si>
  <si>
    <t>S352.1</t>
  </si>
  <si>
    <t>FBA17N66F4W7</t>
  </si>
  <si>
    <t>789269099626
789269098788
789269099339
789269099453
789269099843
789269100965</t>
  </si>
  <si>
    <t>HNV 2403 - HNV 2407</t>
  </si>
  <si>
    <t>sea express by Lingzhe</t>
  </si>
  <si>
    <t>18/01/2024</t>
  </si>
  <si>
    <t>S352.2</t>
  </si>
  <si>
    <t>FBA17N6D80JP</t>
  </si>
  <si>
    <t>TNY2308 - TNY2408</t>
  </si>
  <si>
    <t>18 days</t>
  </si>
  <si>
    <t>05/02/2024</t>
  </si>
  <si>
    <t>azS352.3</t>
  </si>
  <si>
    <t>FBA17NCGYR79</t>
  </si>
  <si>
    <t>TNY2403 - TNY2408</t>
  </si>
  <si>
    <t>Sea express MDW2 by Lingzhe (home keychain +hook)</t>
  </si>
  <si>
    <t>reimbursed
miss &amp; not reimbursed</t>
  </si>
  <si>
    <t>S353</t>
  </si>
  <si>
    <t>FBA17NWHLXWX</t>
  </si>
  <si>
    <t>HNV 2404 - HNV 2408</t>
  </si>
  <si>
    <t>Air by JiuFang</t>
  </si>
  <si>
    <t>S354.1</t>
  </si>
  <si>
    <t>FBA17NTLGTCB</t>
  </si>
  <si>
    <t>HNV 2401 - HNV 2404 - HNV 2406</t>
  </si>
  <si>
    <t>sea truck by Juhang</t>
  </si>
  <si>
    <t>http://jh.t6soft.com/admin/main</t>
  </si>
  <si>
    <t>S354.2</t>
  </si>
  <si>
    <t>FBA17NT7SFZG</t>
  </si>
  <si>
    <t>Password: DAH70572</t>
  </si>
  <si>
    <t>S354.3</t>
  </si>
  <si>
    <t>FBA17NT47WD8</t>
  </si>
  <si>
    <t>S354.4</t>
  </si>
  <si>
    <t>FBA17NT0B2QG</t>
  </si>
  <si>
    <t>S354.5</t>
  </si>
  <si>
    <t>FBA17NT228B6</t>
  </si>
  <si>
    <t>S354.6</t>
  </si>
  <si>
    <t>FBA17NT47S1D</t>
  </si>
  <si>
    <t>S354.7</t>
  </si>
  <si>
    <t>FBA17NSYNR4R</t>
  </si>
  <si>
    <t>S354.8</t>
  </si>
  <si>
    <t>FBA17NT5LGDM</t>
  </si>
  <si>
    <t>S355.1</t>
  </si>
  <si>
    <t>FBA17NT5HR14</t>
  </si>
  <si>
    <t>S355.2</t>
  </si>
  <si>
    <t>FBA17NT0C9Z8</t>
  </si>
  <si>
    <t>S355.3</t>
  </si>
  <si>
    <t>FBA17NT7SVLF</t>
  </si>
  <si>
    <t>S355.4</t>
  </si>
  <si>
    <t>FBA17NT9ZVPD</t>
  </si>
  <si>
    <t>S355.5</t>
  </si>
  <si>
    <t>FBA17NT7V5TH</t>
  </si>
  <si>
    <t>S355.6</t>
  </si>
  <si>
    <t>FBA17NSYP4NH</t>
  </si>
  <si>
    <t>S356</t>
  </si>
  <si>
    <t>FBA17P3885F5</t>
  </si>
  <si>
    <t>1Z5F13W00301430824</t>
  </si>
  <si>
    <t>HNV 2402 - HNV 2407</t>
  </si>
  <si>
    <t>Jinman</t>
  </si>
  <si>
    <t>Air by Lingzher</t>
  </si>
  <si>
    <t>S357</t>
  </si>
  <si>
    <t>FBA17P38CHVM</t>
  </si>
  <si>
    <t>sea express by Lingzher</t>
  </si>
  <si>
    <t>rellocated</t>
  </si>
  <si>
    <t>20/02/2024</t>
  </si>
  <si>
    <t>S358.1</t>
  </si>
  <si>
    <t>FBA17P8MMJ0B</t>
  </si>
  <si>
    <t>TNY2409 - TNY2408 - TNY2302</t>
  </si>
  <si>
    <t>ship by sea ™ FWA4 by Lingzhe (sensitive)</t>
  </si>
  <si>
    <t>Case ID: 15163198871</t>
  </si>
  <si>
    <t>30/01/2024</t>
  </si>
  <si>
    <t>30-35 days</t>
  </si>
  <si>
    <t>01/03/2024-06/03/2024</t>
  </si>
  <si>
    <t>S358.2 - TK2</t>
  </si>
  <si>
    <t>FBA17P8K9GT9</t>
  </si>
  <si>
    <t>TNY2310 - TNY2403 - TNY2408</t>
  </si>
  <si>
    <t>01/03/2024</t>
  </si>
  <si>
    <t>S359</t>
  </si>
  <si>
    <t>FBA17PDQQQW7</t>
  </si>
  <si>
    <t>1ZF203H80321706729</t>
  </si>
  <si>
    <t>Sea express MDW2 by Lingzhe (grey bbq mould)</t>
  </si>
  <si>
    <t>02/03/2024</t>
  </si>
  <si>
    <t>S360</t>
  </si>
  <si>
    <t>FBA17PG5VWQ8</t>
  </si>
  <si>
    <t>1ZF203H80303237261</t>
  </si>
  <si>
    <t>HT 2405 - HT 2408</t>
  </si>
  <si>
    <t>Connector</t>
  </si>
  <si>
    <t>Sea express MDW2 by LZ - 3 CTNS connectors</t>
  </si>
  <si>
    <t>more
reimbursed</t>
  </si>
  <si>
    <t>18-21 day</t>
  </si>
  <si>
    <t>21/02/2024</t>
  </si>
  <si>
    <t>S361</t>
  </si>
  <si>
    <t>FBA17PFZS8JP</t>
  </si>
  <si>
    <t>1ZF203H80329287614</t>
  </si>
  <si>
    <t>Sea express FWA4 by LZ - 4 CTNS connectors</t>
  </si>
  <si>
    <t>S362.1</t>
  </si>
  <si>
    <t>FBA17QPBGS0Q</t>
  </si>
  <si>
    <t>HT 2409 - HT 2416</t>
  </si>
  <si>
    <t>Cup Slicer</t>
  </si>
  <si>
    <t>Sea + Fedex 12 CTN - Cup Slicer by LZ &gt;&gt;FWA4</t>
  </si>
  <si>
    <t>28/02/2024</t>
  </si>
  <si>
    <t>22/03/2024</t>
  </si>
  <si>
    <t>S362.2</t>
  </si>
  <si>
    <t>FBA17QZ5B7HS</t>
  </si>
  <si>
    <t>HNV 2409 - HNV 2411 - HNV 2414</t>
  </si>
  <si>
    <t>Sea + FedEx by Lingzher</t>
  </si>
  <si>
    <t>29/02/2024</t>
  </si>
  <si>
    <t>20/03/2024</t>
  </si>
  <si>
    <t>S363.1</t>
  </si>
  <si>
    <t>FBA17QPBR5VJ</t>
  </si>
  <si>
    <t xml:space="preserve">Sea + Fedex 7 CTN Cup Slicer by LZ&gt;&gt;MDW2 </t>
  </si>
  <si>
    <t>S363.2</t>
  </si>
  <si>
    <t>FBA17QZ0JD58</t>
  </si>
  <si>
    <t>S364.1</t>
  </si>
  <si>
    <t>FBA17QP6NRL3</t>
  </si>
  <si>
    <t xml:space="preserve">Sea + Truck by LZ 8 CTN BY LZ &gt;&gt; FTW1 </t>
  </si>
  <si>
    <t>S364.2</t>
  </si>
  <si>
    <t>FBA17QYWZSRX</t>
  </si>
  <si>
    <t>Sea + Truck by Lingzher</t>
  </si>
  <si>
    <t>S365 - VN</t>
  </si>
  <si>
    <t>FBA17K4DBKBF</t>
  </si>
  <si>
    <t>1ZR83V540318217036</t>
  </si>
  <si>
    <t>138 - 140 - 141 - 142</t>
  </si>
  <si>
    <t>ship by sea from VN (rattan holder)</t>
  </si>
  <si>
    <t>S366</t>
  </si>
  <si>
    <t>FBA17R4WJNFB</t>
  </si>
  <si>
    <t>1Z4X98X80322019070</t>
  </si>
  <si>
    <t>TNY2410-TNY2424</t>
  </si>
  <si>
    <t>sea express by Juhang MDW2 （washing glove）</t>
  </si>
  <si>
    <t>04/03/2024</t>
  </si>
  <si>
    <t>24/03/2024&gt;25/03/2024</t>
  </si>
  <si>
    <t>S367</t>
  </si>
  <si>
    <t>FBA17R6MJD7Z</t>
  </si>
  <si>
    <t>MKKPFBA17R6MJD7Z</t>
  </si>
  <si>
    <t>sea truck by Juhang MDW2 (http://jh.t6soft.com/clogon)</t>
  </si>
  <si>
    <t>25 days</t>
  </si>
  <si>
    <t>29/03/2024&gt;25/03/2024</t>
  </si>
  <si>
    <t>S368.1</t>
  </si>
  <si>
    <t>FBA17SJQ001Z</t>
  </si>
  <si>
    <t>7057210621 - k điền đc tracking</t>
  </si>
  <si>
    <t>HNV 2405 - HNV 2414</t>
  </si>
  <si>
    <t>FTW1</t>
  </si>
  <si>
    <t>S368.2</t>
  </si>
  <si>
    <t>HT 2410 - HT 2416</t>
  </si>
  <si>
    <t>S369</t>
  </si>
  <si>
    <t>FBA17SJTJKZH</t>
  </si>
  <si>
    <t>7057210618 - k điền đc tracking</t>
  </si>
  <si>
    <t>5 CTN Corner - VGT2</t>
  </si>
  <si>
    <t>S370</t>
  </si>
  <si>
    <t>FBA17SJLCQ39</t>
  </si>
  <si>
    <t>7057210620 - k điền đc tracking</t>
  </si>
  <si>
    <t xml:space="preserve">3 CTN Corner - AVP1 </t>
  </si>
  <si>
    <t>S371</t>
  </si>
  <si>
    <t>FBA17SJW13XG</t>
  </si>
  <si>
    <t>7057210617 - k điền đc tracking</t>
  </si>
  <si>
    <t>4 CTN Corner - IAH3</t>
  </si>
  <si>
    <t>S372</t>
  </si>
  <si>
    <t>FBA17SJRFKLQ</t>
  </si>
  <si>
    <t>7057210619 - k điền đc tracking</t>
  </si>
  <si>
    <t xml:space="preserve">2 CTNS - SCK4 </t>
  </si>
  <si>
    <t>S373</t>
  </si>
  <si>
    <t>FBA17S94YQRQ</t>
  </si>
  <si>
    <t>TNY2412.2 +TNY2423</t>
  </si>
  <si>
    <t>Air Express by Lingzher (pet hair remover)</t>
  </si>
  <si>
    <t>07/03/2024</t>
  </si>
  <si>
    <t>air 5-7 days</t>
  </si>
  <si>
    <t>14/03/2024</t>
  </si>
  <si>
    <t>S374</t>
  </si>
  <si>
    <t>FBA17S92M84K</t>
  </si>
  <si>
    <t>1Z0176Y40333832148</t>
  </si>
  <si>
    <t>TNY2412.1 +TNY2421</t>
  </si>
  <si>
    <t>Air by Yuda (Pet hair remover)</t>
  </si>
  <si>
    <t>air 7-14 days</t>
  </si>
  <si>
    <t>18/03/2024</t>
  </si>
  <si>
    <t>S375</t>
  </si>
  <si>
    <t>FBA17SL940XN</t>
  </si>
  <si>
    <t>1Z5F13W00337245048</t>
  </si>
  <si>
    <t>HT 2411 - HT 2416 - HT 2411.1</t>
  </si>
  <si>
    <t>Flower Holder</t>
  </si>
  <si>
    <t>2CTN air 10 days By LZ</t>
  </si>
  <si>
    <t>S376</t>
  </si>
  <si>
    <t>FBA17SL1LFXP</t>
  </si>
  <si>
    <t>1Z5F13W00335156255</t>
  </si>
  <si>
    <t>1 CTN air 10 days By LZ</t>
  </si>
  <si>
    <t>S377</t>
  </si>
  <si>
    <t>FBA17R4N1771</t>
  </si>
  <si>
    <t>YD1000325788</t>
  </si>
  <si>
    <t>TNY2310-TNY2421</t>
  </si>
  <si>
    <r>
      <rPr>
        <rFont val="Calibri"/>
        <color theme="1"/>
        <sz val="11.0"/>
      </rPr>
      <t xml:space="preserve">Sea + Truck by Yuda MDW2 (collar) </t>
    </r>
    <r>
      <rPr>
        <rFont val="Calibri"/>
        <color rgb="FF1155CC"/>
        <sz val="11.0"/>
        <u/>
      </rPr>
      <t>http://ywyd.rtb56.com/track_query.aspx</t>
    </r>
  </si>
  <si>
    <t>08/03/2024</t>
  </si>
  <si>
    <t>35 days</t>
  </si>
  <si>
    <t>12-15/04/2024</t>
  </si>
  <si>
    <t>S378</t>
  </si>
  <si>
    <t>FBA17R4QH9ZZ</t>
  </si>
  <si>
    <t>Sea + Truck by Yuda MDW2 (collar)</t>
  </si>
  <si>
    <t>azS379.1</t>
  </si>
  <si>
    <t>FBA17R4DKJ4K</t>
  </si>
  <si>
    <t>TNY2413-TNY2424</t>
  </si>
  <si>
    <t>need to claim</t>
  </si>
  <si>
    <t>13/03/2024</t>
  </si>
  <si>
    <t>11-18/04/2024</t>
  </si>
  <si>
    <t>S379.2</t>
  </si>
  <si>
    <t>FBA17R4PFNF9</t>
  </si>
  <si>
    <t>S379.3</t>
  </si>
  <si>
    <t>FBA17R4LLN19</t>
  </si>
  <si>
    <t>S380</t>
  </si>
  <si>
    <t>FBA17T5MLHK4</t>
  </si>
  <si>
    <t>HT 2412-HT 2416</t>
  </si>
  <si>
    <t>S381.1</t>
  </si>
  <si>
    <t>FBA17T5WDXT1</t>
  </si>
  <si>
    <t>Sea truck by Lingzhe &gt;&gt; IAH3</t>
  </si>
  <si>
    <t>20-25 days</t>
  </si>
  <si>
    <t>10/04/2024</t>
  </si>
  <si>
    <t>S381.2</t>
  </si>
  <si>
    <t>HT 2413-HT 2416</t>
  </si>
  <si>
    <t>Seam Guide</t>
  </si>
  <si>
    <t>S381.3</t>
  </si>
  <si>
    <t>TNY2310-TNY2423</t>
  </si>
  <si>
    <t>Sea truck by Lingzhe &gt;&gt; IAH3 (collar)</t>
  </si>
  <si>
    <t>receiving</t>
  </si>
  <si>
    <t>S382.1</t>
  </si>
  <si>
    <t>FBA17T5P053S</t>
  </si>
  <si>
    <t>HT 2412 - HT 2416</t>
  </si>
  <si>
    <t>Dumpling 2</t>
  </si>
  <si>
    <t>S382.2</t>
  </si>
  <si>
    <t>HT 2413 - HT 2416</t>
  </si>
  <si>
    <t>Foot, Seam Guide</t>
  </si>
  <si>
    <t>S383</t>
  </si>
  <si>
    <t>FBA17T5J0RHM</t>
  </si>
  <si>
    <t>Sea truck by Lingzhe (collar) &gt; TEB9</t>
  </si>
  <si>
    <t>40-45 days</t>
  </si>
  <si>
    <t>20/05/2024&gt;25/05</t>
  </si>
  <si>
    <t>S384</t>
  </si>
  <si>
    <t>FBA17T5MWSMG</t>
  </si>
  <si>
    <t>HT 2416</t>
  </si>
  <si>
    <t>Dumpling 1</t>
  </si>
  <si>
    <t>S385.1</t>
  </si>
  <si>
    <t>FBA17TPJNRDJ</t>
  </si>
  <si>
    <t>1Z9Y31520423478996</t>
  </si>
  <si>
    <t>TNY2413-TNY2423</t>
  </si>
  <si>
    <t>Air express by Lingzhe (washing glove)</t>
  </si>
  <si>
    <t>5-7 days</t>
  </si>
  <si>
    <t>25/03/2024</t>
  </si>
  <si>
    <t>S385.2</t>
  </si>
  <si>
    <t>FBA17TPHL842</t>
  </si>
  <si>
    <t>1Z9Y31520438380027</t>
  </si>
  <si>
    <t>6-9 days</t>
  </si>
  <si>
    <t>27-30/02/2024</t>
  </si>
  <si>
    <t>S385.3</t>
  </si>
  <si>
    <t>FBA17TP3JDFF</t>
  </si>
  <si>
    <t>1Z9Y31520433332258</t>
  </si>
  <si>
    <t>S385.4</t>
  </si>
  <si>
    <t>FBA17TP622BW</t>
  </si>
  <si>
    <t>Sea truck by Lingzhe (grey glove)</t>
  </si>
  <si>
    <t>20 days</t>
  </si>
  <si>
    <t>10-15/04/2024&gt;25/04/2024</t>
  </si>
  <si>
    <t>S386</t>
  </si>
  <si>
    <t>FBA17TT3Q2VZ</t>
  </si>
  <si>
    <t>HNV 2412-HNV 2415-HNV 2414</t>
  </si>
  <si>
    <t>miss &amp; more</t>
  </si>
  <si>
    <t>28/03/2024</t>
  </si>
  <si>
    <t>17/04/2024</t>
  </si>
  <si>
    <t>S387.1</t>
  </si>
  <si>
    <t>FBA17V2RFR3F</t>
  </si>
  <si>
    <t>TNY2414-TNY2423</t>
  </si>
  <si>
    <t xml:space="preserve">Sea truck by Lingzhe SMF3 </t>
  </si>
  <si>
    <t>13-16/04/2024&gt;24/04</t>
  </si>
  <si>
    <t>azS387.2</t>
  </si>
  <si>
    <t>FBA17V2RCKPR</t>
  </si>
  <si>
    <t>Sea truck by Lingzhe IAH3 (pet hair remover)</t>
  </si>
  <si>
    <t>40-50 days</t>
  </si>
  <si>
    <t>11/05/2024</t>
  </si>
  <si>
    <t>S387.3</t>
  </si>
  <si>
    <t>FBA17V2Q177L</t>
  </si>
  <si>
    <t>TNY2411-TNY2414-TNY2423</t>
  </si>
  <si>
    <t>Petchum &amp; Andy Quan</t>
  </si>
  <si>
    <t>Sea truck by Lingzhe SCK4 (pet hair remover + bbq mould)</t>
  </si>
  <si>
    <t>13-16/04/2024&gt;21/04</t>
  </si>
  <si>
    <t>S387.4</t>
  </si>
  <si>
    <t>FBA17V27QHZ1</t>
  </si>
  <si>
    <t>Sea truck by Lingzhe LGB8 (pet hair remover)</t>
  </si>
  <si>
    <t>13-16/04/2024</t>
  </si>
  <si>
    <t>S387.5</t>
  </si>
  <si>
    <t>FBA17V2MJ4BV</t>
  </si>
  <si>
    <t>Sea truck by Lingzhe TEB9 (pet hair remover)</t>
  </si>
  <si>
    <t>11/05/2024 &gt;18/05</t>
  </si>
  <si>
    <t>S388</t>
  </si>
  <si>
    <t>FBA17TT808VP</t>
  </si>
  <si>
    <t>HNV 2412-HNV 2414</t>
  </si>
  <si>
    <t>S389</t>
  </si>
  <si>
    <t>FBA17TSX2LZJ</t>
  </si>
  <si>
    <t>S390.1</t>
  </si>
  <si>
    <t>FBA17V8X10DL</t>
  </si>
  <si>
    <t>MKKPFBA17V8X10DL</t>
  </si>
  <si>
    <t>TNY2415+TNY2416+TNY2424</t>
  </si>
  <si>
    <t>sea truck 15 days by Juhang SBD1 (grey glove)</t>
  </si>
  <si>
    <t>15 days</t>
  </si>
  <si>
    <t>14-19/04/2024</t>
  </si>
  <si>
    <t>S390.2</t>
  </si>
  <si>
    <t>FBA17V8TMQ67</t>
  </si>
  <si>
    <t>MKKPFBA17V8TMQ67</t>
  </si>
  <si>
    <t>sea truck 20 days by Juhang GYR2 (grey glove)</t>
  </si>
  <si>
    <t>19-25/04/2024</t>
  </si>
  <si>
    <t>S390.3</t>
  </si>
  <si>
    <t>FBA17V8WH962</t>
  </si>
  <si>
    <t>MKKPFBA17V8WH962</t>
  </si>
  <si>
    <t>sea truck 60 days by Juhang TEB9 (grey+grey blue glove )</t>
  </si>
  <si>
    <t>60 days</t>
  </si>
  <si>
    <t>17-20/05/2024</t>
  </si>
  <si>
    <t>S390.4</t>
  </si>
  <si>
    <t>FBA17V8Y1WRY</t>
  </si>
  <si>
    <t>MKKPFBA17V8Y1WR</t>
  </si>
  <si>
    <t>sea truck 60 days by Juhang AVP1 (grey glove)</t>
  </si>
  <si>
    <t>17-21/05/2024</t>
  </si>
  <si>
    <t>S391</t>
  </si>
  <si>
    <t>FBA17W1QMSMP</t>
  </si>
  <si>
    <t>775779325285
775779325296</t>
  </si>
  <si>
    <t>HT 2414 - HT 2422</t>
  </si>
  <si>
    <t>Breaker</t>
  </si>
  <si>
    <t>Air express by LZ - 2 ctns</t>
  </si>
  <si>
    <t>7 days</t>
  </si>
  <si>
    <t>S392</t>
  </si>
  <si>
    <t>FBA17W1Y41PN</t>
  </si>
  <si>
    <t>1ZC0E5310305259606</t>
  </si>
  <si>
    <t>Sea express 3 CTN</t>
  </si>
  <si>
    <t>20/04/2024</t>
  </si>
  <si>
    <t>S393.1</t>
  </si>
  <si>
    <t>FBA17W1X4NRN</t>
  </si>
  <si>
    <t>Sea Truck - 3 CTNS Breaker</t>
  </si>
  <si>
    <t>10/05/2024</t>
  </si>
  <si>
    <t>S393.2</t>
  </si>
  <si>
    <t>TNY2414 - TNY2420 - TNY2430</t>
  </si>
  <si>
    <t>Sea truck 40-45 by Lingzhe IAH3 (pet hair remover)</t>
  </si>
  <si>
    <t>10/05/2024&gt;26/04/2024</t>
  </si>
  <si>
    <t>S394.1</t>
  </si>
  <si>
    <t>FBA17W1RWBCG</t>
  </si>
  <si>
    <t>Sea Truck - 2 CTNS Breaker</t>
  </si>
  <si>
    <t>21 days</t>
  </si>
  <si>
    <t>25-30/04/2024</t>
  </si>
  <si>
    <t>S394.2</t>
  </si>
  <si>
    <t>Sea truck 21 by Lingzhe VGT2 (pet hair remover)</t>
  </si>
  <si>
    <t>S395.1</t>
  </si>
  <si>
    <t>FBA17VXLCFNK</t>
  </si>
  <si>
    <t>TNY2419 - TNY2431</t>
  </si>
  <si>
    <t>sea truck 25 days by Juhang SBD1 (grey glove)</t>
  </si>
  <si>
    <t>01-07/05/2024</t>
  </si>
  <si>
    <t>S395.2</t>
  </si>
  <si>
    <t>FBA17VXNG4SW</t>
  </si>
  <si>
    <t>sea truck 55 days by Juhang SWF2 (grey glove)</t>
  </si>
  <si>
    <t>55 days</t>
  </si>
  <si>
    <t>21/05/2024&gt;27/05</t>
  </si>
  <si>
    <t>S395.3</t>
  </si>
  <si>
    <t>FBA17VXTTLZP</t>
  </si>
  <si>
    <t>sea truck 55 days by Juhang CLT2(grey glove)</t>
  </si>
  <si>
    <t>22/05/2024&gt;27/05</t>
  </si>
  <si>
    <t>S395.4</t>
  </si>
  <si>
    <t>FBA17VXTX99X</t>
  </si>
  <si>
    <t>sea truck 35 days by Juhang FWA4 (grey glove)</t>
  </si>
  <si>
    <t>09-16/05/2024</t>
  </si>
  <si>
    <t>S396</t>
  </si>
  <si>
    <t>FBA17X6RNBTP</t>
  </si>
  <si>
    <t>HT 2418 - HT 2422</t>
  </si>
  <si>
    <t>Flower</t>
  </si>
  <si>
    <t>Air by LZ</t>
  </si>
  <si>
    <t>5 - 7 days</t>
  </si>
  <si>
    <t>15/04/2024</t>
  </si>
  <si>
    <t>S397</t>
  </si>
  <si>
    <t>FBA17X6K675S</t>
  </si>
  <si>
    <t>Sea expres + Fed Ex</t>
  </si>
  <si>
    <t>29/04/2024</t>
  </si>
  <si>
    <t>S398</t>
  </si>
  <si>
    <t>FBA17X6TCFLD</t>
  </si>
  <si>
    <t>Sea truck</t>
  </si>
  <si>
    <t>S399</t>
  </si>
  <si>
    <t>FBA17X6SZJ7Q</t>
  </si>
  <si>
    <t>Sea Truck</t>
  </si>
  <si>
    <t>S400</t>
  </si>
  <si>
    <t>FBA17X6ZJ5ZX</t>
  </si>
  <si>
    <t>S401</t>
  </si>
  <si>
    <t>FBA17X7P4YZG</t>
  </si>
  <si>
    <t>2E6QEG3G</t>
  </si>
  <si>
    <t>HT 2417 - HT 2420</t>
  </si>
  <si>
    <t>Sea truck by Yuda</t>
  </si>
  <si>
    <t>20/05/2024</t>
  </si>
  <si>
    <t>S402</t>
  </si>
  <si>
    <t>FBA17X7BLZ1Y</t>
  </si>
  <si>
    <t>S403</t>
  </si>
  <si>
    <t>FBA17X7WPLBD</t>
  </si>
  <si>
    <t>S404</t>
  </si>
  <si>
    <t>FBA17X7DNZJ0</t>
  </si>
  <si>
    <t>S405</t>
  </si>
  <si>
    <t>FBA17X7SLB97</t>
  </si>
  <si>
    <t>1Z4X98X80313996951</t>
  </si>
  <si>
    <t>Sea express + Fedex</t>
  </si>
  <si>
    <t>18 - 20 days</t>
  </si>
  <si>
    <t>S406.1</t>
  </si>
  <si>
    <t>FBA17XBCRKQQ</t>
  </si>
  <si>
    <t>MKKPFBA17XBCRKQQ/7057217532</t>
  </si>
  <si>
    <t>TNY2419 - TNY2426 - TNY2431</t>
  </si>
  <si>
    <t>sea truck 30 days by Juhang SBD1 (grey glove + Grey blue)</t>
  </si>
  <si>
    <t>30 days</t>
  </si>
  <si>
    <t>09/05/2024</t>
  </si>
  <si>
    <t>S406.2</t>
  </si>
  <si>
    <t>FBA17XBK7J3Q</t>
  </si>
  <si>
    <t>MKKPFBA17XBK7J3Q/7057217531</t>
  </si>
  <si>
    <t>sea truck 30 days by Juhang FTW1 (grey glove)</t>
  </si>
  <si>
    <t>13/05/2024&gt;07/05</t>
  </si>
  <si>
    <t>S406.3</t>
  </si>
  <si>
    <t>FBA17XBGVHVS</t>
  </si>
  <si>
    <t>MKKPFBA17XBGVHVS/7057217530</t>
  </si>
  <si>
    <t>sea truck 30 days by Juhang IAH3 (grey glove +2 blue)</t>
  </si>
  <si>
    <t>15/05/2024&gt;07/05</t>
  </si>
  <si>
    <t>S406.4</t>
  </si>
  <si>
    <t>FBA17XBD8ZCG</t>
  </si>
  <si>
    <t>MKKPFBA17XBD8ZCG/7057217533</t>
  </si>
  <si>
    <t>sea truck 45 days by Juhang ORF2 (grey glove)</t>
  </si>
  <si>
    <t>04-17/06/2024</t>
  </si>
  <si>
    <t>S407</t>
  </si>
  <si>
    <t>FBA17X70MBVF</t>
  </si>
  <si>
    <t>HNV 2410 - HNV2416 - HNV2418 - HNV 2421</t>
  </si>
  <si>
    <t>17/05/2024</t>
  </si>
  <si>
    <t>S408</t>
  </si>
  <si>
    <t>FBA17X6ZJTW1</t>
  </si>
  <si>
    <t>S409</t>
  </si>
  <si>
    <t>FBA17X71Z1S2</t>
  </si>
  <si>
    <t>S410</t>
  </si>
  <si>
    <t>FBA17X7BYLK4</t>
  </si>
  <si>
    <t>azS411.1</t>
  </si>
  <si>
    <t>FBA17W991QKX</t>
  </si>
  <si>
    <t>18/04/2024</t>
  </si>
  <si>
    <t>19 days</t>
  </si>
  <si>
    <t>4-6/05/2024</t>
  </si>
  <si>
    <t>S411.2</t>
  </si>
  <si>
    <t>FBA17W9CS769</t>
  </si>
  <si>
    <t>Sea truck by Lingzhe SBD1 (pet hair remover)</t>
  </si>
  <si>
    <t>25-30 days</t>
  </si>
  <si>
    <t>10-13/05/2024&gt;06/05</t>
  </si>
  <si>
    <t>S411.3</t>
  </si>
  <si>
    <t>FBA17W99ZKDY</t>
  </si>
  <si>
    <t>TNY2414 - TNY2425 - TNY2430</t>
  </si>
  <si>
    <t>25-28/05/2024</t>
  </si>
  <si>
    <t>azS411.4</t>
  </si>
  <si>
    <t>FBA17W967ZRC</t>
  </si>
  <si>
    <t>Sea express by Lingzhe RMN3 (pet hair remover)</t>
  </si>
  <si>
    <t>15-18/05/2024&gt;10/05</t>
  </si>
  <si>
    <t>S412</t>
  </si>
  <si>
    <t>FBA17TT75LLT</t>
  </si>
  <si>
    <t>HNV 2412-HNV 2434</t>
  </si>
  <si>
    <t>S413</t>
  </si>
  <si>
    <t>FBA17YCNJ3MT</t>
  </si>
  <si>
    <t>HT 2419 - HT 2423-
HT 2421</t>
  </si>
  <si>
    <t>Connectors</t>
  </si>
  <si>
    <t>sea truck by Juhang &gt;&gt; IAH3</t>
  </si>
  <si>
    <t>18/05/2024</t>
  </si>
  <si>
    <t>S414</t>
  </si>
  <si>
    <t>FBA17YCR5QRN</t>
  </si>
  <si>
    <t>28/05/2024</t>
  </si>
  <si>
    <t>S415</t>
  </si>
  <si>
    <t>FBA17YCYHHF1</t>
  </si>
  <si>
    <t>sea express by Juhang &gt;&gt; IBE9</t>
  </si>
  <si>
    <t>21/05/2024</t>
  </si>
  <si>
    <t>S416</t>
  </si>
  <si>
    <t>FBA17YCYJ61C</t>
  </si>
  <si>
    <t>sea express + fedex by Juhang</t>
  </si>
  <si>
    <t>24/04/2024</t>
  </si>
  <si>
    <t>S417</t>
  </si>
  <si>
    <t>FBA17YCPWJR6</t>
  </si>
  <si>
    <t>sea truck by Juhang &gt;&gt; ORF2</t>
  </si>
  <si>
    <t>check-in</t>
  </si>
  <si>
    <t>45 days</t>
  </si>
  <si>
    <t>16/06/2024</t>
  </si>
  <si>
    <t>S418.1</t>
  </si>
  <si>
    <t>FBA17Z2LBPGX</t>
  </si>
  <si>
    <t>HNV 2420 - HNV 2423 - HNV 2425</t>
  </si>
  <si>
    <t>Jawsky</t>
  </si>
  <si>
    <t>Air express by jiufang</t>
  </si>
  <si>
    <t>S418.2</t>
  </si>
  <si>
    <t>FBA17Z2N8XG1</t>
  </si>
  <si>
    <t>1ZC0E5310316339955</t>
  </si>
  <si>
    <t>HNV 2420 - HNV 2423 - HNV 2424</t>
  </si>
  <si>
    <t>Air by Hào</t>
  </si>
  <si>
    <t>azS419.1</t>
  </si>
  <si>
    <t>FBA17Z7BFFYC</t>
  </si>
  <si>
    <t>TNY2417.1 - TNY2403 - TNY2440</t>
  </si>
  <si>
    <t>Sea express by Lingzhe SWF2 (Sensitive good)</t>
  </si>
  <si>
    <t>18-21 days</t>
  </si>
  <si>
    <t>25-29/05/2024</t>
  </si>
  <si>
    <t>azS419.2</t>
  </si>
  <si>
    <t>FBA17Z7H5YKZ</t>
  </si>
  <si>
    <t>46 - TNY2310 - TNY2440</t>
  </si>
  <si>
    <t>Sea truck by Lingzhe (collar) &gt; SBD1</t>
  </si>
  <si>
    <t>15/05/2024</t>
  </si>
  <si>
    <t>10-15/06/2024</t>
  </si>
  <si>
    <t>S419.3</t>
  </si>
  <si>
    <t>FBA17Z7FTHCD</t>
  </si>
  <si>
    <t>1ZB8K1250321869631</t>
  </si>
  <si>
    <t>46 - TNY2418 - TNY2440</t>
  </si>
  <si>
    <t>Sea express by Lingzhe (collar) &gt; IAH3</t>
  </si>
  <si>
    <t>more
reallocated</t>
  </si>
  <si>
    <t>29/05/2024</t>
  </si>
  <si>
    <t>17/06/2024</t>
  </si>
  <si>
    <t>azS419.4</t>
  </si>
  <si>
    <t>FBA17Z78TTGG</t>
  </si>
  <si>
    <t>1ZC0E5310306833019</t>
  </si>
  <si>
    <t>TNY2418 - TNY2440</t>
  </si>
  <si>
    <t>Sea express by Lingzhe (collar) &gt; AVP1</t>
  </si>
  <si>
    <t>07/06/2024</t>
  </si>
  <si>
    <t>S419.5</t>
  </si>
  <si>
    <t>FBA17Z767ZWV</t>
  </si>
  <si>
    <t>1ZC0E5310329462216</t>
  </si>
  <si>
    <t>Sea express by Lingzhe (collar) &gt; RDU2</t>
  </si>
  <si>
    <t>10/06/2024</t>
  </si>
  <si>
    <t>S420.1</t>
  </si>
  <si>
    <t>FBA17ZDN8S09</t>
  </si>
  <si>
    <t>HNV 2422 - HNV 2434</t>
  </si>
  <si>
    <t>Sea truck by Lingzher</t>
  </si>
  <si>
    <t>S420.2</t>
  </si>
  <si>
    <t>FBA17ZDQMDVD</t>
  </si>
  <si>
    <t>S420.3</t>
  </si>
  <si>
    <t>FBA17ZDJ1VVQ</t>
  </si>
  <si>
    <t>S420.4</t>
  </si>
  <si>
    <t>FBA17ZDLXFL4</t>
  </si>
  <si>
    <t>problem</t>
  </si>
  <si>
    <t>S420.5</t>
  </si>
  <si>
    <t>FBA17ZDKJYJR</t>
  </si>
  <si>
    <t>TNY2440-TNY2411-TNY2428</t>
  </si>
  <si>
    <t>Sea truck by Lingzher &gt;SWF2 (bbq mould green +grey)</t>
  </si>
  <si>
    <t>35 - 40 days</t>
  </si>
  <si>
    <t>15-20/06/2024</t>
  </si>
  <si>
    <t>S421.1</t>
  </si>
  <si>
    <t>FBA17ZMPTWVH</t>
  </si>
  <si>
    <t>HNV 2419 - HNV 2426 - HNV 2427 - HNV 2434</t>
  </si>
  <si>
    <t>Che Sihong</t>
  </si>
  <si>
    <t>30/06/2024</t>
  </si>
  <si>
    <t>S421.2</t>
  </si>
  <si>
    <t>FBA17ZMPN3FK</t>
  </si>
  <si>
    <t>HNV 2419 - HNV 2420 - HNV 2427 - HNV 2434 - HNV 2435</t>
  </si>
  <si>
    <t>Sea express by Juhang</t>
  </si>
  <si>
    <t>azS421.3</t>
  </si>
  <si>
    <t>FBA17ZMMZ6K2</t>
  </si>
  <si>
    <t>Claimed</t>
  </si>
  <si>
    <t>S421.4</t>
  </si>
  <si>
    <t>FBA17ZMWCGT7</t>
  </si>
  <si>
    <t>HNV 2426 - HNV 2419 - HNV 2420 - HNV 2427 - HNV 2434 - HNV 2435</t>
  </si>
  <si>
    <t>S421.5</t>
  </si>
  <si>
    <t>FBA17ZMV8QGG</t>
  </si>
  <si>
    <t>S422.1</t>
  </si>
  <si>
    <t>FBA17ZMG9704</t>
  </si>
  <si>
    <t>TNY2427-TNY2441</t>
  </si>
  <si>
    <t>sea truck 45 days by Juhang ABE8 (grey glove)</t>
  </si>
  <si>
    <t>04/07-11/07/2024</t>
  </si>
  <si>
    <t>S422.2</t>
  </si>
  <si>
    <t>FBA17ZMNGK8T</t>
  </si>
  <si>
    <t>sea truck 45 days by Juhang TEB9 (grey glove)</t>
  </si>
  <si>
    <t>29/06-11/07/2024</t>
  </si>
  <si>
    <t>S422.3</t>
  </si>
  <si>
    <t>FBA17ZMN7WZB</t>
  </si>
  <si>
    <t>sea truck 30 days by Juhang FWA4 (grey glove )</t>
  </si>
  <si>
    <t>S422.4</t>
  </si>
  <si>
    <t>FBA17ZMMJ9VG</t>
  </si>
  <si>
    <t>sea truck 30 days by Juhang IAH3 (grey glove + set 2 blue)</t>
  </si>
  <si>
    <t>14-20/06/2024</t>
  </si>
  <si>
    <t>S423.1</t>
  </si>
  <si>
    <t>FBA180F2531L</t>
  </si>
  <si>
    <t>HT 2424 - HT 2425 
HT 2429</t>
  </si>
  <si>
    <t>Breaker+Dumpling2</t>
  </si>
  <si>
    <t>Sea truck by LZ</t>
  </si>
  <si>
    <t>35 day</t>
  </si>
  <si>
    <t>20-25/6/2024</t>
  </si>
  <si>
    <t>S423.2</t>
  </si>
  <si>
    <t>FBA180F34FYB</t>
  </si>
  <si>
    <t>Breaker+Dumpling1,2</t>
  </si>
  <si>
    <t>S423.3</t>
  </si>
  <si>
    <t>FBA180F2KVSB</t>
  </si>
  <si>
    <t>HT 2424 - HT 2429</t>
  </si>
  <si>
    <t>45 day</t>
  </si>
  <si>
    <t>1/7-10/7/2024</t>
  </si>
  <si>
    <t>S423.4</t>
  </si>
  <si>
    <t>FBA180F3Q9WL</t>
  </si>
  <si>
    <t>azS423.5</t>
  </si>
  <si>
    <t>FBA180F1R9GD</t>
  </si>
  <si>
    <t>Sea express 21 days + UPS</t>
  </si>
  <si>
    <t>5-10/6/2024</t>
  </si>
  <si>
    <t>S424.1</t>
  </si>
  <si>
    <t>FBA17ZG8W40B</t>
  </si>
  <si>
    <t>MKKPFBA17ZG8W40B</t>
  </si>
  <si>
    <t>TNY2429-TNY2441</t>
  </si>
  <si>
    <t>sea truck 45 days by Juhang AVP1 (grey glove)</t>
  </si>
  <si>
    <t>02-12/07/2024</t>
  </si>
  <si>
    <t>S424.2</t>
  </si>
  <si>
    <t>FBA17ZG77LFG</t>
  </si>
  <si>
    <t>MKKPFBA17ZG77LFG</t>
  </si>
  <si>
    <t>sea truck 35 days by Juhang RDU2 (grey glove)</t>
  </si>
  <si>
    <t>S424.3</t>
  </si>
  <si>
    <t>FBA17ZG7R5G0</t>
  </si>
  <si>
    <t>MKKPFBA17ZG7R5G0</t>
  </si>
  <si>
    <t>sea truck 30 days by Juhang LAS1 (grey glove )</t>
  </si>
  <si>
    <t>10-20/06/2024</t>
  </si>
  <si>
    <t>S424.4</t>
  </si>
  <si>
    <t>FBA17ZG6WWHS</t>
  </si>
  <si>
    <t>MKKPFBA17ZG6WWHS</t>
  </si>
  <si>
    <t>sea truck 30 days by Juhang IAH3 (grey glove)</t>
  </si>
  <si>
    <t>S425.1</t>
  </si>
  <si>
    <t>FBA181BX4KD0</t>
  </si>
  <si>
    <t>1Z755Y680327869576</t>
  </si>
  <si>
    <t>HT 2427 - HT 2429</t>
  </si>
  <si>
    <t>Sewing gun</t>
  </si>
  <si>
    <t>Air express 7 - 9 days by LZ</t>
  </si>
  <si>
    <t>23/05/2024</t>
  </si>
  <si>
    <t>7 - 10 days</t>
  </si>
  <si>
    <t>31/05 - 4/6</t>
  </si>
  <si>
    <t>S425.2</t>
  </si>
  <si>
    <t>FBA181BQ1HV7</t>
  </si>
  <si>
    <t>1ZC0E5310304646734</t>
  </si>
  <si>
    <t>HT 2428 - HT 2429</t>
  </si>
  <si>
    <t>Magnet sewing</t>
  </si>
  <si>
    <t>Sea + truck by LZ - 21 days</t>
  </si>
  <si>
    <t>21 day</t>
  </si>
  <si>
    <t>12 - 18/6/2024</t>
  </si>
  <si>
    <t>S425.3</t>
  </si>
  <si>
    <t>FBA181BTLRR2</t>
  </si>
  <si>
    <t>1ZC0E5310309477364</t>
  </si>
  <si>
    <t>Sea + express by LZ - 18 days</t>
  </si>
  <si>
    <t>09 - 15/6/2024</t>
  </si>
  <si>
    <t>S425.4</t>
  </si>
  <si>
    <t>FBA181BJCZK7</t>
  </si>
  <si>
    <t>1ZB8K1250320927034</t>
  </si>
  <si>
    <t>Sea + truck by LZ - 15 days</t>
  </si>
  <si>
    <t>15 - 18 days</t>
  </si>
  <si>
    <t>15 - 20/6/2024</t>
  </si>
  <si>
    <t>S425.5</t>
  </si>
  <si>
    <t>FBA181BTHQPL</t>
  </si>
  <si>
    <t>Sea + truck by LZ - 25 days</t>
  </si>
  <si>
    <t>16- 28/06/2024</t>
  </si>
  <si>
    <t>S426.1</t>
  </si>
  <si>
    <t>FBA181BP4KQK</t>
  </si>
  <si>
    <t>1ZF2C5710320432355</t>
  </si>
  <si>
    <t>HNV 2428 - HNV 2430 - HNV 2431</t>
  </si>
  <si>
    <t>22/05/2024</t>
  </si>
  <si>
    <t>S426.2</t>
  </si>
  <si>
    <t>FBA181BW9T6S</t>
  </si>
  <si>
    <t>1ZF2C5710334011668</t>
  </si>
  <si>
    <t>S427.1-Tk2</t>
  </si>
  <si>
    <t>FBA18055FFMW</t>
  </si>
  <si>
    <t>TNY2418+TNY2432+TNY2417.2</t>
  </si>
  <si>
    <t>Sea truck by Lingzhe (collar+hammer+ Grooming Glove) &gt; FWA4</t>
  </si>
  <si>
    <t>21/06/2024</t>
  </si>
  <si>
    <t>S427.2-Tk2</t>
  </si>
  <si>
    <t>FBA18054TSZ4</t>
  </si>
  <si>
    <t>TNY2418</t>
  </si>
  <si>
    <t>Sea truck by Lingzhe (collar) &gt; MDW2</t>
  </si>
  <si>
    <t>S428.1</t>
  </si>
  <si>
    <t>FBA1820JDHTD</t>
  </si>
  <si>
    <t>HT 2426 - HT 2430</t>
  </si>
  <si>
    <t>Template</t>
  </si>
  <si>
    <t>Sea Truck by Yuda &gt;&gt; FTW1</t>
  </si>
  <si>
    <t>S428.2</t>
  </si>
  <si>
    <t>FBA1820NGKHG</t>
  </si>
  <si>
    <t>1ZG2G1560310975088</t>
  </si>
  <si>
    <t>Sea Truck by Yuda  &gt; FWA4</t>
  </si>
  <si>
    <t>40 - 45 Days</t>
  </si>
  <si>
    <t>17 - 22/7</t>
  </si>
  <si>
    <t>S428.3</t>
  </si>
  <si>
    <t>FBA1820F3MY6</t>
  </si>
  <si>
    <t>Sea Truck by Yuda  &gt;&gt; RDU2</t>
  </si>
  <si>
    <t>S428.4</t>
  </si>
  <si>
    <t>FBA1820M4YTR</t>
  </si>
  <si>
    <t>Sea Truck by Yuda  &gt;&gt; ORF2</t>
  </si>
  <si>
    <t>S428.5</t>
  </si>
  <si>
    <t>FBA1820M73YD</t>
  </si>
  <si>
    <t>1Z4X98X80323364481</t>
  </si>
  <si>
    <t xml:space="preserve">Sea Truck by Yuda  &gt;&gt; RFD2 </t>
  </si>
  <si>
    <t>S429.1</t>
  </si>
  <si>
    <t>FBA1830F4XY5</t>
  </si>
  <si>
    <t>HT 2431-HT 2433 - HT 2440</t>
  </si>
  <si>
    <t>Sea truck by Juhang &gt;&gt; MDW2</t>
  </si>
  <si>
    <t>paid Juhang</t>
  </si>
  <si>
    <t>13/06/2024</t>
  </si>
  <si>
    <t>4 - 13/7</t>
  </si>
  <si>
    <t>S429.2</t>
  </si>
  <si>
    <t>FBA1830LZMYR</t>
  </si>
  <si>
    <t>Sea truck by Juhang &gt;&gt; FWA4</t>
  </si>
  <si>
    <t>25 day</t>
  </si>
  <si>
    <t>10 - 17/7</t>
  </si>
  <si>
    <t>azS429.3</t>
  </si>
  <si>
    <t>FBA1830HSNF7</t>
  </si>
  <si>
    <t xml:space="preserve">Sea truck by Juhang &gt;&gt; IND9 </t>
  </si>
  <si>
    <t>30 day</t>
  </si>
  <si>
    <t>15 - 22/7</t>
  </si>
  <si>
    <t>S429.4</t>
  </si>
  <si>
    <t>FBA1830LGSK6</t>
  </si>
  <si>
    <t xml:space="preserve">Sea truck by Juhang &gt;&gt; RMN3 </t>
  </si>
  <si>
    <t>21/7 - 30/7</t>
  </si>
  <si>
    <t>S429.5</t>
  </si>
  <si>
    <t>FBA1830H1TNL</t>
  </si>
  <si>
    <t xml:space="preserve">Sea truck by Juhang &gt;&gt; RDU2 </t>
  </si>
  <si>
    <t>S430.1</t>
  </si>
  <si>
    <t>FBA182XGMP9M</t>
  </si>
  <si>
    <t>1ZF4944B0317706522</t>
  </si>
  <si>
    <t>HNV 2429 - HNV 2433 - HNV 2436</t>
  </si>
  <si>
    <t>Lawsky</t>
  </si>
  <si>
    <t>20/06/2024</t>
  </si>
  <si>
    <t>S430.2</t>
  </si>
  <si>
    <t>FBA182X88Q59</t>
  </si>
  <si>
    <t>HNV 2429 - HNV 2433 - HNV 2447</t>
  </si>
  <si>
    <t>Sea truck by Juhang</t>
  </si>
  <si>
    <t>27/06/2024</t>
  </si>
  <si>
    <t>S430.3</t>
  </si>
  <si>
    <t>FBA182X5KRK0</t>
  </si>
  <si>
    <t>HNV 2429 - HNV 2432 - HNV 2433 - HNV 2447</t>
  </si>
  <si>
    <t>Lawsky &amp; eBay</t>
  </si>
  <si>
    <t>S430.4</t>
  </si>
  <si>
    <t>FBA182XDR845</t>
  </si>
  <si>
    <t>HNV 2429 - HNV 2433 - HNV 2437</t>
  </si>
  <si>
    <t>Air express by JiuFang</t>
  </si>
  <si>
    <t>miss &amp; not reimbursed</t>
  </si>
  <si>
    <t>18/06/2024</t>
  </si>
  <si>
    <t>S430.5</t>
  </si>
  <si>
    <t>FBA182XDNPXP</t>
  </si>
  <si>
    <t>relocated</t>
  </si>
  <si>
    <t>23/06/2024</t>
  </si>
  <si>
    <t>S431.1</t>
  </si>
  <si>
    <t>FBA1833H6XGF</t>
  </si>
  <si>
    <t>TNY2302-TNY2433-TNY2446</t>
  </si>
  <si>
    <t>Sea express by Lingzhe (Sensitive goods)</t>
  </si>
  <si>
    <t>paid Lz</t>
  </si>
  <si>
    <t>02/07/2024</t>
  </si>
  <si>
    <t>S431.2</t>
  </si>
  <si>
    <t>FBA1833L0XC9</t>
  </si>
  <si>
    <t>TNY2418-TNY2446</t>
  </si>
  <si>
    <t>Sea truck by Lingzhe (collar) &gt; IND9</t>
  </si>
  <si>
    <t>18-20/07/2024</t>
  </si>
  <si>
    <t>S431.3</t>
  </si>
  <si>
    <t>FBA18338QH65</t>
  </si>
  <si>
    <t>Sea truck by Lingzhe (collar) &gt; FWA4</t>
  </si>
  <si>
    <t>S431.4</t>
  </si>
  <si>
    <t>FBA183391K6F</t>
  </si>
  <si>
    <t>Sea truck by Lingzhe (collar) &gt; RFD2</t>
  </si>
  <si>
    <t>azS431.5</t>
  </si>
  <si>
    <t>FBA183358SKD</t>
  </si>
  <si>
    <t>Ziyue &amp; Andy Quan</t>
  </si>
  <si>
    <t>Sea truck by Lingzhe (Grooming+collar) &gt; MDW2</t>
  </si>
  <si>
    <t>25days</t>
  </si>
  <si>
    <t>08/07/2024</t>
  </si>
  <si>
    <t>S432.1</t>
  </si>
  <si>
    <t>FBA1835MZPWW</t>
  </si>
  <si>
    <t>1Z0176Y40313785139</t>
  </si>
  <si>
    <t>HT 2432 - HT 2434</t>
  </si>
  <si>
    <t xml:space="preserve">Sea truck by Yuda &gt;&gt; RMN3 </t>
  </si>
  <si>
    <t>S432.2</t>
  </si>
  <si>
    <t>FBA1835HJ0YS</t>
  </si>
  <si>
    <t>S432.3</t>
  </si>
  <si>
    <t>FBA1835NNF7S</t>
  </si>
  <si>
    <t xml:space="preserve">Sea truck by Yuda &gt;&gt; IND9 </t>
  </si>
  <si>
    <t>20-22 days</t>
  </si>
  <si>
    <t>9 - 22/7</t>
  </si>
  <si>
    <t>S432.4</t>
  </si>
  <si>
    <t>FBA1835HR1DF</t>
  </si>
  <si>
    <t xml:space="preserve">Sea truck by Yuda &gt;&gt; RDU2 </t>
  </si>
  <si>
    <t>S432.5</t>
  </si>
  <si>
    <t>FBA1835FNBLF</t>
  </si>
  <si>
    <t xml:space="preserve">Sea truck by Yuda &gt;&gt; AVP1 </t>
  </si>
  <si>
    <t>S433.1.1</t>
  </si>
  <si>
    <t>FBA183BL6Z1G</t>
  </si>
  <si>
    <t>TNY2436-TNY2439-TNY2447</t>
  </si>
  <si>
    <t>Glove + Toothbrush</t>
  </si>
  <si>
    <t>Sea truck 35 by Juhang&gt;AVP1 (set mix toothbrush + set 4 blue)</t>
  </si>
  <si>
    <t>19/06/2024</t>
  </si>
  <si>
    <t>23/07/2024</t>
  </si>
  <si>
    <t>S433.1.2</t>
  </si>
  <si>
    <t xml:space="preserve">Sea truck 35 by Juhang&gt;AVP1 </t>
  </si>
  <si>
    <t>S433.2.1</t>
  </si>
  <si>
    <t>FBA183BY99DZ</t>
  </si>
  <si>
    <t>TNY2439-TNY2447</t>
  </si>
  <si>
    <t>Glove</t>
  </si>
  <si>
    <t xml:space="preserve">Sea truck by Juhang&gt;MDW2 </t>
  </si>
  <si>
    <t>25-35 days</t>
  </si>
  <si>
    <t>17-24/07/2024</t>
  </si>
  <si>
    <t>S433.2.2</t>
  </si>
  <si>
    <t>S433.3.1</t>
  </si>
  <si>
    <t>FBA183BJFLMF</t>
  </si>
  <si>
    <t>Glove+ Toothbrush</t>
  </si>
  <si>
    <t>Sea truck by Juhang&gt;FWA4 (set 2 toothbrush)</t>
  </si>
  <si>
    <t>S433.3.2</t>
  </si>
  <si>
    <t>HT 2431-HT 2433 
- HT 2440</t>
  </si>
  <si>
    <t>Sea truck by Juhang&gt;FWA4</t>
  </si>
  <si>
    <t>S433.4</t>
  </si>
  <si>
    <t>FBA183BFYKF7</t>
  </si>
  <si>
    <t>Sea truck by Juhang &gt;IND9</t>
  </si>
  <si>
    <t>S434.1</t>
  </si>
  <si>
    <t>FBA1827X2W3R</t>
  </si>
  <si>
    <t>TNY2306 - TNY2435 - TNY2443</t>
  </si>
  <si>
    <t>Andy Quan</t>
  </si>
  <si>
    <t>Sea Truck by Yuda &gt;&gt; ORF2</t>
  </si>
  <si>
    <t>25 - 31/07/2024</t>
  </si>
  <si>
    <t>S434.2</t>
  </si>
  <si>
    <t>FBA1827QT4D0</t>
  </si>
  <si>
    <t>TNY2435 - TNY2443</t>
  </si>
  <si>
    <t>Sea Truck by Yuda &gt;&gt; FWA4</t>
  </si>
  <si>
    <t>05 - 11/07/2024</t>
  </si>
  <si>
    <t>FBA1827WFFCY</t>
  </si>
  <si>
    <t>TNY2306 - TNY2443</t>
  </si>
  <si>
    <t>azS434.3</t>
  </si>
  <si>
    <t>FBA1827YBW61</t>
  </si>
  <si>
    <t>13 - 19/07/2024</t>
  </si>
  <si>
    <t>FBA1827WRWBJ</t>
  </si>
  <si>
    <t>azS434.4</t>
  </si>
  <si>
    <t>FBA1827RFR2Q</t>
  </si>
  <si>
    <t>Sea Truck by Yuda &gt;&gt; MDW2</t>
  </si>
  <si>
    <t>27/06 - 03/07/2024</t>
  </si>
  <si>
    <t>FBA1827R1333</t>
  </si>
  <si>
    <t>S434.5</t>
  </si>
  <si>
    <t>FBA1827R2RJ9</t>
  </si>
  <si>
    <t>FBA1827XPBNS</t>
  </si>
  <si>
    <t>S434.6</t>
  </si>
  <si>
    <t>FBA181PTQLBT</t>
  </si>
  <si>
    <t>Sea Truck by Yuda &gt;&gt; CA</t>
  </si>
  <si>
    <t>S435.1</t>
  </si>
  <si>
    <t>FBA184N5QS9L</t>
  </si>
  <si>
    <t>HT 2436-HT 2438</t>
  </si>
  <si>
    <t xml:space="preserve">Sea truck by LZ &gt;&gt; ABE8 </t>
  </si>
  <si>
    <t>40 days</t>
  </si>
  <si>
    <t>6/8 - 14/8/2024</t>
  </si>
  <si>
    <t>S435.2</t>
  </si>
  <si>
    <t>FBA184NC37M8</t>
  </si>
  <si>
    <t>HT 2436- HT 2438</t>
  </si>
  <si>
    <t xml:space="preserve">Sea truck by LZ &gt;&gt; AVP1 </t>
  </si>
  <si>
    <t>S435.3</t>
  </si>
  <si>
    <t>FBA184N9D6PZ</t>
  </si>
  <si>
    <t>HT 2436 - HT 2438 - HT 2435</t>
  </si>
  <si>
    <t>Cup Slicer + Garlic</t>
  </si>
  <si>
    <t xml:space="preserve">Sea Fast truck by LZ &gt;&gt; FWA4 </t>
  </si>
  <si>
    <t>22/7-30/7</t>
  </si>
  <si>
    <t>S435.4</t>
  </si>
  <si>
    <t>FBA184N79JCT</t>
  </si>
  <si>
    <t>HT 2435-HT 2438</t>
  </si>
  <si>
    <t>Garlic Press</t>
  </si>
  <si>
    <t xml:space="preserve">Sea Express by LZ &gt;&gt; SWF2 </t>
  </si>
  <si>
    <t>18 day</t>
  </si>
  <si>
    <t>20/7 - 25/7</t>
  </si>
  <si>
    <t>S435.5</t>
  </si>
  <si>
    <t>FBA184N3D328</t>
  </si>
  <si>
    <t xml:space="preserve">Sea truck by LZ &gt;&gt; IND9 </t>
  </si>
  <si>
    <t>27/7 - 6/8</t>
  </si>
  <si>
    <t>S436.1</t>
  </si>
  <si>
    <t>FBA1852XLLJ5</t>
  </si>
  <si>
    <t>1ZB8K1280303587625</t>
  </si>
  <si>
    <t>HNV 2438 - HNV 2444 - HNV 2450</t>
  </si>
  <si>
    <t>Ship by air by Hào</t>
  </si>
  <si>
    <t>15/07/2024</t>
  </si>
  <si>
    <t>S436.2</t>
  </si>
  <si>
    <t>FBA1852Y0G5W</t>
  </si>
  <si>
    <t>1ZB8K1280304217595</t>
  </si>
  <si>
    <t>S436.3</t>
  </si>
  <si>
    <t>FBA18535BY2X</t>
  </si>
  <si>
    <t>S436.4</t>
  </si>
  <si>
    <t>FBA1852Y9NDT</t>
  </si>
  <si>
    <t>1ZB8K1280333338945</t>
  </si>
  <si>
    <t>S436.5</t>
  </si>
  <si>
    <t>FBA18532QW4M</t>
  </si>
  <si>
    <t>1ZB8K1280336016457</t>
  </si>
  <si>
    <t>S437.1</t>
  </si>
  <si>
    <t>FBA1853YB23N</t>
  </si>
  <si>
    <t>HT 2437</t>
  </si>
  <si>
    <t>Ship sea by LZ</t>
  </si>
  <si>
    <t>3/8-12/8</t>
  </si>
  <si>
    <t>S437.2</t>
  </si>
  <si>
    <t>FBA1853YPDSL</t>
  </si>
  <si>
    <t>1ZG2B5250337302416</t>
  </si>
  <si>
    <t>Corn Peeler</t>
  </si>
  <si>
    <t>Ship air express by LZ</t>
  </si>
  <si>
    <t>7-9 day</t>
  </si>
  <si>
    <t>S437.3</t>
  </si>
  <si>
    <t>FBA18541HMYM</t>
  </si>
  <si>
    <t>1ZB8K1280301089800</t>
  </si>
  <si>
    <t>Cup Slicer + Corn</t>
  </si>
  <si>
    <t>20 day</t>
  </si>
  <si>
    <t>23/7-30/7</t>
  </si>
  <si>
    <t>S437.4</t>
  </si>
  <si>
    <t>FBA185417771</t>
  </si>
  <si>
    <t>S438.1</t>
  </si>
  <si>
    <t>FBA1854J8K5W</t>
  </si>
  <si>
    <t>TNY2442-TNY2433</t>
  </si>
  <si>
    <t>Sea truck by Lingzher LGB8 (Sensitive good)</t>
  </si>
  <si>
    <t>chưa pay</t>
  </si>
  <si>
    <t>30-35days</t>
  </si>
  <si>
    <t>08/08/2024&gt;29/07/2024</t>
  </si>
  <si>
    <t>S438.2</t>
  </si>
  <si>
    <t>FBA1854JFT36</t>
  </si>
  <si>
    <t>Sea truck by Lingzher GYR3 (Sensitive good)</t>
  </si>
  <si>
    <t>S438.3</t>
  </si>
  <si>
    <t>FBA1854H41CQ</t>
  </si>
  <si>
    <t>Sea truck by Lingzher IND9 (Sensitive good)</t>
  </si>
  <si>
    <t>05/08/2024</t>
  </si>
  <si>
    <t>S438.4</t>
  </si>
  <si>
    <t>FBA1854FXJV0</t>
  </si>
  <si>
    <t>Sea truck by Lingzher ORF2  (Sensitive good)</t>
  </si>
  <si>
    <t>S439.1</t>
  </si>
  <si>
    <t>FBA1854C49CL</t>
  </si>
  <si>
    <t>TNY2445+TNY2418</t>
  </si>
  <si>
    <t>sea truck 40-45 days by Lingzher IND9 (grey glove+ collar)</t>
  </si>
  <si>
    <t>40-45days</t>
  </si>
  <si>
    <t>15/08/2024&gt;31/07/2024</t>
  </si>
  <si>
    <t>S439.2</t>
  </si>
  <si>
    <t>FBA18546HRGH</t>
  </si>
  <si>
    <t>sea truck 40- 45 days by Lingzher CLT2 (collar)</t>
  </si>
  <si>
    <t>15/08/2024&gt;02/08/2024</t>
  </si>
  <si>
    <t>S439.3</t>
  </si>
  <si>
    <t>FBA1854C0KR2</t>
  </si>
  <si>
    <t>sea truck 40-45 days by Lingzher ORF2 (grey glove+collar )</t>
  </si>
  <si>
    <t>15/08/2024</t>
  </si>
  <si>
    <t>S439.4</t>
  </si>
  <si>
    <t>FBA1854KG6F3</t>
  </si>
  <si>
    <t>sea truck 30-35 days by Lingzher ONT8 (grey glove)</t>
  </si>
  <si>
    <t>S439.5</t>
  </si>
  <si>
    <t>FBA1854GCC9L</t>
  </si>
  <si>
    <t>sea truck 30-35 days by Lingzher GYR3 (grey glove + collar)</t>
  </si>
  <si>
    <t>S440.1</t>
  </si>
  <si>
    <t>FBA185304FSF</t>
  </si>
  <si>
    <t>LCL24077329</t>
  </si>
  <si>
    <t>HNV 2438 - HNV 2442 - HNV 2444 - HNV 2451</t>
  </si>
  <si>
    <t>sea truck by JiuFang</t>
  </si>
  <si>
    <t>22/07/2024</t>
  </si>
  <si>
    <t>S440.2</t>
  </si>
  <si>
    <t>FBA1852RGY54</t>
  </si>
  <si>
    <t>LCL24078021</t>
  </si>
  <si>
    <t>27/07/2024</t>
  </si>
  <si>
    <t>S440.3</t>
  </si>
  <si>
    <t>FBA18530ZPJW</t>
  </si>
  <si>
    <t>LCL24072822</t>
  </si>
  <si>
    <t>28/07/2024</t>
  </si>
  <si>
    <t>S440.4</t>
  </si>
  <si>
    <t>FBA18530XN6N</t>
  </si>
  <si>
    <t>LCL24077370</t>
  </si>
  <si>
    <t>S440.5</t>
  </si>
  <si>
    <t>FBA185340JX6</t>
  </si>
  <si>
    <t>LCL24073229</t>
  </si>
  <si>
    <t>31/07/2024</t>
  </si>
  <si>
    <t>S441.1</t>
  </si>
  <si>
    <t>FBA18611MYMW</t>
  </si>
  <si>
    <t>TNY2444+TNY2411</t>
  </si>
  <si>
    <t>sea truck 40-45 days by Lingzher RFD2(set grey +blue glove+ grey bbq mould)</t>
  </si>
  <si>
    <t>25/08/2024-10/09</t>
  </si>
  <si>
    <t>S441.2</t>
  </si>
  <si>
    <t>FBA18613NCL3</t>
  </si>
  <si>
    <t>sea truck 40- 45 days by Lingzher ABE8 (grey glove)</t>
  </si>
  <si>
    <t>S441.3</t>
  </si>
  <si>
    <t>FBA1861618H5</t>
  </si>
  <si>
    <t>sea truck 40- 45 days by Lingzher IND9(grey glove)</t>
  </si>
  <si>
    <t>25/08/2024</t>
  </si>
  <si>
    <t>S441.4</t>
  </si>
  <si>
    <t>FBA1860YC08X</t>
  </si>
  <si>
    <t>sea truck 40- 45 days by Lingzher TEB9(grey glove)</t>
  </si>
  <si>
    <t>S441.5</t>
  </si>
  <si>
    <t>FBA18617V3P8</t>
  </si>
  <si>
    <t>sea truck 40- 45 days by Lingzher CLT2 (grey glove + set 2 blue glove)</t>
  </si>
  <si>
    <t>S442.1</t>
  </si>
  <si>
    <t>FBA1864B31M9</t>
  </si>
  <si>
    <t>LCL24072455</t>
  </si>
  <si>
    <t>HNV 2322 - HNV 2445 - HNV 2456</t>
  </si>
  <si>
    <t>sea express by JiuFang</t>
  </si>
  <si>
    <t>16/07/2024</t>
  </si>
  <si>
    <t>29/07/2024</t>
  </si>
  <si>
    <t>S442.2</t>
  </si>
  <si>
    <t>FBA18649F7KJ</t>
  </si>
  <si>
    <t>ZX24076437</t>
  </si>
  <si>
    <t>HNV 2445 - HNV 2456</t>
  </si>
  <si>
    <t>air express by JiuFang</t>
  </si>
  <si>
    <t>S442.3</t>
  </si>
  <si>
    <t>FBA1864HD7V2</t>
  </si>
  <si>
    <t>LCL24076492</t>
  </si>
  <si>
    <t>S442.4</t>
  </si>
  <si>
    <t>FBA1864CWZ1F</t>
  </si>
  <si>
    <t>LCL24078807</t>
  </si>
  <si>
    <t>S442.5</t>
  </si>
  <si>
    <t>FBA1864D1Y7F</t>
  </si>
  <si>
    <t>LCL24075967</t>
  </si>
  <si>
    <t>S443</t>
  </si>
  <si>
    <t>FBA18604L9PS</t>
  </si>
  <si>
    <t>HNV 2441</t>
  </si>
  <si>
    <t>Junxing</t>
  </si>
  <si>
    <t>S444.1</t>
  </si>
  <si>
    <t>FBA1868C7Z19</t>
  </si>
  <si>
    <t>HNV 2443</t>
  </si>
  <si>
    <t>sea truck by Lingzher</t>
  </si>
  <si>
    <t>17/07/2024</t>
  </si>
  <si>
    <t>17/08/2024</t>
  </si>
  <si>
    <t>S444.2</t>
  </si>
  <si>
    <t>FBA1868DXLQL</t>
  </si>
  <si>
    <t>HNV 2439 - HNV 2443</t>
  </si>
  <si>
    <t>S444.3</t>
  </si>
  <si>
    <t>FBA1868GS1JR</t>
  </si>
  <si>
    <t>S444.4</t>
  </si>
  <si>
    <t>FBA1868GBTX1</t>
  </si>
  <si>
    <t>S444.5</t>
  </si>
  <si>
    <t>FBA1868D5C19</t>
  </si>
  <si>
    <t>S445.1</t>
  </si>
  <si>
    <t>FBA1871P1RMZ</t>
  </si>
  <si>
    <t>HT 2439</t>
  </si>
  <si>
    <t>Sewing Gun</t>
  </si>
  <si>
    <t>air express by LZ</t>
  </si>
  <si>
    <t>21/7/2024</t>
  </si>
  <si>
    <t>30/7-4/8</t>
  </si>
  <si>
    <t>-</t>
  </si>
  <si>
    <t>S445.2</t>
  </si>
  <si>
    <t>FBA1871YNBD3</t>
  </si>
  <si>
    <t>S446.1</t>
  </si>
  <si>
    <t>FBA1873X232K</t>
  </si>
  <si>
    <t>1ZF4944B0314193369</t>
  </si>
  <si>
    <t>HNV 2452 - HNV 2453</t>
  </si>
  <si>
    <t>ebay &amp; Che Sihong</t>
  </si>
  <si>
    <t>air by Hào</t>
  </si>
  <si>
    <t>S446.2</t>
  </si>
  <si>
    <t>FBA1873LXG6V</t>
  </si>
  <si>
    <t>1ZF4944B0319130748</t>
  </si>
  <si>
    <t>S446.3</t>
  </si>
  <si>
    <t>FBA1873PBMXG</t>
  </si>
  <si>
    <t>1ZC0E5310334168605</t>
  </si>
  <si>
    <t>HNV 2453</t>
  </si>
  <si>
    <t>Che sihong</t>
  </si>
  <si>
    <t>check in</t>
  </si>
  <si>
    <t>S446.4</t>
  </si>
  <si>
    <t>FBA1873MPP92</t>
  </si>
  <si>
    <t>1ZF4944B0317011960</t>
  </si>
  <si>
    <t>HNV 2452 - HNV 2453 - HNV 2454</t>
  </si>
  <si>
    <t>ebay &amp; Che Sihong &amp; Lawsky</t>
  </si>
  <si>
    <t>S447.1</t>
  </si>
  <si>
    <t>FBA1875MQ4Q3</t>
  </si>
  <si>
    <t>LCL2407G771</t>
  </si>
  <si>
    <t>24/08/2024</t>
  </si>
  <si>
    <t>S447.2</t>
  </si>
  <si>
    <t>FBA1875SS74C</t>
  </si>
  <si>
    <t>LCL2407P812</t>
  </si>
  <si>
    <t>30/07/2024</t>
  </si>
  <si>
    <t>13/08/2024</t>
  </si>
  <si>
    <t>S447.3</t>
  </si>
  <si>
    <t>FBA1875Q3R7H</t>
  </si>
  <si>
    <t>LCL2407M621</t>
  </si>
  <si>
    <t>16/08/2024</t>
  </si>
  <si>
    <t>S447.4</t>
  </si>
  <si>
    <t>FBA1875PDSX5</t>
  </si>
  <si>
    <t>LCL2407W967</t>
  </si>
  <si>
    <t>Sea express by JiuFang</t>
  </si>
  <si>
    <t>S447.5</t>
  </si>
  <si>
    <t>FBA1875TQLXK</t>
  </si>
  <si>
    <t>LCL2407M131</t>
  </si>
  <si>
    <t>S448.1</t>
  </si>
  <si>
    <t>FBA1885DFPRN</t>
  </si>
  <si>
    <t>Dumpling + cup slicer2</t>
  </si>
  <si>
    <t>Sea fast truck by LZ &gt;&gt;  ABE8</t>
  </si>
  <si>
    <t>S448.2</t>
  </si>
  <si>
    <t>FBA1885F0GVJ</t>
  </si>
  <si>
    <t>Dumpling2</t>
  </si>
  <si>
    <t>Sea truck by LZ &gt;&gt; ONT8</t>
  </si>
  <si>
    <t>S448.3</t>
  </si>
  <si>
    <t>FBA1885DZFNG</t>
  </si>
  <si>
    <t>S448.4</t>
  </si>
  <si>
    <t>FBA1885FBQHM</t>
  </si>
  <si>
    <t>Sea truck by LZ &gt;&gt; SMF3</t>
  </si>
  <si>
    <t>S448.5</t>
  </si>
  <si>
    <t>FBA1885CC4NF</t>
  </si>
  <si>
    <t>Sea truck by LZ &gt;&gt; IND9</t>
  </si>
  <si>
    <t>S449.1</t>
  </si>
  <si>
    <t>FBA1887PTJ6Y</t>
  </si>
  <si>
    <t>Sea truck 25 day by Juhang</t>
  </si>
  <si>
    <t>S449.2</t>
  </si>
  <si>
    <t>FBA1887YHFY1</t>
  </si>
  <si>
    <t>S449.3</t>
  </si>
  <si>
    <t>FBA1887MKVR2</t>
  </si>
  <si>
    <t>S449.4</t>
  </si>
  <si>
    <t>FBA1887TN6Z6</t>
  </si>
  <si>
    <t>S449.5</t>
  </si>
  <si>
    <t>FBA1887SCYLH</t>
  </si>
  <si>
    <t>S550.1</t>
  </si>
  <si>
    <t>FBA1894679HQ</t>
  </si>
  <si>
    <t>S550.2</t>
  </si>
  <si>
    <t>FBA18949M3PW</t>
  </si>
  <si>
    <t>S550.3</t>
  </si>
  <si>
    <t>FBA18949DS9H</t>
  </si>
  <si>
    <t>Cup Slicer + magnet sewing guide</t>
  </si>
  <si>
    <t>S550.4</t>
  </si>
  <si>
    <t>FBA18949YRQV</t>
  </si>
  <si>
    <t>Cup Slicer + foot, Magnet guide</t>
  </si>
  <si>
    <t>S550.5</t>
  </si>
  <si>
    <t>FBA1894GRCW4</t>
  </si>
  <si>
    <t>STT</t>
  </si>
  <si>
    <t>Type of good</t>
  </si>
  <si>
    <t>Weight DK</t>
  </si>
  <si>
    <t>DK From</t>
  </si>
  <si>
    <t xml:space="preserve"> DK To</t>
  </si>
  <si>
    <t>Express/Air/Sea fast/sea</t>
  </si>
  <si>
    <t>Chuyến/Cut off date</t>
  </si>
  <si>
    <t>Ngày điền</t>
  </si>
  <si>
    <t>Nơi gửi hàng DK</t>
  </si>
  <si>
    <t>Glove grey</t>
  </si>
  <si>
    <t>4 ctns (86 kg)</t>
  </si>
  <si>
    <t>Shenzen</t>
  </si>
  <si>
    <t>4 kho free</t>
  </si>
  <si>
    <t>Juhang</t>
  </si>
  <si>
    <t>Done</t>
  </si>
  <si>
    <t>5 ctns (100kg)</t>
  </si>
  <si>
    <t>Socket holder</t>
  </si>
  <si>
    <t>118 kg (7 box)</t>
  </si>
  <si>
    <t>Yiwu</t>
  </si>
  <si>
    <t>28/04/2024</t>
  </si>
  <si>
    <t xml:space="preserve"> Lingzhe</t>
  </si>
  <si>
    <t>Roseta</t>
  </si>
  <si>
    <t>BBQ Tool</t>
  </si>
  <si>
    <t>16 (1box)</t>
  </si>
  <si>
    <t>25/04/2024</t>
  </si>
  <si>
    <t>Collar</t>
  </si>
  <si>
    <t>22 (1box)</t>
  </si>
  <si>
    <t>MQJ1</t>
  </si>
  <si>
    <t>Air</t>
  </si>
  <si>
    <t>20/07</t>
  </si>
  <si>
    <t>21 (1box)</t>
  </si>
  <si>
    <t>Expess with Hung's good</t>
  </si>
  <si>
    <t>26/07</t>
  </si>
  <si>
    <t>Sensetive</t>
  </si>
  <si>
    <t>53 (3boxs)</t>
  </si>
  <si>
    <t>IND9</t>
  </si>
  <si>
    <t>Sea</t>
  </si>
  <si>
    <t>02/08</t>
  </si>
  <si>
    <t>Shihang/Sandy</t>
  </si>
  <si>
    <t>32 (2boxs)</t>
  </si>
  <si>
    <t>MEM1</t>
  </si>
  <si>
    <t>31/07-02/08</t>
  </si>
  <si>
    <t>64 (3boxs)</t>
  </si>
  <si>
    <t>Glove (box 1)</t>
  </si>
  <si>
    <t>21 (1boxs)</t>
  </si>
  <si>
    <t>GLove (box 2)</t>
  </si>
  <si>
    <t>GLove (box 3)</t>
  </si>
  <si>
    <t>Ship air with bamboo + David HT's good</t>
  </si>
  <si>
    <t>Socket Holder</t>
  </si>
  <si>
    <t>FBA179YH6JZ8</t>
  </si>
  <si>
    <t>Pouch</t>
  </si>
  <si>
    <t>21 (1box- 箱1)</t>
  </si>
  <si>
    <t>15/08</t>
  </si>
  <si>
    <t>41 (2boxs- 箱2+箱3)</t>
  </si>
  <si>
    <t>21 (1box- 箱4)</t>
  </si>
  <si>
    <t>Charger</t>
  </si>
  <si>
    <t>112 (7 ctns)</t>
  </si>
  <si>
    <t>sea</t>
  </si>
  <si>
    <t>JiuFang</t>
  </si>
  <si>
    <t>199 (12 ctns)</t>
  </si>
  <si>
    <t>Shenzen / Yiwu</t>
  </si>
  <si>
    <t>slow boat</t>
  </si>
  <si>
    <t>105 (5 boxes)</t>
  </si>
  <si>
    <t>Sea +truck</t>
  </si>
  <si>
    <t>19/09</t>
  </si>
  <si>
    <t>Jiufang</t>
  </si>
  <si>
    <t>TK2</t>
  </si>
  <si>
    <t>Glove TK2+ Collar</t>
  </si>
  <si>
    <t>21 (1 box)</t>
  </si>
  <si>
    <t>12/09</t>
  </si>
  <si>
    <t>11/09</t>
  </si>
  <si>
    <t>Bowl for Stanley</t>
  </si>
  <si>
    <t>22 KG ( 2 box )</t>
  </si>
  <si>
    <t>JF</t>
  </si>
  <si>
    <t>Ab Roller</t>
  </si>
  <si>
    <t>400 KG ( 25 Box )</t>
  </si>
  <si>
    <t>Bestone</t>
  </si>
  <si>
    <t>Sea + Truck</t>
  </si>
  <si>
    <t>8 pcs</t>
  </si>
  <si>
    <t>Elbow Ab Roller</t>
  </si>
  <si>
    <t>25 Boxes</t>
  </si>
  <si>
    <t>3 Boxes</t>
  </si>
  <si>
    <t>Shihan</t>
  </si>
  <si>
    <t>Sea Express</t>
  </si>
  <si>
    <t>Ball Light</t>
  </si>
  <si>
    <t>27 kg (2 ctns)</t>
  </si>
  <si>
    <t>MDW2</t>
  </si>
  <si>
    <t>24/09</t>
  </si>
  <si>
    <t>Nain</t>
  </si>
  <si>
    <t>Ball Light (6ctns)
Template (2ctns)</t>
  </si>
  <si>
    <t>119 kg (8 ctns)</t>
  </si>
  <si>
    <t>Sea + truck</t>
  </si>
  <si>
    <t>Headphone Organizer</t>
  </si>
  <si>
    <t>24 (2ctns)</t>
  </si>
  <si>
    <t>Silicone Charger Protector</t>
  </si>
  <si>
    <t>128kg (8 ctns)</t>
  </si>
  <si>
    <t>16kg (1 carton)</t>
  </si>
  <si>
    <t>FWA4</t>
  </si>
  <si>
    <t>Sea + UPS</t>
  </si>
  <si>
    <t>112 KG (7 ctns)</t>
  </si>
  <si>
    <t>Collar TK2</t>
  </si>
  <si>
    <t>40 kg</t>
  </si>
  <si>
    <t>63 kg</t>
  </si>
  <si>
    <t>BBQ Tool/全万沭</t>
  </si>
  <si>
    <t>9 (1box)</t>
  </si>
  <si>
    <t>Shipping</t>
  </si>
  <si>
    <t>Collar TK1</t>
  </si>
  <si>
    <t>22 kg(1box)</t>
  </si>
  <si>
    <t>44 kg (2 boxes)</t>
  </si>
  <si>
    <t>02/11/2023</t>
  </si>
  <si>
    <t>FBA17GS43279</t>
  </si>
  <si>
    <t>50 Kg ((2 boxes)</t>
  </si>
  <si>
    <t>Prepared</t>
  </si>
  <si>
    <t>120 kg (7 ctns)</t>
  </si>
  <si>
    <t>102 kg (6 ctns)</t>
  </si>
  <si>
    <t>22/10/2023</t>
  </si>
  <si>
    <t>FBA17GPR23TH</t>
  </si>
  <si>
    <t>42 (2box)</t>
  </si>
  <si>
    <t>06/11/2023</t>
  </si>
  <si>
    <t>Hủy</t>
  </si>
  <si>
    <t>FBA17GPWRHWV</t>
  </si>
  <si>
    <t>63 (3box)</t>
  </si>
  <si>
    <t>105 (5boxes)</t>
  </si>
  <si>
    <t>FBA17GRR9ZPF</t>
  </si>
  <si>
    <t>2 Box</t>
  </si>
  <si>
    <t>FBA17H9B1ZZX</t>
  </si>
  <si>
    <t>85 kg (5 ctns)</t>
  </si>
  <si>
    <t>09/11/2023</t>
  </si>
  <si>
    <t>95 Kg (5 ctns)</t>
  </si>
  <si>
    <t>2 CTNS</t>
  </si>
  <si>
    <t xml:space="preserve">MDW2 </t>
  </si>
  <si>
    <t>Headphone organizer</t>
  </si>
  <si>
    <t>24kg (2 CTNS)</t>
  </si>
  <si>
    <t>IAH3</t>
  </si>
  <si>
    <t>17,3 kg (1 ctn)</t>
  </si>
  <si>
    <t>33,3 kg (2ctns)</t>
  </si>
  <si>
    <t>103 kg (6 ctns)</t>
  </si>
  <si>
    <t>Headphone Organizer
Cable Ties</t>
  </si>
  <si>
    <t>13.4kg (1 CTN)</t>
  </si>
  <si>
    <t>45kg</t>
  </si>
  <si>
    <t>30kg</t>
  </si>
  <si>
    <t xml:space="preserve">FBA17J1JXXKK
</t>
  </si>
  <si>
    <t>85kg (5 ctns)</t>
  </si>
  <si>
    <t>Pet brush</t>
  </si>
  <si>
    <t>18 kg (1 ctns)</t>
  </si>
  <si>
    <t>16.85kg (1 CTN)</t>
  </si>
  <si>
    <t>33kg (2ctns)</t>
  </si>
  <si>
    <t>BBQ tool</t>
  </si>
  <si>
    <t>Hook car for seat back</t>
  </si>
  <si>
    <t>53 kg (4ctns)</t>
  </si>
  <si>
    <t>Sewing Foot</t>
  </si>
  <si>
    <t>16 KG ( 1CNT)</t>
  </si>
  <si>
    <t>65 kg (3 boxes)</t>
  </si>
  <si>
    <t xml:space="preserve">FWA4 </t>
  </si>
  <si>
    <t>FBA17L1MTRBW</t>
  </si>
  <si>
    <t>21 kg (1 boxes)</t>
  </si>
  <si>
    <t>Bỏ</t>
  </si>
  <si>
    <t>FBA17L1X7M8Q</t>
  </si>
  <si>
    <t>42 kg (2 ctns)</t>
  </si>
  <si>
    <t>Bỏ (truck)</t>
  </si>
  <si>
    <t>FBA17L0XC3TL</t>
  </si>
  <si>
    <t>67 kg (5 ctns)</t>
  </si>
  <si>
    <t>Sea + UPS (chậm)</t>
  </si>
  <si>
    <t>FBA17KTJKHNF</t>
  </si>
  <si>
    <t>17.3 kg (1 ctn)</t>
  </si>
  <si>
    <t>Stanley Bowl</t>
  </si>
  <si>
    <t>Stanley Bag</t>
  </si>
  <si>
    <t>9 KG</t>
  </si>
  <si>
    <t>224 KG ( 12 CTNS )</t>
  </si>
  <si>
    <t>105 kg (5 ctns)</t>
  </si>
  <si>
    <t>17 kg (1ctn)</t>
  </si>
  <si>
    <t>3 CTN</t>
  </si>
  <si>
    <t>SEA Express</t>
  </si>
  <si>
    <t xml:space="preserve"> 8 CTN</t>
  </si>
  <si>
    <t>1 CTN</t>
  </si>
  <si>
    <t>2 CTN</t>
  </si>
  <si>
    <t xml:space="preserve">AIR </t>
  </si>
  <si>
    <t>21 kg (1 ctn)</t>
  </si>
  <si>
    <t>SEA Express -15days</t>
  </si>
  <si>
    <t>Steamy Brush</t>
  </si>
  <si>
    <t>20 kg (1 ctn)</t>
  </si>
  <si>
    <t>7.5 tệ</t>
  </si>
  <si>
    <t>118 kg (7 ctns)</t>
  </si>
  <si>
    <t>12 tệ</t>
  </si>
  <si>
    <t>101 kg (6 ctns)</t>
  </si>
  <si>
    <t>Cornor Connectors</t>
  </si>
  <si>
    <t>3 CTN ( 56kg )</t>
  </si>
  <si>
    <t>Sea Ups</t>
  </si>
  <si>
    <t>18 - 21 days</t>
  </si>
  <si>
    <t>4 CTN (72kg)</t>
  </si>
  <si>
    <t>12 CTN</t>
  </si>
  <si>
    <t>18 days (26/02/2024)</t>
  </si>
  <si>
    <t>7 CTN (100kg)</t>
  </si>
  <si>
    <t>21 days (27/02/2024)</t>
  </si>
  <si>
    <t>8 CTN</t>
  </si>
  <si>
    <t xml:space="preserve">FTW1 </t>
  </si>
  <si>
    <t>FBA17R4WJNFB/FBA17R6MJD7Z</t>
  </si>
  <si>
    <t>1 ctns (21 kg)</t>
  </si>
  <si>
    <t xml:space="preserve"> Lingzhe/ Jiufang</t>
  </si>
  <si>
    <r>
      <rPr>
        <rFont val="Calibri"/>
        <color theme="1"/>
      </rPr>
      <t>FBA17R4DKJ4K
FBA17R4FZWQS</t>
    </r>
    <r>
      <rPr>
        <rFont val="Calibri"/>
        <b/>
        <color theme="1"/>
      </rPr>
      <t xml:space="preserve"> đã xóa)</t>
    </r>
    <r>
      <rPr>
        <rFont val="Calibri"/>
        <color theme="1"/>
      </rPr>
      <t xml:space="preserve">
FBA17R4PFNF9
FBA17R4LLN19
FBA17SG4LHPK
</t>
    </r>
  </si>
  <si>
    <t>Glove xanh xám, xanh, xám</t>
  </si>
  <si>
    <t>5 ctns (105 kg)</t>
  </si>
  <si>
    <t>35 days (15/03/24)</t>
  </si>
  <si>
    <t>Glove xanh xám</t>
  </si>
  <si>
    <t>Glove xanh</t>
  </si>
  <si>
    <t>Glove set 2 xanh</t>
  </si>
  <si>
    <t>Hook for car</t>
  </si>
  <si>
    <t>4 ctns (53kg)</t>
  </si>
  <si>
    <t>15 days (26/02/2024)</t>
  </si>
  <si>
    <t>6 ctns (80 kg)</t>
  </si>
  <si>
    <t>Pet hair remover</t>
  </si>
  <si>
    <t>air 10 days</t>
  </si>
  <si>
    <t>Fu Qiang</t>
  </si>
  <si>
    <r>
      <rPr>
        <rFont val="Calibri"/>
        <color theme="1"/>
      </rPr>
      <t xml:space="preserve">FBA17T0XCBP8 </t>
    </r>
    <r>
      <rPr>
        <rFont val="Calibri"/>
        <b/>
        <color theme="1"/>
      </rPr>
      <t>(đã xóa)</t>
    </r>
  </si>
  <si>
    <t>20-35 days (25/03/2024）</t>
  </si>
  <si>
    <t>Juhang/Yuda</t>
  </si>
  <si>
    <t>Dumpling maker</t>
  </si>
  <si>
    <t>6 CTN</t>
  </si>
  <si>
    <t>2 ctns (42 kg)</t>
  </si>
  <si>
    <t>20-35 days</t>
  </si>
  <si>
    <t>48x37x57,  21 kg</t>
  </si>
  <si>
    <t>Foot Sewing</t>
  </si>
  <si>
    <t>4 ctns (60kg)</t>
  </si>
  <si>
    <t>5 kho free</t>
  </si>
  <si>
    <t>4 ctns (84 kg)</t>
  </si>
  <si>
    <t>Air + sea truck</t>
  </si>
  <si>
    <t>7-10 day +20-35 days</t>
  </si>
  <si>
    <t>Silicone charger protector</t>
  </si>
  <si>
    <t>3 ctns (52kg)</t>
  </si>
  <si>
    <t>SWF2</t>
  </si>
  <si>
    <t>6 ctns (102 kg)</t>
  </si>
  <si>
    <t>CLT2</t>
  </si>
  <si>
    <t>9 ctns (158kg)</t>
  </si>
  <si>
    <t>5 ctns (86 kg)</t>
  </si>
  <si>
    <t>VGT2</t>
  </si>
  <si>
    <t>6 ctns (120 kg)</t>
  </si>
  <si>
    <t>&gt;30 days</t>
  </si>
  <si>
    <r>
      <rPr>
        <rFont val="Calibri"/>
        <color theme="1"/>
      </rPr>
      <t>FBA17W9CS769/</t>
    </r>
    <r>
      <rPr>
        <rFont val="Calibri"/>
        <b/>
        <color theme="1"/>
      </rPr>
      <t>FBA17XQY44JN</t>
    </r>
    <r>
      <rPr>
        <rFont val="Calibri"/>
        <color theme="1"/>
      </rPr>
      <t>(đã xóa</t>
    </r>
    <r>
      <rPr>
        <rFont val="Calibri"/>
        <b/>
        <color theme="1"/>
      </rPr>
      <t>)</t>
    </r>
  </si>
  <si>
    <t>4 ctns (80kg)</t>
  </si>
  <si>
    <t>car storage pocket</t>
  </si>
  <si>
    <t>3 ctns (60kg)</t>
  </si>
  <si>
    <t>ABE8</t>
  </si>
  <si>
    <t>2 ctns (40kg)</t>
  </si>
  <si>
    <t>30 CTN</t>
  </si>
  <si>
    <t>Quảng Đông</t>
  </si>
  <si>
    <t>FBA1801DNFPT</t>
  </si>
  <si>
    <t>16 CTN</t>
  </si>
  <si>
    <t>No</t>
  </si>
  <si>
    <t>Forwarder</t>
  </si>
  <si>
    <t>Express</t>
  </si>
  <si>
    <t>Sea - Express (transit time &lt; 23 days)</t>
  </si>
  <si>
    <t>Sea - Fast (transit time &lt; 30 days)</t>
  </si>
  <si>
    <t>Sea - Slow (transit time &gt; 30 days)</t>
  </si>
  <si>
    <t>Pick Up Fee</t>
  </si>
  <si>
    <t>&lt; 100 kg</t>
  </si>
  <si>
    <t>&gt; 100 kg</t>
  </si>
  <si>
    <t>&lt;= 21 kg</t>
  </si>
  <si>
    <t>&gt;100 kg by UPS</t>
  </si>
  <si>
    <t>&gt;100 kg by truck</t>
  </si>
  <si>
    <t>12 - 13</t>
  </si>
  <si>
    <t>free in Yiwu</t>
  </si>
  <si>
    <t>charge</t>
  </si>
  <si>
    <t>15-16</t>
  </si>
  <si>
    <t>free pick up fee if ship by express</t>
  </si>
  <si>
    <t>Gan</t>
  </si>
  <si>
    <t>free in Shenzhen</t>
  </si>
  <si>
    <t>Supplier</t>
  </si>
  <si>
    <t>Address</t>
  </si>
  <si>
    <t>Link check hàng</t>
  </si>
  <si>
    <t>Thông tin tài khoản đăng nhập</t>
  </si>
  <si>
    <t xml:space="preserve"> 盛先生 (Sandy) - mới</t>
  </si>
  <si>
    <t>浙江省浦江县经济开发区保尔路17号（浦江语瑶工贸有限公司）盛华明13335986711</t>
  </si>
  <si>
    <t>1688 order</t>
  </si>
  <si>
    <t>蒋晗 (Shihang) - cũ</t>
  </si>
  <si>
    <t>浙江省 金华市 义乌市 后宅街道 义乌市后宅街道百汇科创园伟龙胶带厂进大门右手边一楼世航国际</t>
  </si>
  <si>
    <t>蒋晗 (Shihang) - mới</t>
  </si>
  <si>
    <t>义乌市后宅街道百汇科创园伟龙胶带厂进大门右手边一楼世航国际。蒋晗收  电话 15024553450</t>
  </si>
  <si>
    <t>邓越泠- anh Linh</t>
  </si>
  <si>
    <t>北仑区春晓明月路816号（寰海府）42幢414</t>
  </si>
  <si>
    <t>anh Linh</t>
  </si>
  <si>
    <t>Jiu Fang 
Shenzhen</t>
  </si>
  <si>
    <t xml:space="preserve">广州仓库地址：广州市白云区江高镇南岗村南岗三元南路62号6栋1楼（可导航“九方通逊(广州仓) ”，）
仓库联系人： 甘先生：手机：13628679290   邱先生：13266210308
</t>
  </si>
  <si>
    <t>Jiu Fang
NingBo</t>
  </si>
  <si>
    <t>入仓地址：“九方通逊电商物流（宁波仓）”【百度、高德均可搜索导航】4-4至4-8口
浙江省宁波市北仑区玉山路与曹娥江路交叉口东北360米（考拉一号仓四号库），九方通逊宁波仓收货</t>
  </si>
  <si>
    <t>Andy Quan-全万沭</t>
  </si>
  <si>
    <t>义乌市江东街道,下王二区13栋一单元202室, 金海淑 15267365535</t>
  </si>
  <si>
    <t>18257915696</t>
  </si>
  <si>
    <t>giao nhận hàng</t>
  </si>
  <si>
    <t>我住的地方改成下王三区28栋一单元302室</t>
  </si>
  <si>
    <t>tk thanh toán hộ : 17097712888</t>
  </si>
  <si>
    <t>JSJ Hào
Kho Quảng Đông</t>
  </si>
  <si>
    <t xml:space="preserve"> JSJ 广东省 广州市 白云区 望岗西岭路183号</t>
  </si>
  <si>
    <t>1688 order, Quảng Đông</t>
  </si>
  <si>
    <t>JSJ Hào
Kho Thâm Quyến</t>
  </si>
  <si>
    <t>JSJ 卢小姐 广东省 深圳市 宝安区 福永街道福中路福中工业区A5栋首层</t>
  </si>
  <si>
    <t>1688 order, Thâm Quyến</t>
  </si>
  <si>
    <t>Lingzhe
Kho Nghĩa Ô</t>
  </si>
  <si>
    <t>梅茜 18658922074，地址：义乌市后宅街道华劲路78号4号门同心圆日用品产业园内15栋1楼凌哲国际</t>
  </si>
  <si>
    <t>东莞仓：东莞市凤岗镇龙平西路136号3号楼105-109  导航:华易大厦停车场  15813883347  小陈
入仓编号：70572</t>
  </si>
  <si>
    <t>http://jh.t6soft.com/clogon</t>
  </si>
  <si>
    <t>登录名：70572
登录密码:DAH70572</t>
  </si>
  <si>
    <t>Yuda -Nghĩa Ô</t>
  </si>
  <si>
    <t>（义乌）仓库地址：义乌市北苑街道四季路1000号  京东.京易跨境产业园6号楼2楼2分区1-2号 煜达国际义乌总仓 联系人：彭先生  18002559644 
导航：京东国际.京易跨境产业园  （进门看到3号楼  4号楼 5号楼就直接上2层就在同一层）</t>
  </si>
  <si>
    <t>http://ywyd.rtb56.com/track_query.aspx</t>
  </si>
  <si>
    <t>以下为我司客户系统的登录网址以及账号密码如下（初次登录请尽快修改初始密码）：
客户端网址：http://ywyd.rtb56.com/
账号：YW-DAHULI
密码：dahuli963
注：所有货物劳烦贵司在客户系统做线上预报，预报完成后请打印入仓唛头贴至每箱货物的外箱上，如您在系统的操作过程中遇到什么问题请随时联系询问。
非常感谢您的支持与配合！
订单追踪查询网址：http://ywyd.rtb56.com/track_query.aspx</t>
  </si>
  <si>
    <t>（ 深圳）收货地址：深圳市龙岗区坂田街道岗头社区雪岗路2004号景和源工业区3栋一楼102号 徐先生：13675838520</t>
  </si>
  <si>
    <t>（泉州）收货地址：福建省泉州晋江市湖盘313号 徐总：19942793039</t>
  </si>
  <si>
    <t>Petchum 1688</t>
  </si>
  <si>
    <t>浙江省慈溪市古塘街道海通路999号</t>
  </si>
  <si>
    <t>vận chuyển sea truck hơn 22kg cũng được</t>
  </si>
  <si>
    <t>vận chuyển sea express, không được vượt quá 22kg</t>
  </si>
  <si>
    <t>Vận chuyển sea eexpress, 1 thùng &lt;12kg cũng bị tính phí 12kg dù tổng khối lượng hàng của lô đó &gt;21kg</t>
  </si>
  <si>
    <t>Date</t>
  </si>
  <si>
    <t>Invoice no.</t>
  </si>
  <si>
    <t>Created By</t>
  </si>
  <si>
    <t>28/04/2022</t>
  </si>
  <si>
    <t>14/06/2022</t>
  </si>
  <si>
    <t>15/07/2022</t>
  </si>
  <si>
    <t>29/08/2022</t>
  </si>
  <si>
    <t>16/09/2022</t>
  </si>
  <si>
    <t>21/03/2023</t>
  </si>
  <si>
    <t>S244</t>
  </si>
  <si>
    <t>23/03/2023</t>
  </si>
  <si>
    <t>14/01/2023</t>
  </si>
  <si>
    <t>20/05/2023</t>
  </si>
  <si>
    <t>30/5/2023</t>
  </si>
  <si>
    <t>19/04/2024</t>
  </si>
  <si>
    <t>s420.4</t>
  </si>
  <si>
    <t>21/04/2024</t>
  </si>
  <si>
    <t>S421.3</t>
  </si>
  <si>
    <t>30/05/2024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</si>
</sst>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"/>
    <numFmt numFmtId="165" formatCode="mm/dd/yyyy"/>
    <numFmt numFmtId="166" formatCode="m/d/yyyy"/>
    <numFmt numFmtId="167" formatCode="dd&quot;/&quot;mm&quot;/&quot;yyyy"/>
    <numFmt numFmtId="168" formatCode="yyyy-mm-dd"/>
    <numFmt numFmtId="169" formatCode="dd&quot;/&quot;mm&quot;/&quot;yy"/>
    <numFmt numFmtId="170" formatCode="[$¥]#,##0.00"/>
  </numFmts>
  <fonts count="25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color theme="1"/>
      <name val="Calibri"/>
    </font>
    <font>
      <sz val="11.0"/>
      <color rgb="FF1F1F1F"/>
      <name val="Calibri"/>
    </font>
    <font>
      <color rgb="FF000000"/>
      <name val="Calibri"/>
    </font>
    <font>
      <sz val="11.0"/>
      <color rgb="FF999999"/>
      <name val="Calibri"/>
    </font>
    <font>
      <sz val="11.0"/>
      <color rgb="FFFF0000"/>
      <name val="Calibri"/>
    </font>
    <font>
      <u/>
      <sz val="11.0"/>
      <color theme="1"/>
      <name val="Calibri"/>
    </font>
    <font>
      <sz val="12.0"/>
      <color rgb="FFFF0000"/>
      <name val="Calibri"/>
    </font>
    <font>
      <u/>
      <sz val="11.0"/>
      <color theme="1"/>
      <name val="Calibri"/>
    </font>
    <font>
      <b/>
      <i/>
      <sz val="11.0"/>
      <color theme="1"/>
      <name val="Calibri"/>
    </font>
    <font>
      <sz val="9.0"/>
      <color rgb="FF1F1F1F"/>
      <name val="Arial"/>
    </font>
    <font>
      <i/>
      <sz val="11.0"/>
      <color theme="1"/>
      <name val="Calibri"/>
    </font>
    <font>
      <sz val="11.0"/>
      <color rgb="FFA64D79"/>
      <name val="Calibri"/>
    </font>
    <font>
      <sz val="11.0"/>
      <color rgb="FF4A86E8"/>
      <name val="Calibri"/>
    </font>
    <font>
      <sz val="11.0"/>
      <color theme="4"/>
      <name val="Calibri"/>
    </font>
    <font>
      <b/>
      <color rgb="FF000000"/>
      <name val="Calibri"/>
    </font>
    <font/>
    <font>
      <b/>
      <color rgb="FF002F36"/>
      <name val="&quot;Amazon Ember&quot;"/>
    </font>
    <font>
      <sz val="11.0"/>
      <color rgb="FF000000"/>
      <name val="Microsoft Yahei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70AD47"/>
        <bgColor rgb="FF70AD47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4EDFF"/>
        <bgColor rgb="FFE4ED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quotePrefix="1" borderId="0" fillId="0" fontId="3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  <xf quotePrefix="1" borderId="0" fillId="0" fontId="3" numFmtId="0" xfId="0" applyAlignment="1" applyFont="1">
      <alignment horizontal="left" vertical="center"/>
    </xf>
    <xf quotePrefix="1"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1" xfId="0" applyAlignment="1" applyFont="1" applyNumberFormat="1">
      <alignment horizontal="center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center" wrapText="0"/>
    </xf>
    <xf borderId="0" fillId="0" fontId="4" numFmtId="0" xfId="0" applyAlignment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2" xfId="0" applyAlignment="1" applyFont="1" applyNumberFormat="1">
      <alignment horizontal="center" vertical="center"/>
    </xf>
    <xf borderId="0" fillId="0" fontId="6" numFmtId="0" xfId="0" applyAlignment="1" applyFont="1">
      <alignment horizontal="left" vertical="center"/>
    </xf>
    <xf borderId="0" fillId="4" fontId="5" numFmtId="0" xfId="0" applyAlignment="1" applyFill="1" applyFon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4" numFmtId="0" xfId="0" applyAlignment="1" applyFont="1">
      <alignment horizontal="left"/>
    </xf>
    <xf borderId="0" fillId="2" fontId="7" numFmtId="0" xfId="0" applyAlignment="1" applyFont="1">
      <alignment horizontal="center" vertical="center"/>
    </xf>
    <xf borderId="0" fillId="2" fontId="8" numFmtId="0" xfId="0" applyAlignment="1" applyFont="1">
      <alignment horizontal="left"/>
    </xf>
    <xf borderId="0" fillId="3" fontId="3" numFmtId="0" xfId="0" applyAlignment="1" applyFont="1">
      <alignment horizontal="left" vertical="center"/>
    </xf>
    <xf borderId="0" fillId="0" fontId="4" numFmtId="166" xfId="0" applyAlignment="1" applyFont="1" applyNumberFormat="1">
      <alignment vertical="center"/>
    </xf>
    <xf borderId="0" fillId="0" fontId="3" numFmtId="2" xfId="0" applyAlignment="1" applyFont="1" applyNumberFormat="1">
      <alignment horizontal="center"/>
    </xf>
    <xf borderId="0" fillId="4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quotePrefix="1" borderId="0" fillId="0" fontId="4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4" numFmtId="165" xfId="0" applyAlignment="1" applyFont="1" applyNumberFormat="1">
      <alignment horizontal="center"/>
    </xf>
    <xf borderId="0" fillId="0" fontId="3" numFmtId="0" xfId="0" applyAlignment="1" applyFont="1">
      <alignment horizontal="left" shrinkToFit="0" vertical="center" wrapText="0"/>
    </xf>
    <xf borderId="0" fillId="0" fontId="9" numFmtId="2" xfId="0" applyAlignment="1" applyFont="1" applyNumberFormat="1">
      <alignment horizontal="center" vertical="center"/>
    </xf>
    <xf quotePrefix="1" borderId="0" fillId="0" fontId="10" numFmtId="0" xfId="0" applyAlignment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4" fontId="3" numFmtId="0" xfId="0" applyAlignment="1" applyFont="1">
      <alignment horizontal="center" vertical="center"/>
    </xf>
    <xf quotePrefix="1"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2" fontId="3" numFmtId="2" xfId="0" applyAlignment="1" applyFont="1" applyNumberFormat="1">
      <alignment horizontal="center" vertical="center"/>
    </xf>
    <xf borderId="0" fillId="0" fontId="10" numFmtId="0" xfId="0" applyAlignment="1" applyFont="1">
      <alignment horizontal="left" vertical="center"/>
    </xf>
    <xf borderId="0" fillId="0" fontId="3" numFmtId="167" xfId="0" applyAlignment="1" applyFont="1" applyNumberFormat="1">
      <alignment horizontal="center" vertical="center"/>
    </xf>
    <xf borderId="0" fillId="0" fontId="4" numFmtId="0" xfId="0" applyFont="1"/>
    <xf borderId="0" fillId="0" fontId="4" numFmtId="166" xfId="0" applyAlignment="1" applyFont="1" applyNumberFormat="1">
      <alignment horizontal="center"/>
    </xf>
    <xf borderId="0" fillId="0" fontId="4" numFmtId="167" xfId="0" applyAlignment="1" applyFont="1" applyNumberFormat="1">
      <alignment horizontal="center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wrapText="0"/>
    </xf>
    <xf borderId="0" fillId="2" fontId="7" numFmtId="0" xfId="0" applyAlignment="1" applyFont="1">
      <alignment horizontal="center"/>
    </xf>
    <xf borderId="0" fillId="4" fontId="1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8" xfId="0" applyAlignment="1" applyFont="1" applyNumberFormat="1">
      <alignment horizontal="center" vertical="center"/>
    </xf>
    <xf borderId="0" fillId="2" fontId="5" numFmtId="0" xfId="0" applyAlignment="1" applyFont="1">
      <alignment horizontal="center" vertical="center"/>
    </xf>
    <xf borderId="0" fillId="2" fontId="5" numFmtId="0" xfId="0" applyAlignment="1" applyFont="1">
      <alignment horizontal="center"/>
    </xf>
    <xf quotePrefix="1" borderId="0" fillId="0" fontId="5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0" fillId="6" fontId="2" numFmtId="0" xfId="0" applyAlignment="1" applyFill="1" applyFont="1">
      <alignment horizontal="left" vertical="center"/>
    </xf>
    <xf borderId="0" fillId="0" fontId="11" numFmtId="0" xfId="0" applyAlignment="1" applyFont="1">
      <alignment horizontal="center" vertical="center"/>
    </xf>
    <xf borderId="0" fillId="0" fontId="3" numFmtId="0" xfId="0" applyAlignment="1" applyFont="1">
      <alignment horizontal="left" readingOrder="0" vertical="center"/>
    </xf>
    <xf borderId="0" fillId="2" fontId="3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quotePrefix="1" borderId="0" fillId="0" fontId="3" numFmtId="165" xfId="0" applyAlignment="1" applyFont="1" applyNumberFormat="1">
      <alignment horizontal="center" vertical="center"/>
    </xf>
    <xf borderId="0" fillId="0" fontId="10" numFmtId="165" xfId="0" applyAlignment="1" applyFont="1" applyNumberFormat="1">
      <alignment horizontal="center" vertical="center"/>
    </xf>
    <xf borderId="0" fillId="0" fontId="14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2" fontId="15" numFmtId="0" xfId="0" applyAlignment="1" applyFont="1">
      <alignment horizontal="center" shrinkToFit="0" vertical="center" wrapText="0"/>
    </xf>
    <xf borderId="0" fillId="0" fontId="16" numFmtId="0" xfId="0" applyAlignment="1" applyFont="1">
      <alignment horizontal="center" vertical="center"/>
    </xf>
    <xf borderId="0" fillId="0" fontId="3" numFmtId="169" xfId="0" applyAlignment="1" applyFont="1" applyNumberFormat="1">
      <alignment horizontal="center" vertical="center"/>
    </xf>
    <xf quotePrefix="1" borderId="0" fillId="0" fontId="17" numFmtId="0" xfId="0" applyAlignment="1" applyFont="1">
      <alignment horizontal="center" vertical="center"/>
    </xf>
    <xf quotePrefix="1" borderId="0" fillId="0" fontId="3" numFmtId="169" xfId="0" applyAlignment="1" applyFont="1" applyNumberFormat="1">
      <alignment horizontal="center" vertical="center"/>
    </xf>
    <xf quotePrefix="1" borderId="0" fillId="0" fontId="18" numFmtId="0" xfId="0" applyAlignment="1" applyFont="1">
      <alignment horizontal="center" vertical="center"/>
    </xf>
    <xf quotePrefix="1" borderId="0" fillId="0" fontId="19" numFmtId="0" xfId="0" applyAlignment="1" applyFont="1">
      <alignment horizontal="center" vertical="center"/>
    </xf>
    <xf borderId="0" fillId="0" fontId="3" numFmtId="0" xfId="0" applyFont="1"/>
    <xf borderId="0" fillId="4" fontId="3" numFmtId="0" xfId="0" applyAlignment="1" applyFont="1">
      <alignment horizontal="center" vertical="bottom"/>
    </xf>
    <xf borderId="0" fillId="0" fontId="19" numFmtId="165" xfId="0" applyAlignment="1" applyFont="1" applyNumberFormat="1">
      <alignment horizontal="center" vertical="center"/>
    </xf>
    <xf borderId="0" fillId="0" fontId="17" numFmtId="165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0" fillId="7" fontId="3" numFmtId="0" xfId="0" applyAlignment="1" applyFill="1" applyFont="1">
      <alignment horizontal="center"/>
    </xf>
    <xf borderId="0" fillId="0" fontId="6" numFmtId="0" xfId="0" applyAlignment="1" applyFont="1">
      <alignment horizontal="center"/>
    </xf>
    <xf borderId="0" fillId="8" fontId="4" numFmtId="0" xfId="0" applyAlignment="1" applyFill="1" applyFont="1">
      <alignment horizontal="center"/>
    </xf>
    <xf borderId="0" fillId="8" fontId="4" numFmtId="0" xfId="0" applyAlignment="1" applyFont="1">
      <alignment horizontal="left"/>
    </xf>
    <xf borderId="0" fillId="8" fontId="4" numFmtId="0" xfId="0" applyFont="1"/>
    <xf quotePrefix="1" borderId="0" fillId="0" fontId="4" numFmtId="0" xfId="0" applyAlignment="1" applyFont="1">
      <alignment horizontal="left"/>
    </xf>
    <xf borderId="0" fillId="2" fontId="8" numFmtId="0" xfId="0" applyAlignment="1" applyFont="1">
      <alignment horizontal="center"/>
    </xf>
    <xf borderId="0" fillId="0" fontId="4" numFmtId="0" xfId="0" applyAlignment="1" applyFont="1">
      <alignment horizontal="center" shrinkToFit="0" vertical="center" wrapText="0"/>
    </xf>
    <xf borderId="0" fillId="0" fontId="4" numFmtId="169" xfId="0" applyAlignment="1" applyFont="1" applyNumberFormat="1">
      <alignment horizontal="left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horizontal="left"/>
    </xf>
    <xf borderId="0" fillId="0" fontId="4" numFmtId="166" xfId="0" applyAlignment="1" applyFont="1" applyNumberFormat="1">
      <alignment horizontal="left"/>
    </xf>
    <xf borderId="0" fillId="0" fontId="8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9" fontId="3" numFmtId="0" xfId="0" applyAlignment="1" applyFill="1" applyFont="1">
      <alignment vertical="center"/>
    </xf>
    <xf borderId="0" fillId="9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4" numFmtId="0" xfId="0" applyAlignment="1" applyFont="1">
      <alignment horizontal="left"/>
    </xf>
    <xf quotePrefix="1" borderId="0" fillId="2" fontId="4" numFmtId="0" xfId="0" applyAlignment="1" applyFont="1">
      <alignment horizontal="left"/>
    </xf>
    <xf borderId="0" fillId="2" fontId="4" numFmtId="0" xfId="0" applyFont="1"/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horizontal="left" vertical="center"/>
    </xf>
    <xf borderId="0" fillId="2" fontId="4" numFmtId="0" xfId="0" applyAlignment="1" applyFont="1">
      <alignment vertical="center"/>
    </xf>
    <xf borderId="2" fillId="0" fontId="3" numFmtId="0" xfId="0" applyAlignment="1" applyBorder="1" applyFont="1">
      <alignment horizontal="left" shrinkToFit="0" vertical="center" wrapText="1"/>
    </xf>
    <xf borderId="3" fillId="0" fontId="21" numFmtId="0" xfId="0" applyBorder="1" applyFont="1"/>
    <xf borderId="0" fillId="0" fontId="3" numFmtId="0" xfId="0" applyAlignment="1" applyFont="1">
      <alignment horizontal="left" vertical="bottom"/>
    </xf>
    <xf borderId="2" fillId="0" fontId="3" numFmtId="0" xfId="0" applyAlignment="1" applyBorder="1" applyFont="1">
      <alignment horizontal="left" vertical="center"/>
    </xf>
    <xf borderId="0" fillId="10" fontId="4" numFmtId="0" xfId="0" applyAlignment="1" applyFill="1" applyFont="1">
      <alignment horizontal="center"/>
    </xf>
    <xf borderId="0" fillId="10" fontId="4" numFmtId="0" xfId="0" applyFont="1"/>
    <xf borderId="0" fillId="2" fontId="6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11" fontId="4" numFmtId="0" xfId="0" applyAlignment="1" applyFill="1" applyFont="1">
      <alignment horizontal="center"/>
    </xf>
    <xf borderId="0" fillId="11" fontId="6" numFmtId="0" xfId="0" applyAlignment="1" applyFont="1">
      <alignment horizontal="center"/>
    </xf>
    <xf borderId="0" fillId="11" fontId="4" numFmtId="0" xfId="0" applyAlignment="1" applyFont="1">
      <alignment horizontal="left"/>
    </xf>
    <xf borderId="0" fillId="11" fontId="4" numFmtId="0" xfId="0" applyFont="1"/>
    <xf borderId="0" fillId="5" fontId="4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2" fontId="22" numFmtId="0" xfId="0" applyFont="1"/>
    <xf borderId="2" fillId="0" fontId="6" numFmtId="0" xfId="0" applyAlignment="1" applyBorder="1" applyFont="1">
      <alignment horizontal="center" vertical="center"/>
    </xf>
    <xf borderId="4" fillId="12" fontId="6" numFmtId="0" xfId="0" applyAlignment="1" applyBorder="1" applyFill="1" applyFont="1">
      <alignment horizontal="center" vertical="center"/>
    </xf>
    <xf borderId="5" fillId="0" fontId="21" numFmtId="0" xfId="0" applyBorder="1" applyFont="1"/>
    <xf borderId="6" fillId="0" fontId="21" numFmtId="0" xfId="0" applyBorder="1" applyFont="1"/>
    <xf borderId="1" fillId="1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170" xfId="0" applyAlignment="1" applyBorder="1" applyFont="1" applyNumberFormat="1">
      <alignment horizontal="center"/>
    </xf>
    <xf borderId="1" fillId="0" fontId="4" numFmtId="17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0" fillId="0" fontId="4" numFmtId="170" xfId="0" applyAlignment="1" applyFont="1" applyNumberFormat="1">
      <alignment horizontal="center" vertical="center"/>
    </xf>
    <xf borderId="0" fillId="13" fontId="23" numFmtId="0" xfId="0" applyFill="1" applyFont="1"/>
    <xf quotePrefix="1" borderId="0" fillId="0" fontId="4" numFmtId="0" xfId="0" applyFont="1"/>
    <xf borderId="0" fillId="0" fontId="24" numFmtId="0" xfId="0" applyFont="1"/>
    <xf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jh.t6soft.com/admin/main" TargetMode="External"/><Relationship Id="rId3" Type="http://schemas.openxmlformats.org/officeDocument/2006/relationships/hyperlink" Target="http://ywyd.rtb56.com/track_query.aspx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jh.t6soft.com/clogon" TargetMode="External"/><Relationship Id="rId2" Type="http://schemas.openxmlformats.org/officeDocument/2006/relationships/hyperlink" Target="http://ywyd.rtb56.com/track_query.aspx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57"/>
    <col customWidth="1" min="2" max="2" width="16.0"/>
    <col customWidth="1" min="3" max="3" width="13.29"/>
    <col customWidth="1" min="4" max="4" width="26.86"/>
    <col customWidth="1" min="5" max="5" width="10.71"/>
    <col customWidth="1" min="6" max="6" width="12.43"/>
    <col customWidth="1" min="7" max="7" width="10.14"/>
    <col customWidth="1" min="8" max="8" width="13.43"/>
    <col customWidth="1" min="9" max="9" width="10.71"/>
    <col customWidth="1" min="10" max="10" width="31.71"/>
    <col customWidth="1" min="11" max="11" width="12.71"/>
    <col customWidth="1" min="12" max="12" width="19.43"/>
    <col customWidth="1" min="13" max="13" width="12.14"/>
    <col customWidth="1" min="14" max="14" width="10.86"/>
    <col customWidth="1" min="15" max="15" width="15.0"/>
    <col customWidth="1" min="16" max="16" width="16.71"/>
    <col customWidth="1" min="17" max="2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16</v>
      </c>
      <c r="B2" s="4" t="s">
        <v>17</v>
      </c>
      <c r="C2" s="4">
        <v>3.867404144E9</v>
      </c>
      <c r="D2" s="5" t="s">
        <v>18</v>
      </c>
      <c r="E2" s="3">
        <v>31.0</v>
      </c>
      <c r="F2" s="3">
        <v>325.0</v>
      </c>
      <c r="G2" s="6">
        <f t="shared" ref="G2:G31" si="1">F2/E2</f>
        <v>10.48387097</v>
      </c>
      <c r="H2" s="6" t="s">
        <v>19</v>
      </c>
      <c r="I2" s="6"/>
      <c r="J2" s="7" t="s">
        <v>20</v>
      </c>
      <c r="K2" s="3"/>
      <c r="L2" s="3"/>
      <c r="M2" s="3"/>
      <c r="N2" s="3"/>
      <c r="O2" s="3"/>
      <c r="P2" s="8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21</v>
      </c>
      <c r="B3" s="4" t="s">
        <v>22</v>
      </c>
      <c r="C3" s="4" t="s">
        <v>23</v>
      </c>
      <c r="D3" s="9" t="s">
        <v>24</v>
      </c>
      <c r="E3" s="3">
        <v>12.0</v>
      </c>
      <c r="F3" s="3">
        <v>8.72</v>
      </c>
      <c r="G3" s="6">
        <f t="shared" si="1"/>
        <v>0.7266666667</v>
      </c>
      <c r="H3" s="6" t="s">
        <v>25</v>
      </c>
      <c r="I3" s="6"/>
      <c r="J3" s="7" t="s">
        <v>26</v>
      </c>
      <c r="K3" s="3"/>
      <c r="L3" s="3"/>
      <c r="M3" s="3"/>
      <c r="N3" s="3"/>
      <c r="O3" s="3"/>
      <c r="P3" s="8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3" t="s">
        <v>27</v>
      </c>
      <c r="B4" s="4" t="s">
        <v>28</v>
      </c>
      <c r="C4" s="4" t="s">
        <v>29</v>
      </c>
      <c r="D4" s="9" t="s">
        <v>30</v>
      </c>
      <c r="E4" s="3">
        <v>23.0</v>
      </c>
      <c r="F4" s="3">
        <v>260.0</v>
      </c>
      <c r="G4" s="6">
        <f t="shared" si="1"/>
        <v>11.30434783</v>
      </c>
      <c r="H4" s="6" t="s">
        <v>31</v>
      </c>
      <c r="I4" s="6"/>
      <c r="J4" s="7" t="s">
        <v>32</v>
      </c>
      <c r="K4" s="3"/>
      <c r="L4" s="3"/>
      <c r="M4" s="3"/>
      <c r="N4" s="3"/>
      <c r="O4" s="3"/>
      <c r="P4" s="8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" t="s">
        <v>33</v>
      </c>
      <c r="B5" s="4" t="s">
        <v>34</v>
      </c>
      <c r="C5" s="10" t="s">
        <v>35</v>
      </c>
      <c r="D5" s="11" t="s">
        <v>36</v>
      </c>
      <c r="E5" s="3">
        <v>88.0</v>
      </c>
      <c r="F5" s="3">
        <v>751.7</v>
      </c>
      <c r="G5" s="6">
        <f t="shared" si="1"/>
        <v>8.542045455</v>
      </c>
      <c r="H5" s="6" t="s">
        <v>19</v>
      </c>
      <c r="I5" s="6"/>
      <c r="J5" s="7" t="s">
        <v>37</v>
      </c>
      <c r="K5" s="3"/>
      <c r="L5" s="3"/>
      <c r="M5" s="3"/>
      <c r="N5" s="3"/>
      <c r="O5" s="3"/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3" t="s">
        <v>38</v>
      </c>
      <c r="B6" s="4" t="s">
        <v>39</v>
      </c>
      <c r="C6" s="10" t="s">
        <v>40</v>
      </c>
      <c r="E6" s="3">
        <v>357.0</v>
      </c>
      <c r="F6" s="3">
        <v>800.4</v>
      </c>
      <c r="G6" s="6">
        <f t="shared" si="1"/>
        <v>2.242016807</v>
      </c>
      <c r="H6" s="6" t="s">
        <v>19</v>
      </c>
      <c r="I6" s="6"/>
      <c r="J6" s="7" t="s">
        <v>41</v>
      </c>
      <c r="K6" s="3"/>
      <c r="L6" s="3"/>
      <c r="M6" s="3"/>
      <c r="N6" s="3"/>
      <c r="O6" s="3"/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" t="s">
        <v>42</v>
      </c>
      <c r="B7" s="4" t="s">
        <v>43</v>
      </c>
      <c r="C7" s="10" t="s">
        <v>44</v>
      </c>
      <c r="D7" s="9" t="s">
        <v>30</v>
      </c>
      <c r="E7" s="3">
        <v>203.0</v>
      </c>
      <c r="F7" s="3">
        <v>575.0</v>
      </c>
      <c r="G7" s="6">
        <f t="shared" si="1"/>
        <v>2.832512315</v>
      </c>
      <c r="H7" s="6" t="s">
        <v>31</v>
      </c>
      <c r="I7" s="6"/>
      <c r="J7" s="7" t="s">
        <v>45</v>
      </c>
      <c r="K7" s="3"/>
      <c r="L7" s="3"/>
      <c r="M7" s="3"/>
      <c r="N7" s="3"/>
      <c r="O7" s="3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" t="s">
        <v>46</v>
      </c>
      <c r="B8" s="4" t="s">
        <v>47</v>
      </c>
      <c r="C8" s="4" t="s">
        <v>48</v>
      </c>
      <c r="D8" s="9" t="s">
        <v>49</v>
      </c>
      <c r="E8" s="3">
        <v>161.0</v>
      </c>
      <c r="F8" s="3">
        <v>465.0</v>
      </c>
      <c r="G8" s="6">
        <f t="shared" si="1"/>
        <v>2.888198758</v>
      </c>
      <c r="H8" s="6" t="s">
        <v>31</v>
      </c>
      <c r="I8" s="6"/>
      <c r="J8" s="7" t="s">
        <v>45</v>
      </c>
      <c r="K8" s="3"/>
      <c r="L8" s="3"/>
      <c r="M8" s="3"/>
      <c r="N8" s="3"/>
      <c r="O8" s="3"/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" t="s">
        <v>50</v>
      </c>
      <c r="B9" s="4" t="s">
        <v>51</v>
      </c>
      <c r="C9" s="4" t="s">
        <v>52</v>
      </c>
      <c r="D9" s="9" t="s">
        <v>53</v>
      </c>
      <c r="E9" s="3">
        <v>84.0</v>
      </c>
      <c r="F9" s="3">
        <v>935.0</v>
      </c>
      <c r="G9" s="6">
        <f t="shared" si="1"/>
        <v>11.13095238</v>
      </c>
      <c r="H9" s="6" t="s">
        <v>31</v>
      </c>
      <c r="I9" s="6"/>
      <c r="J9" s="7" t="s">
        <v>32</v>
      </c>
      <c r="K9" s="3"/>
      <c r="L9" s="3"/>
      <c r="M9" s="3"/>
      <c r="N9" s="3"/>
      <c r="O9" s="3"/>
      <c r="P9" s="8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" t="s">
        <v>54</v>
      </c>
      <c r="B10" s="4" t="s">
        <v>55</v>
      </c>
      <c r="C10" s="4" t="s">
        <v>56</v>
      </c>
      <c r="D10" s="11" t="s">
        <v>57</v>
      </c>
      <c r="E10" s="3">
        <v>31.0</v>
      </c>
      <c r="F10" s="3">
        <v>296.0</v>
      </c>
      <c r="G10" s="6">
        <f t="shared" si="1"/>
        <v>9.548387097</v>
      </c>
      <c r="H10" s="6" t="s">
        <v>19</v>
      </c>
      <c r="I10" s="6"/>
      <c r="J10" s="7" t="s">
        <v>20</v>
      </c>
      <c r="K10" s="3"/>
      <c r="L10" s="3"/>
      <c r="M10" s="3"/>
      <c r="N10" s="3"/>
      <c r="O10" s="3"/>
      <c r="P10" s="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" t="s">
        <v>58</v>
      </c>
      <c r="B11" s="4" t="s">
        <v>59</v>
      </c>
      <c r="C11" s="4" t="s">
        <v>60</v>
      </c>
      <c r="D11" s="9" t="s">
        <v>49</v>
      </c>
      <c r="E11" s="3">
        <v>124.0</v>
      </c>
      <c r="F11" s="3">
        <v>388.0</v>
      </c>
      <c r="G11" s="6">
        <f t="shared" si="1"/>
        <v>3.129032258</v>
      </c>
      <c r="H11" s="6" t="s">
        <v>31</v>
      </c>
      <c r="I11" s="6"/>
      <c r="J11" s="7" t="s">
        <v>45</v>
      </c>
      <c r="K11" s="3"/>
      <c r="L11" s="3"/>
      <c r="M11" s="3"/>
      <c r="N11" s="3"/>
      <c r="O11" s="3"/>
      <c r="P11" s="8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3" t="s">
        <v>61</v>
      </c>
      <c r="B12" s="4" t="s">
        <v>62</v>
      </c>
      <c r="C12" s="4" t="s">
        <v>63</v>
      </c>
      <c r="D12" s="9" t="s">
        <v>30</v>
      </c>
      <c r="E12" s="3">
        <v>14.0</v>
      </c>
      <c r="F12" s="3">
        <v>155.0</v>
      </c>
      <c r="G12" s="6">
        <f t="shared" si="1"/>
        <v>11.07142857</v>
      </c>
      <c r="H12" s="6" t="s">
        <v>31</v>
      </c>
      <c r="I12" s="6"/>
      <c r="J12" s="7" t="s">
        <v>32</v>
      </c>
      <c r="K12" s="3"/>
      <c r="L12" s="3"/>
      <c r="M12" s="3"/>
      <c r="N12" s="3"/>
      <c r="O12" s="3"/>
      <c r="P12" s="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" t="s">
        <v>64</v>
      </c>
      <c r="B13" s="4" t="s">
        <v>65</v>
      </c>
      <c r="C13" s="4" t="s">
        <v>66</v>
      </c>
      <c r="D13" s="9" t="s">
        <v>67</v>
      </c>
      <c r="E13" s="3">
        <v>31.0</v>
      </c>
      <c r="F13" s="3">
        <v>330.0</v>
      </c>
      <c r="G13" s="6">
        <f t="shared" si="1"/>
        <v>10.64516129</v>
      </c>
      <c r="H13" s="6" t="s">
        <v>31</v>
      </c>
      <c r="I13" s="6"/>
      <c r="J13" s="7" t="s">
        <v>32</v>
      </c>
      <c r="K13" s="3"/>
      <c r="L13" s="3"/>
      <c r="M13" s="3"/>
      <c r="N13" s="3"/>
      <c r="O13" s="3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3" t="s">
        <v>68</v>
      </c>
      <c r="B14" s="4" t="s">
        <v>69</v>
      </c>
      <c r="C14" s="4" t="s">
        <v>70</v>
      </c>
      <c r="D14" s="5" t="s">
        <v>71</v>
      </c>
      <c r="E14" s="3">
        <v>165.0</v>
      </c>
      <c r="F14" s="3">
        <v>412.0</v>
      </c>
      <c r="G14" s="6">
        <f t="shared" si="1"/>
        <v>2.496969697</v>
      </c>
      <c r="H14" s="6" t="s">
        <v>19</v>
      </c>
      <c r="I14" s="6"/>
      <c r="J14" s="7" t="s">
        <v>72</v>
      </c>
      <c r="K14" s="3"/>
      <c r="L14" s="3" t="s">
        <v>73</v>
      </c>
      <c r="M14" s="3"/>
      <c r="N14" s="3"/>
      <c r="O14" s="3"/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 t="s">
        <v>74</v>
      </c>
      <c r="B15" s="4" t="s">
        <v>75</v>
      </c>
      <c r="C15" s="4" t="s">
        <v>76</v>
      </c>
      <c r="D15" s="9" t="s">
        <v>24</v>
      </c>
      <c r="E15" s="3">
        <v>61.0</v>
      </c>
      <c r="F15" s="3">
        <v>53.29</v>
      </c>
      <c r="G15" s="6">
        <f t="shared" si="1"/>
        <v>0.8736065574</v>
      </c>
      <c r="H15" s="6" t="s">
        <v>77</v>
      </c>
      <c r="I15" s="6"/>
      <c r="J15" s="7" t="s">
        <v>26</v>
      </c>
      <c r="K15" s="3"/>
      <c r="L15" s="3"/>
      <c r="M15" s="3"/>
      <c r="N15" s="3"/>
      <c r="O15" s="3"/>
      <c r="P15" s="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3" t="s">
        <v>78</v>
      </c>
      <c r="B16" s="4" t="s">
        <v>79</v>
      </c>
      <c r="C16" s="4" t="s">
        <v>80</v>
      </c>
      <c r="D16" s="9" t="s">
        <v>24</v>
      </c>
      <c r="E16" s="3">
        <v>29.0</v>
      </c>
      <c r="F16" s="3">
        <f>2.5*77.5+40+27.61</f>
        <v>261.36</v>
      </c>
      <c r="G16" s="6">
        <f t="shared" si="1"/>
        <v>9.012413793</v>
      </c>
      <c r="H16" s="6" t="s">
        <v>81</v>
      </c>
      <c r="I16" s="6"/>
      <c r="J16" s="7" t="s">
        <v>26</v>
      </c>
      <c r="K16" s="3"/>
      <c r="L16" s="3"/>
      <c r="M16" s="3"/>
      <c r="N16" s="3"/>
      <c r="O16" s="3"/>
      <c r="P16" s="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" t="s">
        <v>82</v>
      </c>
      <c r="B17" s="4" t="s">
        <v>83</v>
      </c>
      <c r="C17" s="4" t="s">
        <v>76</v>
      </c>
      <c r="D17" s="9" t="s">
        <v>24</v>
      </c>
      <c r="E17" s="3">
        <v>18.0</v>
      </c>
      <c r="F17" s="3">
        <v>18.0</v>
      </c>
      <c r="G17" s="6">
        <f t="shared" si="1"/>
        <v>1</v>
      </c>
      <c r="H17" s="6" t="s">
        <v>77</v>
      </c>
      <c r="I17" s="6"/>
      <c r="J17" s="7" t="s">
        <v>26</v>
      </c>
      <c r="K17" s="3"/>
      <c r="L17" s="3"/>
      <c r="M17" s="3"/>
      <c r="N17" s="3"/>
      <c r="O17" s="3"/>
      <c r="P17" s="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3" t="s">
        <v>84</v>
      </c>
      <c r="B18" s="4" t="s">
        <v>85</v>
      </c>
      <c r="C18" s="4" t="s">
        <v>86</v>
      </c>
      <c r="D18" s="9" t="s">
        <v>87</v>
      </c>
      <c r="E18" s="3">
        <v>32.0</v>
      </c>
      <c r="F18" s="3">
        <v>305.0</v>
      </c>
      <c r="G18" s="6">
        <f t="shared" si="1"/>
        <v>9.53125</v>
      </c>
      <c r="H18" s="6" t="s">
        <v>31</v>
      </c>
      <c r="I18" s="6"/>
      <c r="J18" s="7" t="s">
        <v>32</v>
      </c>
      <c r="K18" s="3"/>
      <c r="L18" s="3"/>
      <c r="M18" s="3"/>
      <c r="N18" s="3"/>
      <c r="O18" s="3"/>
      <c r="P18" s="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" t="s">
        <v>88</v>
      </c>
      <c r="B19" s="4" t="s">
        <v>89</v>
      </c>
      <c r="C19" s="12" t="s">
        <v>90</v>
      </c>
      <c r="D19" s="11" t="s">
        <v>91</v>
      </c>
      <c r="E19" s="3">
        <v>1125.0</v>
      </c>
      <c r="F19" s="3">
        <v>3105.8</v>
      </c>
      <c r="G19" s="6">
        <f t="shared" si="1"/>
        <v>2.760711111</v>
      </c>
      <c r="H19" s="6" t="s">
        <v>19</v>
      </c>
      <c r="I19" s="6"/>
      <c r="J19" s="7" t="s">
        <v>41</v>
      </c>
      <c r="K19" s="3"/>
      <c r="L19" s="3" t="s">
        <v>73</v>
      </c>
      <c r="M19" s="3"/>
      <c r="N19" s="3"/>
      <c r="O19" s="3"/>
      <c r="P19" s="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3" t="s">
        <v>92</v>
      </c>
      <c r="B20" s="4" t="s">
        <v>93</v>
      </c>
      <c r="C20" s="12" t="s">
        <v>94</v>
      </c>
      <c r="D20" s="9" t="s">
        <v>95</v>
      </c>
      <c r="E20" s="3">
        <v>397.0</v>
      </c>
      <c r="F20" s="3">
        <v>1283.0</v>
      </c>
      <c r="G20" s="6">
        <f t="shared" si="1"/>
        <v>3.231738035</v>
      </c>
      <c r="H20" s="6" t="s">
        <v>31</v>
      </c>
      <c r="I20" s="6"/>
      <c r="J20" s="7" t="s">
        <v>45</v>
      </c>
      <c r="K20" s="3"/>
      <c r="L20" s="3"/>
      <c r="M20" s="3"/>
      <c r="N20" s="3"/>
      <c r="O20" s="3"/>
      <c r="P20" s="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3" t="s">
        <v>96</v>
      </c>
      <c r="B21" s="4" t="s">
        <v>97</v>
      </c>
      <c r="C21" s="4" t="s">
        <v>98</v>
      </c>
      <c r="D21" s="9" t="s">
        <v>24</v>
      </c>
      <c r="E21" s="3">
        <v>15.0</v>
      </c>
      <c r="F21" s="3">
        <v>9.31</v>
      </c>
      <c r="G21" s="6">
        <f t="shared" si="1"/>
        <v>0.6206666667</v>
      </c>
      <c r="H21" s="6" t="s">
        <v>77</v>
      </c>
      <c r="I21" s="6"/>
      <c r="J21" s="7" t="s">
        <v>26</v>
      </c>
      <c r="K21" s="3"/>
      <c r="L21" s="3"/>
      <c r="M21" s="3"/>
      <c r="N21" s="3"/>
      <c r="O21" s="3"/>
      <c r="P21" s="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3" t="s">
        <v>99</v>
      </c>
      <c r="B22" s="4" t="s">
        <v>85</v>
      </c>
      <c r="C22" s="4" t="s">
        <v>100</v>
      </c>
      <c r="D22" s="9" t="s">
        <v>101</v>
      </c>
      <c r="E22" s="3">
        <v>35.0</v>
      </c>
      <c r="F22" s="3">
        <f>416-35</f>
        <v>381</v>
      </c>
      <c r="G22" s="6">
        <f t="shared" si="1"/>
        <v>10.88571429</v>
      </c>
      <c r="H22" s="6" t="s">
        <v>31</v>
      </c>
      <c r="I22" s="6"/>
      <c r="J22" s="7" t="s">
        <v>32</v>
      </c>
      <c r="K22" s="3"/>
      <c r="L22" s="3"/>
      <c r="M22" s="3"/>
      <c r="N22" s="3"/>
      <c r="O22" s="3"/>
      <c r="P22" s="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3" t="s">
        <v>102</v>
      </c>
      <c r="B23" s="4" t="s">
        <v>103</v>
      </c>
      <c r="C23" s="4" t="s">
        <v>76</v>
      </c>
      <c r="D23" s="5" t="s">
        <v>104</v>
      </c>
      <c r="E23" s="3">
        <v>21.0</v>
      </c>
      <c r="F23" s="3">
        <v>245.0</v>
      </c>
      <c r="G23" s="6">
        <f t="shared" si="1"/>
        <v>11.66666667</v>
      </c>
      <c r="H23" s="6" t="s">
        <v>31</v>
      </c>
      <c r="I23" s="6"/>
      <c r="J23" s="7" t="s">
        <v>32</v>
      </c>
      <c r="K23" s="3"/>
      <c r="L23" s="3"/>
      <c r="M23" s="3"/>
      <c r="N23" s="3"/>
      <c r="O23" s="3"/>
      <c r="P23" s="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3" t="s">
        <v>105</v>
      </c>
      <c r="B24" s="4" t="s">
        <v>106</v>
      </c>
      <c r="C24" s="4" t="s">
        <v>107</v>
      </c>
      <c r="D24" s="9" t="s">
        <v>24</v>
      </c>
      <c r="E24" s="3">
        <v>83.0</v>
      </c>
      <c r="F24" s="3">
        <v>41.66</v>
      </c>
      <c r="G24" s="6">
        <f t="shared" si="1"/>
        <v>0.5019277108</v>
      </c>
      <c r="H24" s="3" t="s">
        <v>81</v>
      </c>
      <c r="I24" s="3"/>
      <c r="J24" s="7" t="s">
        <v>26</v>
      </c>
      <c r="K24" s="3"/>
      <c r="L24" s="3"/>
      <c r="M24" s="3"/>
      <c r="N24" s="3"/>
      <c r="O24" s="3"/>
      <c r="P24" s="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3" t="s">
        <v>108</v>
      </c>
      <c r="B25" s="4" t="s">
        <v>109</v>
      </c>
      <c r="C25" s="4" t="s">
        <v>110</v>
      </c>
      <c r="D25" s="9" t="s">
        <v>24</v>
      </c>
      <c r="E25" s="3">
        <v>6.0</v>
      </c>
      <c r="F25" s="3">
        <v>10.97</v>
      </c>
      <c r="G25" s="6">
        <f t="shared" si="1"/>
        <v>1.828333333</v>
      </c>
      <c r="H25" s="6" t="s">
        <v>77</v>
      </c>
      <c r="I25" s="6"/>
      <c r="J25" s="7" t="s">
        <v>26</v>
      </c>
      <c r="K25" s="3"/>
      <c r="L25" s="3"/>
      <c r="M25" s="3"/>
      <c r="N25" s="3"/>
      <c r="O25" s="3"/>
      <c r="P25" s="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3" t="s">
        <v>111</v>
      </c>
      <c r="B26" s="4" t="s">
        <v>103</v>
      </c>
      <c r="C26" s="4" t="s">
        <v>112</v>
      </c>
      <c r="D26" s="9" t="s">
        <v>24</v>
      </c>
      <c r="E26" s="3">
        <v>8.0</v>
      </c>
      <c r="F26" s="3">
        <v>7.27</v>
      </c>
      <c r="G26" s="6">
        <f t="shared" si="1"/>
        <v>0.90875</v>
      </c>
      <c r="H26" s="6" t="s">
        <v>77</v>
      </c>
      <c r="I26" s="6"/>
      <c r="J26" s="7" t="s">
        <v>26</v>
      </c>
      <c r="K26" s="3"/>
      <c r="L26" s="3"/>
      <c r="M26" s="3"/>
      <c r="N26" s="3"/>
      <c r="O26" s="3"/>
      <c r="P26" s="8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3" t="s">
        <v>113</v>
      </c>
      <c r="B27" s="4" t="s">
        <v>114</v>
      </c>
      <c r="C27" s="4" t="s">
        <v>115</v>
      </c>
      <c r="D27" s="9" t="s">
        <v>24</v>
      </c>
      <c r="E27" s="3">
        <v>55.0</v>
      </c>
      <c r="F27" s="3">
        <v>31.22</v>
      </c>
      <c r="G27" s="6">
        <f t="shared" si="1"/>
        <v>0.5676363636</v>
      </c>
      <c r="H27" s="3" t="s">
        <v>81</v>
      </c>
      <c r="I27" s="3"/>
      <c r="J27" s="7" t="s">
        <v>26</v>
      </c>
      <c r="K27" s="3"/>
      <c r="L27" s="3" t="s">
        <v>73</v>
      </c>
      <c r="M27" s="3"/>
      <c r="N27" s="3"/>
      <c r="O27" s="3"/>
      <c r="P27" s="8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3" t="s">
        <v>116</v>
      </c>
      <c r="B28" s="4" t="s">
        <v>117</v>
      </c>
      <c r="C28" s="4" t="s">
        <v>118</v>
      </c>
      <c r="D28" s="9" t="s">
        <v>24</v>
      </c>
      <c r="E28" s="3">
        <v>1.0</v>
      </c>
      <c r="F28" s="3">
        <v>4.18</v>
      </c>
      <c r="G28" s="6">
        <f t="shared" si="1"/>
        <v>4.18</v>
      </c>
      <c r="H28" s="6" t="s">
        <v>77</v>
      </c>
      <c r="I28" s="6"/>
      <c r="J28" s="7" t="s">
        <v>26</v>
      </c>
      <c r="K28" s="3"/>
      <c r="L28" s="3"/>
      <c r="M28" s="3"/>
      <c r="N28" s="3"/>
      <c r="O28" s="3"/>
      <c r="P28" s="8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3" t="s">
        <v>119</v>
      </c>
      <c r="B29" s="4" t="s">
        <v>93</v>
      </c>
      <c r="C29" s="4" t="s">
        <v>120</v>
      </c>
      <c r="D29" s="11" t="s">
        <v>121</v>
      </c>
      <c r="E29" s="3">
        <v>226.0</v>
      </c>
      <c r="F29" s="3">
        <v>1050.0</v>
      </c>
      <c r="G29" s="6">
        <f t="shared" si="1"/>
        <v>4.646017699</v>
      </c>
      <c r="H29" s="6" t="s">
        <v>31</v>
      </c>
      <c r="I29" s="6"/>
      <c r="J29" s="7" t="s">
        <v>45</v>
      </c>
      <c r="K29" s="3"/>
      <c r="L29" s="3"/>
      <c r="M29" s="3"/>
      <c r="N29" s="3"/>
      <c r="O29" s="3"/>
      <c r="P29" s="8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3" t="s">
        <v>122</v>
      </c>
      <c r="B30" s="4" t="s">
        <v>123</v>
      </c>
      <c r="C30" s="4" t="s">
        <v>124</v>
      </c>
      <c r="D30" s="3">
        <v>12.0</v>
      </c>
      <c r="E30" s="3">
        <v>26.5</v>
      </c>
      <c r="F30" s="3">
        <v>447.8</v>
      </c>
      <c r="G30" s="6">
        <f t="shared" si="1"/>
        <v>16.89811321</v>
      </c>
      <c r="H30" s="6" t="s">
        <v>19</v>
      </c>
      <c r="I30" s="6"/>
      <c r="J30" s="7" t="s">
        <v>125</v>
      </c>
      <c r="K30" s="3"/>
      <c r="L30" s="3"/>
      <c r="M30" s="3"/>
      <c r="N30" s="3"/>
      <c r="O30" s="3"/>
      <c r="P30" s="8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3" t="s">
        <v>126</v>
      </c>
      <c r="B31" s="12" t="s">
        <v>127</v>
      </c>
      <c r="C31" s="12" t="s">
        <v>128</v>
      </c>
      <c r="D31" s="9" t="s">
        <v>24</v>
      </c>
      <c r="E31" s="3">
        <v>232.0</v>
      </c>
      <c r="F31" s="3">
        <f>107.95+15.42</f>
        <v>123.37</v>
      </c>
      <c r="G31" s="6">
        <f t="shared" si="1"/>
        <v>0.5317672414</v>
      </c>
      <c r="H31" s="3" t="s">
        <v>81</v>
      </c>
      <c r="I31" s="3"/>
      <c r="J31" s="7" t="s">
        <v>26</v>
      </c>
      <c r="K31" s="3"/>
      <c r="L31" s="3" t="s">
        <v>73</v>
      </c>
      <c r="M31" s="3"/>
      <c r="N31" s="3"/>
      <c r="O31" s="3"/>
      <c r="P31" s="8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3" t="s">
        <v>129</v>
      </c>
      <c r="B32" s="12" t="s">
        <v>130</v>
      </c>
      <c r="C32" s="4" t="s">
        <v>76</v>
      </c>
      <c r="D32" s="5" t="s">
        <v>131</v>
      </c>
      <c r="E32" s="9" t="s">
        <v>132</v>
      </c>
      <c r="F32" s="9" t="s">
        <v>133</v>
      </c>
      <c r="G32" s="13" t="s">
        <v>134</v>
      </c>
      <c r="H32" s="6" t="s">
        <v>31</v>
      </c>
      <c r="I32" s="6"/>
      <c r="J32" s="14" t="s">
        <v>135</v>
      </c>
      <c r="K32" s="3"/>
      <c r="L32" s="3"/>
      <c r="M32" s="3"/>
      <c r="N32" s="3"/>
      <c r="O32" s="3"/>
      <c r="P32" s="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3" t="s">
        <v>136</v>
      </c>
      <c r="B33" s="4" t="s">
        <v>137</v>
      </c>
      <c r="C33" s="4" t="s">
        <v>138</v>
      </c>
      <c r="D33" s="9" t="s">
        <v>24</v>
      </c>
      <c r="E33" s="3">
        <v>1.0</v>
      </c>
      <c r="F33" s="3">
        <v>4.18</v>
      </c>
      <c r="G33" s="6">
        <f t="shared" ref="G33:G94" si="2">F33/E33</f>
        <v>4.18</v>
      </c>
      <c r="H33" s="6" t="s">
        <v>77</v>
      </c>
      <c r="I33" s="6"/>
      <c r="J33" s="7" t="s">
        <v>26</v>
      </c>
      <c r="K33" s="3"/>
      <c r="L33" s="3"/>
      <c r="M33" s="3"/>
      <c r="N33" s="3"/>
      <c r="O33" s="3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3" t="s">
        <v>139</v>
      </c>
      <c r="B34" s="4" t="s">
        <v>140</v>
      </c>
      <c r="C34" s="4" t="s">
        <v>141</v>
      </c>
      <c r="D34" s="5" t="s">
        <v>142</v>
      </c>
      <c r="E34" s="3">
        <v>44.0</v>
      </c>
      <c r="F34" s="3">
        <v>633.0</v>
      </c>
      <c r="G34" s="6">
        <f t="shared" si="2"/>
        <v>14.38636364</v>
      </c>
      <c r="H34" s="6" t="s">
        <v>31</v>
      </c>
      <c r="I34" s="6"/>
      <c r="J34" s="7" t="s">
        <v>32</v>
      </c>
      <c r="K34" s="3"/>
      <c r="L34" s="3"/>
      <c r="M34" s="3"/>
      <c r="N34" s="3"/>
      <c r="O34" s="3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3" t="s">
        <v>143</v>
      </c>
      <c r="B35" s="4" t="s">
        <v>144</v>
      </c>
      <c r="C35" s="4" t="s">
        <v>76</v>
      </c>
      <c r="D35" s="3">
        <v>15.0</v>
      </c>
      <c r="E35" s="3">
        <v>14.0</v>
      </c>
      <c r="F35" s="3">
        <v>216.0</v>
      </c>
      <c r="G35" s="6">
        <f t="shared" si="2"/>
        <v>15.42857143</v>
      </c>
      <c r="H35" s="6" t="s">
        <v>31</v>
      </c>
      <c r="I35" s="6"/>
      <c r="J35" s="7" t="s">
        <v>32</v>
      </c>
      <c r="K35" s="3"/>
      <c r="L35" s="3"/>
      <c r="M35" s="3"/>
      <c r="N35" s="3"/>
      <c r="O35" s="3"/>
      <c r="P35" s="8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3" t="s">
        <v>145</v>
      </c>
      <c r="B36" s="4" t="s">
        <v>146</v>
      </c>
      <c r="C36" s="4" t="s">
        <v>147</v>
      </c>
      <c r="D36" s="3">
        <v>13.0</v>
      </c>
      <c r="E36" s="3">
        <v>65.5</v>
      </c>
      <c r="F36" s="3">
        <v>970.0</v>
      </c>
      <c r="G36" s="6">
        <f t="shared" si="2"/>
        <v>14.80916031</v>
      </c>
      <c r="H36" s="6" t="s">
        <v>31</v>
      </c>
      <c r="I36" s="6"/>
      <c r="J36" s="7" t="s">
        <v>32</v>
      </c>
      <c r="K36" s="3"/>
      <c r="L36" s="3"/>
      <c r="M36" s="3"/>
      <c r="N36" s="3"/>
      <c r="O36" s="3"/>
      <c r="P36" s="8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3" t="s">
        <v>148</v>
      </c>
      <c r="B37" s="4" t="s">
        <v>149</v>
      </c>
      <c r="C37" s="4" t="s">
        <v>150</v>
      </c>
      <c r="D37" s="9" t="s">
        <v>151</v>
      </c>
      <c r="E37" s="3">
        <v>13.0</v>
      </c>
      <c r="F37" s="3">
        <v>9.2</v>
      </c>
      <c r="G37" s="6">
        <f t="shared" si="2"/>
        <v>0.7076923077</v>
      </c>
      <c r="H37" s="6" t="s">
        <v>77</v>
      </c>
      <c r="I37" s="6"/>
      <c r="J37" s="7" t="s">
        <v>26</v>
      </c>
      <c r="K37" s="3"/>
      <c r="L37" s="3"/>
      <c r="M37" s="3"/>
      <c r="N37" s="3"/>
      <c r="O37" s="3"/>
      <c r="P37" s="8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3" t="s">
        <v>152</v>
      </c>
      <c r="B38" s="4" t="s">
        <v>153</v>
      </c>
      <c r="C38" s="4" t="s">
        <v>154</v>
      </c>
      <c r="D38" s="9" t="s">
        <v>155</v>
      </c>
      <c r="E38" s="3">
        <v>14.0</v>
      </c>
      <c r="F38" s="3">
        <v>8.07</v>
      </c>
      <c r="G38" s="6">
        <f t="shared" si="2"/>
        <v>0.5764285714</v>
      </c>
      <c r="H38" s="3" t="s">
        <v>81</v>
      </c>
      <c r="I38" s="3"/>
      <c r="J38" s="7" t="s">
        <v>26</v>
      </c>
      <c r="K38" s="3"/>
      <c r="L38" s="3"/>
      <c r="M38" s="3"/>
      <c r="N38" s="3"/>
      <c r="O38" s="3"/>
      <c r="P38" s="8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3" t="s">
        <v>156</v>
      </c>
      <c r="B39" s="4" t="s">
        <v>157</v>
      </c>
      <c r="C39" s="10" t="s">
        <v>158</v>
      </c>
      <c r="D39" s="9">
        <v>13.0</v>
      </c>
      <c r="E39" s="3">
        <v>102.0</v>
      </c>
      <c r="F39" s="3">
        <v>1438.0</v>
      </c>
      <c r="G39" s="6">
        <f t="shared" si="2"/>
        <v>14.09803922</v>
      </c>
      <c r="H39" s="6" t="s">
        <v>31</v>
      </c>
      <c r="I39" s="6"/>
      <c r="J39" s="7" t="s">
        <v>32</v>
      </c>
      <c r="K39" s="3"/>
      <c r="L39" s="3"/>
      <c r="M39" s="3"/>
      <c r="N39" s="3"/>
      <c r="O39" s="3"/>
      <c r="P39" s="8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3" t="s">
        <v>159</v>
      </c>
      <c r="B40" s="4" t="s">
        <v>160</v>
      </c>
      <c r="C40" s="10" t="s">
        <v>161</v>
      </c>
      <c r="D40" s="9">
        <v>13.0</v>
      </c>
      <c r="E40" s="3">
        <v>27.0</v>
      </c>
      <c r="F40" s="3">
        <v>380.0</v>
      </c>
      <c r="G40" s="6">
        <f t="shared" si="2"/>
        <v>14.07407407</v>
      </c>
      <c r="H40" s="6" t="s">
        <v>31</v>
      </c>
      <c r="I40" s="6"/>
      <c r="J40" s="7" t="s">
        <v>32</v>
      </c>
      <c r="K40" s="3"/>
      <c r="L40" s="3"/>
      <c r="M40" s="3"/>
      <c r="N40" s="3"/>
      <c r="O40" s="3"/>
      <c r="P40" s="8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3" t="s">
        <v>162</v>
      </c>
      <c r="B41" s="4" t="s">
        <v>93</v>
      </c>
      <c r="C41" s="4" t="s">
        <v>163</v>
      </c>
      <c r="D41" s="5" t="s">
        <v>164</v>
      </c>
      <c r="E41" s="3">
        <v>220.0</v>
      </c>
      <c r="F41" s="3">
        <v>990.0</v>
      </c>
      <c r="G41" s="6">
        <f t="shared" si="2"/>
        <v>4.5</v>
      </c>
      <c r="H41" s="6" t="s">
        <v>31</v>
      </c>
      <c r="I41" s="6"/>
      <c r="J41" s="7" t="s">
        <v>45</v>
      </c>
      <c r="K41" s="3"/>
      <c r="L41" s="3"/>
      <c r="M41" s="3"/>
      <c r="N41" s="3"/>
      <c r="O41" s="3"/>
      <c r="P41" s="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3" t="s">
        <v>165</v>
      </c>
      <c r="B42" s="4" t="s">
        <v>166</v>
      </c>
      <c r="C42" s="4" t="s">
        <v>167</v>
      </c>
      <c r="D42" s="9" t="s">
        <v>151</v>
      </c>
      <c r="E42" s="3">
        <v>17.5</v>
      </c>
      <c r="F42" s="3">
        <v>9.54</v>
      </c>
      <c r="G42" s="6">
        <f t="shared" si="2"/>
        <v>0.5451428571</v>
      </c>
      <c r="H42" s="6" t="s">
        <v>77</v>
      </c>
      <c r="I42" s="6"/>
      <c r="J42" s="7" t="s">
        <v>26</v>
      </c>
      <c r="K42" s="3"/>
      <c r="L42" s="3"/>
      <c r="M42" s="3"/>
      <c r="N42" s="3"/>
      <c r="O42" s="3"/>
      <c r="P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3" t="s">
        <v>168</v>
      </c>
      <c r="B43" s="4" t="s">
        <v>169</v>
      </c>
      <c r="C43" s="4" t="s">
        <v>170</v>
      </c>
      <c r="D43" s="9" t="s">
        <v>155</v>
      </c>
      <c r="E43" s="3">
        <v>6.5</v>
      </c>
      <c r="F43" s="3">
        <v>7.27</v>
      </c>
      <c r="G43" s="6">
        <f t="shared" si="2"/>
        <v>1.118461538</v>
      </c>
      <c r="H43" s="3" t="s">
        <v>81</v>
      </c>
      <c r="I43" s="3"/>
      <c r="J43" s="7" t="s">
        <v>26</v>
      </c>
      <c r="K43" s="3"/>
      <c r="L43" s="3"/>
      <c r="M43" s="3"/>
      <c r="N43" s="3"/>
      <c r="O43" s="3"/>
      <c r="P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3" t="s">
        <v>171</v>
      </c>
      <c r="B44" s="4" t="s">
        <v>172</v>
      </c>
      <c r="C44" s="4" t="s">
        <v>173</v>
      </c>
      <c r="D44" s="9" t="s">
        <v>155</v>
      </c>
      <c r="E44" s="3">
        <v>23.5</v>
      </c>
      <c r="F44" s="3">
        <v>18.36</v>
      </c>
      <c r="G44" s="6">
        <f t="shared" si="2"/>
        <v>0.7812765957</v>
      </c>
      <c r="H44" s="3" t="s">
        <v>81</v>
      </c>
      <c r="I44" s="3"/>
      <c r="J44" s="7" t="s">
        <v>26</v>
      </c>
      <c r="K44" s="3"/>
      <c r="L44" s="3"/>
      <c r="M44" s="3"/>
      <c r="N44" s="3"/>
      <c r="O44" s="3"/>
      <c r="P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3" t="s">
        <v>174</v>
      </c>
      <c r="B45" s="4" t="s">
        <v>175</v>
      </c>
      <c r="C45" s="4" t="s">
        <v>176</v>
      </c>
      <c r="D45" s="9" t="s">
        <v>177</v>
      </c>
      <c r="E45" s="3">
        <v>162.0</v>
      </c>
      <c r="F45" s="3">
        <v>83.72</v>
      </c>
      <c r="G45" s="6">
        <f t="shared" si="2"/>
        <v>0.5167901235</v>
      </c>
      <c r="H45" s="3" t="s">
        <v>81</v>
      </c>
      <c r="I45" s="3"/>
      <c r="J45" s="7" t="s">
        <v>26</v>
      </c>
      <c r="K45" s="3"/>
      <c r="L45" s="3" t="s">
        <v>73</v>
      </c>
      <c r="M45" s="3"/>
      <c r="N45" s="3"/>
      <c r="O45" s="3"/>
      <c r="P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3" t="s">
        <v>178</v>
      </c>
      <c r="B46" s="4" t="s">
        <v>179</v>
      </c>
      <c r="C46" s="4" t="s">
        <v>180</v>
      </c>
      <c r="D46" s="9" t="s">
        <v>177</v>
      </c>
      <c r="E46" s="3">
        <v>67.5</v>
      </c>
      <c r="F46" s="3">
        <v>34.1</v>
      </c>
      <c r="G46" s="6">
        <f t="shared" si="2"/>
        <v>0.5051851852</v>
      </c>
      <c r="H46" s="3" t="s">
        <v>81</v>
      </c>
      <c r="I46" s="3"/>
      <c r="J46" s="7" t="s">
        <v>26</v>
      </c>
      <c r="K46" s="3"/>
      <c r="L46" s="3"/>
      <c r="M46" s="3"/>
      <c r="N46" s="3"/>
      <c r="O46" s="3"/>
      <c r="P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3" t="s">
        <v>181</v>
      </c>
      <c r="B47" s="4" t="s">
        <v>182</v>
      </c>
      <c r="C47" s="10" t="s">
        <v>183</v>
      </c>
      <c r="D47" s="3" t="s">
        <v>184</v>
      </c>
      <c r="E47" s="3">
        <v>30.0</v>
      </c>
      <c r="F47" s="3">
        <v>425.0</v>
      </c>
      <c r="G47" s="6">
        <f t="shared" si="2"/>
        <v>14.16666667</v>
      </c>
      <c r="H47" s="3" t="s">
        <v>31</v>
      </c>
      <c r="I47" s="3"/>
      <c r="J47" s="7" t="s">
        <v>32</v>
      </c>
      <c r="K47" s="3"/>
      <c r="L47" s="3" t="s">
        <v>73</v>
      </c>
      <c r="M47" s="3"/>
      <c r="N47" s="3"/>
      <c r="O47" s="3"/>
      <c r="P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3" t="s">
        <v>185</v>
      </c>
      <c r="B48" s="4" t="s">
        <v>186</v>
      </c>
      <c r="C48" s="4" t="s">
        <v>187</v>
      </c>
      <c r="D48" s="3">
        <v>14.0</v>
      </c>
      <c r="E48" s="3">
        <v>1209.0</v>
      </c>
      <c r="F48" s="3">
        <v>3185.0</v>
      </c>
      <c r="G48" s="6">
        <f t="shared" si="2"/>
        <v>2.634408602</v>
      </c>
      <c r="H48" s="6" t="s">
        <v>19</v>
      </c>
      <c r="I48" s="6"/>
      <c r="J48" s="7" t="s">
        <v>72</v>
      </c>
      <c r="K48" s="3"/>
      <c r="L48" s="3"/>
      <c r="M48" s="3"/>
      <c r="N48" s="3"/>
      <c r="O48" s="3"/>
      <c r="P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3" t="s">
        <v>188</v>
      </c>
      <c r="B49" s="4" t="s">
        <v>189</v>
      </c>
      <c r="C49" s="4" t="s">
        <v>190</v>
      </c>
      <c r="D49" s="9" t="s">
        <v>191</v>
      </c>
      <c r="E49" s="3">
        <v>38.0</v>
      </c>
      <c r="F49" s="3">
        <v>37.25</v>
      </c>
      <c r="G49" s="6">
        <f t="shared" si="2"/>
        <v>0.9802631579</v>
      </c>
      <c r="H49" s="6" t="s">
        <v>77</v>
      </c>
      <c r="I49" s="6"/>
      <c r="J49" s="7" t="s">
        <v>26</v>
      </c>
      <c r="K49" s="3"/>
      <c r="L49" s="3"/>
      <c r="M49" s="3"/>
      <c r="N49" s="3"/>
      <c r="O49" s="3"/>
      <c r="P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3" t="s">
        <v>192</v>
      </c>
      <c r="B50" s="4" t="s">
        <v>193</v>
      </c>
      <c r="C50" s="4" t="s">
        <v>194</v>
      </c>
      <c r="D50" s="3" t="s">
        <v>195</v>
      </c>
      <c r="E50" s="3">
        <v>32.0</v>
      </c>
      <c r="F50" s="3">
        <v>420.0</v>
      </c>
      <c r="G50" s="6">
        <f t="shared" si="2"/>
        <v>13.125</v>
      </c>
      <c r="H50" s="6" t="s">
        <v>31</v>
      </c>
      <c r="I50" s="6"/>
      <c r="J50" s="7" t="s">
        <v>32</v>
      </c>
      <c r="K50" s="3"/>
      <c r="L50" s="3"/>
      <c r="M50" s="3"/>
      <c r="N50" s="3"/>
      <c r="O50" s="3"/>
      <c r="P50" s="8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3" t="s">
        <v>196</v>
      </c>
      <c r="B51" s="4" t="s">
        <v>197</v>
      </c>
      <c r="C51" s="4" t="s">
        <v>198</v>
      </c>
      <c r="D51" s="3" t="s">
        <v>199</v>
      </c>
      <c r="E51" s="3">
        <v>220.0</v>
      </c>
      <c r="F51" s="3">
        <v>755.0</v>
      </c>
      <c r="G51" s="6">
        <f t="shared" si="2"/>
        <v>3.431818182</v>
      </c>
      <c r="H51" s="6" t="s">
        <v>31</v>
      </c>
      <c r="I51" s="6"/>
      <c r="J51" s="7" t="s">
        <v>200</v>
      </c>
      <c r="K51" s="3"/>
      <c r="L51" s="3"/>
      <c r="M51" s="3"/>
      <c r="N51" s="3"/>
      <c r="O51" s="3"/>
      <c r="P51" s="8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3" t="s">
        <v>201</v>
      </c>
      <c r="B52" s="4" t="s">
        <v>202</v>
      </c>
      <c r="C52" s="4" t="s">
        <v>203</v>
      </c>
      <c r="D52" s="9" t="s">
        <v>204</v>
      </c>
      <c r="E52" s="3">
        <v>64.0</v>
      </c>
      <c r="F52" s="3">
        <v>33.25</v>
      </c>
      <c r="G52" s="6">
        <f t="shared" si="2"/>
        <v>0.51953125</v>
      </c>
      <c r="H52" s="6" t="s">
        <v>81</v>
      </c>
      <c r="I52" s="6"/>
      <c r="J52" s="7" t="s">
        <v>26</v>
      </c>
      <c r="K52" s="3"/>
      <c r="L52" s="3"/>
      <c r="M52" s="3"/>
      <c r="N52" s="3"/>
      <c r="O52" s="3"/>
      <c r="P52" s="8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3" t="s">
        <v>205</v>
      </c>
      <c r="B53" s="4" t="s">
        <v>206</v>
      </c>
      <c r="C53" s="4" t="s">
        <v>76</v>
      </c>
      <c r="D53" s="3" t="s">
        <v>207</v>
      </c>
      <c r="E53" s="3">
        <v>7.0</v>
      </c>
      <c r="F53" s="3">
        <v>145.0</v>
      </c>
      <c r="G53" s="6">
        <f t="shared" si="2"/>
        <v>20.71428571</v>
      </c>
      <c r="H53" s="6" t="s">
        <v>31</v>
      </c>
      <c r="I53" s="6"/>
      <c r="J53" s="7" t="s">
        <v>32</v>
      </c>
      <c r="K53" s="3"/>
      <c r="L53" s="3"/>
      <c r="M53" s="3"/>
      <c r="N53" s="3"/>
      <c r="O53" s="3"/>
      <c r="P53" s="8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3" t="s">
        <v>208</v>
      </c>
      <c r="B54" s="4" t="s">
        <v>209</v>
      </c>
      <c r="C54" s="4" t="s">
        <v>76</v>
      </c>
      <c r="D54" s="3" t="s">
        <v>210</v>
      </c>
      <c r="E54" s="3">
        <v>77.0</v>
      </c>
      <c r="F54" s="3">
        <v>345.0</v>
      </c>
      <c r="G54" s="6">
        <f t="shared" si="2"/>
        <v>4.480519481</v>
      </c>
      <c r="H54" s="6" t="s">
        <v>31</v>
      </c>
      <c r="I54" s="6"/>
      <c r="J54" s="7" t="s">
        <v>45</v>
      </c>
      <c r="K54" s="3"/>
      <c r="L54" s="3"/>
      <c r="M54" s="3"/>
      <c r="N54" s="3"/>
      <c r="O54" s="3"/>
      <c r="P54" s="8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3" t="s">
        <v>211</v>
      </c>
      <c r="B55" s="4" t="s">
        <v>212</v>
      </c>
      <c r="C55" s="4" t="s">
        <v>213</v>
      </c>
      <c r="D55" s="9" t="s">
        <v>204</v>
      </c>
      <c r="E55" s="3">
        <v>85.0</v>
      </c>
      <c r="F55" s="3">
        <v>42.85</v>
      </c>
      <c r="G55" s="6">
        <f t="shared" si="2"/>
        <v>0.5041176471</v>
      </c>
      <c r="H55" s="6" t="s">
        <v>81</v>
      </c>
      <c r="I55" s="6"/>
      <c r="J55" s="7" t="s">
        <v>26</v>
      </c>
      <c r="K55" s="3"/>
      <c r="L55" s="3"/>
      <c r="M55" s="3"/>
      <c r="N55" s="3"/>
      <c r="O55" s="3"/>
      <c r="P55" s="8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3" t="s">
        <v>214</v>
      </c>
      <c r="B56" s="4" t="s">
        <v>215</v>
      </c>
      <c r="C56" s="4" t="s">
        <v>216</v>
      </c>
      <c r="D56" s="9" t="s">
        <v>204</v>
      </c>
      <c r="E56" s="3">
        <v>77.0</v>
      </c>
      <c r="F56" s="3">
        <v>40.22</v>
      </c>
      <c r="G56" s="6">
        <f t="shared" si="2"/>
        <v>0.5223376623</v>
      </c>
      <c r="H56" s="6" t="s">
        <v>81</v>
      </c>
      <c r="I56" s="6"/>
      <c r="J56" s="7" t="s">
        <v>26</v>
      </c>
      <c r="K56" s="3"/>
      <c r="L56" s="3"/>
      <c r="M56" s="3"/>
      <c r="N56" s="3"/>
      <c r="O56" s="3"/>
      <c r="P56" s="8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3" t="s">
        <v>217</v>
      </c>
      <c r="B57" s="4" t="s">
        <v>218</v>
      </c>
      <c r="C57" s="4" t="s">
        <v>219</v>
      </c>
      <c r="D57" s="3" t="s">
        <v>220</v>
      </c>
      <c r="E57" s="3">
        <v>22.5</v>
      </c>
      <c r="F57" s="3">
        <v>255.0</v>
      </c>
      <c r="G57" s="6">
        <f t="shared" si="2"/>
        <v>11.33333333</v>
      </c>
      <c r="H57" s="6" t="s">
        <v>31</v>
      </c>
      <c r="I57" s="6"/>
      <c r="J57" s="7" t="s">
        <v>32</v>
      </c>
      <c r="K57" s="3"/>
      <c r="L57" s="4" t="s">
        <v>221</v>
      </c>
      <c r="M57" s="3"/>
      <c r="N57" s="3"/>
      <c r="O57" s="3"/>
      <c r="P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3" t="s">
        <v>222</v>
      </c>
      <c r="B58" s="4" t="s">
        <v>223</v>
      </c>
      <c r="C58" s="4" t="s">
        <v>187</v>
      </c>
      <c r="D58" s="3">
        <v>14.0</v>
      </c>
      <c r="E58" s="3">
        <v>1520.0</v>
      </c>
      <c r="F58" s="3">
        <v>3550.0</v>
      </c>
      <c r="G58" s="6">
        <f t="shared" si="2"/>
        <v>2.335526316</v>
      </c>
      <c r="H58" s="6" t="s">
        <v>19</v>
      </c>
      <c r="I58" s="6"/>
      <c r="J58" s="7" t="s">
        <v>72</v>
      </c>
      <c r="K58" s="3"/>
      <c r="L58" s="3"/>
      <c r="M58" s="3"/>
      <c r="N58" s="3"/>
      <c r="O58" s="3"/>
      <c r="P58" s="8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3" t="s">
        <v>224</v>
      </c>
      <c r="B59" s="4" t="s">
        <v>225</v>
      </c>
      <c r="C59" s="12" t="s">
        <v>226</v>
      </c>
      <c r="D59" s="3" t="s">
        <v>227</v>
      </c>
      <c r="E59" s="3">
        <v>396.0</v>
      </c>
      <c r="F59" s="3">
        <v>1120.0</v>
      </c>
      <c r="G59" s="6">
        <f t="shared" si="2"/>
        <v>2.828282828</v>
      </c>
      <c r="H59" s="6" t="s">
        <v>31</v>
      </c>
      <c r="I59" s="6"/>
      <c r="J59" s="7" t="s">
        <v>45</v>
      </c>
      <c r="K59" s="3"/>
      <c r="L59" s="3"/>
      <c r="M59" s="3"/>
      <c r="N59" s="3"/>
      <c r="O59" s="3"/>
      <c r="P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3" t="s">
        <v>228</v>
      </c>
      <c r="B60" s="4" t="s">
        <v>229</v>
      </c>
      <c r="C60" s="4" t="s">
        <v>230</v>
      </c>
      <c r="D60" s="9" t="s">
        <v>191</v>
      </c>
      <c r="E60" s="3">
        <v>75.0</v>
      </c>
      <c r="F60" s="3">
        <v>57.0</v>
      </c>
      <c r="G60" s="6">
        <f t="shared" si="2"/>
        <v>0.76</v>
      </c>
      <c r="H60" s="6" t="s">
        <v>77</v>
      </c>
      <c r="I60" s="6"/>
      <c r="J60" s="7" t="s">
        <v>26</v>
      </c>
      <c r="K60" s="3"/>
      <c r="L60" s="3"/>
      <c r="M60" s="3"/>
      <c r="N60" s="3"/>
      <c r="O60" s="3"/>
      <c r="P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3" t="s">
        <v>231</v>
      </c>
      <c r="B61" s="4" t="s">
        <v>232</v>
      </c>
      <c r="C61" s="4" t="s">
        <v>233</v>
      </c>
      <c r="D61" s="3">
        <v>25.0</v>
      </c>
      <c r="E61" s="3">
        <v>37.0</v>
      </c>
      <c r="F61" s="3">
        <v>380.0</v>
      </c>
      <c r="G61" s="6">
        <f t="shared" si="2"/>
        <v>10.27027027</v>
      </c>
      <c r="H61" s="6" t="s">
        <v>31</v>
      </c>
      <c r="I61" s="6"/>
      <c r="J61" s="7" t="s">
        <v>32</v>
      </c>
      <c r="K61" s="3"/>
      <c r="L61" s="3"/>
      <c r="M61" s="3"/>
      <c r="N61" s="3"/>
      <c r="O61" s="3"/>
      <c r="P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3" t="s">
        <v>234</v>
      </c>
      <c r="B62" s="4" t="s">
        <v>235</v>
      </c>
      <c r="C62" s="4" t="s">
        <v>236</v>
      </c>
      <c r="D62" s="3">
        <v>14.0</v>
      </c>
      <c r="E62" s="3">
        <v>297.0</v>
      </c>
      <c r="F62" s="3">
        <v>638.55</v>
      </c>
      <c r="G62" s="6">
        <f t="shared" si="2"/>
        <v>2.15</v>
      </c>
      <c r="H62" s="6" t="s">
        <v>19</v>
      </c>
      <c r="I62" s="6"/>
      <c r="J62" s="7" t="s">
        <v>41</v>
      </c>
      <c r="K62" s="3"/>
      <c r="L62" s="3"/>
      <c r="M62" s="3"/>
      <c r="N62" s="3"/>
      <c r="O62" s="3"/>
      <c r="P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3" t="s">
        <v>237</v>
      </c>
      <c r="B63" s="4" t="s">
        <v>238</v>
      </c>
      <c r="C63" s="12" t="s">
        <v>239</v>
      </c>
      <c r="D63" s="3" t="s">
        <v>240</v>
      </c>
      <c r="E63" s="3">
        <v>433.0</v>
      </c>
      <c r="F63" s="3">
        <v>1225.0</v>
      </c>
      <c r="G63" s="6">
        <f t="shared" si="2"/>
        <v>2.829099307</v>
      </c>
      <c r="H63" s="6" t="s">
        <v>31</v>
      </c>
      <c r="I63" s="6"/>
      <c r="J63" s="7" t="s">
        <v>45</v>
      </c>
      <c r="K63" s="3"/>
      <c r="L63" s="3">
        <v>361824.0</v>
      </c>
      <c r="M63" s="3"/>
      <c r="N63" s="3"/>
      <c r="O63" s="3"/>
      <c r="P63" s="8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3" t="s">
        <v>241</v>
      </c>
      <c r="B64" s="4" t="s">
        <v>242</v>
      </c>
      <c r="C64" s="12" t="s">
        <v>243</v>
      </c>
      <c r="D64" s="3" t="s">
        <v>244</v>
      </c>
      <c r="E64" s="3">
        <v>34.0</v>
      </c>
      <c r="F64" s="3">
        <v>335.0</v>
      </c>
      <c r="G64" s="6">
        <f t="shared" si="2"/>
        <v>9.852941176</v>
      </c>
      <c r="H64" s="6" t="s">
        <v>31</v>
      </c>
      <c r="I64" s="6"/>
      <c r="J64" s="7" t="s">
        <v>32</v>
      </c>
      <c r="K64" s="3"/>
      <c r="L64" s="3"/>
      <c r="M64" s="3"/>
      <c r="N64" s="3"/>
      <c r="O64" s="3"/>
      <c r="P64" s="8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3" t="s">
        <v>245</v>
      </c>
      <c r="B65" s="4" t="s">
        <v>246</v>
      </c>
      <c r="C65" s="4" t="s">
        <v>247</v>
      </c>
      <c r="D65" s="9" t="s">
        <v>248</v>
      </c>
      <c r="E65" s="3">
        <v>47.5</v>
      </c>
      <c r="F65" s="3">
        <v>39.67</v>
      </c>
      <c r="G65" s="6">
        <f t="shared" si="2"/>
        <v>0.8351578947</v>
      </c>
      <c r="H65" s="6" t="s">
        <v>77</v>
      </c>
      <c r="I65" s="6"/>
      <c r="J65" s="7" t="s">
        <v>26</v>
      </c>
      <c r="K65" s="3"/>
      <c r="L65" s="3"/>
      <c r="M65" s="3"/>
      <c r="N65" s="3"/>
      <c r="O65" s="3"/>
      <c r="P65" s="8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3" t="s">
        <v>249</v>
      </c>
      <c r="B66" s="4" t="s">
        <v>250</v>
      </c>
      <c r="C66" s="12" t="s">
        <v>251</v>
      </c>
      <c r="D66" s="3" t="s">
        <v>252</v>
      </c>
      <c r="E66" s="3">
        <v>149.0</v>
      </c>
      <c r="F66" s="3">
        <v>426.0</v>
      </c>
      <c r="G66" s="6">
        <f t="shared" si="2"/>
        <v>2.859060403</v>
      </c>
      <c r="H66" s="6" t="s">
        <v>31</v>
      </c>
      <c r="I66" s="6"/>
      <c r="J66" s="7" t="s">
        <v>45</v>
      </c>
      <c r="K66" s="3"/>
      <c r="L66" s="3">
        <v>365051.0</v>
      </c>
      <c r="M66" s="3"/>
      <c r="N66" s="3"/>
      <c r="O66" s="3"/>
      <c r="P66" s="8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3" t="s">
        <v>253</v>
      </c>
      <c r="B67" s="4" t="s">
        <v>254</v>
      </c>
      <c r="C67" s="4" t="s">
        <v>255</v>
      </c>
      <c r="D67" s="3" t="s">
        <v>256</v>
      </c>
      <c r="E67" s="3">
        <v>22.5</v>
      </c>
      <c r="F67" s="3">
        <v>230.0</v>
      </c>
      <c r="G67" s="6">
        <f t="shared" si="2"/>
        <v>10.22222222</v>
      </c>
      <c r="H67" s="6" t="s">
        <v>31</v>
      </c>
      <c r="I67" s="6"/>
      <c r="J67" s="7" t="s">
        <v>32</v>
      </c>
      <c r="K67" s="3"/>
      <c r="L67" s="3"/>
      <c r="M67" s="3"/>
      <c r="N67" s="3"/>
      <c r="O67" s="3"/>
      <c r="P67" s="8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3" t="s">
        <v>257</v>
      </c>
      <c r="B68" s="4" t="s">
        <v>258</v>
      </c>
      <c r="C68" s="4" t="s">
        <v>259</v>
      </c>
      <c r="D68" s="9" t="s">
        <v>248</v>
      </c>
      <c r="E68" s="3">
        <v>85.0</v>
      </c>
      <c r="F68" s="3">
        <v>63.77</v>
      </c>
      <c r="G68" s="6">
        <f t="shared" si="2"/>
        <v>0.7502352941</v>
      </c>
      <c r="H68" s="6" t="s">
        <v>77</v>
      </c>
      <c r="I68" s="6"/>
      <c r="J68" s="7" t="s">
        <v>26</v>
      </c>
      <c r="K68" s="3"/>
      <c r="L68" s="3"/>
      <c r="M68" s="3"/>
      <c r="N68" s="3"/>
      <c r="O68" s="3"/>
      <c r="P68" s="8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3" t="s">
        <v>260</v>
      </c>
      <c r="B69" s="4" t="s">
        <v>261</v>
      </c>
      <c r="C69" s="4" t="s">
        <v>262</v>
      </c>
      <c r="D69" s="3">
        <v>32.0</v>
      </c>
      <c r="E69" s="3">
        <v>49.0</v>
      </c>
      <c r="F69" s="3">
        <v>431.2</v>
      </c>
      <c r="G69" s="6">
        <f t="shared" si="2"/>
        <v>8.8</v>
      </c>
      <c r="H69" s="6" t="s">
        <v>19</v>
      </c>
      <c r="I69" s="6" t="s">
        <v>263</v>
      </c>
      <c r="J69" s="7" t="s">
        <v>20</v>
      </c>
      <c r="K69" s="3">
        <v>24.0</v>
      </c>
      <c r="L69" s="3"/>
      <c r="M69" s="3"/>
      <c r="N69" s="3"/>
      <c r="O69" s="3"/>
      <c r="P69" s="8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3" t="s">
        <v>264</v>
      </c>
      <c r="B70" s="4" t="s">
        <v>265</v>
      </c>
      <c r="C70" s="4" t="s">
        <v>266</v>
      </c>
      <c r="D70" s="3" t="s">
        <v>267</v>
      </c>
      <c r="E70" s="3">
        <v>38.0</v>
      </c>
      <c r="F70" s="3">
        <v>362.55</v>
      </c>
      <c r="G70" s="6">
        <f t="shared" si="2"/>
        <v>9.540789474</v>
      </c>
      <c r="H70" s="6" t="s">
        <v>81</v>
      </c>
      <c r="I70" s="9" t="s">
        <v>268</v>
      </c>
      <c r="J70" s="7" t="s">
        <v>269</v>
      </c>
      <c r="K70" s="3">
        <v>24.0</v>
      </c>
      <c r="L70" s="3"/>
      <c r="M70" s="3"/>
      <c r="N70" s="3"/>
      <c r="O70" s="3"/>
      <c r="P70" s="8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3" t="s">
        <v>270</v>
      </c>
      <c r="B71" s="4" t="s">
        <v>271</v>
      </c>
      <c r="C71" s="4" t="s">
        <v>272</v>
      </c>
      <c r="D71" s="3">
        <v>34.0</v>
      </c>
      <c r="E71" s="3">
        <v>62.0</v>
      </c>
      <c r="F71" s="3">
        <v>225.0</v>
      </c>
      <c r="G71" s="6">
        <f t="shared" si="2"/>
        <v>3.629032258</v>
      </c>
      <c r="H71" s="6" t="s">
        <v>31</v>
      </c>
      <c r="I71" s="9" t="s">
        <v>268</v>
      </c>
      <c r="J71" s="7" t="s">
        <v>72</v>
      </c>
      <c r="K71" s="3" t="s">
        <v>273</v>
      </c>
      <c r="L71" s="3"/>
      <c r="M71" s="3"/>
      <c r="N71" s="3"/>
      <c r="O71" s="3"/>
      <c r="P71" s="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3" t="s">
        <v>274</v>
      </c>
      <c r="B72" s="4" t="s">
        <v>275</v>
      </c>
      <c r="C72" s="4" t="s">
        <v>276</v>
      </c>
      <c r="D72" s="3">
        <v>32.0</v>
      </c>
      <c r="E72" s="3">
        <v>110.0</v>
      </c>
      <c r="F72" s="3">
        <v>891.0</v>
      </c>
      <c r="G72" s="6">
        <f t="shared" si="2"/>
        <v>8.1</v>
      </c>
      <c r="H72" s="6" t="s">
        <v>19</v>
      </c>
      <c r="I72" s="6" t="s">
        <v>263</v>
      </c>
      <c r="J72" s="7" t="s">
        <v>277</v>
      </c>
      <c r="K72" s="3">
        <v>24.0</v>
      </c>
      <c r="L72" s="3"/>
      <c r="M72" s="3"/>
      <c r="N72" s="3"/>
      <c r="O72" s="3"/>
      <c r="P72" s="8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3" t="s">
        <v>278</v>
      </c>
      <c r="B73" s="4" t="s">
        <v>279</v>
      </c>
      <c r="C73" s="4" t="s">
        <v>280</v>
      </c>
      <c r="D73" s="3">
        <v>50.0</v>
      </c>
      <c r="E73" s="3">
        <v>90.0</v>
      </c>
      <c r="F73" s="3">
        <v>255.0</v>
      </c>
      <c r="G73" s="6">
        <f t="shared" si="2"/>
        <v>2.833333333</v>
      </c>
      <c r="H73" s="6" t="s">
        <v>281</v>
      </c>
      <c r="I73" s="9" t="s">
        <v>268</v>
      </c>
      <c r="J73" s="7" t="s">
        <v>72</v>
      </c>
      <c r="K73" s="3" t="s">
        <v>273</v>
      </c>
      <c r="L73" s="3"/>
      <c r="M73" s="3"/>
      <c r="N73" s="3"/>
      <c r="O73" s="3"/>
      <c r="P73" s="8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3" t="s">
        <v>282</v>
      </c>
      <c r="B74" s="4" t="s">
        <v>283</v>
      </c>
      <c r="C74" s="4" t="s">
        <v>284</v>
      </c>
      <c r="D74" s="3" t="s">
        <v>285</v>
      </c>
      <c r="E74" s="3">
        <v>24.0</v>
      </c>
      <c r="F74" s="3">
        <f>ROUND((1424885+28486)/23150,2)</f>
        <v>62.78</v>
      </c>
      <c r="G74" s="6">
        <f t="shared" si="2"/>
        <v>2.615833333</v>
      </c>
      <c r="H74" s="3" t="s">
        <v>286</v>
      </c>
      <c r="I74" s="9" t="s">
        <v>268</v>
      </c>
      <c r="J74" s="7" t="s">
        <v>287</v>
      </c>
      <c r="K74" s="3">
        <v>24.0</v>
      </c>
      <c r="L74" s="3"/>
      <c r="M74" s="3"/>
      <c r="N74" s="3"/>
      <c r="O74" s="3"/>
      <c r="P74" s="8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3" t="s">
        <v>288</v>
      </c>
      <c r="B75" s="12" t="s">
        <v>289</v>
      </c>
      <c r="C75" s="12" t="s">
        <v>290</v>
      </c>
      <c r="D75" s="9" t="s">
        <v>291</v>
      </c>
      <c r="E75" s="3">
        <v>164.0</v>
      </c>
      <c r="F75" s="3">
        <v>1110.28</v>
      </c>
      <c r="G75" s="6">
        <f t="shared" si="2"/>
        <v>6.77</v>
      </c>
      <c r="H75" s="9" t="s">
        <v>292</v>
      </c>
      <c r="I75" s="6" t="s">
        <v>263</v>
      </c>
      <c r="J75" s="7" t="s">
        <v>293</v>
      </c>
      <c r="K75" s="3">
        <v>23.0</v>
      </c>
      <c r="L75" s="3"/>
      <c r="M75" s="3"/>
      <c r="N75" s="3"/>
      <c r="O75" s="3"/>
      <c r="P75" s="8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3" t="s">
        <v>294</v>
      </c>
      <c r="B76" s="4" t="s">
        <v>295</v>
      </c>
      <c r="C76" s="4" t="s">
        <v>296</v>
      </c>
      <c r="D76" s="3" t="s">
        <v>297</v>
      </c>
      <c r="E76" s="3">
        <v>190.0</v>
      </c>
      <c r="F76" s="3">
        <v>1292.0</v>
      </c>
      <c r="G76" s="6">
        <f t="shared" si="2"/>
        <v>6.8</v>
      </c>
      <c r="H76" s="6" t="s">
        <v>19</v>
      </c>
      <c r="I76" s="6" t="s">
        <v>263</v>
      </c>
      <c r="J76" s="7" t="s">
        <v>298</v>
      </c>
      <c r="K76" s="3">
        <v>23.0</v>
      </c>
      <c r="L76" s="3">
        <v>368707.0</v>
      </c>
      <c r="M76" s="3"/>
      <c r="N76" s="3"/>
      <c r="O76" s="3"/>
      <c r="P76" s="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3" t="s">
        <v>299</v>
      </c>
      <c r="B77" s="4" t="s">
        <v>300</v>
      </c>
      <c r="C77" s="4" t="s">
        <v>301</v>
      </c>
      <c r="D77" s="3" t="s">
        <v>302</v>
      </c>
      <c r="E77" s="3">
        <v>120.0</v>
      </c>
      <c r="F77" s="3">
        <v>885.6</v>
      </c>
      <c r="G77" s="6">
        <f t="shared" si="2"/>
        <v>7.38</v>
      </c>
      <c r="H77" s="6" t="s">
        <v>19</v>
      </c>
      <c r="I77" s="6" t="s">
        <v>263</v>
      </c>
      <c r="J77" s="7" t="s">
        <v>20</v>
      </c>
      <c r="K77" s="3">
        <v>24.0</v>
      </c>
      <c r="L77" s="3">
        <v>369782.0</v>
      </c>
      <c r="M77" s="3"/>
      <c r="N77" s="3"/>
      <c r="O77" s="3"/>
      <c r="P77" s="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3" t="s">
        <v>303</v>
      </c>
      <c r="B78" s="4" t="s">
        <v>304</v>
      </c>
      <c r="C78" s="4" t="s">
        <v>305</v>
      </c>
      <c r="D78" s="3" t="s">
        <v>306</v>
      </c>
      <c r="E78" s="15">
        <v>119.0</v>
      </c>
      <c r="F78" s="3">
        <v>725.9</v>
      </c>
      <c r="G78" s="6">
        <f t="shared" si="2"/>
        <v>6.1</v>
      </c>
      <c r="H78" s="6" t="s">
        <v>19</v>
      </c>
      <c r="I78" s="6" t="s">
        <v>263</v>
      </c>
      <c r="J78" s="7" t="s">
        <v>277</v>
      </c>
      <c r="K78" s="3">
        <v>24.0</v>
      </c>
      <c r="L78" s="3"/>
      <c r="M78" s="3"/>
      <c r="N78" s="3"/>
      <c r="O78" s="3"/>
      <c r="P78" s="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3" t="s">
        <v>307</v>
      </c>
      <c r="B79" s="4" t="s">
        <v>308</v>
      </c>
      <c r="C79" s="12" t="s">
        <v>309</v>
      </c>
      <c r="D79" s="3" t="s">
        <v>306</v>
      </c>
      <c r="E79" s="15">
        <v>775.0</v>
      </c>
      <c r="F79" s="3">
        <v>1395.0</v>
      </c>
      <c r="G79" s="6">
        <f t="shared" si="2"/>
        <v>1.8</v>
      </c>
      <c r="H79" s="6" t="s">
        <v>19</v>
      </c>
      <c r="I79" s="6" t="s">
        <v>263</v>
      </c>
      <c r="J79" s="7" t="s">
        <v>72</v>
      </c>
      <c r="K79" s="3">
        <v>23.0</v>
      </c>
      <c r="L79" s="3"/>
      <c r="M79" s="3"/>
      <c r="N79" s="3"/>
      <c r="O79" s="3"/>
      <c r="P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3" t="s">
        <v>310</v>
      </c>
      <c r="B80" s="4" t="s">
        <v>311</v>
      </c>
      <c r="C80" s="4" t="s">
        <v>312</v>
      </c>
      <c r="D80" s="3" t="s">
        <v>302</v>
      </c>
      <c r="E80" s="3">
        <v>21.0</v>
      </c>
      <c r="F80" s="3">
        <v>157.5</v>
      </c>
      <c r="G80" s="6">
        <f t="shared" si="2"/>
        <v>7.5</v>
      </c>
      <c r="H80" s="6" t="s">
        <v>19</v>
      </c>
      <c r="I80" s="9" t="s">
        <v>268</v>
      </c>
      <c r="J80" s="7" t="s">
        <v>277</v>
      </c>
      <c r="K80" s="3" t="s">
        <v>273</v>
      </c>
      <c r="L80" s="3"/>
      <c r="M80" s="3"/>
      <c r="N80" s="3"/>
      <c r="O80" s="3"/>
      <c r="P80" s="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3" t="s">
        <v>313</v>
      </c>
      <c r="B81" s="4" t="s">
        <v>314</v>
      </c>
      <c r="C81" s="4" t="s">
        <v>315</v>
      </c>
      <c r="D81" s="3" t="s">
        <v>316</v>
      </c>
      <c r="E81" s="3">
        <v>118.0</v>
      </c>
      <c r="F81" s="3">
        <v>1140.0</v>
      </c>
      <c r="G81" s="6">
        <f t="shared" si="2"/>
        <v>9.661016949</v>
      </c>
      <c r="H81" s="6" t="s">
        <v>31</v>
      </c>
      <c r="I81" s="9" t="s">
        <v>268</v>
      </c>
      <c r="J81" s="7" t="s">
        <v>125</v>
      </c>
      <c r="K81" s="3">
        <v>23.0</v>
      </c>
      <c r="L81" s="3">
        <v>1.1233070711E10</v>
      </c>
      <c r="M81" s="3"/>
      <c r="N81" s="3"/>
      <c r="O81" s="3"/>
      <c r="P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3" t="s">
        <v>317</v>
      </c>
      <c r="B82" s="4" t="s">
        <v>318</v>
      </c>
      <c r="C82" s="4" t="s">
        <v>319</v>
      </c>
      <c r="D82" s="9" t="s">
        <v>248</v>
      </c>
      <c r="E82" s="3">
        <v>24.0</v>
      </c>
      <c r="F82" s="3">
        <v>22.27</v>
      </c>
      <c r="G82" s="6">
        <f t="shared" si="2"/>
        <v>0.9279166667</v>
      </c>
      <c r="H82" s="6" t="s">
        <v>77</v>
      </c>
      <c r="I82" s="9" t="s">
        <v>268</v>
      </c>
      <c r="J82" s="7" t="s">
        <v>26</v>
      </c>
      <c r="K82" s="3">
        <v>24.0</v>
      </c>
      <c r="L82" s="16"/>
      <c r="M82" s="3"/>
      <c r="N82" s="3"/>
      <c r="O82" s="3"/>
      <c r="P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3" t="s">
        <v>320</v>
      </c>
      <c r="B83" s="4" t="s">
        <v>321</v>
      </c>
      <c r="C83" s="4" t="s">
        <v>322</v>
      </c>
      <c r="D83" s="3" t="s">
        <v>323</v>
      </c>
      <c r="E83" s="3">
        <v>62.0</v>
      </c>
      <c r="F83" s="3">
        <v>398.0</v>
      </c>
      <c r="G83" s="6">
        <f t="shared" si="2"/>
        <v>6.419354839</v>
      </c>
      <c r="H83" s="6" t="s">
        <v>31</v>
      </c>
      <c r="I83" s="9" t="s">
        <v>268</v>
      </c>
      <c r="J83" s="7" t="s">
        <v>277</v>
      </c>
      <c r="K83" s="3" t="s">
        <v>273</v>
      </c>
      <c r="L83" s="3"/>
      <c r="M83" s="3"/>
      <c r="N83" s="3"/>
      <c r="O83" s="3"/>
      <c r="P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3" t="s">
        <v>324</v>
      </c>
      <c r="B84" s="4" t="s">
        <v>325</v>
      </c>
      <c r="C84" s="4" t="s">
        <v>326</v>
      </c>
      <c r="D84" s="3" t="s">
        <v>327</v>
      </c>
      <c r="E84" s="3">
        <v>101.0</v>
      </c>
      <c r="F84" s="3">
        <v>283.0</v>
      </c>
      <c r="G84" s="6">
        <f t="shared" si="2"/>
        <v>2.801980198</v>
      </c>
      <c r="H84" s="6" t="s">
        <v>31</v>
      </c>
      <c r="I84" s="9" t="s">
        <v>268</v>
      </c>
      <c r="J84" s="7" t="s">
        <v>72</v>
      </c>
      <c r="K84" s="3" t="s">
        <v>273</v>
      </c>
      <c r="L84" s="3"/>
      <c r="M84" s="3"/>
      <c r="N84" s="3"/>
      <c r="O84" s="3"/>
      <c r="P84" s="8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3" t="s">
        <v>328</v>
      </c>
      <c r="B85" s="12" t="s">
        <v>329</v>
      </c>
      <c r="C85" s="12" t="s">
        <v>330</v>
      </c>
      <c r="D85" s="9" t="s">
        <v>331</v>
      </c>
      <c r="E85" s="3">
        <v>145.0</v>
      </c>
      <c r="F85" s="3">
        <v>826.0</v>
      </c>
      <c r="G85" s="6">
        <f t="shared" si="2"/>
        <v>5.696551724</v>
      </c>
      <c r="H85" s="9" t="s">
        <v>292</v>
      </c>
      <c r="I85" s="6" t="s">
        <v>263</v>
      </c>
      <c r="J85" s="7" t="s">
        <v>298</v>
      </c>
      <c r="K85" s="3" t="s">
        <v>332</v>
      </c>
      <c r="L85" s="3">
        <v>1.1873202241E10</v>
      </c>
      <c r="M85" s="3"/>
      <c r="N85" s="3"/>
      <c r="O85" s="3"/>
      <c r="P85" s="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3" t="s">
        <v>333</v>
      </c>
      <c r="B86" s="4" t="s">
        <v>334</v>
      </c>
      <c r="C86" s="12" t="s">
        <v>335</v>
      </c>
      <c r="D86" s="3" t="s">
        <v>336</v>
      </c>
      <c r="E86" s="3">
        <v>648.0</v>
      </c>
      <c r="F86" s="3">
        <v>1655.0</v>
      </c>
      <c r="G86" s="6">
        <f t="shared" si="2"/>
        <v>2.554012346</v>
      </c>
      <c r="H86" s="6" t="s">
        <v>31</v>
      </c>
      <c r="I86" s="9" t="s">
        <v>268</v>
      </c>
      <c r="J86" s="7" t="s">
        <v>45</v>
      </c>
      <c r="K86" s="3">
        <v>23.0</v>
      </c>
      <c r="L86" s="3" t="s">
        <v>337</v>
      </c>
      <c r="M86" s="2"/>
      <c r="N86" s="2"/>
      <c r="O86" s="3"/>
      <c r="P86" s="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3" t="s">
        <v>338</v>
      </c>
      <c r="B87" s="4" t="s">
        <v>339</v>
      </c>
      <c r="C87" s="4" t="s">
        <v>340</v>
      </c>
      <c r="D87" s="9" t="s">
        <v>341</v>
      </c>
      <c r="E87" s="3">
        <v>20.0</v>
      </c>
      <c r="F87" s="3">
        <v>15.79</v>
      </c>
      <c r="G87" s="6">
        <f t="shared" si="2"/>
        <v>0.7895</v>
      </c>
      <c r="H87" s="6" t="s">
        <v>77</v>
      </c>
      <c r="I87" s="9" t="s">
        <v>268</v>
      </c>
      <c r="J87" s="7" t="s">
        <v>26</v>
      </c>
      <c r="K87" s="3">
        <v>24.0</v>
      </c>
      <c r="L87" s="3"/>
      <c r="M87" s="3"/>
      <c r="N87" s="3"/>
      <c r="O87" s="3"/>
      <c r="P87" s="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3" t="s">
        <v>342</v>
      </c>
      <c r="B88" s="4" t="s">
        <v>343</v>
      </c>
      <c r="C88" s="12" t="s">
        <v>344</v>
      </c>
      <c r="D88" s="3" t="s">
        <v>345</v>
      </c>
      <c r="E88" s="3">
        <v>189.0</v>
      </c>
      <c r="F88" s="3">
        <v>1286.0</v>
      </c>
      <c r="G88" s="6">
        <f t="shared" si="2"/>
        <v>6.804232804</v>
      </c>
      <c r="H88" s="6" t="s">
        <v>19</v>
      </c>
      <c r="I88" s="17" t="s">
        <v>346</v>
      </c>
      <c r="J88" s="7" t="s">
        <v>298</v>
      </c>
      <c r="K88" s="3">
        <v>23.0</v>
      </c>
      <c r="L88" s="3">
        <v>1.1766429911E10</v>
      </c>
      <c r="M88" s="3"/>
      <c r="N88" s="3"/>
      <c r="O88" s="3"/>
      <c r="P88" s="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3" t="s">
        <v>347</v>
      </c>
      <c r="B89" s="4" t="s">
        <v>348</v>
      </c>
      <c r="C89" s="4" t="s">
        <v>349</v>
      </c>
      <c r="D89" s="3" t="s">
        <v>350</v>
      </c>
      <c r="E89" s="3">
        <v>237.0</v>
      </c>
      <c r="F89" s="3">
        <v>474.0</v>
      </c>
      <c r="G89" s="6">
        <f t="shared" si="2"/>
        <v>2</v>
      </c>
      <c r="H89" s="6" t="s">
        <v>19</v>
      </c>
      <c r="I89" s="6" t="s">
        <v>263</v>
      </c>
      <c r="J89" s="7" t="s">
        <v>72</v>
      </c>
      <c r="K89" s="3">
        <v>24.0</v>
      </c>
      <c r="L89" s="3"/>
      <c r="M89" s="3"/>
      <c r="N89" s="3"/>
      <c r="O89" s="3"/>
      <c r="P89" s="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3" t="s">
        <v>351</v>
      </c>
      <c r="B90" s="4" t="s">
        <v>352</v>
      </c>
      <c r="C90" s="4" t="s">
        <v>353</v>
      </c>
      <c r="D90" s="9" t="s">
        <v>354</v>
      </c>
      <c r="E90" s="3">
        <v>65.0</v>
      </c>
      <c r="F90" s="3">
        <v>50.34</v>
      </c>
      <c r="G90" s="6">
        <f t="shared" si="2"/>
        <v>0.7744615385</v>
      </c>
      <c r="H90" s="6" t="s">
        <v>77</v>
      </c>
      <c r="I90" s="9" t="s">
        <v>268</v>
      </c>
      <c r="J90" s="7" t="s">
        <v>26</v>
      </c>
      <c r="K90" s="3" t="s">
        <v>273</v>
      </c>
      <c r="L90" s="3"/>
      <c r="M90" s="3"/>
      <c r="N90" s="3"/>
      <c r="O90" s="3"/>
      <c r="P90" s="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3" t="s">
        <v>355</v>
      </c>
      <c r="B91" s="4" t="s">
        <v>356</v>
      </c>
      <c r="C91" s="4" t="s">
        <v>357</v>
      </c>
      <c r="D91" s="3" t="s">
        <v>358</v>
      </c>
      <c r="E91" s="3">
        <v>87.0</v>
      </c>
      <c r="F91" s="3">
        <v>522.0</v>
      </c>
      <c r="G91" s="6">
        <f t="shared" si="2"/>
        <v>6</v>
      </c>
      <c r="H91" s="6" t="s">
        <v>359</v>
      </c>
      <c r="I91" s="6" t="s">
        <v>360</v>
      </c>
      <c r="J91" s="7" t="s">
        <v>361</v>
      </c>
      <c r="K91" s="3">
        <v>24.0</v>
      </c>
      <c r="L91" s="3"/>
      <c r="M91" s="3"/>
      <c r="N91" s="3"/>
      <c r="O91" s="3"/>
      <c r="P91" s="8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3" t="s">
        <v>362</v>
      </c>
      <c r="B92" s="4" t="s">
        <v>363</v>
      </c>
      <c r="C92" s="4" t="s">
        <v>364</v>
      </c>
      <c r="D92" s="3" t="s">
        <v>365</v>
      </c>
      <c r="E92" s="3">
        <v>83.0</v>
      </c>
      <c r="F92" s="3">
        <v>498.0</v>
      </c>
      <c r="G92" s="6">
        <f t="shared" si="2"/>
        <v>6</v>
      </c>
      <c r="H92" s="6" t="s">
        <v>19</v>
      </c>
      <c r="I92" s="6" t="s">
        <v>263</v>
      </c>
      <c r="J92" s="7" t="s">
        <v>361</v>
      </c>
      <c r="K92" s="3">
        <v>24.0</v>
      </c>
      <c r="L92" s="3"/>
      <c r="M92" s="3"/>
      <c r="N92" s="3"/>
      <c r="O92" s="3"/>
      <c r="P92" s="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3" t="s">
        <v>366</v>
      </c>
      <c r="B93" s="4" t="s">
        <v>367</v>
      </c>
      <c r="C93" s="4" t="s">
        <v>368</v>
      </c>
      <c r="D93" s="3">
        <v>55.0</v>
      </c>
      <c r="E93" s="3">
        <v>51.5</v>
      </c>
      <c r="F93" s="3">
        <v>300.0</v>
      </c>
      <c r="G93" s="6">
        <f t="shared" si="2"/>
        <v>5.825242718</v>
      </c>
      <c r="H93" s="6" t="s">
        <v>369</v>
      </c>
      <c r="I93" s="6" t="s">
        <v>360</v>
      </c>
      <c r="J93" s="7" t="s">
        <v>370</v>
      </c>
      <c r="K93" s="3">
        <v>22.0</v>
      </c>
      <c r="L93" s="4" t="s">
        <v>371</v>
      </c>
      <c r="M93" s="3"/>
      <c r="N93" s="3"/>
      <c r="O93" s="3"/>
      <c r="P93" s="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21.0" customHeight="1">
      <c r="A94" s="3" t="s">
        <v>372</v>
      </c>
      <c r="B94" s="4" t="s">
        <v>373</v>
      </c>
      <c r="C94" s="12" t="s">
        <v>374</v>
      </c>
      <c r="D94" s="9" t="s">
        <v>375</v>
      </c>
      <c r="E94" s="3">
        <v>22.5</v>
      </c>
      <c r="F94" s="3">
        <v>27.48</v>
      </c>
      <c r="G94" s="6">
        <f t="shared" si="2"/>
        <v>1.221333333</v>
      </c>
      <c r="H94" s="9" t="s">
        <v>77</v>
      </c>
      <c r="I94" s="9" t="s">
        <v>263</v>
      </c>
      <c r="J94" s="7" t="s">
        <v>26</v>
      </c>
      <c r="K94" s="3">
        <v>22.0</v>
      </c>
      <c r="L94" s="3" t="s">
        <v>376</v>
      </c>
      <c r="M94" s="3"/>
      <c r="N94" s="3"/>
      <c r="O94" s="3"/>
      <c r="P94" s="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21.0" customHeight="1">
      <c r="B95" s="4" t="s">
        <v>377</v>
      </c>
      <c r="C95" s="4" t="s">
        <v>378</v>
      </c>
      <c r="K95" s="3">
        <v>24.0</v>
      </c>
      <c r="L95" s="16"/>
      <c r="M95" s="3"/>
      <c r="N95" s="3"/>
      <c r="O95" s="3"/>
      <c r="P95" s="8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3" t="s">
        <v>379</v>
      </c>
      <c r="B96" s="4" t="s">
        <v>380</v>
      </c>
      <c r="C96" s="4" t="s">
        <v>381</v>
      </c>
      <c r="D96" s="3" t="s">
        <v>382</v>
      </c>
      <c r="E96" s="3">
        <v>437.0</v>
      </c>
      <c r="F96" s="3">
        <v>785.04</v>
      </c>
      <c r="G96" s="6">
        <f t="shared" ref="G96:G118" si="3">F96/E96</f>
        <v>1.796430206</v>
      </c>
      <c r="H96" s="6" t="s">
        <v>19</v>
      </c>
      <c r="I96" s="6" t="s">
        <v>263</v>
      </c>
      <c r="J96" s="7" t="s">
        <v>383</v>
      </c>
      <c r="K96" s="3">
        <v>23.0</v>
      </c>
      <c r="L96" s="16"/>
      <c r="M96" s="3"/>
      <c r="N96" s="3"/>
      <c r="O96" s="3"/>
      <c r="P96" s="8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3" t="s">
        <v>384</v>
      </c>
      <c r="B97" s="12" t="s">
        <v>385</v>
      </c>
      <c r="C97" s="12" t="s">
        <v>386</v>
      </c>
      <c r="D97" s="9">
        <v>58.0</v>
      </c>
      <c r="E97" s="3">
        <v>325.0</v>
      </c>
      <c r="F97" s="3">
        <v>2197.0</v>
      </c>
      <c r="G97" s="6">
        <f t="shared" si="3"/>
        <v>6.76</v>
      </c>
      <c r="H97" s="6" t="s">
        <v>19</v>
      </c>
      <c r="I97" s="6" t="s">
        <v>360</v>
      </c>
      <c r="J97" s="14" t="s">
        <v>361</v>
      </c>
      <c r="K97" s="3">
        <v>23.0</v>
      </c>
      <c r="L97" s="3">
        <v>1.1985907541E10</v>
      </c>
      <c r="M97" s="3"/>
      <c r="N97" s="3"/>
      <c r="O97" s="3"/>
      <c r="P97" s="8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3" t="s">
        <v>387</v>
      </c>
      <c r="C98" s="10" t="s">
        <v>388</v>
      </c>
      <c r="D98" s="3">
        <v>58.0</v>
      </c>
      <c r="E98" s="3">
        <v>340.0</v>
      </c>
      <c r="F98" s="3">
        <v>564.4</v>
      </c>
      <c r="G98" s="6">
        <f t="shared" si="3"/>
        <v>1.66</v>
      </c>
      <c r="H98" s="6" t="s">
        <v>19</v>
      </c>
      <c r="J98" s="7" t="s">
        <v>383</v>
      </c>
      <c r="M98" s="3"/>
      <c r="N98" s="3"/>
      <c r="O98" s="3"/>
      <c r="P98" s="8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3" t="s">
        <v>389</v>
      </c>
      <c r="B99" s="4" t="s">
        <v>390</v>
      </c>
      <c r="C99" s="4" t="s">
        <v>391</v>
      </c>
      <c r="D99" s="9" t="s">
        <v>392</v>
      </c>
      <c r="E99" s="3">
        <v>2.0</v>
      </c>
      <c r="F99" s="3">
        <v>5.28</v>
      </c>
      <c r="G99" s="6">
        <f t="shared" si="3"/>
        <v>2.64</v>
      </c>
      <c r="H99" s="3" t="s">
        <v>77</v>
      </c>
      <c r="I99" s="3" t="s">
        <v>263</v>
      </c>
      <c r="J99" s="4" t="s">
        <v>26</v>
      </c>
      <c r="K99" s="3">
        <v>24.0</v>
      </c>
      <c r="L99" s="3"/>
      <c r="M99" s="3"/>
      <c r="N99" s="3"/>
      <c r="O99" s="3"/>
      <c r="P99" s="8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3" t="s">
        <v>393</v>
      </c>
      <c r="B100" s="4" t="s">
        <v>394</v>
      </c>
      <c r="C100" s="4" t="s">
        <v>395</v>
      </c>
      <c r="E100" s="3">
        <v>13.0</v>
      </c>
      <c r="F100" s="3">
        <v>13.25</v>
      </c>
      <c r="G100" s="6">
        <f t="shared" si="3"/>
        <v>1.019230769</v>
      </c>
      <c r="L100" s="3"/>
      <c r="M100" s="3"/>
      <c r="N100" s="3"/>
      <c r="O100" s="3"/>
      <c r="P100" s="8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3" t="s">
        <v>396</v>
      </c>
      <c r="B101" s="4" t="s">
        <v>397</v>
      </c>
      <c r="C101" s="4" t="s">
        <v>398</v>
      </c>
      <c r="D101" s="3" t="s">
        <v>399</v>
      </c>
      <c r="E101" s="3">
        <v>120.0</v>
      </c>
      <c r="F101" s="3">
        <v>744.0</v>
      </c>
      <c r="G101" s="6">
        <f t="shared" si="3"/>
        <v>6.2</v>
      </c>
      <c r="H101" s="6" t="s">
        <v>19</v>
      </c>
      <c r="I101" s="6" t="s">
        <v>263</v>
      </c>
      <c r="J101" s="14" t="s">
        <v>361</v>
      </c>
      <c r="K101" s="3">
        <v>22.0</v>
      </c>
      <c r="L101" s="7"/>
      <c r="M101" s="3"/>
      <c r="N101" s="3"/>
      <c r="O101" s="3"/>
      <c r="P101" s="8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3" t="s">
        <v>400</v>
      </c>
      <c r="B102" s="4" t="s">
        <v>401</v>
      </c>
      <c r="C102" s="4" t="s">
        <v>402</v>
      </c>
      <c r="D102" s="17" t="s">
        <v>403</v>
      </c>
      <c r="E102" s="3">
        <v>56.0</v>
      </c>
      <c r="F102" s="3">
        <v>470.0</v>
      </c>
      <c r="G102" s="6">
        <f t="shared" si="3"/>
        <v>8.392857143</v>
      </c>
      <c r="H102" s="6" t="s">
        <v>31</v>
      </c>
      <c r="I102" s="9" t="s">
        <v>268</v>
      </c>
      <c r="J102" s="7" t="s">
        <v>125</v>
      </c>
      <c r="K102" s="3">
        <v>22.0</v>
      </c>
      <c r="L102" s="7"/>
      <c r="M102" s="3"/>
      <c r="N102" s="3"/>
      <c r="O102" s="3"/>
      <c r="P102" s="8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3" t="s">
        <v>404</v>
      </c>
      <c r="B103" s="4" t="s">
        <v>405</v>
      </c>
      <c r="C103" s="4" t="s">
        <v>406</v>
      </c>
      <c r="D103" s="17" t="s">
        <v>407</v>
      </c>
      <c r="E103" s="3">
        <v>141.0</v>
      </c>
      <c r="F103" s="3">
        <v>335.0</v>
      </c>
      <c r="G103" s="6">
        <f t="shared" si="3"/>
        <v>2.375886525</v>
      </c>
      <c r="H103" s="6" t="s">
        <v>31</v>
      </c>
      <c r="I103" s="9" t="s">
        <v>268</v>
      </c>
      <c r="J103" s="7" t="s">
        <v>45</v>
      </c>
      <c r="K103" s="3">
        <v>23.0</v>
      </c>
      <c r="L103" s="7"/>
      <c r="M103" s="3"/>
      <c r="N103" s="3"/>
      <c r="O103" s="3"/>
      <c r="P103" s="8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17" t="s">
        <v>408</v>
      </c>
      <c r="B104" s="18" t="s">
        <v>409</v>
      </c>
      <c r="C104" s="18" t="s">
        <v>410</v>
      </c>
      <c r="D104" s="17" t="s">
        <v>411</v>
      </c>
      <c r="E104" s="17">
        <v>226.0</v>
      </c>
      <c r="F104" s="17">
        <v>1263.34</v>
      </c>
      <c r="G104" s="6">
        <f t="shared" si="3"/>
        <v>5.59</v>
      </c>
      <c r="H104" s="17" t="s">
        <v>19</v>
      </c>
      <c r="I104" s="17" t="s">
        <v>412</v>
      </c>
      <c r="J104" s="19" t="s">
        <v>413</v>
      </c>
      <c r="K104" s="3">
        <v>24.0</v>
      </c>
      <c r="L104" s="4" t="s">
        <v>414</v>
      </c>
      <c r="M104" s="20"/>
      <c r="N104" s="20"/>
      <c r="O104" s="3"/>
      <c r="P104" s="8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17" t="s">
        <v>415</v>
      </c>
      <c r="B105" s="18" t="s">
        <v>416</v>
      </c>
      <c r="C105" s="18" t="s">
        <v>417</v>
      </c>
      <c r="D105" s="17" t="s">
        <v>411</v>
      </c>
      <c r="E105" s="17">
        <v>238.0</v>
      </c>
      <c r="F105" s="17">
        <v>404.6</v>
      </c>
      <c r="G105" s="6">
        <f t="shared" si="3"/>
        <v>1.7</v>
      </c>
      <c r="H105" s="17" t="s">
        <v>19</v>
      </c>
      <c r="I105" s="17" t="s">
        <v>263</v>
      </c>
      <c r="J105" s="19" t="s">
        <v>418</v>
      </c>
      <c r="K105" s="21" t="s">
        <v>419</v>
      </c>
      <c r="L105" s="19"/>
      <c r="M105" s="3"/>
      <c r="N105" s="3"/>
      <c r="O105" s="3"/>
      <c r="P105" s="8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17" t="s">
        <v>420</v>
      </c>
      <c r="B106" s="18" t="s">
        <v>421</v>
      </c>
      <c r="C106" s="18" t="s">
        <v>422</v>
      </c>
      <c r="D106" s="17" t="s">
        <v>411</v>
      </c>
      <c r="E106" s="17">
        <v>40.0</v>
      </c>
      <c r="F106" s="17">
        <v>68.0</v>
      </c>
      <c r="G106" s="6">
        <f t="shared" si="3"/>
        <v>1.7</v>
      </c>
      <c r="H106" s="17" t="s">
        <v>19</v>
      </c>
      <c r="I106" s="17" t="s">
        <v>263</v>
      </c>
      <c r="J106" s="19" t="s">
        <v>423</v>
      </c>
      <c r="K106" s="3">
        <v>23.0</v>
      </c>
      <c r="L106" s="19"/>
      <c r="M106" s="3"/>
      <c r="N106" s="3"/>
      <c r="O106" s="3"/>
      <c r="P106" s="8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17" t="s">
        <v>424</v>
      </c>
      <c r="B107" s="18" t="s">
        <v>425</v>
      </c>
      <c r="C107" s="18" t="s">
        <v>426</v>
      </c>
      <c r="D107" s="17" t="s">
        <v>427</v>
      </c>
      <c r="E107" s="17">
        <v>100.0</v>
      </c>
      <c r="F107" s="17">
        <v>170.0</v>
      </c>
      <c r="G107" s="6">
        <f t="shared" si="3"/>
        <v>1.7</v>
      </c>
      <c r="H107" s="17" t="s">
        <v>31</v>
      </c>
      <c r="I107" s="22" t="s">
        <v>428</v>
      </c>
      <c r="J107" s="19" t="s">
        <v>429</v>
      </c>
      <c r="K107" s="3">
        <v>24.0</v>
      </c>
      <c r="L107" s="19"/>
      <c r="M107" s="3"/>
      <c r="N107" s="3"/>
      <c r="O107" s="3"/>
      <c r="P107" s="8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3" t="s">
        <v>430</v>
      </c>
      <c r="B108" s="18" t="s">
        <v>431</v>
      </c>
      <c r="C108" s="4" t="s">
        <v>432</v>
      </c>
      <c r="D108" s="9" t="s">
        <v>433</v>
      </c>
      <c r="E108" s="3">
        <v>19.0</v>
      </c>
      <c r="F108" s="3">
        <v>19.59</v>
      </c>
      <c r="G108" s="6">
        <f t="shared" si="3"/>
        <v>1.031052632</v>
      </c>
      <c r="H108" s="3" t="s">
        <v>77</v>
      </c>
      <c r="I108" s="22" t="s">
        <v>434</v>
      </c>
      <c r="J108" s="4" t="s">
        <v>26</v>
      </c>
      <c r="K108" s="3">
        <v>24.0</v>
      </c>
      <c r="L108" s="3"/>
      <c r="M108" s="3"/>
      <c r="N108" s="3"/>
      <c r="O108" s="3"/>
      <c r="P108" s="8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3" t="s">
        <v>435</v>
      </c>
      <c r="B109" s="4" t="s">
        <v>436</v>
      </c>
      <c r="C109" s="4" t="s">
        <v>437</v>
      </c>
      <c r="D109" s="9" t="s">
        <v>438</v>
      </c>
      <c r="E109" s="17">
        <v>25.0</v>
      </c>
      <c r="F109" s="17">
        <v>15.61</v>
      </c>
      <c r="G109" s="6">
        <f t="shared" si="3"/>
        <v>0.6244</v>
      </c>
      <c r="H109" s="6" t="s">
        <v>81</v>
      </c>
      <c r="I109" s="9" t="s">
        <v>268</v>
      </c>
      <c r="J109" s="7" t="s">
        <v>26</v>
      </c>
      <c r="K109" s="3" t="s">
        <v>273</v>
      </c>
      <c r="L109" s="4"/>
      <c r="M109" s="3"/>
      <c r="N109" s="3"/>
      <c r="O109" s="3" t="s">
        <v>439</v>
      </c>
      <c r="P109" s="8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3" t="s">
        <v>440</v>
      </c>
      <c r="B110" s="4" t="s">
        <v>441</v>
      </c>
      <c r="C110" s="23" t="s">
        <v>442</v>
      </c>
      <c r="D110" s="20" t="s">
        <v>443</v>
      </c>
      <c r="E110" s="20">
        <v>24.0</v>
      </c>
      <c r="F110" s="20">
        <v>145.0</v>
      </c>
      <c r="G110" s="24">
        <f t="shared" si="3"/>
        <v>6.041666667</v>
      </c>
      <c r="H110" s="20" t="s">
        <v>369</v>
      </c>
      <c r="I110" s="3" t="s">
        <v>360</v>
      </c>
      <c r="J110" s="19" t="s">
        <v>444</v>
      </c>
      <c r="K110" s="3">
        <v>24.0</v>
      </c>
      <c r="L110" s="4" t="s">
        <v>445</v>
      </c>
      <c r="M110" s="20"/>
      <c r="N110" s="20"/>
      <c r="O110" s="20"/>
      <c r="P110" s="25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C111" s="4" t="s">
        <v>446</v>
      </c>
      <c r="D111" s="20" t="s">
        <v>443</v>
      </c>
      <c r="E111" s="3">
        <v>64.0</v>
      </c>
      <c r="F111" s="3">
        <v>166.0</v>
      </c>
      <c r="G111" s="24">
        <f t="shared" si="3"/>
        <v>2.59375</v>
      </c>
      <c r="H111" s="20" t="s">
        <v>369</v>
      </c>
      <c r="J111" s="19" t="s">
        <v>447</v>
      </c>
      <c r="K111" s="3">
        <v>24.0</v>
      </c>
      <c r="L111" s="7"/>
      <c r="M111" s="3"/>
      <c r="N111" s="3"/>
      <c r="O111" s="3"/>
      <c r="P111" s="8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3" t="s">
        <v>448</v>
      </c>
      <c r="B112" s="23" t="s">
        <v>449</v>
      </c>
      <c r="C112" s="23" t="s">
        <v>450</v>
      </c>
      <c r="D112" s="3" t="s">
        <v>451</v>
      </c>
      <c r="E112" s="3">
        <v>42.0</v>
      </c>
      <c r="F112" s="3">
        <v>230.0</v>
      </c>
      <c r="G112" s="6">
        <f t="shared" si="3"/>
        <v>5.476190476</v>
      </c>
      <c r="H112" s="6" t="s">
        <v>31</v>
      </c>
      <c r="I112" s="22" t="s">
        <v>268</v>
      </c>
      <c r="J112" s="19" t="s">
        <v>452</v>
      </c>
      <c r="K112" s="3" t="s">
        <v>273</v>
      </c>
      <c r="L112" s="7"/>
      <c r="M112" s="3"/>
      <c r="N112" s="3"/>
      <c r="O112" s="2"/>
      <c r="P112" s="8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3" t="s">
        <v>453</v>
      </c>
      <c r="B113" s="4" t="s">
        <v>454</v>
      </c>
      <c r="C113" s="4" t="s">
        <v>455</v>
      </c>
      <c r="D113" s="3" t="s">
        <v>456</v>
      </c>
      <c r="E113" s="3">
        <v>748.0</v>
      </c>
      <c r="F113" s="3">
        <v>1211.76</v>
      </c>
      <c r="G113" s="6">
        <f t="shared" si="3"/>
        <v>1.62</v>
      </c>
      <c r="H113" s="6" t="s">
        <v>19</v>
      </c>
      <c r="I113" s="6" t="s">
        <v>263</v>
      </c>
      <c r="J113" s="7" t="s">
        <v>457</v>
      </c>
      <c r="K113" s="3">
        <v>23.0</v>
      </c>
      <c r="L113" s="3"/>
      <c r="M113" s="3"/>
      <c r="N113" s="3"/>
      <c r="O113" s="3"/>
      <c r="P113" s="8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3" t="s">
        <v>458</v>
      </c>
      <c r="B114" s="4" t="s">
        <v>459</v>
      </c>
      <c r="C114" s="4" t="s">
        <v>460</v>
      </c>
      <c r="D114" s="3" t="s">
        <v>461</v>
      </c>
      <c r="E114" s="3">
        <v>92.0</v>
      </c>
      <c r="F114" s="3">
        <v>248.0</v>
      </c>
      <c r="G114" s="6">
        <f t="shared" si="3"/>
        <v>2.695652174</v>
      </c>
      <c r="H114" s="17" t="s">
        <v>31</v>
      </c>
      <c r="I114" s="22" t="s">
        <v>462</v>
      </c>
      <c r="J114" s="7" t="s">
        <v>463</v>
      </c>
      <c r="K114" s="3" t="s">
        <v>464</v>
      </c>
      <c r="L114" s="4" t="s">
        <v>465</v>
      </c>
      <c r="M114" s="4"/>
      <c r="N114" s="20"/>
      <c r="O114" s="3"/>
      <c r="P114" s="8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3" t="s">
        <v>466</v>
      </c>
      <c r="B115" s="4" t="s">
        <v>467</v>
      </c>
      <c r="C115" s="4" t="s">
        <v>468</v>
      </c>
      <c r="D115" s="3">
        <v>70.0</v>
      </c>
      <c r="E115" s="20">
        <v>59.0</v>
      </c>
      <c r="F115" s="20">
        <v>271.4</v>
      </c>
      <c r="G115" s="24">
        <f t="shared" si="3"/>
        <v>4.6</v>
      </c>
      <c r="H115" s="17" t="s">
        <v>19</v>
      </c>
      <c r="I115" s="3" t="s">
        <v>360</v>
      </c>
      <c r="J115" s="19" t="s">
        <v>361</v>
      </c>
      <c r="K115" s="3">
        <v>23.0</v>
      </c>
      <c r="L115" s="16"/>
      <c r="M115" s="3"/>
      <c r="N115" s="3"/>
      <c r="O115" s="3"/>
      <c r="P115" s="8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3" t="s">
        <v>469</v>
      </c>
      <c r="B116" s="4" t="s">
        <v>470</v>
      </c>
      <c r="C116" s="4" t="s">
        <v>471</v>
      </c>
      <c r="D116" s="3">
        <v>70.0</v>
      </c>
      <c r="E116" s="3">
        <v>79.0</v>
      </c>
      <c r="F116" s="3">
        <v>150.1</v>
      </c>
      <c r="G116" s="24">
        <f t="shared" si="3"/>
        <v>1.9</v>
      </c>
      <c r="J116" s="19" t="s">
        <v>383</v>
      </c>
      <c r="K116" s="3">
        <v>23.0</v>
      </c>
      <c r="L116" s="7" t="s">
        <v>472</v>
      </c>
      <c r="M116" s="3"/>
      <c r="N116" s="3"/>
      <c r="O116" s="3"/>
      <c r="P116" s="8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3" t="s">
        <v>473</v>
      </c>
      <c r="B117" s="4" t="s">
        <v>474</v>
      </c>
      <c r="C117" s="4" t="s">
        <v>475</v>
      </c>
      <c r="D117" s="3" t="s">
        <v>476</v>
      </c>
      <c r="E117" s="20">
        <v>31.0</v>
      </c>
      <c r="F117" s="20">
        <v>117.8</v>
      </c>
      <c r="G117" s="24">
        <f t="shared" si="3"/>
        <v>3.8</v>
      </c>
      <c r="H117" s="17" t="s">
        <v>19</v>
      </c>
      <c r="I117" s="3" t="s">
        <v>360</v>
      </c>
      <c r="J117" s="19" t="s">
        <v>452</v>
      </c>
      <c r="K117" s="3">
        <v>24.0</v>
      </c>
      <c r="L117" s="7"/>
      <c r="M117" s="3"/>
      <c r="N117" s="3"/>
      <c r="O117" s="3"/>
      <c r="P117" s="8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3" t="s">
        <v>477</v>
      </c>
      <c r="B118" s="23" t="s">
        <v>478</v>
      </c>
      <c r="C118" s="23" t="s">
        <v>479</v>
      </c>
      <c r="D118" s="3" t="s">
        <v>480</v>
      </c>
      <c r="E118" s="3">
        <v>61.0</v>
      </c>
      <c r="F118" s="3">
        <v>231.8</v>
      </c>
      <c r="G118" s="24">
        <f t="shared" si="3"/>
        <v>3.8</v>
      </c>
      <c r="H118" s="6" t="s">
        <v>31</v>
      </c>
      <c r="I118" s="26" t="s">
        <v>268</v>
      </c>
      <c r="J118" s="19" t="s">
        <v>452</v>
      </c>
      <c r="K118" s="3">
        <v>24.0</v>
      </c>
      <c r="L118" s="7"/>
      <c r="M118" s="3"/>
      <c r="N118" s="3"/>
      <c r="O118" s="3"/>
      <c r="P118" s="8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3" t="s">
        <v>481</v>
      </c>
      <c r="B119" s="4" t="s">
        <v>482</v>
      </c>
      <c r="C119" s="4" t="s">
        <v>483</v>
      </c>
      <c r="D119" s="3" t="s">
        <v>484</v>
      </c>
      <c r="E119" s="3">
        <v>215.0</v>
      </c>
      <c r="F119" s="3">
        <f>E119*1.8</f>
        <v>387</v>
      </c>
      <c r="G119" s="6">
        <v>1.8</v>
      </c>
      <c r="H119" s="17" t="s">
        <v>19</v>
      </c>
      <c r="I119" s="3" t="s">
        <v>263</v>
      </c>
      <c r="J119" s="19" t="s">
        <v>447</v>
      </c>
      <c r="K119" s="21" t="s">
        <v>485</v>
      </c>
      <c r="L119" s="7"/>
      <c r="M119" s="3"/>
      <c r="N119" s="3"/>
      <c r="O119" s="3"/>
      <c r="P119" s="8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3" t="s">
        <v>486</v>
      </c>
      <c r="B120" s="4" t="s">
        <v>487</v>
      </c>
      <c r="C120" s="4" t="s">
        <v>488</v>
      </c>
      <c r="D120" s="3" t="s">
        <v>489</v>
      </c>
      <c r="E120" s="3">
        <v>63.0</v>
      </c>
      <c r="F120" s="22">
        <v>359.1</v>
      </c>
      <c r="G120" s="6">
        <f t="shared" ref="G120:G130" si="4">F120/E120</f>
        <v>5.7</v>
      </c>
      <c r="H120" s="6" t="s">
        <v>31</v>
      </c>
      <c r="I120" s="26" t="s">
        <v>268</v>
      </c>
      <c r="J120" s="19" t="s">
        <v>490</v>
      </c>
      <c r="K120" s="3">
        <v>24.0</v>
      </c>
      <c r="L120" s="7"/>
      <c r="M120" s="3"/>
      <c r="N120" s="3"/>
      <c r="O120" s="3"/>
      <c r="P120" s="8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3" t="s">
        <v>491</v>
      </c>
      <c r="B121" s="4" t="s">
        <v>492</v>
      </c>
      <c r="C121" s="4" t="s">
        <v>493</v>
      </c>
      <c r="D121" s="3" t="s">
        <v>494</v>
      </c>
      <c r="E121" s="3">
        <v>15.0</v>
      </c>
      <c r="F121" s="22">
        <v>85.5</v>
      </c>
      <c r="G121" s="6">
        <f t="shared" si="4"/>
        <v>5.7</v>
      </c>
      <c r="H121" s="17" t="s">
        <v>19</v>
      </c>
      <c r="I121" s="3" t="s">
        <v>360</v>
      </c>
      <c r="J121" s="19" t="s">
        <v>495</v>
      </c>
      <c r="K121" s="3">
        <v>24.0</v>
      </c>
      <c r="L121" s="7"/>
      <c r="M121" s="3"/>
      <c r="N121" s="3"/>
      <c r="O121" s="3"/>
      <c r="P121" s="8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3" t="s">
        <v>496</v>
      </c>
      <c r="B122" s="4" t="s">
        <v>497</v>
      </c>
      <c r="C122" s="4" t="s">
        <v>498</v>
      </c>
      <c r="D122" s="3" t="s">
        <v>499</v>
      </c>
      <c r="E122" s="3">
        <v>132.0</v>
      </c>
      <c r="F122" s="22">
        <v>224.4</v>
      </c>
      <c r="G122" s="6">
        <f t="shared" si="4"/>
        <v>1.7</v>
      </c>
      <c r="H122" s="17" t="s">
        <v>19</v>
      </c>
      <c r="I122" s="3" t="s">
        <v>360</v>
      </c>
      <c r="J122" s="19" t="s">
        <v>383</v>
      </c>
      <c r="K122" s="3">
        <v>24.0</v>
      </c>
      <c r="L122" s="7"/>
      <c r="M122" s="3"/>
      <c r="N122" s="3"/>
      <c r="O122" s="3"/>
      <c r="P122" s="8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3" t="s">
        <v>500</v>
      </c>
      <c r="B123" s="23" t="s">
        <v>501</v>
      </c>
      <c r="C123" s="23" t="s">
        <v>502</v>
      </c>
      <c r="D123" s="3" t="s">
        <v>503</v>
      </c>
      <c r="E123" s="3">
        <v>19.0</v>
      </c>
      <c r="F123" s="3">
        <f>5.85*21+5</f>
        <v>127.85</v>
      </c>
      <c r="G123" s="6">
        <f t="shared" si="4"/>
        <v>6.728947368</v>
      </c>
      <c r="H123" s="17" t="s">
        <v>19</v>
      </c>
      <c r="I123" s="3" t="s">
        <v>360</v>
      </c>
      <c r="J123" s="19" t="s">
        <v>452</v>
      </c>
      <c r="K123" s="3">
        <v>24.0</v>
      </c>
      <c r="L123" s="3"/>
      <c r="M123" s="3"/>
      <c r="N123" s="3"/>
      <c r="O123" s="3"/>
      <c r="P123" s="8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3" t="s">
        <v>504</v>
      </c>
      <c r="B124" s="23" t="s">
        <v>505</v>
      </c>
      <c r="C124" s="23" t="s">
        <v>506</v>
      </c>
      <c r="D124" s="3" t="s">
        <v>503</v>
      </c>
      <c r="E124" s="27">
        <v>38.0</v>
      </c>
      <c r="F124" s="28">
        <f>2.4*38+5*2</f>
        <v>101.2</v>
      </c>
      <c r="G124" s="6">
        <f t="shared" si="4"/>
        <v>2.663157895</v>
      </c>
      <c r="H124" s="17" t="s">
        <v>19</v>
      </c>
      <c r="I124" s="3" t="s">
        <v>360</v>
      </c>
      <c r="J124" s="19" t="s">
        <v>447</v>
      </c>
      <c r="K124" s="3">
        <v>23.0</v>
      </c>
      <c r="L124" s="3"/>
      <c r="M124" s="3"/>
      <c r="N124" s="3"/>
      <c r="O124" s="3"/>
      <c r="P124" s="8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3" t="s">
        <v>507</v>
      </c>
      <c r="B125" s="23" t="s">
        <v>508</v>
      </c>
      <c r="C125" s="23" t="s">
        <v>509</v>
      </c>
      <c r="D125" s="3" t="s">
        <v>499</v>
      </c>
      <c r="E125" s="27">
        <v>114.0</v>
      </c>
      <c r="F125" s="28">
        <v>193.8</v>
      </c>
      <c r="G125" s="29">
        <f t="shared" si="4"/>
        <v>1.7</v>
      </c>
      <c r="H125" s="17" t="s">
        <v>19</v>
      </c>
      <c r="I125" s="3" t="s">
        <v>360</v>
      </c>
      <c r="J125" s="19" t="s">
        <v>383</v>
      </c>
      <c r="K125" s="3">
        <v>23.0</v>
      </c>
      <c r="L125" s="3">
        <v>1.3029313291E10</v>
      </c>
      <c r="M125" s="3"/>
      <c r="N125" s="3"/>
      <c r="O125" s="3"/>
      <c r="P125" s="8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3" t="s">
        <v>510</v>
      </c>
      <c r="B126" s="23" t="s">
        <v>511</v>
      </c>
      <c r="C126" s="23" t="s">
        <v>512</v>
      </c>
      <c r="D126" s="3" t="s">
        <v>513</v>
      </c>
      <c r="E126" s="3">
        <v>18.85</v>
      </c>
      <c r="F126" s="3">
        <v>188.0</v>
      </c>
      <c r="G126" s="29">
        <f t="shared" si="4"/>
        <v>9.973474801</v>
      </c>
      <c r="H126" s="6" t="s">
        <v>31</v>
      </c>
      <c r="I126" s="26" t="s">
        <v>268</v>
      </c>
      <c r="J126" s="7" t="s">
        <v>514</v>
      </c>
      <c r="K126" s="21" t="s">
        <v>515</v>
      </c>
      <c r="L126" s="3">
        <v>1.2830607841E10</v>
      </c>
      <c r="M126" s="3"/>
      <c r="N126" s="3"/>
      <c r="O126" s="3"/>
      <c r="P126" s="8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C127" s="23" t="s">
        <v>516</v>
      </c>
      <c r="D127" s="3" t="s">
        <v>513</v>
      </c>
      <c r="E127" s="3">
        <f>12.65+18.6</f>
        <v>31.25</v>
      </c>
      <c r="F127" s="3">
        <v>105.0</v>
      </c>
      <c r="G127" s="29">
        <f t="shared" si="4"/>
        <v>3.36</v>
      </c>
      <c r="H127" s="6" t="s">
        <v>31</v>
      </c>
      <c r="I127" s="26" t="s">
        <v>268</v>
      </c>
      <c r="J127" s="7" t="s">
        <v>463</v>
      </c>
      <c r="M127" s="3"/>
      <c r="N127" s="3"/>
      <c r="O127" s="3"/>
      <c r="P127" s="8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3" t="s">
        <v>517</v>
      </c>
      <c r="B128" s="23" t="s">
        <v>518</v>
      </c>
      <c r="C128" s="23" t="s">
        <v>519</v>
      </c>
      <c r="D128" s="3" t="s">
        <v>520</v>
      </c>
      <c r="E128" s="3">
        <v>90.9</v>
      </c>
      <c r="F128" s="3">
        <v>196.0</v>
      </c>
      <c r="G128" s="29">
        <f t="shared" si="4"/>
        <v>2.156215622</v>
      </c>
      <c r="H128" s="6" t="s">
        <v>31</v>
      </c>
      <c r="I128" s="26" t="s">
        <v>268</v>
      </c>
      <c r="J128" s="7" t="s">
        <v>463</v>
      </c>
      <c r="K128" s="21" t="s">
        <v>521</v>
      </c>
      <c r="L128" s="3"/>
      <c r="M128" s="3"/>
      <c r="N128" s="3"/>
      <c r="O128" s="3"/>
      <c r="P128" s="8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3" t="s">
        <v>522</v>
      </c>
      <c r="B129" s="23" t="s">
        <v>523</v>
      </c>
      <c r="D129" s="3" t="s">
        <v>524</v>
      </c>
      <c r="E129" s="3">
        <f>20.65*2</f>
        <v>41.3</v>
      </c>
      <c r="F129" s="3">
        <v>89.0</v>
      </c>
      <c r="G129" s="29">
        <f t="shared" si="4"/>
        <v>2.15496368</v>
      </c>
      <c r="H129" s="6" t="s">
        <v>31</v>
      </c>
      <c r="I129" s="26" t="s">
        <v>268</v>
      </c>
      <c r="J129" s="7" t="s">
        <v>463</v>
      </c>
      <c r="K129" s="3">
        <v>24.0</v>
      </c>
      <c r="L129" s="3"/>
      <c r="M129" s="3"/>
      <c r="N129" s="3"/>
      <c r="O129" s="3"/>
      <c r="P129" s="8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3" t="s">
        <v>525</v>
      </c>
      <c r="B130" s="23" t="s">
        <v>526</v>
      </c>
      <c r="C130" s="23" t="s">
        <v>527</v>
      </c>
      <c r="D130" s="3" t="s">
        <v>528</v>
      </c>
      <c r="E130" s="3">
        <v>121.7</v>
      </c>
      <c r="F130" s="3">
        <v>260.0</v>
      </c>
      <c r="G130" s="29">
        <f t="shared" si="4"/>
        <v>2.136400986</v>
      </c>
      <c r="H130" s="6" t="s">
        <v>31</v>
      </c>
      <c r="I130" s="26" t="s">
        <v>268</v>
      </c>
      <c r="J130" s="7" t="s">
        <v>463</v>
      </c>
      <c r="K130" s="3">
        <v>24.0</v>
      </c>
      <c r="L130" s="3"/>
      <c r="M130" s="3"/>
      <c r="N130" s="3"/>
      <c r="O130" s="3"/>
      <c r="P130" s="8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3" t="s">
        <v>529</v>
      </c>
      <c r="B131" s="23" t="s">
        <v>530</v>
      </c>
      <c r="K131" s="3" t="s">
        <v>273</v>
      </c>
      <c r="L131" s="3"/>
      <c r="M131" s="3"/>
      <c r="N131" s="3"/>
      <c r="O131" s="3"/>
      <c r="P131" s="8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3" t="s">
        <v>531</v>
      </c>
      <c r="B132" s="23" t="s">
        <v>532</v>
      </c>
      <c r="C132" s="23" t="s">
        <v>533</v>
      </c>
      <c r="D132" s="3">
        <v>81.0</v>
      </c>
      <c r="E132" s="3">
        <v>48.0</v>
      </c>
      <c r="F132" s="3">
        <v>278.4</v>
      </c>
      <c r="G132" s="6">
        <f t="shared" ref="G132:G147" si="5">F132/E132</f>
        <v>5.8</v>
      </c>
      <c r="H132" s="3" t="s">
        <v>534</v>
      </c>
      <c r="I132" s="3" t="s">
        <v>360</v>
      </c>
      <c r="J132" s="19" t="s">
        <v>452</v>
      </c>
      <c r="K132" s="3">
        <v>24.0</v>
      </c>
      <c r="L132" s="3"/>
      <c r="M132" s="3"/>
      <c r="N132" s="3"/>
      <c r="O132" s="3"/>
      <c r="P132" s="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3" t="s">
        <v>535</v>
      </c>
      <c r="B133" s="23" t="s">
        <v>536</v>
      </c>
      <c r="C133" s="23" t="s">
        <v>537</v>
      </c>
      <c r="D133" s="3" t="s">
        <v>538</v>
      </c>
      <c r="E133" s="3">
        <v>21.0</v>
      </c>
      <c r="F133" s="3">
        <v>126.0</v>
      </c>
      <c r="G133" s="29">
        <f t="shared" si="5"/>
        <v>6</v>
      </c>
      <c r="H133" s="6" t="s">
        <v>31</v>
      </c>
      <c r="I133" s="26" t="s">
        <v>268</v>
      </c>
      <c r="J133" s="7" t="s">
        <v>539</v>
      </c>
      <c r="K133" s="3">
        <v>24.0</v>
      </c>
      <c r="L133" s="3"/>
      <c r="M133" s="3"/>
      <c r="N133" s="3"/>
      <c r="O133" s="3"/>
      <c r="P133" s="8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3" t="s">
        <v>540</v>
      </c>
      <c r="B134" s="23" t="s">
        <v>541</v>
      </c>
      <c r="C134" s="23" t="s">
        <v>542</v>
      </c>
      <c r="D134" s="3" t="s">
        <v>543</v>
      </c>
      <c r="E134" s="3">
        <v>29.0</v>
      </c>
      <c r="F134" s="6">
        <f>35*29/6.95</f>
        <v>146.0431655</v>
      </c>
      <c r="G134" s="29">
        <f t="shared" si="5"/>
        <v>5.035971223</v>
      </c>
      <c r="H134" s="3" t="s">
        <v>369</v>
      </c>
      <c r="I134" s="3" t="s">
        <v>360</v>
      </c>
      <c r="J134" s="19" t="s">
        <v>452</v>
      </c>
      <c r="K134" s="3" t="s">
        <v>273</v>
      </c>
      <c r="L134" s="3"/>
      <c r="M134" s="3" t="s">
        <v>544</v>
      </c>
      <c r="N134" s="30">
        <v>44991.0</v>
      </c>
      <c r="O134" s="30">
        <v>45113.0</v>
      </c>
      <c r="P134" s="8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3" t="s">
        <v>545</v>
      </c>
      <c r="B135" s="23" t="s">
        <v>546</v>
      </c>
      <c r="C135" s="23" t="s">
        <v>547</v>
      </c>
      <c r="D135" s="3" t="s">
        <v>548</v>
      </c>
      <c r="E135" s="3">
        <v>153.0</v>
      </c>
      <c r="F135" s="6">
        <f>((11.74*153+34.5)+(11.74*153+34.5)*0.1/100)/7</f>
        <v>261.79296</v>
      </c>
      <c r="G135" s="6">
        <f t="shared" si="5"/>
        <v>1.711065098</v>
      </c>
      <c r="H135" s="3" t="s">
        <v>369</v>
      </c>
      <c r="I135" s="3" t="s">
        <v>360</v>
      </c>
      <c r="J135" s="7" t="s">
        <v>549</v>
      </c>
      <c r="K135" s="3" t="s">
        <v>550</v>
      </c>
      <c r="L135" s="3"/>
      <c r="M135" s="3" t="s">
        <v>551</v>
      </c>
      <c r="N135" s="30">
        <v>45052.0</v>
      </c>
      <c r="O135" s="3" t="s">
        <v>552</v>
      </c>
      <c r="P135" s="8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3" t="s">
        <v>553</v>
      </c>
      <c r="B136" s="23" t="s">
        <v>554</v>
      </c>
      <c r="C136" s="23" t="s">
        <v>555</v>
      </c>
      <c r="D136" s="3" t="s">
        <v>556</v>
      </c>
      <c r="E136" s="3">
        <v>19.0</v>
      </c>
      <c r="F136" s="6">
        <f>35*19/6.95</f>
        <v>95.68345324</v>
      </c>
      <c r="G136" s="29">
        <f t="shared" si="5"/>
        <v>5.035971223</v>
      </c>
      <c r="H136" s="4" t="s">
        <v>557</v>
      </c>
      <c r="I136" s="26" t="s">
        <v>268</v>
      </c>
      <c r="J136" s="19" t="s">
        <v>452</v>
      </c>
      <c r="K136" s="3" t="s">
        <v>273</v>
      </c>
      <c r="L136" s="3"/>
      <c r="M136" s="3" t="s">
        <v>558</v>
      </c>
      <c r="N136" s="3" t="s">
        <v>559</v>
      </c>
      <c r="O136" s="3" t="s">
        <v>560</v>
      </c>
      <c r="P136" s="8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3" t="s">
        <v>561</v>
      </c>
      <c r="B137" s="23" t="s">
        <v>562</v>
      </c>
      <c r="C137" s="23" t="s">
        <v>563</v>
      </c>
      <c r="D137" s="3" t="s">
        <v>564</v>
      </c>
      <c r="E137" s="3">
        <v>16.0</v>
      </c>
      <c r="F137" s="6">
        <f>35*16/6.95</f>
        <v>80.57553957</v>
      </c>
      <c r="G137" s="29">
        <f t="shared" si="5"/>
        <v>5.035971223</v>
      </c>
      <c r="H137" s="3" t="s">
        <v>565</v>
      </c>
      <c r="I137" s="3" t="s">
        <v>263</v>
      </c>
      <c r="J137" s="19" t="s">
        <v>452</v>
      </c>
      <c r="K137" s="3" t="s">
        <v>273</v>
      </c>
      <c r="L137" s="3"/>
      <c r="M137" s="3" t="s">
        <v>558</v>
      </c>
      <c r="N137" s="3" t="s">
        <v>559</v>
      </c>
      <c r="O137" s="3" t="s">
        <v>560</v>
      </c>
      <c r="P137" s="8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3" t="s">
        <v>566</v>
      </c>
      <c r="B138" s="4" t="s">
        <v>567</v>
      </c>
      <c r="C138" s="4" t="s">
        <v>568</v>
      </c>
      <c r="D138" s="3" t="s">
        <v>569</v>
      </c>
      <c r="E138" s="3">
        <v>218.0</v>
      </c>
      <c r="F138" s="6">
        <f>(11.74*218+11.74*218*0.1/100)/7</f>
        <v>365.98276</v>
      </c>
      <c r="G138" s="29">
        <f t="shared" si="5"/>
        <v>1.67882</v>
      </c>
      <c r="H138" s="3" t="s">
        <v>565</v>
      </c>
      <c r="I138" s="3" t="s">
        <v>263</v>
      </c>
      <c r="J138" s="7" t="s">
        <v>549</v>
      </c>
      <c r="K138" s="3" t="s">
        <v>550</v>
      </c>
      <c r="L138" s="3"/>
      <c r="M138" s="31">
        <v>44963.0</v>
      </c>
      <c r="N138" s="3" t="s">
        <v>570</v>
      </c>
      <c r="O138" s="3" t="s">
        <v>571</v>
      </c>
      <c r="P138" s="8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3" t="s">
        <v>572</v>
      </c>
      <c r="B139" s="4" t="s">
        <v>573</v>
      </c>
      <c r="C139" s="23" t="s">
        <v>574</v>
      </c>
      <c r="D139" s="3" t="s">
        <v>575</v>
      </c>
      <c r="E139" s="3">
        <v>93.0</v>
      </c>
      <c r="F139" s="6">
        <f>48*93/7</f>
        <v>637.7142857</v>
      </c>
      <c r="G139" s="6">
        <f t="shared" si="5"/>
        <v>6.857142857</v>
      </c>
      <c r="H139" s="3" t="s">
        <v>369</v>
      </c>
      <c r="I139" s="3" t="s">
        <v>360</v>
      </c>
      <c r="J139" s="19" t="s">
        <v>576</v>
      </c>
      <c r="K139" s="3" t="s">
        <v>273</v>
      </c>
      <c r="L139" s="3">
        <v>1.3290053091E10</v>
      </c>
      <c r="M139" s="30">
        <v>44932.0</v>
      </c>
      <c r="N139" s="30">
        <v>45022.0</v>
      </c>
      <c r="O139" s="30">
        <v>45052.0</v>
      </c>
      <c r="P139" s="8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3" t="s">
        <v>577</v>
      </c>
      <c r="B140" s="4" t="s">
        <v>578</v>
      </c>
      <c r="C140" s="32">
        <v>3.9921080696E11</v>
      </c>
      <c r="D140" s="3" t="s">
        <v>579</v>
      </c>
      <c r="E140" s="3">
        <v>35.0</v>
      </c>
      <c r="F140" s="6">
        <f>35*(5.6+30/522)</f>
        <v>198.0114943</v>
      </c>
      <c r="G140" s="6">
        <f t="shared" si="5"/>
        <v>5.657471264</v>
      </c>
      <c r="H140" s="33" t="s">
        <v>580</v>
      </c>
      <c r="I140" s="3" t="s">
        <v>360</v>
      </c>
      <c r="J140" s="19" t="s">
        <v>581</v>
      </c>
      <c r="K140" s="3" t="s">
        <v>273</v>
      </c>
      <c r="L140" s="3"/>
      <c r="M140" s="30">
        <v>45113.0</v>
      </c>
      <c r="N140" s="30">
        <v>45175.0</v>
      </c>
      <c r="O140" s="3" t="s">
        <v>582</v>
      </c>
      <c r="P140" s="8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3" t="s">
        <v>583</v>
      </c>
      <c r="B141" s="4" t="s">
        <v>584</v>
      </c>
      <c r="C141" s="34" t="s">
        <v>585</v>
      </c>
      <c r="D141" s="3" t="s">
        <v>579</v>
      </c>
      <c r="E141" s="3">
        <v>487.0</v>
      </c>
      <c r="F141" s="6">
        <f>487*(1.1+30/522)</f>
        <v>563.6885057</v>
      </c>
      <c r="G141" s="6">
        <f t="shared" si="5"/>
        <v>1.157471264</v>
      </c>
      <c r="H141" s="33" t="s">
        <v>580</v>
      </c>
      <c r="I141" s="3" t="s">
        <v>360</v>
      </c>
      <c r="J141" s="7" t="s">
        <v>586</v>
      </c>
      <c r="K141" s="35" t="s">
        <v>587</v>
      </c>
      <c r="L141" s="3"/>
      <c r="M141" s="3" t="s">
        <v>588</v>
      </c>
      <c r="N141" s="3" t="s">
        <v>589</v>
      </c>
      <c r="O141" s="3" t="s">
        <v>590</v>
      </c>
      <c r="P141" s="8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3" t="s">
        <v>591</v>
      </c>
      <c r="B142" s="4" t="s">
        <v>592</v>
      </c>
      <c r="C142" s="4" t="s">
        <v>593</v>
      </c>
      <c r="D142" s="3" t="s">
        <v>594</v>
      </c>
      <c r="E142" s="3">
        <v>76.0</v>
      </c>
      <c r="F142" s="6">
        <f>36*76/7</f>
        <v>390.8571429</v>
      </c>
      <c r="G142" s="29">
        <f t="shared" si="5"/>
        <v>5.142857143</v>
      </c>
      <c r="H142" s="3" t="s">
        <v>595</v>
      </c>
      <c r="I142" s="3" t="s">
        <v>263</v>
      </c>
      <c r="J142" s="19" t="s">
        <v>452</v>
      </c>
      <c r="K142" s="3" t="s">
        <v>273</v>
      </c>
      <c r="L142" s="3"/>
      <c r="M142" s="31">
        <v>44991.0</v>
      </c>
      <c r="N142" s="36">
        <v>45175.0</v>
      </c>
      <c r="O142" s="3" t="s">
        <v>570</v>
      </c>
      <c r="P142" s="8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3" t="s">
        <v>596</v>
      </c>
      <c r="B143" s="4" t="s">
        <v>597</v>
      </c>
      <c r="C143" s="4" t="s">
        <v>598</v>
      </c>
      <c r="D143" s="3" t="s">
        <v>594</v>
      </c>
      <c r="E143" s="3">
        <v>772.0</v>
      </c>
      <c r="F143" s="6">
        <f>9.2*E143/7</f>
        <v>1014.628571</v>
      </c>
      <c r="G143" s="29">
        <f t="shared" si="5"/>
        <v>1.314285714</v>
      </c>
      <c r="H143" s="3" t="s">
        <v>595</v>
      </c>
      <c r="I143" s="3" t="s">
        <v>263</v>
      </c>
      <c r="J143" s="7" t="s">
        <v>447</v>
      </c>
      <c r="K143" s="35" t="s">
        <v>599</v>
      </c>
      <c r="L143" s="3"/>
      <c r="M143" s="31">
        <v>45205.0</v>
      </c>
      <c r="N143" s="3"/>
      <c r="O143" s="31">
        <v>45176.0</v>
      </c>
      <c r="P143" s="8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3" t="s">
        <v>600</v>
      </c>
      <c r="B144" s="4" t="s">
        <v>601</v>
      </c>
      <c r="C144" s="4" t="s">
        <v>602</v>
      </c>
      <c r="D144" s="3" t="s">
        <v>594</v>
      </c>
      <c r="E144" s="3">
        <v>21.0</v>
      </c>
      <c r="F144" s="3">
        <f>14*E144/7</f>
        <v>42</v>
      </c>
      <c r="G144" s="29">
        <f t="shared" si="5"/>
        <v>2</v>
      </c>
      <c r="H144" s="3" t="s">
        <v>595</v>
      </c>
      <c r="I144" s="3" t="s">
        <v>263</v>
      </c>
      <c r="J144" s="7" t="s">
        <v>447</v>
      </c>
      <c r="K144" s="3" t="s">
        <v>273</v>
      </c>
      <c r="L144" s="3"/>
      <c r="M144" s="31">
        <v>45205.0</v>
      </c>
      <c r="O144" s="31">
        <v>45176.0</v>
      </c>
      <c r="P144" s="8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3" t="s">
        <v>603</v>
      </c>
      <c r="B145" s="4" t="s">
        <v>604</v>
      </c>
      <c r="C145" s="4" t="s">
        <v>605</v>
      </c>
      <c r="D145" s="3" t="s">
        <v>606</v>
      </c>
      <c r="E145" s="3">
        <v>20.0</v>
      </c>
      <c r="F145" s="6">
        <f>44*20/7</f>
        <v>125.7142857</v>
      </c>
      <c r="G145" s="29">
        <f t="shared" si="5"/>
        <v>6.285714286</v>
      </c>
      <c r="H145" s="6" t="s">
        <v>31</v>
      </c>
      <c r="I145" s="26" t="s">
        <v>268</v>
      </c>
      <c r="J145" s="7" t="s">
        <v>539</v>
      </c>
      <c r="K145" s="3" t="s">
        <v>273</v>
      </c>
      <c r="L145" s="3"/>
      <c r="M145" s="30">
        <v>44932.0</v>
      </c>
      <c r="N145" s="3"/>
      <c r="O145" s="3" t="s">
        <v>588</v>
      </c>
      <c r="P145" s="8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3" t="s">
        <v>607</v>
      </c>
      <c r="B146" s="4" t="s">
        <v>608</v>
      </c>
      <c r="C146" s="4" t="s">
        <v>609</v>
      </c>
      <c r="D146" s="3" t="s">
        <v>610</v>
      </c>
      <c r="E146" s="3">
        <v>21.0</v>
      </c>
      <c r="F146" s="6">
        <f>200/6.759+162.25/6.8606+45/6.8606</f>
        <v>59.79890416</v>
      </c>
      <c r="G146" s="6">
        <f t="shared" si="5"/>
        <v>2.847566865</v>
      </c>
      <c r="H146" s="33" t="s">
        <v>580</v>
      </c>
      <c r="I146" s="3" t="s">
        <v>360</v>
      </c>
      <c r="J146" s="7" t="s">
        <v>549</v>
      </c>
      <c r="K146" s="3" t="s">
        <v>273</v>
      </c>
      <c r="L146" s="3"/>
      <c r="M146" s="30">
        <v>45090.0</v>
      </c>
      <c r="N146" s="3" t="s">
        <v>611</v>
      </c>
      <c r="O146" s="30">
        <v>45206.0</v>
      </c>
      <c r="P146" s="8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3" t="s">
        <v>612</v>
      </c>
      <c r="B147" s="4" t="s">
        <v>613</v>
      </c>
      <c r="C147" s="4" t="s">
        <v>614</v>
      </c>
      <c r="D147" s="3" t="s">
        <v>615</v>
      </c>
      <c r="E147" s="3">
        <v>8.0</v>
      </c>
      <c r="F147" s="3">
        <v>7.17</v>
      </c>
      <c r="G147" s="6">
        <f t="shared" si="5"/>
        <v>0.89625</v>
      </c>
      <c r="H147" s="3" t="s">
        <v>77</v>
      </c>
      <c r="I147" s="3" t="s">
        <v>263</v>
      </c>
      <c r="J147" s="4" t="s">
        <v>26</v>
      </c>
      <c r="K147" s="3" t="s">
        <v>273</v>
      </c>
      <c r="L147" s="3"/>
      <c r="M147" s="3"/>
      <c r="N147" s="3"/>
      <c r="O147" s="3"/>
      <c r="P147" s="8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3" t="s">
        <v>616</v>
      </c>
      <c r="B148" s="4" t="s">
        <v>617</v>
      </c>
      <c r="C148" s="4">
        <v>3.99561729957E11</v>
      </c>
      <c r="D148" s="3" t="s">
        <v>618</v>
      </c>
      <c r="E148" s="3" t="s">
        <v>619</v>
      </c>
      <c r="F148" s="6">
        <f>21*16/7.15</f>
        <v>46.99300699</v>
      </c>
      <c r="G148" s="29">
        <f>F148/19.5</f>
        <v>2.409897795</v>
      </c>
      <c r="H148" s="6" t="s">
        <v>620</v>
      </c>
      <c r="I148" s="26" t="s">
        <v>268</v>
      </c>
      <c r="J148" s="7" t="s">
        <v>447</v>
      </c>
      <c r="K148" s="3" t="s">
        <v>550</v>
      </c>
      <c r="L148" s="8"/>
      <c r="M148" s="11" t="s">
        <v>582</v>
      </c>
      <c r="N148" s="11" t="s">
        <v>621</v>
      </c>
      <c r="O148" s="3" t="s">
        <v>622</v>
      </c>
      <c r="P148" s="8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3" t="s">
        <v>623</v>
      </c>
      <c r="B149" s="4" t="s">
        <v>624</v>
      </c>
      <c r="C149" s="4">
        <v>7.80090854349E11</v>
      </c>
      <c r="D149" s="3" t="s">
        <v>625</v>
      </c>
      <c r="E149" s="3">
        <v>42.5</v>
      </c>
      <c r="F149" s="6">
        <f>44*21/7.15</f>
        <v>129.2307692</v>
      </c>
      <c r="G149" s="29">
        <f>F149/E149</f>
        <v>3.040723982</v>
      </c>
      <c r="H149" s="37" t="s">
        <v>31</v>
      </c>
      <c r="I149" s="38" t="s">
        <v>268</v>
      </c>
      <c r="J149" s="7" t="s">
        <v>626</v>
      </c>
      <c r="K149" s="35" t="s">
        <v>627</v>
      </c>
      <c r="L149" s="2"/>
      <c r="M149" s="11" t="s">
        <v>628</v>
      </c>
      <c r="N149" s="11" t="s">
        <v>629</v>
      </c>
      <c r="O149" s="3" t="s">
        <v>630</v>
      </c>
      <c r="P149" s="8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3" t="s">
        <v>631</v>
      </c>
      <c r="B150" s="4" t="s">
        <v>632</v>
      </c>
      <c r="C150" s="4" t="s">
        <v>633</v>
      </c>
      <c r="D150" s="3" t="s">
        <v>625</v>
      </c>
      <c r="E150" s="3">
        <v>30.5</v>
      </c>
      <c r="F150" s="6">
        <f>31*21/7.15</f>
        <v>91.04895105</v>
      </c>
      <c r="G150" s="29">
        <f>F150/$E$150</f>
        <v>2.98521151</v>
      </c>
      <c r="H150" s="6" t="s">
        <v>31</v>
      </c>
      <c r="I150" s="26" t="s">
        <v>268</v>
      </c>
      <c r="J150" s="7" t="s">
        <v>626</v>
      </c>
      <c r="K150" s="3" t="s">
        <v>550</v>
      </c>
      <c r="L150" s="3">
        <v>1.3510862351E10</v>
      </c>
      <c r="M150" s="11" t="s">
        <v>628</v>
      </c>
      <c r="N150" s="11" t="s">
        <v>629</v>
      </c>
      <c r="O150" s="3" t="s">
        <v>634</v>
      </c>
      <c r="P150" s="8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3" t="s">
        <v>635</v>
      </c>
      <c r="B151" s="4" t="s">
        <v>636</v>
      </c>
      <c r="C151" s="4" t="s">
        <v>637</v>
      </c>
      <c r="D151" s="3" t="s">
        <v>638</v>
      </c>
      <c r="E151" s="3">
        <v>33.0</v>
      </c>
      <c r="F151" s="6">
        <f>E151*36/7.15</f>
        <v>166.1538462</v>
      </c>
      <c r="G151" s="29">
        <f t="shared" ref="G151:G171" si="6">F151/E151</f>
        <v>5.034965035</v>
      </c>
      <c r="H151" s="3" t="s">
        <v>369</v>
      </c>
      <c r="I151" s="3" t="s">
        <v>360</v>
      </c>
      <c r="J151" s="7" t="s">
        <v>639</v>
      </c>
      <c r="K151" s="3" t="s">
        <v>273</v>
      </c>
      <c r="L151" s="2"/>
      <c r="M151" s="3" t="s">
        <v>640</v>
      </c>
      <c r="N151" s="3" t="s">
        <v>628</v>
      </c>
      <c r="O151" s="3" t="s">
        <v>641</v>
      </c>
      <c r="P151" s="8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3" t="s">
        <v>642</v>
      </c>
      <c r="B152" s="4" t="s">
        <v>643</v>
      </c>
      <c r="C152" s="4" t="s">
        <v>644</v>
      </c>
      <c r="D152" s="3" t="s">
        <v>638</v>
      </c>
      <c r="E152" s="3">
        <v>122.0</v>
      </c>
      <c r="F152" s="6">
        <f>E152*9.5/7.15</f>
        <v>162.0979021</v>
      </c>
      <c r="G152" s="29">
        <f t="shared" si="6"/>
        <v>1.328671329</v>
      </c>
      <c r="H152" s="3" t="s">
        <v>369</v>
      </c>
      <c r="I152" s="3" t="s">
        <v>360</v>
      </c>
      <c r="J152" s="7" t="s">
        <v>447</v>
      </c>
      <c r="K152" s="3" t="s">
        <v>550</v>
      </c>
      <c r="L152" s="2"/>
      <c r="M152" s="3" t="s">
        <v>645</v>
      </c>
      <c r="N152" s="30">
        <v>45267.0</v>
      </c>
      <c r="O152" s="3" t="s">
        <v>646</v>
      </c>
      <c r="P152" s="8">
        <v>1.3718685431E10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3" t="s">
        <v>647</v>
      </c>
      <c r="B153" s="4" t="s">
        <v>648</v>
      </c>
      <c r="C153" s="4">
        <v>7.81065807783E11</v>
      </c>
      <c r="D153" s="3" t="s">
        <v>649</v>
      </c>
      <c r="E153" s="3">
        <v>83.0</v>
      </c>
      <c r="F153" s="6">
        <f>E153*43/7.2+20/6.8606</f>
        <v>498.6096414</v>
      </c>
      <c r="G153" s="29">
        <f t="shared" si="6"/>
        <v>6.007345077</v>
      </c>
      <c r="H153" s="3" t="s">
        <v>650</v>
      </c>
      <c r="I153" s="3" t="s">
        <v>360</v>
      </c>
      <c r="J153" s="7" t="s">
        <v>651</v>
      </c>
      <c r="K153" s="21" t="s">
        <v>652</v>
      </c>
      <c r="L153" s="3"/>
      <c r="M153" s="3" t="s">
        <v>653</v>
      </c>
      <c r="N153" s="3"/>
      <c r="O153" s="3" t="s">
        <v>654</v>
      </c>
      <c r="P153" s="8">
        <v>1.3718598051E10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3" t="s">
        <v>655</v>
      </c>
      <c r="C154" s="4">
        <v>7.81065810275E11</v>
      </c>
      <c r="D154" s="3" t="s">
        <v>656</v>
      </c>
      <c r="E154" s="3">
        <v>15.0</v>
      </c>
      <c r="F154" s="6">
        <f t="shared" ref="F154:F155" si="7">E154*43/7.2</f>
        <v>89.58333333</v>
      </c>
      <c r="G154" s="29">
        <f t="shared" si="6"/>
        <v>5.972222222</v>
      </c>
      <c r="H154" s="32" t="s">
        <v>657</v>
      </c>
      <c r="I154" s="3" t="s">
        <v>263</v>
      </c>
      <c r="J154" s="7" t="s">
        <v>651</v>
      </c>
      <c r="K154" s="3" t="s">
        <v>273</v>
      </c>
      <c r="L154" s="3"/>
      <c r="M154" s="3" t="s">
        <v>653</v>
      </c>
      <c r="N154" s="3"/>
      <c r="O154" s="3" t="s">
        <v>654</v>
      </c>
      <c r="P154" s="8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 t="s">
        <v>658</v>
      </c>
      <c r="B155" s="4" t="s">
        <v>659</v>
      </c>
      <c r="C155" s="4">
        <v>7.81065812738E11</v>
      </c>
      <c r="D155" s="3" t="s">
        <v>660</v>
      </c>
      <c r="E155" s="3">
        <v>24.0</v>
      </c>
      <c r="F155" s="6">
        <f t="shared" si="7"/>
        <v>143.3333333</v>
      </c>
      <c r="G155" s="29">
        <f t="shared" si="6"/>
        <v>5.972222222</v>
      </c>
      <c r="H155" s="37" t="s">
        <v>31</v>
      </c>
      <c r="I155" s="38" t="s">
        <v>268</v>
      </c>
      <c r="J155" s="7" t="s">
        <v>651</v>
      </c>
      <c r="K155" s="21" t="s">
        <v>419</v>
      </c>
      <c r="L155" s="8"/>
      <c r="M155" s="3" t="s">
        <v>653</v>
      </c>
      <c r="N155" s="3"/>
      <c r="O155" s="3" t="s">
        <v>654</v>
      </c>
      <c r="P155" s="8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9" t="s">
        <v>661</v>
      </c>
      <c r="B156" s="32" t="s">
        <v>662</v>
      </c>
      <c r="C156" s="32" t="s">
        <v>663</v>
      </c>
      <c r="D156" s="39" t="s">
        <v>664</v>
      </c>
      <c r="E156" s="39">
        <v>44.0</v>
      </c>
      <c r="F156" s="40">
        <f>44*E156/7.15</f>
        <v>270.7692308</v>
      </c>
      <c r="G156" s="29">
        <f t="shared" si="6"/>
        <v>6.153846154</v>
      </c>
      <c r="H156" s="37" t="s">
        <v>31</v>
      </c>
      <c r="I156" s="38" t="s">
        <v>268</v>
      </c>
      <c r="J156" s="7" t="s">
        <v>665</v>
      </c>
      <c r="K156" s="3" t="s">
        <v>550</v>
      </c>
      <c r="M156" s="41" t="s">
        <v>611</v>
      </c>
      <c r="N156" s="41" t="s">
        <v>666</v>
      </c>
      <c r="O156" s="41" t="s">
        <v>667</v>
      </c>
      <c r="P156" s="42"/>
    </row>
    <row r="157">
      <c r="A157" s="39" t="s">
        <v>668</v>
      </c>
      <c r="B157" s="32" t="s">
        <v>669</v>
      </c>
      <c r="C157" s="32" t="s">
        <v>670</v>
      </c>
      <c r="D157" s="39" t="s">
        <v>671</v>
      </c>
      <c r="E157" s="39">
        <v>33.0</v>
      </c>
      <c r="F157" s="39">
        <f>E157*48/7.2</f>
        <v>220</v>
      </c>
      <c r="G157" s="29">
        <f t="shared" si="6"/>
        <v>6.666666667</v>
      </c>
      <c r="H157" s="39" t="s">
        <v>672</v>
      </c>
      <c r="I157" s="3" t="s">
        <v>360</v>
      </c>
      <c r="J157" s="4" t="s">
        <v>673</v>
      </c>
      <c r="K157" s="21" t="s">
        <v>674</v>
      </c>
      <c r="L157" s="39"/>
      <c r="M157" s="43">
        <v>45176.0</v>
      </c>
      <c r="N157" s="39" t="s">
        <v>675</v>
      </c>
      <c r="O157" s="39" t="s">
        <v>676</v>
      </c>
      <c r="P157" s="42">
        <v>1.3540760001E10</v>
      </c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ht="15.75" customHeight="1">
      <c r="A158" s="3" t="s">
        <v>677</v>
      </c>
      <c r="B158" s="4" t="s">
        <v>678</v>
      </c>
      <c r="C158" s="4">
        <v>7.80808811075E11</v>
      </c>
      <c r="D158" s="3" t="s">
        <v>679</v>
      </c>
      <c r="E158" s="3">
        <v>97.0</v>
      </c>
      <c r="F158" s="40">
        <f>E158*9/7.2+96/6.8606</f>
        <v>135.2429452</v>
      </c>
      <c r="G158" s="40">
        <f t="shared" si="6"/>
        <v>1.394257167</v>
      </c>
      <c r="H158" s="39" t="s">
        <v>672</v>
      </c>
      <c r="I158" s="3" t="s">
        <v>360</v>
      </c>
      <c r="J158" s="4" t="s">
        <v>680</v>
      </c>
      <c r="K158" s="21" t="s">
        <v>674</v>
      </c>
      <c r="L158" s="3"/>
      <c r="M158" s="3" t="s">
        <v>675</v>
      </c>
      <c r="N158" s="11" t="s">
        <v>681</v>
      </c>
      <c r="O158" s="3" t="s">
        <v>682</v>
      </c>
      <c r="P158" s="8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 t="s">
        <v>683</v>
      </c>
      <c r="B159" s="4" t="s">
        <v>684</v>
      </c>
      <c r="C159" s="4">
        <v>7.80808811075E11</v>
      </c>
      <c r="D159" s="3" t="s">
        <v>685</v>
      </c>
      <c r="E159" s="3">
        <v>12.0</v>
      </c>
      <c r="F159" s="40">
        <f>(E159*9+15)/7.2</f>
        <v>17.08333333</v>
      </c>
      <c r="G159" s="29">
        <f t="shared" si="6"/>
        <v>1.423611111</v>
      </c>
      <c r="H159" s="39" t="s">
        <v>19</v>
      </c>
      <c r="I159" s="3" t="s">
        <v>263</v>
      </c>
      <c r="J159" s="4" t="s">
        <v>680</v>
      </c>
      <c r="K159" s="3" t="s">
        <v>273</v>
      </c>
      <c r="L159" s="3"/>
      <c r="M159" s="3" t="s">
        <v>675</v>
      </c>
      <c r="N159" s="11" t="s">
        <v>681</v>
      </c>
      <c r="O159" s="3" t="s">
        <v>686</v>
      </c>
      <c r="P159" s="8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 t="s">
        <v>687</v>
      </c>
      <c r="B160" s="4" t="s">
        <v>688</v>
      </c>
      <c r="C160" s="4" t="s">
        <v>689</v>
      </c>
      <c r="D160" s="3" t="s">
        <v>690</v>
      </c>
      <c r="E160" s="3">
        <v>113.0</v>
      </c>
      <c r="F160" s="6">
        <f>E160*(8.5+0.5)/7.2799</f>
        <v>139.6997212</v>
      </c>
      <c r="G160" s="6">
        <f t="shared" si="6"/>
        <v>1.236280718</v>
      </c>
      <c r="H160" s="39" t="s">
        <v>672</v>
      </c>
      <c r="I160" s="3" t="s">
        <v>360</v>
      </c>
      <c r="J160" s="44" t="s">
        <v>691</v>
      </c>
      <c r="K160" s="3" t="s">
        <v>273</v>
      </c>
      <c r="L160" s="44"/>
      <c r="M160" s="3" t="s">
        <v>692</v>
      </c>
      <c r="N160" s="30">
        <v>45116.0</v>
      </c>
      <c r="O160" s="3" t="s">
        <v>693</v>
      </c>
      <c r="P160" s="8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3" t="s">
        <v>694</v>
      </c>
      <c r="B161" s="4" t="s">
        <v>695</v>
      </c>
      <c r="C161" s="4" t="s">
        <v>696</v>
      </c>
      <c r="D161" s="3" t="s">
        <v>697</v>
      </c>
      <c r="E161" s="3">
        <v>85.5</v>
      </c>
      <c r="F161" s="6">
        <f>220/(85.5+21.5)*85.5</f>
        <v>175.7943925</v>
      </c>
      <c r="G161" s="6">
        <f t="shared" si="6"/>
        <v>2.056074766</v>
      </c>
      <c r="H161" s="37" t="s">
        <v>31</v>
      </c>
      <c r="I161" s="38" t="s">
        <v>268</v>
      </c>
      <c r="J161" s="7" t="s">
        <v>698</v>
      </c>
      <c r="K161" s="21" t="s">
        <v>419</v>
      </c>
      <c r="L161" s="3"/>
      <c r="M161" s="11" t="s">
        <v>666</v>
      </c>
      <c r="N161" s="3"/>
      <c r="O161" s="11" t="s">
        <v>699</v>
      </c>
      <c r="P161" s="8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3" t="s">
        <v>700</v>
      </c>
      <c r="B162" s="4" t="s">
        <v>701</v>
      </c>
      <c r="C162" s="4" t="s">
        <v>696</v>
      </c>
      <c r="D162" s="3" t="s">
        <v>702</v>
      </c>
      <c r="E162" s="3">
        <v>21.5</v>
      </c>
      <c r="F162" s="6">
        <f>220/(85.5+21.5)*21.5</f>
        <v>44.20560748</v>
      </c>
      <c r="G162" s="6">
        <f t="shared" si="6"/>
        <v>2.056074766</v>
      </c>
      <c r="H162" s="37" t="s">
        <v>31</v>
      </c>
      <c r="I162" s="38" t="s">
        <v>268</v>
      </c>
      <c r="J162" s="7" t="s">
        <v>698</v>
      </c>
      <c r="K162" s="3" t="s">
        <v>273</v>
      </c>
      <c r="L162" s="3"/>
      <c r="M162" s="11" t="s">
        <v>666</v>
      </c>
      <c r="N162" s="3"/>
      <c r="O162" s="11" t="s">
        <v>699</v>
      </c>
      <c r="P162" s="8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3" t="s">
        <v>703</v>
      </c>
      <c r="B163" s="4" t="s">
        <v>704</v>
      </c>
      <c r="C163" s="4" t="s">
        <v>705</v>
      </c>
      <c r="D163" s="3" t="s">
        <v>706</v>
      </c>
      <c r="E163" s="3">
        <v>63.0</v>
      </c>
      <c r="F163" s="6">
        <f>240/(63+19)*63</f>
        <v>184.3902439</v>
      </c>
      <c r="G163" s="6">
        <f t="shared" si="6"/>
        <v>2.926829268</v>
      </c>
      <c r="H163" s="37" t="s">
        <v>31</v>
      </c>
      <c r="I163" s="38" t="s">
        <v>268</v>
      </c>
      <c r="J163" s="7" t="s">
        <v>698</v>
      </c>
      <c r="K163" s="35" t="s">
        <v>627</v>
      </c>
      <c r="L163" s="3"/>
      <c r="M163" s="11" t="s">
        <v>666</v>
      </c>
      <c r="N163" s="3"/>
      <c r="O163" s="11" t="s">
        <v>699</v>
      </c>
      <c r="P163" s="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3" t="s">
        <v>707</v>
      </c>
      <c r="B164" s="4" t="s">
        <v>708</v>
      </c>
      <c r="C164" s="4" t="s">
        <v>705</v>
      </c>
      <c r="D164" s="3" t="s">
        <v>709</v>
      </c>
      <c r="E164" s="3">
        <v>19.0</v>
      </c>
      <c r="F164" s="6">
        <f>240/(63+19)*19</f>
        <v>55.6097561</v>
      </c>
      <c r="G164" s="6">
        <f t="shared" si="6"/>
        <v>2.926829268</v>
      </c>
      <c r="H164" s="37" t="s">
        <v>31</v>
      </c>
      <c r="I164" s="38" t="s">
        <v>268</v>
      </c>
      <c r="J164" s="7" t="s">
        <v>698</v>
      </c>
      <c r="K164" s="3" t="s">
        <v>273</v>
      </c>
      <c r="L164" s="3"/>
      <c r="M164" s="11" t="s">
        <v>666</v>
      </c>
      <c r="N164" s="3"/>
      <c r="O164" s="11" t="s">
        <v>699</v>
      </c>
      <c r="P164" s="8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3" t="s">
        <v>710</v>
      </c>
      <c r="B165" s="4" t="s">
        <v>711</v>
      </c>
      <c r="C165" s="4" t="s">
        <v>712</v>
      </c>
      <c r="D165" s="3" t="s">
        <v>656</v>
      </c>
      <c r="E165" s="3">
        <v>36.0</v>
      </c>
      <c r="F165" s="6">
        <f>E165*16/7.2</f>
        <v>80</v>
      </c>
      <c r="G165" s="29">
        <f t="shared" si="6"/>
        <v>2.222222222</v>
      </c>
      <c r="H165" s="32" t="s">
        <v>713</v>
      </c>
      <c r="I165" s="3" t="s">
        <v>263</v>
      </c>
      <c r="J165" s="7" t="s">
        <v>447</v>
      </c>
      <c r="K165" s="4" t="s">
        <v>714</v>
      </c>
      <c r="L165" s="3"/>
      <c r="M165" s="3" t="s">
        <v>653</v>
      </c>
      <c r="N165" s="30">
        <v>44965.0</v>
      </c>
      <c r="O165" s="30">
        <v>45177.0</v>
      </c>
      <c r="P165" s="8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3" t="s">
        <v>715</v>
      </c>
      <c r="B166" s="4" t="s">
        <v>716</v>
      </c>
      <c r="C166" s="4" t="s">
        <v>717</v>
      </c>
      <c r="D166" s="3" t="s">
        <v>718</v>
      </c>
      <c r="E166" s="3">
        <v>21.45</v>
      </c>
      <c r="F166" s="45">
        <f>E166*40/7.2</f>
        <v>119.1666667</v>
      </c>
      <c r="G166" s="29">
        <f t="shared" si="6"/>
        <v>5.555555556</v>
      </c>
      <c r="H166" s="6" t="s">
        <v>620</v>
      </c>
      <c r="I166" s="26" t="s">
        <v>268</v>
      </c>
      <c r="J166" s="7" t="s">
        <v>639</v>
      </c>
      <c r="K166" s="3" t="s">
        <v>273</v>
      </c>
      <c r="L166" s="3"/>
      <c r="M166" s="11" t="s">
        <v>654</v>
      </c>
      <c r="N166" s="11" t="s">
        <v>719</v>
      </c>
      <c r="O166" s="46" t="s">
        <v>720</v>
      </c>
      <c r="P166" s="8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3" t="s">
        <v>721</v>
      </c>
      <c r="B167" s="32" t="s">
        <v>722</v>
      </c>
      <c r="C167" s="4">
        <v>7.81636548822E11</v>
      </c>
      <c r="D167" s="3" t="s">
        <v>723</v>
      </c>
      <c r="E167" s="39">
        <v>18.0</v>
      </c>
      <c r="F167" s="6">
        <f>18*46/7.2799</f>
        <v>113.7378261</v>
      </c>
      <c r="G167" s="40">
        <f t="shared" si="6"/>
        <v>6.318768115</v>
      </c>
      <c r="H167" s="3" t="s">
        <v>724</v>
      </c>
      <c r="I167" s="3" t="s">
        <v>360</v>
      </c>
      <c r="J167" s="7" t="s">
        <v>725</v>
      </c>
      <c r="K167" s="3" t="s">
        <v>273</v>
      </c>
      <c r="L167" s="3"/>
      <c r="M167" s="3" t="s">
        <v>726</v>
      </c>
      <c r="N167" s="3"/>
      <c r="O167" s="30">
        <v>44934.0</v>
      </c>
      <c r="P167" s="8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3" t="s">
        <v>727</v>
      </c>
      <c r="B168" s="4" t="s">
        <v>728</v>
      </c>
      <c r="C168" s="4" t="s">
        <v>729</v>
      </c>
      <c r="D168" s="3" t="s">
        <v>723</v>
      </c>
      <c r="E168" s="3">
        <v>53.0</v>
      </c>
      <c r="F168" s="6">
        <f>53*37/7.2799</f>
        <v>269.371832</v>
      </c>
      <c r="G168" s="40">
        <f t="shared" si="6"/>
        <v>5.082487397</v>
      </c>
      <c r="H168" s="3" t="s">
        <v>724</v>
      </c>
      <c r="I168" s="3" t="s">
        <v>360</v>
      </c>
      <c r="J168" s="4" t="s">
        <v>452</v>
      </c>
      <c r="K168" s="3" t="s">
        <v>273</v>
      </c>
      <c r="L168" s="3"/>
      <c r="M168" s="3" t="s">
        <v>730</v>
      </c>
      <c r="N168" s="3"/>
      <c r="O168" s="30">
        <v>45115.0</v>
      </c>
      <c r="P168" s="8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3" t="s">
        <v>731</v>
      </c>
      <c r="B169" s="4" t="s">
        <v>732</v>
      </c>
      <c r="C169" s="4"/>
      <c r="D169" s="3" t="s">
        <v>723</v>
      </c>
      <c r="E169" s="3">
        <v>47.0</v>
      </c>
      <c r="F169" s="6">
        <f>47*11.8/7.2799</f>
        <v>76.18236514</v>
      </c>
      <c r="G169" s="6">
        <f t="shared" si="6"/>
        <v>1.620901386</v>
      </c>
      <c r="H169" s="3" t="s">
        <v>724</v>
      </c>
      <c r="I169" s="3" t="s">
        <v>360</v>
      </c>
      <c r="J169" s="4" t="s">
        <v>733</v>
      </c>
      <c r="K169" s="35" t="s">
        <v>734</v>
      </c>
      <c r="L169" s="3"/>
      <c r="M169" s="30">
        <v>45177.0</v>
      </c>
      <c r="N169" s="3"/>
      <c r="O169" s="30">
        <v>44935.0</v>
      </c>
      <c r="P169" s="8">
        <v>1.4053661601E10</v>
      </c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3" t="s">
        <v>735</v>
      </c>
      <c r="B170" s="4" t="s">
        <v>736</v>
      </c>
      <c r="C170" s="4"/>
      <c r="D170" s="3" t="s">
        <v>737</v>
      </c>
      <c r="E170" s="3">
        <v>89.0</v>
      </c>
      <c r="F170" s="6">
        <f>11.8*E170/7.2799</f>
        <v>144.2602234</v>
      </c>
      <c r="G170" s="6">
        <f t="shared" si="6"/>
        <v>1.620901386</v>
      </c>
      <c r="H170" s="3" t="s">
        <v>724</v>
      </c>
      <c r="I170" s="38" t="s">
        <v>268</v>
      </c>
      <c r="J170" s="7" t="s">
        <v>738</v>
      </c>
      <c r="K170" s="3" t="s">
        <v>273</v>
      </c>
      <c r="L170" s="3"/>
      <c r="M170" s="30">
        <v>45177.0</v>
      </c>
      <c r="N170" s="30"/>
      <c r="O170" s="30">
        <v>45116.0</v>
      </c>
      <c r="P170" s="8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3" t="s">
        <v>739</v>
      </c>
      <c r="B171" s="4" t="s">
        <v>740</v>
      </c>
      <c r="C171" s="4">
        <v>7.81636548822E11</v>
      </c>
      <c r="D171" s="3" t="s">
        <v>741</v>
      </c>
      <c r="E171" s="3">
        <v>21.0</v>
      </c>
      <c r="F171" s="45">
        <f>E171*46/7.2</f>
        <v>134.1666667</v>
      </c>
      <c r="G171" s="29">
        <f t="shared" si="6"/>
        <v>6.388888889</v>
      </c>
      <c r="H171" s="3" t="s">
        <v>742</v>
      </c>
      <c r="I171" s="38" t="s">
        <v>268</v>
      </c>
      <c r="J171" s="7" t="s">
        <v>725</v>
      </c>
      <c r="K171" s="3" t="s">
        <v>273</v>
      </c>
      <c r="L171" s="3"/>
      <c r="M171" s="3" t="s">
        <v>726</v>
      </c>
      <c r="N171" s="3"/>
      <c r="O171" s="3" t="s">
        <v>681</v>
      </c>
      <c r="P171" s="8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3" t="s">
        <v>743</v>
      </c>
      <c r="B172" s="4" t="s">
        <v>744</v>
      </c>
      <c r="C172" s="4" t="s">
        <v>745</v>
      </c>
      <c r="D172" s="3"/>
      <c r="E172" s="3">
        <v>9.0</v>
      </c>
      <c r="H172" s="3" t="s">
        <v>286</v>
      </c>
      <c r="I172" s="38" t="s">
        <v>268</v>
      </c>
      <c r="J172" s="7" t="s">
        <v>746</v>
      </c>
      <c r="K172" s="3" t="s">
        <v>273</v>
      </c>
      <c r="L172" s="3"/>
      <c r="M172" s="3"/>
      <c r="N172" s="3"/>
      <c r="O172" s="3"/>
      <c r="P172" s="8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3" t="s">
        <v>747</v>
      </c>
      <c r="B173" s="4" t="s">
        <v>748</v>
      </c>
      <c r="C173" s="4" t="s">
        <v>749</v>
      </c>
      <c r="D173" s="3">
        <v>116.0</v>
      </c>
      <c r="E173" s="3">
        <v>35.0</v>
      </c>
      <c r="F173" s="6">
        <f>35*50.5+ 35 </f>
        <v>1802.5</v>
      </c>
      <c r="G173" s="6">
        <f t="shared" ref="G173:G176" si="8">F173/E173</f>
        <v>51.5</v>
      </c>
      <c r="H173" s="3" t="s">
        <v>750</v>
      </c>
      <c r="I173" s="47" t="s">
        <v>263</v>
      </c>
      <c r="J173" s="7" t="s">
        <v>751</v>
      </c>
      <c r="K173" s="3" t="s">
        <v>273</v>
      </c>
      <c r="L173" s="3"/>
      <c r="M173" s="3" t="s">
        <v>681</v>
      </c>
      <c r="N173" s="3" t="s">
        <v>752</v>
      </c>
      <c r="O173" s="31">
        <v>44965.0</v>
      </c>
      <c r="P173" s="8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3" t="s">
        <v>753</v>
      </c>
      <c r="B174" s="4" t="s">
        <v>754</v>
      </c>
      <c r="C174" s="4" t="s">
        <v>755</v>
      </c>
      <c r="D174" s="9" t="s">
        <v>756</v>
      </c>
      <c r="E174" s="3">
        <v>12.0</v>
      </c>
      <c r="F174" s="3">
        <v>9.56</v>
      </c>
      <c r="G174" s="6">
        <f t="shared" si="8"/>
        <v>0.7966666667</v>
      </c>
      <c r="H174" s="3" t="s">
        <v>77</v>
      </c>
      <c r="I174" s="3" t="s">
        <v>268</v>
      </c>
      <c r="J174" s="7" t="s">
        <v>26</v>
      </c>
      <c r="K174" s="3" t="s">
        <v>550</v>
      </c>
      <c r="L174" s="3"/>
      <c r="M174" s="3"/>
      <c r="N174" s="3"/>
      <c r="O174" s="3"/>
      <c r="P174" s="8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3" t="s">
        <v>757</v>
      </c>
      <c r="B175" s="4" t="s">
        <v>758</v>
      </c>
      <c r="C175" s="4">
        <v>7.82191756281E11</v>
      </c>
      <c r="D175" s="3" t="s">
        <v>759</v>
      </c>
      <c r="E175" s="3">
        <v>122.0</v>
      </c>
      <c r="F175" s="6">
        <f>E175*9.5/7.2799</f>
        <v>159.2054836</v>
      </c>
      <c r="G175" s="6">
        <f t="shared" si="8"/>
        <v>1.30496298</v>
      </c>
      <c r="H175" s="3" t="s">
        <v>724</v>
      </c>
      <c r="I175" s="3" t="s">
        <v>360</v>
      </c>
      <c r="J175" s="7" t="s">
        <v>760</v>
      </c>
      <c r="K175" s="3" t="s">
        <v>273</v>
      </c>
      <c r="L175" s="3"/>
      <c r="M175" s="30">
        <v>45146.0</v>
      </c>
      <c r="N175" s="3"/>
      <c r="O175" s="3" t="s">
        <v>761</v>
      </c>
      <c r="P175" s="8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3" t="s">
        <v>762</v>
      </c>
      <c r="B176" s="4" t="s">
        <v>763</v>
      </c>
      <c r="C176" s="4"/>
      <c r="D176" s="3" t="s">
        <v>737</v>
      </c>
      <c r="E176" s="3">
        <v>422.0</v>
      </c>
      <c r="F176" s="6">
        <f>7.4*E176/7.2799</f>
        <v>428.9619363</v>
      </c>
      <c r="G176" s="6">
        <f t="shared" si="8"/>
        <v>1.016497479</v>
      </c>
      <c r="H176" s="3" t="s">
        <v>724</v>
      </c>
      <c r="I176" s="38" t="s">
        <v>268</v>
      </c>
      <c r="J176" s="7" t="s">
        <v>764</v>
      </c>
      <c r="K176" s="3" t="s">
        <v>550</v>
      </c>
      <c r="L176" s="3"/>
      <c r="M176" s="30">
        <v>44934.0</v>
      </c>
      <c r="N176" s="3"/>
      <c r="O176" s="30">
        <v>44994.0</v>
      </c>
      <c r="P176" s="8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3" t="s">
        <v>765</v>
      </c>
      <c r="B177" s="4" t="s">
        <v>766</v>
      </c>
      <c r="C177" s="4" t="s">
        <v>767</v>
      </c>
      <c r="D177" s="3" t="s">
        <v>768</v>
      </c>
      <c r="E177" s="3">
        <v>30.0</v>
      </c>
      <c r="F177" s="3">
        <f t="shared" ref="F177:F178" si="9">E177*G177</f>
        <v>1140</v>
      </c>
      <c r="G177" s="6">
        <v>38.0</v>
      </c>
      <c r="H177" s="3" t="s">
        <v>750</v>
      </c>
      <c r="I177" s="47" t="s">
        <v>263</v>
      </c>
      <c r="J177" s="4" t="s">
        <v>452</v>
      </c>
      <c r="K177" s="3" t="s">
        <v>273</v>
      </c>
      <c r="L177" s="3"/>
      <c r="M177" s="3"/>
      <c r="N177" s="3"/>
      <c r="O177" s="3"/>
      <c r="P177" s="8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3" t="s">
        <v>769</v>
      </c>
      <c r="B178" s="32" t="s">
        <v>770</v>
      </c>
      <c r="C178" s="4" t="s">
        <v>771</v>
      </c>
      <c r="D178" s="3" t="s">
        <v>772</v>
      </c>
      <c r="E178" s="3">
        <v>19.0</v>
      </c>
      <c r="F178" s="3">
        <f t="shared" si="9"/>
        <v>722</v>
      </c>
      <c r="G178" s="6">
        <v>38.0</v>
      </c>
      <c r="H178" s="3" t="s">
        <v>742</v>
      </c>
      <c r="I178" s="38" t="s">
        <v>268</v>
      </c>
      <c r="J178" s="4" t="s">
        <v>452</v>
      </c>
      <c r="K178" s="3" t="s">
        <v>273</v>
      </c>
      <c r="L178" s="3"/>
      <c r="M178" s="11" t="s">
        <v>773</v>
      </c>
      <c r="N178" s="3"/>
      <c r="O178" s="11" t="s">
        <v>682</v>
      </c>
      <c r="P178" s="8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3" t="s">
        <v>774</v>
      </c>
      <c r="B179" s="32" t="s">
        <v>775</v>
      </c>
      <c r="C179" s="4" t="s">
        <v>776</v>
      </c>
      <c r="D179" s="3" t="s">
        <v>737</v>
      </c>
      <c r="E179" s="20">
        <v>12.0</v>
      </c>
      <c r="F179" s="6">
        <f>38*E179/7.2799</f>
        <v>62.63822305</v>
      </c>
      <c r="G179" s="6">
        <f t="shared" ref="G179:G180" si="10">F179/E179</f>
        <v>5.219851921</v>
      </c>
      <c r="H179" s="3" t="s">
        <v>724</v>
      </c>
      <c r="I179" s="38" t="s">
        <v>268</v>
      </c>
      <c r="J179" s="4" t="s">
        <v>452</v>
      </c>
      <c r="K179" s="3" t="s">
        <v>273</v>
      </c>
      <c r="L179" s="3"/>
      <c r="M179" s="30">
        <v>45177.0</v>
      </c>
      <c r="N179" s="11" t="s">
        <v>777</v>
      </c>
      <c r="O179" s="11" t="s">
        <v>682</v>
      </c>
      <c r="P179" s="8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3" t="s">
        <v>778</v>
      </c>
      <c r="B180" s="23" t="s">
        <v>779</v>
      </c>
      <c r="C180" s="4" t="s">
        <v>780</v>
      </c>
      <c r="D180" s="3" t="s">
        <v>781</v>
      </c>
      <c r="E180" s="20">
        <v>3.0</v>
      </c>
      <c r="F180" s="6">
        <v>5.16</v>
      </c>
      <c r="G180" s="6">
        <f t="shared" si="10"/>
        <v>1.72</v>
      </c>
      <c r="H180" s="3" t="s">
        <v>77</v>
      </c>
      <c r="I180" s="48" t="s">
        <v>268</v>
      </c>
      <c r="J180" s="7" t="s">
        <v>26</v>
      </c>
      <c r="K180" s="21" t="s">
        <v>419</v>
      </c>
      <c r="L180" s="3"/>
      <c r="M180" s="3"/>
      <c r="N180" s="3"/>
      <c r="O180" s="4"/>
      <c r="P180" s="8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3" t="s">
        <v>782</v>
      </c>
      <c r="B181" s="32" t="s">
        <v>783</v>
      </c>
      <c r="C181" s="4"/>
      <c r="D181" s="3" t="s">
        <v>784</v>
      </c>
      <c r="E181" s="20">
        <v>53.0</v>
      </c>
      <c r="F181" s="6">
        <f t="shared" ref="F181:F185" si="11">E181*G181/7.1</f>
        <v>156.7605634</v>
      </c>
      <c r="G181" s="6">
        <v>21.0</v>
      </c>
      <c r="H181" s="37" t="s">
        <v>31</v>
      </c>
      <c r="I181" s="38" t="s">
        <v>268</v>
      </c>
      <c r="J181" s="7" t="s">
        <v>447</v>
      </c>
      <c r="K181" s="3" t="s">
        <v>273</v>
      </c>
      <c r="L181" s="3"/>
      <c r="M181" s="11" t="s">
        <v>785</v>
      </c>
      <c r="N181" s="11" t="s">
        <v>786</v>
      </c>
      <c r="O181" s="4" t="s">
        <v>787</v>
      </c>
      <c r="P181" s="8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3" t="s">
        <v>788</v>
      </c>
      <c r="B182" s="32" t="s">
        <v>789</v>
      </c>
      <c r="C182" s="4"/>
      <c r="D182" s="3" t="s">
        <v>790</v>
      </c>
      <c r="E182" s="20">
        <v>32.0</v>
      </c>
      <c r="F182" s="6">
        <f t="shared" si="11"/>
        <v>94.64788732</v>
      </c>
      <c r="G182" s="6">
        <v>21.0</v>
      </c>
      <c r="H182" s="37" t="s">
        <v>31</v>
      </c>
      <c r="I182" s="38" t="s">
        <v>268</v>
      </c>
      <c r="J182" s="7" t="s">
        <v>447</v>
      </c>
      <c r="K182" s="21" t="s">
        <v>521</v>
      </c>
      <c r="L182" s="3"/>
      <c r="M182" s="11" t="s">
        <v>785</v>
      </c>
      <c r="N182" s="11" t="s">
        <v>786</v>
      </c>
      <c r="O182" s="4" t="s">
        <v>791</v>
      </c>
      <c r="P182" s="8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3" t="s">
        <v>792</v>
      </c>
      <c r="B183" s="32" t="s">
        <v>793</v>
      </c>
      <c r="C183" s="4">
        <v>7.82191765908E11</v>
      </c>
      <c r="D183" s="3" t="s">
        <v>794</v>
      </c>
      <c r="E183" s="39">
        <v>65.0</v>
      </c>
      <c r="F183" s="6">
        <f t="shared" si="11"/>
        <v>119.0140845</v>
      </c>
      <c r="G183" s="6">
        <v>13.0</v>
      </c>
      <c r="H183" s="37" t="s">
        <v>31</v>
      </c>
      <c r="I183" s="38" t="s">
        <v>268</v>
      </c>
      <c r="J183" s="7" t="s">
        <v>447</v>
      </c>
      <c r="K183" s="3" t="s">
        <v>273</v>
      </c>
      <c r="L183" s="3"/>
      <c r="M183" s="11" t="s">
        <v>785</v>
      </c>
      <c r="N183" s="11" t="s">
        <v>795</v>
      </c>
      <c r="O183" s="49" t="s">
        <v>796</v>
      </c>
      <c r="P183" s="8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3" t="s">
        <v>797</v>
      </c>
      <c r="B184" s="32" t="s">
        <v>798</v>
      </c>
      <c r="C184" s="4">
        <v>7.82191765908E11</v>
      </c>
      <c r="D184" s="3" t="s">
        <v>772</v>
      </c>
      <c r="E184" s="39">
        <v>21.0</v>
      </c>
      <c r="F184" s="6">
        <f t="shared" si="11"/>
        <v>38.45070423</v>
      </c>
      <c r="G184" s="6">
        <v>13.0</v>
      </c>
      <c r="H184" s="3" t="s">
        <v>742</v>
      </c>
      <c r="I184" s="38" t="s">
        <v>268</v>
      </c>
      <c r="J184" s="7" t="s">
        <v>447</v>
      </c>
      <c r="K184" s="3" t="s">
        <v>273</v>
      </c>
      <c r="L184" s="3"/>
      <c r="M184" s="11" t="s">
        <v>785</v>
      </c>
      <c r="N184" s="11" t="s">
        <v>795</v>
      </c>
      <c r="O184" s="49" t="s">
        <v>796</v>
      </c>
      <c r="P184" s="8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3" t="s">
        <v>799</v>
      </c>
      <c r="B185" s="32" t="s">
        <v>800</v>
      </c>
      <c r="C185" s="4">
        <v>7.82191765908E11</v>
      </c>
      <c r="D185" s="3" t="s">
        <v>772</v>
      </c>
      <c r="E185" s="39">
        <v>21.0</v>
      </c>
      <c r="F185" s="6">
        <f t="shared" si="11"/>
        <v>38.45070423</v>
      </c>
      <c r="G185" s="6">
        <v>13.0</v>
      </c>
      <c r="H185" s="3" t="s">
        <v>742</v>
      </c>
      <c r="I185" s="38" t="s">
        <v>268</v>
      </c>
      <c r="J185" s="7" t="s">
        <v>447</v>
      </c>
      <c r="K185" s="3" t="s">
        <v>273</v>
      </c>
      <c r="L185" s="3"/>
      <c r="M185" s="11" t="s">
        <v>785</v>
      </c>
      <c r="N185" s="11" t="s">
        <v>795</v>
      </c>
      <c r="O185" s="49" t="s">
        <v>796</v>
      </c>
      <c r="P185" s="8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3" t="s">
        <v>801</v>
      </c>
      <c r="B186" s="50" t="s">
        <v>802</v>
      </c>
      <c r="C186" s="4" t="s">
        <v>803</v>
      </c>
      <c r="D186" s="3" t="s">
        <v>804</v>
      </c>
      <c r="E186" s="3">
        <v>43.0</v>
      </c>
      <c r="F186" s="3">
        <f>G186*E186</f>
        <v>1763</v>
      </c>
      <c r="G186" s="6">
        <v>41.0</v>
      </c>
      <c r="H186" s="3" t="s">
        <v>742</v>
      </c>
      <c r="I186" s="38" t="s">
        <v>268</v>
      </c>
      <c r="J186" s="4" t="s">
        <v>452</v>
      </c>
      <c r="K186" s="21" t="s">
        <v>419</v>
      </c>
      <c r="L186" s="3"/>
      <c r="M186" s="11" t="s">
        <v>686</v>
      </c>
      <c r="N186" s="11" t="s">
        <v>805</v>
      </c>
      <c r="O186" s="46" t="s">
        <v>806</v>
      </c>
      <c r="P186" s="8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3" t="s">
        <v>807</v>
      </c>
      <c r="B187" s="50" t="s">
        <v>808</v>
      </c>
      <c r="C187" s="4" t="s">
        <v>803</v>
      </c>
      <c r="D187" s="3" t="s">
        <v>809</v>
      </c>
      <c r="H187" s="37" t="s">
        <v>31</v>
      </c>
      <c r="I187" s="38" t="s">
        <v>268</v>
      </c>
      <c r="J187" s="4" t="s">
        <v>452</v>
      </c>
      <c r="K187" s="3" t="s">
        <v>273</v>
      </c>
      <c r="L187" s="3"/>
      <c r="M187" s="11" t="s">
        <v>686</v>
      </c>
      <c r="N187" s="11" t="s">
        <v>805</v>
      </c>
      <c r="O187" s="46" t="s">
        <v>806</v>
      </c>
      <c r="P187" s="8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3" t="s">
        <v>810</v>
      </c>
      <c r="B188" s="50" t="s">
        <v>811</v>
      </c>
      <c r="C188" s="4">
        <v>7.82495512497E11</v>
      </c>
      <c r="D188" s="3" t="s">
        <v>809</v>
      </c>
      <c r="E188" s="20">
        <v>22.0</v>
      </c>
      <c r="F188" s="3">
        <f t="shared" ref="F188:F192" si="12">G188*E188</f>
        <v>286</v>
      </c>
      <c r="G188" s="6">
        <v>13.0</v>
      </c>
      <c r="H188" s="37" t="s">
        <v>31</v>
      </c>
      <c r="I188" s="38" t="s">
        <v>268</v>
      </c>
      <c r="J188" s="7" t="s">
        <v>447</v>
      </c>
      <c r="K188" s="3" t="s">
        <v>273</v>
      </c>
      <c r="L188" s="3"/>
      <c r="M188" s="11" t="s">
        <v>812</v>
      </c>
      <c r="N188" s="11" t="s">
        <v>813</v>
      </c>
      <c r="O188" s="11" t="s">
        <v>813</v>
      </c>
      <c r="P188" s="8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3" t="s">
        <v>814</v>
      </c>
      <c r="B189" s="50" t="s">
        <v>815</v>
      </c>
      <c r="C189" s="4">
        <v>7.82495512497E11</v>
      </c>
      <c r="D189" s="3" t="s">
        <v>809</v>
      </c>
      <c r="E189" s="20">
        <v>22.0</v>
      </c>
      <c r="F189" s="3">
        <f t="shared" si="12"/>
        <v>286</v>
      </c>
      <c r="G189" s="6">
        <v>13.0</v>
      </c>
      <c r="H189" s="37" t="s">
        <v>31</v>
      </c>
      <c r="I189" s="38" t="s">
        <v>268</v>
      </c>
      <c r="J189" s="7" t="s">
        <v>447</v>
      </c>
      <c r="K189" s="3" t="s">
        <v>273</v>
      </c>
      <c r="L189" s="3"/>
      <c r="M189" s="11" t="s">
        <v>812</v>
      </c>
      <c r="N189" s="11" t="s">
        <v>813</v>
      </c>
      <c r="O189" s="11" t="s">
        <v>813</v>
      </c>
      <c r="P189" s="8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3" t="s">
        <v>816</v>
      </c>
      <c r="B190" s="50" t="s">
        <v>817</v>
      </c>
      <c r="C190" s="4">
        <v>7.82495512497E11</v>
      </c>
      <c r="D190" s="3" t="s">
        <v>804</v>
      </c>
      <c r="E190" s="20">
        <v>42.0</v>
      </c>
      <c r="F190" s="3">
        <f t="shared" si="12"/>
        <v>546</v>
      </c>
      <c r="G190" s="6">
        <v>13.0</v>
      </c>
      <c r="H190" s="3" t="s">
        <v>742</v>
      </c>
      <c r="I190" s="38" t="s">
        <v>268</v>
      </c>
      <c r="J190" s="7" t="s">
        <v>447</v>
      </c>
      <c r="K190" s="3" t="s">
        <v>273</v>
      </c>
      <c r="L190" s="3"/>
      <c r="M190" s="11" t="s">
        <v>812</v>
      </c>
      <c r="N190" s="11" t="s">
        <v>813</v>
      </c>
      <c r="O190" s="11" t="s">
        <v>813</v>
      </c>
      <c r="P190" s="8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3" t="s">
        <v>818</v>
      </c>
      <c r="B191" s="50" t="s">
        <v>819</v>
      </c>
      <c r="C191" s="4">
        <v>7.82495512497E11</v>
      </c>
      <c r="D191" s="3" t="s">
        <v>804</v>
      </c>
      <c r="E191" s="39">
        <v>21.0</v>
      </c>
      <c r="F191" s="3">
        <f t="shared" si="12"/>
        <v>273</v>
      </c>
      <c r="G191" s="6">
        <v>13.0</v>
      </c>
      <c r="H191" s="3" t="s">
        <v>742</v>
      </c>
      <c r="I191" s="38" t="s">
        <v>268</v>
      </c>
      <c r="J191" s="7" t="s">
        <v>447</v>
      </c>
      <c r="K191" s="3" t="s">
        <v>273</v>
      </c>
      <c r="L191" s="3"/>
      <c r="M191" s="11" t="s">
        <v>812</v>
      </c>
      <c r="N191" s="11" t="s">
        <v>813</v>
      </c>
      <c r="O191" s="11" t="s">
        <v>813</v>
      </c>
      <c r="P191" s="8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3" t="s">
        <v>820</v>
      </c>
      <c r="B192" s="50" t="s">
        <v>821</v>
      </c>
      <c r="C192" s="4">
        <v>7.82495512497E11</v>
      </c>
      <c r="D192" s="3" t="s">
        <v>822</v>
      </c>
      <c r="E192" s="20">
        <v>20.0</v>
      </c>
      <c r="F192" s="3">
        <f t="shared" si="12"/>
        <v>260</v>
      </c>
      <c r="G192" s="6">
        <v>13.0</v>
      </c>
      <c r="H192" s="3" t="s">
        <v>823</v>
      </c>
      <c r="I192" s="38" t="s">
        <v>268</v>
      </c>
      <c r="J192" s="7" t="s">
        <v>447</v>
      </c>
      <c r="K192" s="3" t="s">
        <v>273</v>
      </c>
      <c r="L192" s="3"/>
      <c r="M192" s="11" t="s">
        <v>812</v>
      </c>
      <c r="N192" s="11" t="s">
        <v>813</v>
      </c>
      <c r="O192" s="11" t="s">
        <v>813</v>
      </c>
      <c r="P192" s="8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3" t="s">
        <v>824</v>
      </c>
      <c r="B193" s="4" t="s">
        <v>825</v>
      </c>
      <c r="C193" s="4"/>
      <c r="D193" s="3" t="s">
        <v>826</v>
      </c>
      <c r="E193" s="3">
        <v>199.0</v>
      </c>
      <c r="F193" s="6">
        <f>199*8.5/7.2799+200/7.1144</f>
        <v>260.4640909</v>
      </c>
      <c r="G193" s="6">
        <f>F193/E193</f>
        <v>1.308864779</v>
      </c>
      <c r="H193" s="3" t="s">
        <v>672</v>
      </c>
      <c r="I193" s="3" t="s">
        <v>360</v>
      </c>
      <c r="J193" s="7" t="s">
        <v>827</v>
      </c>
      <c r="K193" s="3" t="s">
        <v>550</v>
      </c>
      <c r="L193" s="3"/>
      <c r="M193" s="3" t="s">
        <v>828</v>
      </c>
      <c r="N193" s="3"/>
      <c r="O193" s="30">
        <v>45056.0</v>
      </c>
      <c r="P193" s="8">
        <v>1.4425038201E10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3" t="s">
        <v>829</v>
      </c>
      <c r="B194" s="4" t="s">
        <v>830</v>
      </c>
      <c r="C194" s="4" t="s">
        <v>831</v>
      </c>
      <c r="D194" s="3" t="s">
        <v>832</v>
      </c>
      <c r="E194" s="3">
        <v>12.0</v>
      </c>
      <c r="F194" s="39">
        <f>E194*G194</f>
        <v>492</v>
      </c>
      <c r="G194" s="3">
        <v>41.0</v>
      </c>
      <c r="H194" s="3" t="s">
        <v>833</v>
      </c>
      <c r="I194" s="47" t="s">
        <v>263</v>
      </c>
      <c r="J194" s="4" t="s">
        <v>452</v>
      </c>
      <c r="K194" s="35" t="s">
        <v>834</v>
      </c>
      <c r="L194" s="2"/>
      <c r="M194" s="11" t="s">
        <v>813</v>
      </c>
      <c r="N194" s="3"/>
      <c r="O194" s="11" t="s">
        <v>835</v>
      </c>
      <c r="P194" s="8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3" t="s">
        <v>836</v>
      </c>
      <c r="C195" s="4" t="s">
        <v>837</v>
      </c>
      <c r="D195" s="3" t="s">
        <v>838</v>
      </c>
      <c r="E195" s="3">
        <v>18.0</v>
      </c>
      <c r="F195" s="40">
        <f>E195*41/7.1459</f>
        <v>103.2760044</v>
      </c>
      <c r="G195" s="51">
        <f>F195/E195</f>
        <v>5.737555801</v>
      </c>
      <c r="H195" s="3" t="s">
        <v>724</v>
      </c>
      <c r="I195" s="3" t="s">
        <v>360</v>
      </c>
      <c r="J195" s="4" t="s">
        <v>452</v>
      </c>
      <c r="K195" s="3" t="s">
        <v>550</v>
      </c>
      <c r="L195" s="2"/>
      <c r="M195" s="11" t="s">
        <v>813</v>
      </c>
      <c r="N195" s="3"/>
      <c r="O195" s="11" t="s">
        <v>835</v>
      </c>
      <c r="P195" s="8">
        <v>1.4278408201E10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3" t="s">
        <v>839</v>
      </c>
      <c r="B196" s="4" t="s">
        <v>840</v>
      </c>
      <c r="C196" s="4" t="s">
        <v>841</v>
      </c>
      <c r="D196" s="3" t="s">
        <v>842</v>
      </c>
      <c r="E196" s="3">
        <v>22.0</v>
      </c>
      <c r="F196" s="3">
        <f t="shared" ref="F196:F198" si="13">E196*G196</f>
        <v>902</v>
      </c>
      <c r="G196" s="6">
        <v>41.0</v>
      </c>
      <c r="H196" s="37" t="s">
        <v>31</v>
      </c>
      <c r="I196" s="38" t="s">
        <v>268</v>
      </c>
      <c r="J196" s="4" t="s">
        <v>452</v>
      </c>
      <c r="K196" s="3" t="s">
        <v>273</v>
      </c>
      <c r="L196" s="2"/>
      <c r="M196" s="11" t="s">
        <v>843</v>
      </c>
      <c r="N196" s="3"/>
      <c r="O196" s="52" t="s">
        <v>844</v>
      </c>
      <c r="P196" s="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3" t="s">
        <v>845</v>
      </c>
      <c r="B197" s="4" t="s">
        <v>846</v>
      </c>
      <c r="C197" s="4">
        <v>7.83646064932E11</v>
      </c>
      <c r="D197" s="3" t="s">
        <v>842</v>
      </c>
      <c r="E197" s="3">
        <v>21.0</v>
      </c>
      <c r="F197" s="3">
        <f t="shared" si="13"/>
        <v>336</v>
      </c>
      <c r="G197" s="6">
        <v>16.0</v>
      </c>
      <c r="H197" s="37" t="s">
        <v>31</v>
      </c>
      <c r="I197" s="38" t="s">
        <v>268</v>
      </c>
      <c r="J197" s="7" t="s">
        <v>447</v>
      </c>
      <c r="K197" s="3" t="s">
        <v>273</v>
      </c>
      <c r="L197" s="2"/>
      <c r="M197" s="11" t="s">
        <v>847</v>
      </c>
      <c r="N197" s="3"/>
      <c r="O197" s="11" t="s">
        <v>848</v>
      </c>
      <c r="P197" s="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3" t="s">
        <v>849</v>
      </c>
      <c r="B198" s="4" t="s">
        <v>850</v>
      </c>
      <c r="C198" s="4" t="s">
        <v>851</v>
      </c>
      <c r="D198" s="3" t="s">
        <v>852</v>
      </c>
      <c r="E198" s="3">
        <v>105.0</v>
      </c>
      <c r="F198" s="3">
        <f t="shared" si="13"/>
        <v>892.5</v>
      </c>
      <c r="G198" s="6">
        <v>8.5</v>
      </c>
      <c r="H198" s="3" t="s">
        <v>742</v>
      </c>
      <c r="I198" s="38" t="s">
        <v>268</v>
      </c>
      <c r="J198" s="7" t="s">
        <v>853</v>
      </c>
      <c r="K198" s="3" t="s">
        <v>550</v>
      </c>
      <c r="L198" s="2"/>
      <c r="M198" s="3" t="s">
        <v>761</v>
      </c>
      <c r="N198" s="3"/>
      <c r="O198" s="4" t="s">
        <v>854</v>
      </c>
      <c r="P198" s="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3" t="s">
        <v>855</v>
      </c>
      <c r="B199" s="4" t="s">
        <v>856</v>
      </c>
      <c r="C199" s="4">
        <v>7.83790142572E11</v>
      </c>
      <c r="D199" s="4" t="s">
        <v>857</v>
      </c>
      <c r="E199" s="3">
        <f>21.3+20.3+19.25+17.05+20.65+20.7+21.95</f>
        <v>141.2</v>
      </c>
      <c r="F199" s="3">
        <v>2060.0</v>
      </c>
      <c r="G199" s="6">
        <f t="shared" ref="G199:G201" si="14">F199/E199/7.3116</f>
        <v>1.995354659</v>
      </c>
      <c r="H199" s="37" t="s">
        <v>31</v>
      </c>
      <c r="I199" s="38" t="s">
        <v>268</v>
      </c>
      <c r="J199" s="7" t="s">
        <v>858</v>
      </c>
      <c r="K199" s="35" t="s">
        <v>859</v>
      </c>
      <c r="L199" s="3"/>
      <c r="M199" s="11" t="s">
        <v>860</v>
      </c>
      <c r="N199" s="3"/>
      <c r="O199" s="11" t="s">
        <v>861</v>
      </c>
      <c r="P199" s="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3" t="s">
        <v>862</v>
      </c>
      <c r="B200" s="4" t="s">
        <v>863</v>
      </c>
      <c r="C200" s="4">
        <v>7.83790036037E11</v>
      </c>
      <c r="D200" s="3" t="s">
        <v>864</v>
      </c>
      <c r="E200" s="3">
        <f>18.75+20.85</f>
        <v>39.6</v>
      </c>
      <c r="F200" s="3">
        <v>820.0</v>
      </c>
      <c r="G200" s="6">
        <f t="shared" si="14"/>
        <v>2.832084729</v>
      </c>
      <c r="H200" s="37" t="s">
        <v>31</v>
      </c>
      <c r="I200" s="38" t="s">
        <v>268</v>
      </c>
      <c r="J200" s="7" t="s">
        <v>858</v>
      </c>
      <c r="K200" s="3" t="s">
        <v>550</v>
      </c>
      <c r="L200" s="3"/>
      <c r="M200" s="11" t="s">
        <v>860</v>
      </c>
      <c r="N200" s="3"/>
      <c r="O200" s="11" t="s">
        <v>861</v>
      </c>
      <c r="P200" s="8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3" t="s">
        <v>865</v>
      </c>
      <c r="B201" s="4" t="s">
        <v>866</v>
      </c>
      <c r="C201" s="4" t="s">
        <v>867</v>
      </c>
      <c r="D201" s="3" t="s">
        <v>864</v>
      </c>
      <c r="E201" s="3">
        <v>19.5</v>
      </c>
      <c r="F201" s="3">
        <v>400.0</v>
      </c>
      <c r="G201" s="6">
        <f t="shared" si="14"/>
        <v>2.80551733</v>
      </c>
      <c r="H201" s="37" t="s">
        <v>31</v>
      </c>
      <c r="I201" s="38" t="s">
        <v>268</v>
      </c>
      <c r="J201" s="7" t="s">
        <v>858</v>
      </c>
      <c r="K201" s="3" t="s">
        <v>273</v>
      </c>
      <c r="L201" s="3"/>
      <c r="M201" s="11" t="s">
        <v>860</v>
      </c>
      <c r="N201" s="3"/>
      <c r="O201" s="11" t="s">
        <v>861</v>
      </c>
      <c r="P201" s="8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3" t="s">
        <v>868</v>
      </c>
      <c r="B202" s="4" t="s">
        <v>869</v>
      </c>
      <c r="C202" s="4" t="s">
        <v>870</v>
      </c>
      <c r="D202" s="3" t="s">
        <v>871</v>
      </c>
      <c r="E202" s="3">
        <v>30.0</v>
      </c>
      <c r="F202" s="40">
        <f>E202*48/7.2727+112/4/7.3116</f>
        <v>201.8302737</v>
      </c>
      <c r="G202" s="6">
        <f t="shared" ref="G202:G203" si="15">F202/E202</f>
        <v>6.727675789</v>
      </c>
      <c r="H202" s="3" t="s">
        <v>872</v>
      </c>
      <c r="I202" s="3" t="s">
        <v>360</v>
      </c>
      <c r="J202" s="7" t="s">
        <v>873</v>
      </c>
      <c r="K202" s="3" t="s">
        <v>273</v>
      </c>
      <c r="L202" s="2"/>
      <c r="M202" s="3" t="s">
        <v>874</v>
      </c>
      <c r="N202" s="3"/>
      <c r="O202" s="3" t="s">
        <v>875</v>
      </c>
      <c r="P202" s="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3" t="s">
        <v>876</v>
      </c>
      <c r="B203" s="4" t="s">
        <v>877</v>
      </c>
      <c r="C203" s="4"/>
      <c r="D203" s="3" t="s">
        <v>871</v>
      </c>
      <c r="E203" s="3">
        <v>92.0</v>
      </c>
      <c r="F203" s="40">
        <f>E203*10.5/7.2727+112*0.75/7.3116</f>
        <v>144.3140916</v>
      </c>
      <c r="G203" s="6">
        <f t="shared" si="15"/>
        <v>1.56863143</v>
      </c>
      <c r="H203" s="3" t="s">
        <v>872</v>
      </c>
      <c r="I203" s="3" t="s">
        <v>360</v>
      </c>
      <c r="J203" s="7" t="s">
        <v>878</v>
      </c>
      <c r="K203" s="3" t="s">
        <v>273</v>
      </c>
      <c r="L203" s="2"/>
      <c r="M203" s="53">
        <v>45204.0</v>
      </c>
      <c r="N203" s="3" t="s">
        <v>879</v>
      </c>
      <c r="O203" s="53">
        <v>45232.0</v>
      </c>
      <c r="P203" s="8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3" t="s">
        <v>880</v>
      </c>
      <c r="C204" s="4"/>
      <c r="D204" s="3" t="s">
        <v>881</v>
      </c>
      <c r="E204" s="3">
        <v>32.0</v>
      </c>
      <c r="F204" s="3">
        <f>E204*G204</f>
        <v>336</v>
      </c>
      <c r="G204" s="6">
        <v>10.5</v>
      </c>
      <c r="H204" s="3" t="s">
        <v>882</v>
      </c>
      <c r="I204" s="47" t="s">
        <v>263</v>
      </c>
      <c r="J204" s="7" t="s">
        <v>878</v>
      </c>
      <c r="K204" s="3" t="s">
        <v>273</v>
      </c>
      <c r="L204" s="2"/>
      <c r="M204" s="3"/>
      <c r="N204" s="3"/>
      <c r="O204" s="3"/>
      <c r="P204" s="8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3" t="s">
        <v>883</v>
      </c>
      <c r="B205" s="4" t="s">
        <v>884</v>
      </c>
      <c r="C205" s="4" t="s">
        <v>885</v>
      </c>
      <c r="D205" s="4" t="s">
        <v>886</v>
      </c>
      <c r="E205" s="3">
        <v>24.0</v>
      </c>
      <c r="F205" s="24">
        <f>E205*47/7.2727+25/7.2799</f>
        <v>158.5346947</v>
      </c>
      <c r="G205" s="6">
        <f>F205/E205</f>
        <v>6.605612281</v>
      </c>
      <c r="H205" s="3" t="s">
        <v>672</v>
      </c>
      <c r="I205" s="3" t="s">
        <v>360</v>
      </c>
      <c r="J205" s="7" t="s">
        <v>887</v>
      </c>
      <c r="K205" s="21" t="s">
        <v>888</v>
      </c>
      <c r="L205" s="2"/>
      <c r="M205" s="3" t="s">
        <v>874</v>
      </c>
      <c r="N205" s="3"/>
      <c r="O205" s="30">
        <v>45087.0</v>
      </c>
      <c r="P205" s="8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3" t="s">
        <v>889</v>
      </c>
      <c r="B206" s="4" t="s">
        <v>890</v>
      </c>
      <c r="C206" s="4" t="s">
        <v>891</v>
      </c>
      <c r="D206" s="3" t="s">
        <v>892</v>
      </c>
      <c r="E206" s="3">
        <v>31.0</v>
      </c>
      <c r="F206" s="24">
        <f t="shared" ref="F206:F209" si="16">E206*G206</f>
        <v>1457</v>
      </c>
      <c r="G206" s="3">
        <v>47.0</v>
      </c>
      <c r="H206" s="3" t="s">
        <v>893</v>
      </c>
      <c r="I206" s="47" t="s">
        <v>263</v>
      </c>
      <c r="J206" s="7" t="s">
        <v>894</v>
      </c>
      <c r="K206" s="3" t="s">
        <v>273</v>
      </c>
      <c r="L206" s="2"/>
      <c r="M206" s="3" t="s">
        <v>895</v>
      </c>
      <c r="N206" s="3"/>
      <c r="O206" s="3" t="s">
        <v>896</v>
      </c>
      <c r="P206" s="8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3" t="s">
        <v>897</v>
      </c>
      <c r="B207" s="4" t="s">
        <v>898</v>
      </c>
      <c r="C207" s="4" t="s">
        <v>899</v>
      </c>
      <c r="D207" s="3" t="s">
        <v>900</v>
      </c>
      <c r="E207" s="3">
        <v>49.0</v>
      </c>
      <c r="F207" s="24">
        <f t="shared" si="16"/>
        <v>793.8</v>
      </c>
      <c r="G207" s="3">
        <v>16.2</v>
      </c>
      <c r="H207" s="3" t="s">
        <v>893</v>
      </c>
      <c r="I207" s="47" t="s">
        <v>263</v>
      </c>
      <c r="J207" s="7" t="s">
        <v>901</v>
      </c>
      <c r="K207" s="3" t="s">
        <v>273</v>
      </c>
      <c r="L207" s="2"/>
      <c r="M207" s="3" t="s">
        <v>902</v>
      </c>
      <c r="N207" s="3"/>
      <c r="O207" s="31">
        <v>45209.0</v>
      </c>
      <c r="P207" s="8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39" t="s">
        <v>903</v>
      </c>
      <c r="B208" s="32" t="s">
        <v>904</v>
      </c>
      <c r="D208" s="54" t="s">
        <v>905</v>
      </c>
      <c r="E208" s="39">
        <v>1429.0</v>
      </c>
      <c r="F208" s="39">
        <f t="shared" si="16"/>
        <v>11432</v>
      </c>
      <c r="G208" s="39">
        <v>8.0</v>
      </c>
      <c r="H208" s="39" t="s">
        <v>906</v>
      </c>
      <c r="I208" s="47" t="s">
        <v>263</v>
      </c>
      <c r="J208" s="7" t="s">
        <v>680</v>
      </c>
      <c r="K208" s="3" t="s">
        <v>550</v>
      </c>
      <c r="L208" s="2"/>
      <c r="M208" s="39" t="s">
        <v>907</v>
      </c>
      <c r="N208" s="39"/>
      <c r="O208" s="55">
        <v>45088.0</v>
      </c>
      <c r="P208" s="42"/>
    </row>
    <row r="209">
      <c r="A209" s="39" t="s">
        <v>908</v>
      </c>
      <c r="B209" s="32" t="s">
        <v>909</v>
      </c>
      <c r="D209" s="39" t="s">
        <v>910</v>
      </c>
      <c r="E209" s="39">
        <v>38.0</v>
      </c>
      <c r="F209" s="39">
        <f t="shared" si="16"/>
        <v>646</v>
      </c>
      <c r="G209" s="3">
        <v>17.0</v>
      </c>
      <c r="H209" s="39" t="s">
        <v>833</v>
      </c>
      <c r="I209" s="47" t="s">
        <v>263</v>
      </c>
      <c r="J209" s="54" t="s">
        <v>911</v>
      </c>
      <c r="K209" s="3" t="s">
        <v>273</v>
      </c>
      <c r="L209" s="2"/>
      <c r="M209" s="39" t="s">
        <v>907</v>
      </c>
      <c r="N209" s="39"/>
      <c r="O209" s="43">
        <v>45088.0</v>
      </c>
      <c r="P209" s="42"/>
    </row>
    <row r="210" ht="15.75" customHeight="1">
      <c r="A210" s="3" t="s">
        <v>912</v>
      </c>
      <c r="B210" s="4" t="s">
        <v>913</v>
      </c>
      <c r="C210" s="4"/>
      <c r="D210" s="3" t="s">
        <v>914</v>
      </c>
      <c r="E210" s="3">
        <v>137.0</v>
      </c>
      <c r="F210" s="24">
        <f>E210*8/7.0858+90/7.0858</f>
        <v>167.3770075</v>
      </c>
      <c r="G210" s="6">
        <f>F210/E210</f>
        <v>1.221729982</v>
      </c>
      <c r="H210" s="3" t="s">
        <v>672</v>
      </c>
      <c r="I210" s="3" t="s">
        <v>360</v>
      </c>
      <c r="J210" s="7" t="s">
        <v>915</v>
      </c>
      <c r="K210" s="3" t="s">
        <v>273</v>
      </c>
      <c r="L210" s="3"/>
      <c r="M210" s="30">
        <v>45056.0</v>
      </c>
      <c r="N210" s="3"/>
      <c r="O210" s="56">
        <v>45239.0</v>
      </c>
      <c r="P210" s="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3" t="s">
        <v>916</v>
      </c>
      <c r="B211" s="4" t="s">
        <v>917</v>
      </c>
      <c r="C211" s="4"/>
      <c r="D211" s="3" t="s">
        <v>914</v>
      </c>
      <c r="H211" s="3" t="s">
        <v>672</v>
      </c>
      <c r="I211" s="3" t="s">
        <v>360</v>
      </c>
      <c r="J211" s="57" t="s">
        <v>915</v>
      </c>
      <c r="K211" s="3" t="s">
        <v>273</v>
      </c>
      <c r="L211" s="3"/>
      <c r="M211" s="30">
        <v>45056.0</v>
      </c>
      <c r="N211" s="3"/>
      <c r="O211" s="56">
        <v>45239.0</v>
      </c>
      <c r="P211" s="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3" t="s">
        <v>918</v>
      </c>
      <c r="B212" s="4" t="s">
        <v>919</v>
      </c>
      <c r="C212" s="4"/>
      <c r="D212" s="3" t="s">
        <v>914</v>
      </c>
      <c r="H212" s="3" t="s">
        <v>672</v>
      </c>
      <c r="I212" s="3" t="s">
        <v>360</v>
      </c>
      <c r="J212" s="57" t="s">
        <v>915</v>
      </c>
      <c r="K212" s="3" t="s">
        <v>273</v>
      </c>
      <c r="L212" s="3"/>
      <c r="M212" s="30">
        <v>45056.0</v>
      </c>
      <c r="N212" s="3"/>
      <c r="O212" s="56">
        <v>45239.0</v>
      </c>
      <c r="P212" s="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3" t="s">
        <v>920</v>
      </c>
      <c r="B213" s="4" t="s">
        <v>921</v>
      </c>
      <c r="C213" s="4"/>
      <c r="D213" s="3" t="s">
        <v>914</v>
      </c>
      <c r="H213" s="3" t="s">
        <v>672</v>
      </c>
      <c r="I213" s="3" t="s">
        <v>360</v>
      </c>
      <c r="J213" s="57" t="s">
        <v>915</v>
      </c>
      <c r="K213" s="21" t="s">
        <v>419</v>
      </c>
      <c r="L213" s="3"/>
      <c r="M213" s="30">
        <v>45056.0</v>
      </c>
      <c r="N213" s="3"/>
      <c r="O213" s="56">
        <v>45239.0</v>
      </c>
      <c r="P213" s="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3" t="s">
        <v>922</v>
      </c>
      <c r="B214" s="4" t="s">
        <v>923</v>
      </c>
      <c r="C214" s="4"/>
      <c r="D214" s="3" t="s">
        <v>914</v>
      </c>
      <c r="H214" s="3" t="s">
        <v>672</v>
      </c>
      <c r="I214" s="3" t="s">
        <v>360</v>
      </c>
      <c r="J214" s="57" t="s">
        <v>915</v>
      </c>
      <c r="K214" s="3" t="s">
        <v>273</v>
      </c>
      <c r="L214" s="3"/>
      <c r="M214" s="30">
        <v>45056.0</v>
      </c>
      <c r="N214" s="3"/>
      <c r="O214" s="56">
        <v>45239.0</v>
      </c>
      <c r="P214" s="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3" t="s">
        <v>924</v>
      </c>
      <c r="B215" s="4" t="s">
        <v>925</v>
      </c>
      <c r="C215" s="4"/>
      <c r="D215" s="3" t="s">
        <v>914</v>
      </c>
      <c r="H215" s="3" t="s">
        <v>672</v>
      </c>
      <c r="I215" s="3" t="s">
        <v>360</v>
      </c>
      <c r="J215" s="57" t="s">
        <v>915</v>
      </c>
      <c r="K215" s="3" t="s">
        <v>273</v>
      </c>
      <c r="L215" s="3"/>
      <c r="M215" s="30">
        <v>45056.0</v>
      </c>
      <c r="N215" s="3"/>
      <c r="O215" s="56">
        <v>45239.0</v>
      </c>
      <c r="P215" s="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3" t="s">
        <v>926</v>
      </c>
      <c r="B216" s="4" t="s">
        <v>927</v>
      </c>
      <c r="C216" s="4"/>
      <c r="D216" s="3" t="s">
        <v>914</v>
      </c>
      <c r="H216" s="3" t="s">
        <v>672</v>
      </c>
      <c r="I216" s="3" t="s">
        <v>360</v>
      </c>
      <c r="J216" s="57" t="s">
        <v>915</v>
      </c>
      <c r="K216" s="3" t="s">
        <v>273</v>
      </c>
      <c r="L216" s="3"/>
      <c r="M216" s="30">
        <v>45056.0</v>
      </c>
      <c r="N216" s="3"/>
      <c r="O216" s="56">
        <v>45239.0</v>
      </c>
      <c r="P216" s="8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3" t="s">
        <v>928</v>
      </c>
      <c r="B217" s="4" t="s">
        <v>929</v>
      </c>
      <c r="C217" s="4"/>
      <c r="D217" s="3" t="s">
        <v>914</v>
      </c>
      <c r="H217" s="3" t="s">
        <v>672</v>
      </c>
      <c r="I217" s="3" t="s">
        <v>360</v>
      </c>
      <c r="J217" s="57" t="s">
        <v>915</v>
      </c>
      <c r="K217" s="3" t="s">
        <v>550</v>
      </c>
      <c r="L217" s="2"/>
      <c r="M217" s="30">
        <v>45056.0</v>
      </c>
      <c r="N217" s="3"/>
      <c r="O217" s="56">
        <v>45239.0</v>
      </c>
      <c r="P217" s="8">
        <v>1.4459896351E10</v>
      </c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3" t="s">
        <v>930</v>
      </c>
      <c r="B218" s="4" t="s">
        <v>931</v>
      </c>
      <c r="C218" s="4"/>
      <c r="D218" s="3" t="s">
        <v>914</v>
      </c>
      <c r="E218" s="3">
        <v>121.0</v>
      </c>
      <c r="F218" s="24">
        <f>E218*8/7.0858+121*180/274/7.0858</f>
        <v>147.8293278</v>
      </c>
      <c r="G218" s="6">
        <f>F218/E218</f>
        <v>1.221729982</v>
      </c>
      <c r="H218" s="3" t="s">
        <v>672</v>
      </c>
      <c r="I218" s="3" t="s">
        <v>360</v>
      </c>
      <c r="J218" s="57" t="s">
        <v>915</v>
      </c>
      <c r="K218" s="3" t="s">
        <v>273</v>
      </c>
      <c r="L218" s="3"/>
      <c r="M218" s="31">
        <v>45270.0</v>
      </c>
      <c r="N218" s="3"/>
      <c r="O218" s="3" t="s">
        <v>932</v>
      </c>
      <c r="P218" s="8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3" t="s">
        <v>933</v>
      </c>
      <c r="B219" s="4" t="s">
        <v>934</v>
      </c>
      <c r="C219" s="4"/>
      <c r="D219" s="3" t="s">
        <v>914</v>
      </c>
      <c r="H219" s="3" t="s">
        <v>672</v>
      </c>
      <c r="I219" s="3" t="s">
        <v>360</v>
      </c>
      <c r="J219" s="57" t="s">
        <v>915</v>
      </c>
      <c r="K219" s="3" t="s">
        <v>273</v>
      </c>
      <c r="L219" s="3"/>
      <c r="M219" s="31">
        <v>45270.0</v>
      </c>
      <c r="N219" s="3"/>
      <c r="O219" s="3" t="s">
        <v>932</v>
      </c>
      <c r="P219" s="8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3" t="s">
        <v>935</v>
      </c>
      <c r="B220" s="4" t="s">
        <v>936</v>
      </c>
      <c r="C220" s="4"/>
      <c r="D220" s="3" t="s">
        <v>914</v>
      </c>
      <c r="H220" s="3" t="s">
        <v>672</v>
      </c>
      <c r="I220" s="3" t="s">
        <v>360</v>
      </c>
      <c r="J220" s="57" t="s">
        <v>915</v>
      </c>
      <c r="K220" s="3" t="s">
        <v>273</v>
      </c>
      <c r="L220" s="3"/>
      <c r="M220" s="31">
        <v>45270.0</v>
      </c>
      <c r="N220" s="3"/>
      <c r="O220" s="3" t="s">
        <v>932</v>
      </c>
      <c r="P220" s="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3" t="s">
        <v>937</v>
      </c>
      <c r="B221" s="4" t="s">
        <v>938</v>
      </c>
      <c r="C221" s="4"/>
      <c r="D221" s="3" t="s">
        <v>914</v>
      </c>
      <c r="H221" s="3" t="s">
        <v>672</v>
      </c>
      <c r="I221" s="3" t="s">
        <v>360</v>
      </c>
      <c r="J221" s="57" t="s">
        <v>915</v>
      </c>
      <c r="K221" s="21" t="s">
        <v>674</v>
      </c>
      <c r="L221" s="3"/>
      <c r="M221" s="31">
        <v>45270.0</v>
      </c>
      <c r="N221" s="3"/>
      <c r="O221" s="3" t="s">
        <v>932</v>
      </c>
      <c r="P221" s="8">
        <v>1.4482848511E10</v>
      </c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3" t="s">
        <v>939</v>
      </c>
      <c r="B222" s="4" t="s">
        <v>940</v>
      </c>
      <c r="C222" s="4"/>
      <c r="D222" s="3" t="s">
        <v>914</v>
      </c>
      <c r="H222" s="3" t="s">
        <v>672</v>
      </c>
      <c r="I222" s="3" t="s">
        <v>360</v>
      </c>
      <c r="J222" s="57" t="s">
        <v>915</v>
      </c>
      <c r="K222" s="21" t="s">
        <v>674</v>
      </c>
      <c r="L222" s="3"/>
      <c r="M222" s="31">
        <v>45270.0</v>
      </c>
      <c r="N222" s="3"/>
      <c r="O222" s="3" t="s">
        <v>932</v>
      </c>
      <c r="P222" s="8">
        <v>1.4542800521E10</v>
      </c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3" t="s">
        <v>941</v>
      </c>
      <c r="B223" s="4" t="s">
        <v>942</v>
      </c>
      <c r="C223" s="4"/>
      <c r="D223" s="3" t="s">
        <v>914</v>
      </c>
      <c r="H223" s="3" t="s">
        <v>672</v>
      </c>
      <c r="I223" s="3" t="s">
        <v>360</v>
      </c>
      <c r="J223" s="57" t="s">
        <v>915</v>
      </c>
      <c r="K223" s="3" t="s">
        <v>273</v>
      </c>
      <c r="L223" s="3"/>
      <c r="M223" s="31">
        <v>45270.0</v>
      </c>
      <c r="N223" s="3"/>
      <c r="O223" s="3" t="s">
        <v>932</v>
      </c>
      <c r="P223" s="8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3" t="s">
        <v>943</v>
      </c>
      <c r="B224" s="4" t="s">
        <v>944</v>
      </c>
      <c r="C224" s="4"/>
      <c r="D224" s="3" t="s">
        <v>914</v>
      </c>
      <c r="H224" s="3" t="s">
        <v>672</v>
      </c>
      <c r="I224" s="3" t="s">
        <v>360</v>
      </c>
      <c r="J224" s="57" t="s">
        <v>915</v>
      </c>
      <c r="K224" s="21" t="s">
        <v>945</v>
      </c>
      <c r="L224" s="2"/>
      <c r="M224" s="31">
        <v>45270.0</v>
      </c>
      <c r="N224" s="3"/>
      <c r="O224" s="3" t="s">
        <v>932</v>
      </c>
      <c r="P224" s="8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3" t="s">
        <v>946</v>
      </c>
      <c r="B225" s="4" t="s">
        <v>947</v>
      </c>
      <c r="C225" s="4">
        <v>7.73569018963E11</v>
      </c>
      <c r="D225" s="3" t="s">
        <v>914</v>
      </c>
      <c r="E225" s="3">
        <v>16.0</v>
      </c>
      <c r="F225" s="6">
        <f>21*14.5/7.0858+16*180/274/7.0858</f>
        <v>44.45665259</v>
      </c>
      <c r="G225" s="6">
        <f>F225/E225</f>
        <v>2.778540787</v>
      </c>
      <c r="H225" s="3" t="s">
        <v>672</v>
      </c>
      <c r="I225" s="3" t="s">
        <v>360</v>
      </c>
      <c r="J225" s="57" t="s">
        <v>948</v>
      </c>
      <c r="K225" s="3" t="s">
        <v>273</v>
      </c>
      <c r="L225" s="2"/>
      <c r="M225" s="30">
        <v>45056.0</v>
      </c>
      <c r="N225" s="3"/>
      <c r="O225" s="53" t="s">
        <v>949</v>
      </c>
      <c r="P225" s="8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3" t="s">
        <v>950</v>
      </c>
      <c r="B226" s="4" t="s">
        <v>951</v>
      </c>
      <c r="C226" s="4"/>
      <c r="D226" s="3" t="s">
        <v>952</v>
      </c>
      <c r="E226" s="3">
        <v>156.0</v>
      </c>
      <c r="F226" s="3">
        <f>G226*E226</f>
        <v>1170</v>
      </c>
      <c r="G226" s="6">
        <v>7.5</v>
      </c>
      <c r="H226" s="3" t="s">
        <v>882</v>
      </c>
      <c r="I226" s="47" t="s">
        <v>263</v>
      </c>
      <c r="J226" s="7" t="s">
        <v>953</v>
      </c>
      <c r="K226" s="21" t="s">
        <v>419</v>
      </c>
      <c r="L226" s="2"/>
      <c r="M226" s="31">
        <v>44995.0</v>
      </c>
      <c r="N226" s="3"/>
      <c r="O226" s="31">
        <v>45149.0</v>
      </c>
      <c r="P226" s="8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3" t="s">
        <v>954</v>
      </c>
      <c r="B227" s="4" t="s">
        <v>955</v>
      </c>
      <c r="C227" s="4" t="s">
        <v>956</v>
      </c>
      <c r="D227" s="4" t="s">
        <v>957</v>
      </c>
      <c r="E227" s="3">
        <v>87.0</v>
      </c>
      <c r="F227" s="6">
        <f>(E227*15+35)/7.1954</f>
        <v>186.2300914</v>
      </c>
      <c r="G227" s="6">
        <f>F227/E227</f>
        <v>2.140575764</v>
      </c>
      <c r="H227" s="3" t="s">
        <v>672</v>
      </c>
      <c r="I227" s="3" t="s">
        <v>360</v>
      </c>
      <c r="J227" s="44" t="s">
        <v>958</v>
      </c>
      <c r="K227" s="3" t="s">
        <v>273</v>
      </c>
      <c r="L227" s="2"/>
      <c r="M227" s="3" t="s">
        <v>959</v>
      </c>
      <c r="N227" s="30">
        <v>44968.0</v>
      </c>
      <c r="O227" s="53">
        <v>45243.0</v>
      </c>
      <c r="P227" s="8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3" t="s">
        <v>960</v>
      </c>
      <c r="B228" s="4" t="s">
        <v>961</v>
      </c>
      <c r="C228" s="4" t="s">
        <v>956</v>
      </c>
      <c r="D228" s="4" t="s">
        <v>957</v>
      </c>
      <c r="H228" s="3" t="s">
        <v>672</v>
      </c>
      <c r="I228" s="3" t="s">
        <v>360</v>
      </c>
      <c r="J228" s="44" t="s">
        <v>958</v>
      </c>
      <c r="K228" s="3" t="s">
        <v>273</v>
      </c>
      <c r="L228" s="3" t="s">
        <v>962</v>
      </c>
      <c r="P228" s="8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3" t="s">
        <v>963</v>
      </c>
      <c r="B229" s="4" t="s">
        <v>964</v>
      </c>
      <c r="C229" s="4" t="s">
        <v>965</v>
      </c>
      <c r="D229" s="4" t="s">
        <v>957</v>
      </c>
      <c r="H229" s="3" t="s">
        <v>672</v>
      </c>
      <c r="I229" s="3" t="s">
        <v>360</v>
      </c>
      <c r="J229" s="44" t="s">
        <v>958</v>
      </c>
      <c r="K229" s="3" t="s">
        <v>550</v>
      </c>
      <c r="L229" s="3"/>
      <c r="P229" s="8">
        <v>1.4403257791E10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3" t="s">
        <v>966</v>
      </c>
      <c r="B230" s="4" t="s">
        <v>967</v>
      </c>
      <c r="C230" s="4" t="s">
        <v>968</v>
      </c>
      <c r="D230" s="4" t="s">
        <v>957</v>
      </c>
      <c r="H230" s="3" t="s">
        <v>672</v>
      </c>
      <c r="I230" s="3" t="s">
        <v>360</v>
      </c>
      <c r="J230" s="44" t="s">
        <v>958</v>
      </c>
      <c r="K230" s="3" t="s">
        <v>273</v>
      </c>
      <c r="L230" s="3"/>
      <c r="P230" s="8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3" t="s">
        <v>969</v>
      </c>
      <c r="B231" s="4" t="s">
        <v>970</v>
      </c>
      <c r="C231" s="4" t="s">
        <v>971</v>
      </c>
      <c r="D231" s="4" t="s">
        <v>957</v>
      </c>
      <c r="H231" s="3" t="s">
        <v>672</v>
      </c>
      <c r="I231" s="3" t="s">
        <v>360</v>
      </c>
      <c r="J231" s="44" t="s">
        <v>958</v>
      </c>
      <c r="K231" s="3" t="s">
        <v>273</v>
      </c>
      <c r="L231" s="3"/>
      <c r="P231" s="8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26.25" customHeight="1">
      <c r="A232" s="3" t="s">
        <v>972</v>
      </c>
      <c r="B232" s="4" t="s">
        <v>973</v>
      </c>
      <c r="C232" s="4" t="s">
        <v>974</v>
      </c>
      <c r="D232" s="3" t="s">
        <v>975</v>
      </c>
      <c r="E232" s="3">
        <v>21.0</v>
      </c>
      <c r="F232" s="3">
        <f t="shared" ref="F232:F233" si="17">E232*G232</f>
        <v>315</v>
      </c>
      <c r="G232" s="6">
        <v>15.0</v>
      </c>
      <c r="H232" s="3" t="s">
        <v>742</v>
      </c>
      <c r="I232" s="48" t="s">
        <v>268</v>
      </c>
      <c r="J232" s="44" t="s">
        <v>958</v>
      </c>
      <c r="K232" s="3" t="s">
        <v>273</v>
      </c>
      <c r="L232" s="2"/>
      <c r="M232" s="3" t="s">
        <v>959</v>
      </c>
      <c r="N232" s="3"/>
      <c r="O232" s="46" t="s">
        <v>976</v>
      </c>
      <c r="P232" s="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24.75" customHeight="1">
      <c r="A233" s="3" t="s">
        <v>977</v>
      </c>
      <c r="B233" s="4" t="s">
        <v>978</v>
      </c>
      <c r="C233" s="4" t="s">
        <v>979</v>
      </c>
      <c r="D233" s="3" t="s">
        <v>975</v>
      </c>
      <c r="E233" s="3">
        <v>42.0</v>
      </c>
      <c r="F233" s="3">
        <f t="shared" si="17"/>
        <v>630</v>
      </c>
      <c r="G233" s="6">
        <v>15.0</v>
      </c>
      <c r="H233" s="3" t="s">
        <v>742</v>
      </c>
      <c r="I233" s="48" t="s">
        <v>268</v>
      </c>
      <c r="J233" s="44" t="s">
        <v>958</v>
      </c>
      <c r="K233" s="3" t="s">
        <v>273</v>
      </c>
      <c r="L233" s="2"/>
      <c r="M233" s="3" t="s">
        <v>959</v>
      </c>
      <c r="N233" s="3"/>
      <c r="O233" s="11" t="s">
        <v>976</v>
      </c>
      <c r="P233" s="8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3" t="s">
        <v>980</v>
      </c>
      <c r="B234" s="4" t="s">
        <v>981</v>
      </c>
      <c r="C234" s="4"/>
      <c r="D234" s="4" t="s">
        <v>957</v>
      </c>
      <c r="E234" s="3">
        <v>120.0</v>
      </c>
      <c r="F234" s="6">
        <f>(E234*9+25)/7.1954</f>
        <v>153.5703366</v>
      </c>
      <c r="G234" s="6">
        <f t="shared" ref="G234:G238" si="18">F234/E234</f>
        <v>1.279752805</v>
      </c>
      <c r="H234" s="3" t="s">
        <v>672</v>
      </c>
      <c r="I234" s="3" t="s">
        <v>360</v>
      </c>
      <c r="J234" s="7" t="s">
        <v>853</v>
      </c>
      <c r="K234" s="21" t="s">
        <v>982</v>
      </c>
      <c r="L234" s="58" t="s">
        <v>983</v>
      </c>
      <c r="M234" s="3" t="s">
        <v>984</v>
      </c>
      <c r="N234" s="30">
        <v>44996.0</v>
      </c>
      <c r="O234" s="3" t="s">
        <v>985</v>
      </c>
      <c r="P234" s="8">
        <v>1.4454281331E10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3" t="s">
        <v>986</v>
      </c>
      <c r="B235" s="4" t="s">
        <v>987</v>
      </c>
      <c r="C235" s="4"/>
      <c r="D235" s="4" t="s">
        <v>957</v>
      </c>
      <c r="E235" s="3">
        <v>103.0</v>
      </c>
      <c r="F235" s="6">
        <f>(E235*9+20)/7.1954</f>
        <v>131.6118631</v>
      </c>
      <c r="G235" s="6">
        <f t="shared" si="18"/>
        <v>1.277785079</v>
      </c>
      <c r="H235" s="3" t="s">
        <v>672</v>
      </c>
      <c r="I235" s="3" t="s">
        <v>360</v>
      </c>
      <c r="J235" s="7" t="s">
        <v>853</v>
      </c>
      <c r="K235" s="3" t="s">
        <v>988</v>
      </c>
      <c r="L235" s="58" t="s">
        <v>983</v>
      </c>
      <c r="M235" s="3" t="s">
        <v>984</v>
      </c>
      <c r="N235" s="30">
        <v>44996.0</v>
      </c>
      <c r="O235" s="3" t="s">
        <v>985</v>
      </c>
      <c r="P235" s="8">
        <v>1.4523892161E10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3" t="s">
        <v>989</v>
      </c>
      <c r="B236" s="4" t="s">
        <v>990</v>
      </c>
      <c r="C236" s="4" t="s">
        <v>991</v>
      </c>
      <c r="D236" s="59" t="s">
        <v>992</v>
      </c>
      <c r="E236" s="3">
        <v>103.0</v>
      </c>
      <c r="F236" s="6">
        <f>E236*45/7.1959</f>
        <v>644.1167887</v>
      </c>
      <c r="G236" s="6">
        <f t="shared" si="18"/>
        <v>6.253561056</v>
      </c>
      <c r="H236" s="3" t="s">
        <v>672</v>
      </c>
      <c r="I236" s="3" t="s">
        <v>360</v>
      </c>
      <c r="J236" s="7" t="s">
        <v>993</v>
      </c>
      <c r="K236" s="3" t="s">
        <v>550</v>
      </c>
      <c r="L236" s="2"/>
      <c r="M236" s="3" t="s">
        <v>994</v>
      </c>
      <c r="N236" s="3" t="s">
        <v>995</v>
      </c>
      <c r="O236" s="53">
        <v>45229.0</v>
      </c>
      <c r="P236" s="8">
        <v>1.4428500121E10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3" t="s">
        <v>996</v>
      </c>
      <c r="B237" s="4" t="s">
        <v>997</v>
      </c>
      <c r="C237" s="4"/>
      <c r="D237" s="59" t="s">
        <v>998</v>
      </c>
      <c r="E237" s="3">
        <v>104.0</v>
      </c>
      <c r="F237" s="6">
        <f t="shared" ref="F237:F238" si="19">(E237*9+22.5)/7.1954</f>
        <v>133.2101065</v>
      </c>
      <c r="G237" s="6">
        <f t="shared" si="18"/>
        <v>1.280866408</v>
      </c>
      <c r="H237" s="3" t="s">
        <v>672</v>
      </c>
      <c r="I237" s="3" t="s">
        <v>360</v>
      </c>
      <c r="J237" s="57" t="s">
        <v>999</v>
      </c>
      <c r="K237" s="3" t="s">
        <v>550</v>
      </c>
      <c r="L237" s="3" t="s">
        <v>1000</v>
      </c>
      <c r="M237" s="3" t="s">
        <v>1001</v>
      </c>
      <c r="N237" s="3" t="s">
        <v>875</v>
      </c>
      <c r="O237" s="30">
        <v>45089.0</v>
      </c>
      <c r="P237" s="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3" t="s">
        <v>1002</v>
      </c>
      <c r="B238" s="4" t="s">
        <v>1003</v>
      </c>
      <c r="C238" s="4"/>
      <c r="D238" s="59" t="s">
        <v>998</v>
      </c>
      <c r="E238" s="3">
        <v>104.0</v>
      </c>
      <c r="F238" s="6">
        <f t="shared" si="19"/>
        <v>133.2101065</v>
      </c>
      <c r="G238" s="6">
        <f t="shared" si="18"/>
        <v>1.280866408</v>
      </c>
      <c r="H238" s="3" t="s">
        <v>672</v>
      </c>
      <c r="I238" s="3" t="s">
        <v>360</v>
      </c>
      <c r="J238" s="57" t="s">
        <v>999</v>
      </c>
      <c r="K238" s="21" t="s">
        <v>419</v>
      </c>
      <c r="L238" s="3" t="s">
        <v>1000</v>
      </c>
      <c r="M238" s="3" t="s">
        <v>1001</v>
      </c>
      <c r="N238" s="3" t="s">
        <v>875</v>
      </c>
      <c r="O238" s="30">
        <v>45089.0</v>
      </c>
      <c r="P238" s="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3" t="s">
        <v>1004</v>
      </c>
      <c r="B239" s="4" t="s">
        <v>1005</v>
      </c>
      <c r="C239" s="4">
        <v>7.85499041987E11</v>
      </c>
      <c r="D239" s="3" t="s">
        <v>1006</v>
      </c>
      <c r="E239" s="3">
        <v>35.0</v>
      </c>
      <c r="F239" s="3">
        <f t="shared" ref="F239:F240" si="20">E239*G239</f>
        <v>507.5</v>
      </c>
      <c r="G239" s="6">
        <v>14.5</v>
      </c>
      <c r="H239" s="3">
        <v>1688.0</v>
      </c>
      <c r="I239" s="47" t="s">
        <v>263</v>
      </c>
      <c r="J239" s="7" t="s">
        <v>1007</v>
      </c>
      <c r="K239" s="3" t="s">
        <v>273</v>
      </c>
      <c r="L239" s="3"/>
      <c r="M239" s="3"/>
      <c r="N239" s="3"/>
      <c r="O239" s="3"/>
      <c r="P239" s="8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3" t="s">
        <v>1008</v>
      </c>
      <c r="B240" s="4" t="s">
        <v>1009</v>
      </c>
      <c r="C240" s="4"/>
      <c r="D240" s="3" t="s">
        <v>1010</v>
      </c>
      <c r="E240" s="3">
        <v>125.0</v>
      </c>
      <c r="F240" s="3">
        <f t="shared" si="20"/>
        <v>937.5</v>
      </c>
      <c r="G240" s="6">
        <v>7.5</v>
      </c>
      <c r="H240" s="3" t="s">
        <v>882</v>
      </c>
      <c r="I240" s="47" t="s">
        <v>263</v>
      </c>
      <c r="J240" s="7" t="s">
        <v>1011</v>
      </c>
      <c r="K240" s="21" t="s">
        <v>1012</v>
      </c>
      <c r="L240" s="2"/>
      <c r="M240" s="3"/>
      <c r="N240" s="3"/>
      <c r="O240" s="3"/>
      <c r="P240" s="8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3" t="s">
        <v>1013</v>
      </c>
      <c r="B241" s="4" t="s">
        <v>1014</v>
      </c>
      <c r="C241" s="4"/>
      <c r="D241" s="3" t="s">
        <v>1015</v>
      </c>
      <c r="E241" s="3">
        <v>18.0</v>
      </c>
      <c r="F241" s="6">
        <f>E241*7.5/7.2345</f>
        <v>18.6605847</v>
      </c>
      <c r="G241" s="6">
        <f>F241/E241</f>
        <v>1.03669915</v>
      </c>
      <c r="H241" s="3" t="s">
        <v>724</v>
      </c>
      <c r="I241" s="3" t="s">
        <v>360</v>
      </c>
      <c r="J241" s="7" t="s">
        <v>1016</v>
      </c>
      <c r="K241" s="3" t="s">
        <v>550</v>
      </c>
      <c r="L241" s="2"/>
      <c r="M241" s="3"/>
      <c r="N241" s="30">
        <v>44996.0</v>
      </c>
      <c r="O241" s="3" t="s">
        <v>1017</v>
      </c>
      <c r="P241" s="8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3" t="s">
        <v>1018</v>
      </c>
      <c r="B242" s="4" t="s">
        <v>1019</v>
      </c>
      <c r="C242" s="4"/>
      <c r="D242" s="3" t="s">
        <v>1020</v>
      </c>
      <c r="E242" s="3">
        <v>65.0</v>
      </c>
      <c r="F242" s="3">
        <f t="shared" ref="F242:F244" si="21">G242*E242</f>
        <v>487.5</v>
      </c>
      <c r="G242" s="6">
        <v>7.5</v>
      </c>
      <c r="H242" s="3" t="s">
        <v>1021</v>
      </c>
      <c r="I242" s="47" t="s">
        <v>263</v>
      </c>
      <c r="J242" s="7" t="s">
        <v>1022</v>
      </c>
      <c r="K242" s="3" t="s">
        <v>273</v>
      </c>
      <c r="L242" s="2"/>
      <c r="M242" s="3"/>
      <c r="N242" s="3"/>
      <c r="O242" s="3"/>
      <c r="P242" s="8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3" t="s">
        <v>1023</v>
      </c>
      <c r="B243" s="4" t="s">
        <v>1024</v>
      </c>
      <c r="C243" s="4">
        <v>7.851622495E11</v>
      </c>
      <c r="D243" s="3" t="s">
        <v>1025</v>
      </c>
      <c r="E243" s="3">
        <v>22.0</v>
      </c>
      <c r="F243" s="3">
        <f t="shared" si="21"/>
        <v>374</v>
      </c>
      <c r="G243" s="6">
        <v>17.0</v>
      </c>
      <c r="H243" s="37" t="s">
        <v>31</v>
      </c>
      <c r="I243" s="60" t="s">
        <v>268</v>
      </c>
      <c r="J243" s="7" t="s">
        <v>1026</v>
      </c>
      <c r="K243" s="3" t="s">
        <v>273</v>
      </c>
      <c r="L243" s="2"/>
      <c r="M243" s="3" t="s">
        <v>959</v>
      </c>
      <c r="N243" s="3"/>
      <c r="O243" s="31">
        <v>45210.0</v>
      </c>
      <c r="P243" s="8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3" t="s">
        <v>1027</v>
      </c>
      <c r="B244" s="4" t="s">
        <v>1028</v>
      </c>
      <c r="C244" s="4">
        <v>7.85150613024E11</v>
      </c>
      <c r="D244" s="3" t="s">
        <v>1025</v>
      </c>
      <c r="E244" s="3">
        <v>22.0</v>
      </c>
      <c r="F244" s="3">
        <f t="shared" si="21"/>
        <v>374</v>
      </c>
      <c r="G244" s="6">
        <v>17.0</v>
      </c>
      <c r="H244" s="37" t="s">
        <v>31</v>
      </c>
      <c r="I244" s="60" t="s">
        <v>268</v>
      </c>
      <c r="J244" s="7" t="s">
        <v>1026</v>
      </c>
      <c r="K244" s="3" t="s">
        <v>273</v>
      </c>
      <c r="L244" s="2"/>
      <c r="M244" s="3" t="s">
        <v>959</v>
      </c>
      <c r="N244" s="3"/>
      <c r="O244" s="31">
        <v>45210.0</v>
      </c>
      <c r="P244" s="8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3" t="s">
        <v>1029</v>
      </c>
      <c r="B245" s="4" t="s">
        <v>1030</v>
      </c>
      <c r="C245" s="4" t="s">
        <v>1031</v>
      </c>
      <c r="D245" s="4" t="s">
        <v>1032</v>
      </c>
      <c r="E245" s="3">
        <v>234.0</v>
      </c>
      <c r="F245" s="6">
        <f t="shared" ref="F245:F246" si="22">6770/399*E245</f>
        <v>3970.37594</v>
      </c>
      <c r="G245" s="6">
        <f t="shared" ref="G245:G247" si="23">F245/E245</f>
        <v>16.96741855</v>
      </c>
      <c r="H245" s="37" t="s">
        <v>31</v>
      </c>
      <c r="I245" s="38" t="s">
        <v>268</v>
      </c>
      <c r="J245" s="7" t="s">
        <v>1033</v>
      </c>
      <c r="K245" s="3" t="s">
        <v>550</v>
      </c>
      <c r="L245" s="3"/>
      <c r="M245" s="3" t="s">
        <v>949</v>
      </c>
      <c r="N245" s="3"/>
      <c r="O245" s="3" t="s">
        <v>1034</v>
      </c>
      <c r="P245" s="8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3" t="s">
        <v>1035</v>
      </c>
      <c r="B246" s="32" t="s">
        <v>1036</v>
      </c>
      <c r="C246" s="4" t="s">
        <v>1037</v>
      </c>
      <c r="D246" s="4" t="s">
        <v>1038</v>
      </c>
      <c r="E246" s="3">
        <v>165.0</v>
      </c>
      <c r="F246" s="6">
        <f t="shared" si="22"/>
        <v>2799.62406</v>
      </c>
      <c r="G246" s="6">
        <f t="shared" si="23"/>
        <v>16.96741855</v>
      </c>
      <c r="H246" s="37" t="s">
        <v>31</v>
      </c>
      <c r="I246" s="38" t="s">
        <v>268</v>
      </c>
      <c r="J246" s="7" t="s">
        <v>1033</v>
      </c>
      <c r="K246" s="3" t="s">
        <v>550</v>
      </c>
      <c r="L246" s="3"/>
      <c r="M246" s="3" t="s">
        <v>949</v>
      </c>
      <c r="N246" s="3"/>
      <c r="O246" s="3" t="s">
        <v>1034</v>
      </c>
      <c r="P246" s="8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6.5" customHeight="1">
      <c r="A247" s="3" t="s">
        <v>1039</v>
      </c>
      <c r="B247" s="4" t="s">
        <v>1040</v>
      </c>
      <c r="C247" s="8" t="s">
        <v>1041</v>
      </c>
      <c r="D247" s="3" t="s">
        <v>1025</v>
      </c>
      <c r="E247" s="3">
        <v>22.0</v>
      </c>
      <c r="F247" s="3">
        <f t="shared" ref="F247:F249" si="24">17*E247</f>
        <v>374</v>
      </c>
      <c r="G247" s="6">
        <f t="shared" si="23"/>
        <v>17</v>
      </c>
      <c r="H247" s="37" t="s">
        <v>31</v>
      </c>
      <c r="I247" s="60" t="s">
        <v>268</v>
      </c>
      <c r="J247" s="7" t="s">
        <v>1026</v>
      </c>
      <c r="K247" s="21" t="s">
        <v>1042</v>
      </c>
      <c r="L247" s="2"/>
      <c r="M247" s="53">
        <v>45232.0</v>
      </c>
      <c r="N247" s="3"/>
      <c r="O247" s="53">
        <v>45262.0</v>
      </c>
      <c r="P247" s="8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3" t="s">
        <v>1043</v>
      </c>
      <c r="B248" s="4" t="s">
        <v>1044</v>
      </c>
      <c r="D248" s="3" t="s">
        <v>1045</v>
      </c>
      <c r="E248" s="3">
        <v>11.0</v>
      </c>
      <c r="F248" s="3">
        <f t="shared" si="24"/>
        <v>187</v>
      </c>
      <c r="G248" s="6">
        <v>17.0</v>
      </c>
      <c r="H248" s="3" t="s">
        <v>724</v>
      </c>
      <c r="I248" s="60" t="s">
        <v>268</v>
      </c>
      <c r="J248" s="7" t="s">
        <v>1046</v>
      </c>
      <c r="K248" s="21" t="s">
        <v>1042</v>
      </c>
      <c r="L248" s="2"/>
      <c r="M248" s="53">
        <v>45232.0</v>
      </c>
      <c r="N248" s="3"/>
      <c r="O248" s="53">
        <v>45262.0</v>
      </c>
      <c r="P248" s="8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3" t="s">
        <v>1047</v>
      </c>
      <c r="B249" s="4" t="s">
        <v>1048</v>
      </c>
      <c r="C249" s="4">
        <v>7.85743142271E11</v>
      </c>
      <c r="D249" s="3" t="s">
        <v>1049</v>
      </c>
      <c r="E249" s="3">
        <v>43.0</v>
      </c>
      <c r="F249" s="3">
        <f t="shared" si="24"/>
        <v>731</v>
      </c>
      <c r="G249" s="6">
        <f>F249/E249</f>
        <v>17</v>
      </c>
      <c r="H249" s="37" t="s">
        <v>31</v>
      </c>
      <c r="I249" s="60" t="s">
        <v>268</v>
      </c>
      <c r="J249" s="7" t="s">
        <v>1026</v>
      </c>
      <c r="K249" s="3" t="s">
        <v>273</v>
      </c>
      <c r="L249" s="2"/>
      <c r="M249" s="53">
        <v>45232.0</v>
      </c>
      <c r="N249" s="3"/>
      <c r="O249" s="53">
        <v>45262.0</v>
      </c>
      <c r="P249" s="8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3" t="s">
        <v>1050</v>
      </c>
      <c r="B250" s="4" t="s">
        <v>1051</v>
      </c>
      <c r="C250" s="4" t="s">
        <v>1052</v>
      </c>
      <c r="D250" s="3" t="s">
        <v>1053</v>
      </c>
      <c r="E250" s="3">
        <v>108.0</v>
      </c>
      <c r="F250" s="3">
        <f t="shared" ref="F250:F252" si="25">E250*G250</f>
        <v>1188</v>
      </c>
      <c r="G250" s="6">
        <v>11.0</v>
      </c>
      <c r="H250" s="3" t="s">
        <v>742</v>
      </c>
      <c r="I250" s="38" t="s">
        <v>268</v>
      </c>
      <c r="J250" s="44" t="s">
        <v>958</v>
      </c>
      <c r="K250" s="3" t="s">
        <v>273</v>
      </c>
      <c r="L250" s="3"/>
      <c r="M250" s="53">
        <v>45232.0</v>
      </c>
      <c r="N250" s="3"/>
      <c r="O250" s="53">
        <v>45262.0</v>
      </c>
      <c r="P250" s="8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3" t="s">
        <v>1054</v>
      </c>
      <c r="B251" s="4" t="s">
        <v>1055</v>
      </c>
      <c r="C251" s="4">
        <v>7.85743124103E11</v>
      </c>
      <c r="D251" s="3" t="s">
        <v>1020</v>
      </c>
      <c r="E251" s="3">
        <v>57.0</v>
      </c>
      <c r="F251" s="3">
        <f t="shared" si="25"/>
        <v>969</v>
      </c>
      <c r="G251" s="6">
        <v>17.0</v>
      </c>
      <c r="H251" s="3">
        <v>1688.0</v>
      </c>
      <c r="I251" s="47" t="s">
        <v>263</v>
      </c>
      <c r="J251" s="7" t="s">
        <v>1056</v>
      </c>
      <c r="K251" s="3" t="s">
        <v>273</v>
      </c>
      <c r="L251" s="2"/>
      <c r="M251" s="3"/>
      <c r="N251" s="3"/>
      <c r="O251" s="3"/>
      <c r="P251" s="8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3" t="s">
        <v>1057</v>
      </c>
      <c r="B252" s="4" t="s">
        <v>1058</v>
      </c>
      <c r="D252" s="3" t="s">
        <v>1020</v>
      </c>
      <c r="E252" s="3">
        <v>14.0</v>
      </c>
      <c r="F252" s="3">
        <f t="shared" si="25"/>
        <v>238</v>
      </c>
      <c r="G252" s="6">
        <v>17.0</v>
      </c>
      <c r="H252" s="3">
        <v>1688.0</v>
      </c>
      <c r="I252" s="47" t="s">
        <v>263</v>
      </c>
      <c r="J252" s="7" t="s">
        <v>1059</v>
      </c>
      <c r="K252" s="3" t="s">
        <v>273</v>
      </c>
      <c r="L252" s="2"/>
      <c r="M252" s="3"/>
      <c r="N252" s="3"/>
      <c r="O252" s="3"/>
      <c r="P252" s="8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3" t="s">
        <v>1060</v>
      </c>
      <c r="B253" s="32" t="s">
        <v>1061</v>
      </c>
      <c r="C253" s="4">
        <v>7.86671304383E11</v>
      </c>
      <c r="D253" s="3" t="s">
        <v>1010</v>
      </c>
      <c r="E253" s="3">
        <v>92.0</v>
      </c>
      <c r="F253" s="3">
        <f t="shared" ref="F253:F254" si="26">G253*E253</f>
        <v>1380</v>
      </c>
      <c r="G253" s="6">
        <v>15.0</v>
      </c>
      <c r="H253" s="3" t="s">
        <v>882</v>
      </c>
      <c r="I253" s="47" t="s">
        <v>263</v>
      </c>
      <c r="J253" s="7" t="s">
        <v>1062</v>
      </c>
      <c r="K253" s="3" t="s">
        <v>273</v>
      </c>
      <c r="L253" s="2"/>
      <c r="M253" s="3"/>
      <c r="N253" s="3"/>
      <c r="O253" s="3"/>
      <c r="P253" s="8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3" t="s">
        <v>1063</v>
      </c>
      <c r="B254" s="32" t="s">
        <v>1064</v>
      </c>
      <c r="C254" s="4">
        <v>7.86608993611E11</v>
      </c>
      <c r="D254" s="3" t="s">
        <v>1010</v>
      </c>
      <c r="E254" s="3">
        <v>37.0</v>
      </c>
      <c r="F254" s="3">
        <f t="shared" si="26"/>
        <v>555</v>
      </c>
      <c r="G254" s="6">
        <v>15.0</v>
      </c>
      <c r="H254" s="3" t="s">
        <v>882</v>
      </c>
      <c r="I254" s="47" t="s">
        <v>263</v>
      </c>
      <c r="J254" s="7" t="s">
        <v>1062</v>
      </c>
      <c r="K254" s="3" t="s">
        <v>273</v>
      </c>
      <c r="L254" s="2"/>
      <c r="M254" s="3"/>
      <c r="N254" s="3"/>
      <c r="O254" s="3"/>
      <c r="P254" s="8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3" t="s">
        <v>1065</v>
      </c>
      <c r="B255" s="4" t="s">
        <v>1066</v>
      </c>
      <c r="C255" s="4" t="s">
        <v>1067</v>
      </c>
      <c r="D255" s="3" t="s">
        <v>1068</v>
      </c>
      <c r="E255" s="3">
        <v>85.0</v>
      </c>
      <c r="F255" s="6">
        <f t="shared" ref="F255:F258" si="27">E255*11/7.1954</f>
        <v>129.944131</v>
      </c>
      <c r="G255" s="6">
        <f t="shared" ref="G255:G261" si="28">F255/E255</f>
        <v>1.528754482</v>
      </c>
      <c r="H255" s="3" t="s">
        <v>672</v>
      </c>
      <c r="I255" s="3" t="s">
        <v>360</v>
      </c>
      <c r="J255" s="7" t="s">
        <v>1069</v>
      </c>
      <c r="K255" s="3" t="s">
        <v>273</v>
      </c>
      <c r="L255" s="2" t="s">
        <v>1070</v>
      </c>
      <c r="M255" s="53">
        <v>45237.0</v>
      </c>
      <c r="N255" s="3" t="s">
        <v>1071</v>
      </c>
      <c r="O255" s="53">
        <v>45261.0</v>
      </c>
      <c r="P255" s="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3" t="s">
        <v>1072</v>
      </c>
      <c r="B256" s="32" t="s">
        <v>1073</v>
      </c>
      <c r="C256" s="4" t="s">
        <v>1074</v>
      </c>
      <c r="D256" s="3" t="s">
        <v>1068</v>
      </c>
      <c r="E256" s="3">
        <v>85.0</v>
      </c>
      <c r="F256" s="6">
        <f t="shared" si="27"/>
        <v>129.944131</v>
      </c>
      <c r="G256" s="6">
        <f t="shared" si="28"/>
        <v>1.528754482</v>
      </c>
      <c r="H256" s="3" t="s">
        <v>672</v>
      </c>
      <c r="I256" s="3" t="s">
        <v>360</v>
      </c>
      <c r="J256" s="7" t="s">
        <v>1069</v>
      </c>
      <c r="K256" s="3" t="s">
        <v>273</v>
      </c>
      <c r="L256" s="2" t="s">
        <v>1070</v>
      </c>
      <c r="M256" s="53">
        <v>45237.0</v>
      </c>
      <c r="N256" s="3" t="s">
        <v>1071</v>
      </c>
      <c r="O256" s="53">
        <v>45261.0</v>
      </c>
      <c r="P256" s="8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3" t="s">
        <v>1075</v>
      </c>
      <c r="B257" s="4" t="s">
        <v>1076</v>
      </c>
      <c r="C257" s="4" t="s">
        <v>1077</v>
      </c>
      <c r="D257" s="3" t="s">
        <v>1068</v>
      </c>
      <c r="E257" s="3">
        <v>85.0</v>
      </c>
      <c r="F257" s="6">
        <f t="shared" si="27"/>
        <v>129.944131</v>
      </c>
      <c r="G257" s="6">
        <f t="shared" si="28"/>
        <v>1.528754482</v>
      </c>
      <c r="H257" s="3" t="s">
        <v>672</v>
      </c>
      <c r="I257" s="3" t="s">
        <v>360</v>
      </c>
      <c r="J257" s="7" t="s">
        <v>1069</v>
      </c>
      <c r="K257" s="3" t="s">
        <v>550</v>
      </c>
      <c r="L257" s="2" t="s">
        <v>1078</v>
      </c>
      <c r="M257" s="53">
        <v>45239.0</v>
      </c>
      <c r="N257" s="3" t="s">
        <v>1034</v>
      </c>
      <c r="O257" s="53">
        <v>45265.0</v>
      </c>
      <c r="P257" s="8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3" t="s">
        <v>1079</v>
      </c>
      <c r="B258" s="4" t="s">
        <v>1080</v>
      </c>
      <c r="C258" s="4" t="s">
        <v>1081</v>
      </c>
      <c r="D258" s="3" t="s">
        <v>1068</v>
      </c>
      <c r="E258" s="3">
        <v>85.0</v>
      </c>
      <c r="F258" s="6">
        <f t="shared" si="27"/>
        <v>129.944131</v>
      </c>
      <c r="G258" s="6">
        <f t="shared" si="28"/>
        <v>1.528754482</v>
      </c>
      <c r="H258" s="3" t="s">
        <v>672</v>
      </c>
      <c r="I258" s="3" t="s">
        <v>360</v>
      </c>
      <c r="J258" s="7" t="s">
        <v>1069</v>
      </c>
      <c r="K258" s="21" t="s">
        <v>674</v>
      </c>
      <c r="L258" s="2" t="s">
        <v>1078</v>
      </c>
      <c r="M258" s="53">
        <v>45239.0</v>
      </c>
      <c r="N258" s="3" t="s">
        <v>1034</v>
      </c>
      <c r="O258" s="53">
        <v>45265.0</v>
      </c>
      <c r="P258" s="8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61" t="s">
        <v>1082</v>
      </c>
      <c r="B259" s="50" t="s">
        <v>1083</v>
      </c>
      <c r="C259" s="54">
        <v>7.8667094036E11</v>
      </c>
      <c r="D259" s="39" t="s">
        <v>1084</v>
      </c>
      <c r="E259" s="39">
        <v>83.0</v>
      </c>
      <c r="F259" s="40">
        <f>83*13/7.2345</f>
        <v>149.146451</v>
      </c>
      <c r="G259" s="6">
        <f t="shared" si="28"/>
        <v>1.796945193</v>
      </c>
      <c r="H259" s="39" t="s">
        <v>724</v>
      </c>
      <c r="I259" s="3" t="s">
        <v>360</v>
      </c>
      <c r="J259" s="7" t="s">
        <v>1085</v>
      </c>
      <c r="K259" s="3" t="s">
        <v>273</v>
      </c>
      <c r="L259" s="2"/>
      <c r="M259" s="56" t="s">
        <v>1086</v>
      </c>
      <c r="N259" s="56"/>
      <c r="O259" s="56">
        <v>45271.0</v>
      </c>
      <c r="P259" s="42"/>
    </row>
    <row r="260">
      <c r="A260" s="39" t="s">
        <v>1087</v>
      </c>
      <c r="B260" s="4" t="s">
        <v>1088</v>
      </c>
      <c r="C260" s="54">
        <v>7.86670942443E11</v>
      </c>
      <c r="D260" s="39" t="s">
        <v>1089</v>
      </c>
      <c r="E260" s="39">
        <v>18.0</v>
      </c>
      <c r="F260" s="39">
        <f>18*13</f>
        <v>234</v>
      </c>
      <c r="G260" s="40">
        <f t="shared" si="28"/>
        <v>13</v>
      </c>
      <c r="H260" s="39" t="s">
        <v>1090</v>
      </c>
      <c r="I260" s="38" t="s">
        <v>268</v>
      </c>
      <c r="J260" s="7" t="s">
        <v>1085</v>
      </c>
      <c r="K260" s="3" t="s">
        <v>273</v>
      </c>
      <c r="L260" s="2"/>
      <c r="M260" s="39" t="s">
        <v>1017</v>
      </c>
      <c r="N260" s="56"/>
      <c r="O260" s="39" t="s">
        <v>1091</v>
      </c>
      <c r="P260" s="42"/>
    </row>
    <row r="261">
      <c r="A261" s="39" t="s">
        <v>1092</v>
      </c>
      <c r="B261" s="50" t="s">
        <v>1093</v>
      </c>
      <c r="C261" s="54">
        <v>7.86609002906E11</v>
      </c>
      <c r="D261" s="39" t="s">
        <v>1084</v>
      </c>
      <c r="E261" s="39">
        <v>17.0</v>
      </c>
      <c r="F261" s="40">
        <f>E261*17/7.2345</f>
        <v>39.94747391</v>
      </c>
      <c r="G261" s="40">
        <f t="shared" si="28"/>
        <v>2.349851406</v>
      </c>
      <c r="H261" s="39" t="s">
        <v>724</v>
      </c>
      <c r="I261" s="3" t="s">
        <v>360</v>
      </c>
      <c r="J261" s="7" t="s">
        <v>1085</v>
      </c>
      <c r="K261" s="3" t="s">
        <v>273</v>
      </c>
      <c r="L261" s="2"/>
      <c r="M261" s="56" t="s">
        <v>1086</v>
      </c>
      <c r="N261" s="56"/>
      <c r="O261" s="56">
        <v>45271.0</v>
      </c>
      <c r="P261" s="42"/>
    </row>
    <row r="262">
      <c r="A262" s="39" t="s">
        <v>1094</v>
      </c>
      <c r="B262" s="4" t="s">
        <v>1095</v>
      </c>
      <c r="C262" s="54">
        <v>7.86609003199E11</v>
      </c>
      <c r="D262" s="39" t="s">
        <v>1089</v>
      </c>
      <c r="E262" s="39">
        <v>18.0</v>
      </c>
      <c r="F262" s="40">
        <f>E262*17</f>
        <v>306</v>
      </c>
      <c r="G262" s="40">
        <v>17.0</v>
      </c>
      <c r="H262" s="39" t="s">
        <v>1090</v>
      </c>
      <c r="I262" s="38" t="s">
        <v>268</v>
      </c>
      <c r="J262" s="7" t="s">
        <v>1085</v>
      </c>
      <c r="K262" s="3" t="s">
        <v>273</v>
      </c>
      <c r="L262" s="2"/>
      <c r="M262" s="39" t="s">
        <v>1017</v>
      </c>
      <c r="N262" s="56"/>
      <c r="O262" s="39" t="s">
        <v>1096</v>
      </c>
      <c r="P262" s="42"/>
    </row>
    <row r="263" ht="15.75" customHeight="1">
      <c r="A263" s="3" t="s">
        <v>1097</v>
      </c>
      <c r="B263" s="50" t="s">
        <v>1098</v>
      </c>
      <c r="C263" s="54">
        <v>7.86608514333E11</v>
      </c>
      <c r="D263" s="39" t="s">
        <v>1084</v>
      </c>
      <c r="E263" s="39">
        <v>17.0</v>
      </c>
      <c r="F263" s="6">
        <f>21*17/7.2345</f>
        <v>49.34687954</v>
      </c>
      <c r="G263" s="6">
        <f t="shared" ref="G263:G264" si="29">F263/E263</f>
        <v>2.90275762</v>
      </c>
      <c r="H263" s="39" t="s">
        <v>724</v>
      </c>
      <c r="I263" s="3" t="s">
        <v>360</v>
      </c>
      <c r="J263" s="7" t="s">
        <v>1085</v>
      </c>
      <c r="K263" s="3" t="s">
        <v>273</v>
      </c>
      <c r="L263" s="2"/>
      <c r="M263" s="56" t="s">
        <v>1086</v>
      </c>
      <c r="N263" s="53"/>
      <c r="O263" s="56">
        <v>45271.0</v>
      </c>
      <c r="P263" s="8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3" t="s">
        <v>1099</v>
      </c>
      <c r="B264" s="32" t="s">
        <v>1100</v>
      </c>
      <c r="C264" s="4"/>
      <c r="D264" s="3" t="s">
        <v>1068</v>
      </c>
      <c r="E264" s="3">
        <v>103.0</v>
      </c>
      <c r="F264" s="6">
        <f>(E264*9+55*103/244)/7.1954</f>
        <v>132.058984</v>
      </c>
      <c r="G264" s="6">
        <f t="shared" si="29"/>
        <v>1.282126058</v>
      </c>
      <c r="H264" s="3" t="s">
        <v>672</v>
      </c>
      <c r="I264" s="3" t="s">
        <v>360</v>
      </c>
      <c r="J264" s="7" t="s">
        <v>853</v>
      </c>
      <c r="K264" s="3" t="s">
        <v>273</v>
      </c>
      <c r="L264" s="3" t="s">
        <v>1101</v>
      </c>
      <c r="M264" s="3" t="s">
        <v>1017</v>
      </c>
      <c r="N264" s="30">
        <v>45089.0</v>
      </c>
      <c r="O264" s="3" t="s">
        <v>1102</v>
      </c>
      <c r="P264" s="8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3" t="s">
        <v>1103</v>
      </c>
      <c r="B265" s="32" t="s">
        <v>1104</v>
      </c>
      <c r="C265" s="4"/>
      <c r="D265" s="3" t="s">
        <v>1068</v>
      </c>
      <c r="H265" s="3" t="s">
        <v>672</v>
      </c>
      <c r="I265" s="3" t="s">
        <v>360</v>
      </c>
      <c r="J265" s="7" t="s">
        <v>853</v>
      </c>
      <c r="K265" s="3" t="s">
        <v>273</v>
      </c>
      <c r="L265" s="3" t="s">
        <v>1101</v>
      </c>
      <c r="M265" s="3" t="s">
        <v>1017</v>
      </c>
      <c r="N265" s="30">
        <v>45089.0</v>
      </c>
      <c r="O265" s="3" t="s">
        <v>1102</v>
      </c>
      <c r="P265" s="8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3" t="s">
        <v>1105</v>
      </c>
      <c r="B266" s="32" t="s">
        <v>1106</v>
      </c>
      <c r="C266" s="4"/>
      <c r="D266" s="3" t="s">
        <v>1068</v>
      </c>
      <c r="H266" s="3" t="s">
        <v>672</v>
      </c>
      <c r="I266" s="3" t="s">
        <v>360</v>
      </c>
      <c r="J266" s="7" t="s">
        <v>853</v>
      </c>
      <c r="K266" s="3" t="s">
        <v>273</v>
      </c>
      <c r="L266" s="3" t="s">
        <v>1101</v>
      </c>
      <c r="M266" s="3" t="s">
        <v>1017</v>
      </c>
      <c r="N266" s="30">
        <v>45089.0</v>
      </c>
      <c r="O266" s="3" t="s">
        <v>1102</v>
      </c>
      <c r="P266" s="8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3" t="s">
        <v>1107</v>
      </c>
      <c r="B267" s="32" t="s">
        <v>1108</v>
      </c>
      <c r="C267" s="4"/>
      <c r="D267" s="3" t="s">
        <v>1068</v>
      </c>
      <c r="H267" s="3" t="s">
        <v>672</v>
      </c>
      <c r="I267" s="3" t="s">
        <v>360</v>
      </c>
      <c r="J267" s="7" t="s">
        <v>853</v>
      </c>
      <c r="K267" s="3" t="s">
        <v>550</v>
      </c>
      <c r="L267" s="3" t="s">
        <v>1101</v>
      </c>
      <c r="M267" s="3" t="s">
        <v>1017</v>
      </c>
      <c r="N267" s="30">
        <v>45089.0</v>
      </c>
      <c r="O267" s="3" t="s">
        <v>1102</v>
      </c>
      <c r="P267" s="8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3" t="s">
        <v>1109</v>
      </c>
      <c r="B268" s="32" t="s">
        <v>1110</v>
      </c>
      <c r="C268" s="4"/>
      <c r="D268" s="3" t="s">
        <v>1068</v>
      </c>
      <c r="H268" s="3" t="s">
        <v>672</v>
      </c>
      <c r="I268" s="3" t="s">
        <v>360</v>
      </c>
      <c r="J268" s="7" t="s">
        <v>853</v>
      </c>
      <c r="K268" s="21" t="s">
        <v>1111</v>
      </c>
      <c r="L268" s="3" t="s">
        <v>1101</v>
      </c>
      <c r="M268" s="3" t="s">
        <v>1017</v>
      </c>
      <c r="N268" s="30">
        <v>45089.0</v>
      </c>
      <c r="O268" s="3" t="s">
        <v>1102</v>
      </c>
      <c r="P268" s="8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3" t="s">
        <v>1112</v>
      </c>
      <c r="B269" s="32" t="s">
        <v>1113</v>
      </c>
      <c r="C269" s="4"/>
      <c r="D269" s="3" t="s">
        <v>1068</v>
      </c>
      <c r="E269" s="3">
        <v>104.0</v>
      </c>
      <c r="F269" s="6">
        <f>(E269*9+55*104/244)/7.1954</f>
        <v>133.34111</v>
      </c>
      <c r="G269" s="6">
        <f t="shared" ref="G269:G271" si="30">F269/E269</f>
        <v>1.282126058</v>
      </c>
      <c r="H269" s="3" t="s">
        <v>672</v>
      </c>
      <c r="I269" s="3" t="s">
        <v>360</v>
      </c>
      <c r="J269" s="7" t="s">
        <v>853</v>
      </c>
      <c r="K269" s="3" t="s">
        <v>273</v>
      </c>
      <c r="L269" s="3" t="s">
        <v>1114</v>
      </c>
      <c r="M269" s="3" t="s">
        <v>1017</v>
      </c>
      <c r="N269" s="30">
        <v>45089.0</v>
      </c>
      <c r="O269" s="3" t="s">
        <v>1102</v>
      </c>
      <c r="P269" s="8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3" t="s">
        <v>1115</v>
      </c>
      <c r="B270" s="4" t="s">
        <v>1116</v>
      </c>
      <c r="C270" s="4"/>
      <c r="D270" s="3" t="s">
        <v>1117</v>
      </c>
      <c r="E270" s="3">
        <v>13.0</v>
      </c>
      <c r="F270" s="6">
        <f>(E270*9+55*13/244)/7.1954</f>
        <v>16.66763875</v>
      </c>
      <c r="G270" s="6">
        <f t="shared" si="30"/>
        <v>1.282126058</v>
      </c>
      <c r="H270" s="3" t="s">
        <v>672</v>
      </c>
      <c r="I270" s="3" t="s">
        <v>360</v>
      </c>
      <c r="J270" s="7" t="s">
        <v>853</v>
      </c>
      <c r="K270" s="3" t="s">
        <v>273</v>
      </c>
      <c r="L270" s="3" t="s">
        <v>1114</v>
      </c>
      <c r="M270" s="3" t="s">
        <v>1017</v>
      </c>
      <c r="N270" s="30">
        <v>45089.0</v>
      </c>
      <c r="O270" s="3" t="s">
        <v>1102</v>
      </c>
      <c r="P270" s="8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3" t="s">
        <v>1118</v>
      </c>
      <c r="B271" s="4" t="s">
        <v>1119</v>
      </c>
      <c r="C271" s="4" t="s">
        <v>1120</v>
      </c>
      <c r="D271" s="3" t="s">
        <v>1117</v>
      </c>
      <c r="E271" s="3">
        <v>24.0</v>
      </c>
      <c r="F271" s="6">
        <f>(E271*15+55*24/244)/7.1954</f>
        <v>50.78381133</v>
      </c>
      <c r="G271" s="6">
        <f t="shared" si="30"/>
        <v>2.115992139</v>
      </c>
      <c r="H271" s="3" t="s">
        <v>672</v>
      </c>
      <c r="I271" s="3" t="s">
        <v>360</v>
      </c>
      <c r="J271" s="7" t="s">
        <v>1069</v>
      </c>
      <c r="K271" s="21" t="s">
        <v>419</v>
      </c>
      <c r="L271" s="3" t="s">
        <v>1121</v>
      </c>
      <c r="M271" s="3" t="s">
        <v>1017</v>
      </c>
      <c r="N271" s="30">
        <v>45089.0</v>
      </c>
      <c r="O271" s="3" t="s">
        <v>1091</v>
      </c>
      <c r="P271" s="8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3" t="s">
        <v>1122</v>
      </c>
      <c r="B272" s="4" t="s">
        <v>1123</v>
      </c>
      <c r="C272" s="4" t="s">
        <v>1124</v>
      </c>
      <c r="D272" s="3" t="s">
        <v>1125</v>
      </c>
      <c r="E272" s="3">
        <v>22.0</v>
      </c>
      <c r="F272" s="3">
        <f>E272*G272</f>
        <v>1232</v>
      </c>
      <c r="G272" s="6">
        <v>56.0</v>
      </c>
      <c r="H272" s="39" t="s">
        <v>724</v>
      </c>
      <c r="I272" s="38" t="s">
        <v>268</v>
      </c>
      <c r="J272" s="4" t="s">
        <v>993</v>
      </c>
      <c r="K272" s="3" t="s">
        <v>273</v>
      </c>
      <c r="L272" s="3"/>
      <c r="M272" s="11" t="s">
        <v>1126</v>
      </c>
      <c r="N272" s="3"/>
      <c r="O272" s="3" t="s">
        <v>1034</v>
      </c>
      <c r="P272" s="8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3" t="s">
        <v>1127</v>
      </c>
      <c r="B273" s="4" t="s">
        <v>1128</v>
      </c>
      <c r="C273" s="4" t="s">
        <v>1129</v>
      </c>
      <c r="D273" s="3" t="s">
        <v>1130</v>
      </c>
      <c r="E273" s="3">
        <v>46.0</v>
      </c>
      <c r="F273" s="6">
        <f>E273*20/7.1954</f>
        <v>127.8594658</v>
      </c>
      <c r="G273" s="6">
        <f t="shared" ref="G273:G274" si="31">F273/E273</f>
        <v>2.779553604</v>
      </c>
      <c r="H273" s="3" t="s">
        <v>872</v>
      </c>
      <c r="I273" s="3" t="s">
        <v>360</v>
      </c>
      <c r="J273" s="7" t="s">
        <v>1131</v>
      </c>
      <c r="K273" s="3" t="s">
        <v>273</v>
      </c>
      <c r="L273" s="3"/>
      <c r="M273" s="3" t="s">
        <v>1132</v>
      </c>
      <c r="N273" s="30">
        <v>45119.0</v>
      </c>
      <c r="O273" s="3" t="s">
        <v>1102</v>
      </c>
      <c r="P273" s="8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3" t="s">
        <v>1133</v>
      </c>
      <c r="B274" s="4" t="s">
        <v>1134</v>
      </c>
      <c r="C274" s="4" t="s">
        <v>1135</v>
      </c>
      <c r="D274" s="3" t="s">
        <v>1130</v>
      </c>
      <c r="E274" s="3">
        <v>31.0</v>
      </c>
      <c r="F274" s="6">
        <f>E274*65/7.1954</f>
        <v>280.0400256</v>
      </c>
      <c r="G274" s="6">
        <f t="shared" si="31"/>
        <v>9.033549212</v>
      </c>
      <c r="H274" s="3" t="s">
        <v>872</v>
      </c>
      <c r="I274" s="3" t="s">
        <v>360</v>
      </c>
      <c r="J274" s="4" t="s">
        <v>993</v>
      </c>
      <c r="K274" s="3" t="s">
        <v>273</v>
      </c>
      <c r="L274" s="3"/>
      <c r="M274" s="3" t="s">
        <v>1136</v>
      </c>
      <c r="N274" s="3"/>
      <c r="O274" s="30">
        <v>44938.0</v>
      </c>
      <c r="P274" s="8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3" t="s">
        <v>1137</v>
      </c>
      <c r="B275" s="4" t="s">
        <v>1138</v>
      </c>
      <c r="C275" s="4">
        <v>7.86676962432E11</v>
      </c>
      <c r="D275" s="39" t="s">
        <v>1139</v>
      </c>
      <c r="E275" s="3">
        <v>22.0</v>
      </c>
      <c r="F275" s="3">
        <f t="shared" ref="F275:F276" si="32">G275*E275</f>
        <v>385</v>
      </c>
      <c r="G275" s="6">
        <v>17.5</v>
      </c>
      <c r="H275" s="39" t="s">
        <v>724</v>
      </c>
      <c r="I275" s="38" t="s">
        <v>268</v>
      </c>
      <c r="J275" s="4" t="s">
        <v>1140</v>
      </c>
      <c r="K275" s="3" t="s">
        <v>550</v>
      </c>
      <c r="L275" s="3" t="s">
        <v>1141</v>
      </c>
      <c r="M275" s="11" t="s">
        <v>1136</v>
      </c>
      <c r="N275" s="3" t="s">
        <v>1142</v>
      </c>
      <c r="O275" s="10" t="s">
        <v>1143</v>
      </c>
      <c r="P275" s="8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3" t="s">
        <v>1144</v>
      </c>
      <c r="B276" s="4" t="s">
        <v>1145</v>
      </c>
      <c r="C276" s="4" t="s">
        <v>1146</v>
      </c>
      <c r="D276" s="3" t="s">
        <v>1147</v>
      </c>
      <c r="E276" s="3">
        <v>53.0</v>
      </c>
      <c r="F276" s="39">
        <f t="shared" si="32"/>
        <v>901</v>
      </c>
      <c r="G276" s="3">
        <v>17.0</v>
      </c>
      <c r="H276" s="3" t="s">
        <v>1148</v>
      </c>
      <c r="I276" s="47" t="s">
        <v>263</v>
      </c>
      <c r="J276" s="4" t="s">
        <v>1149</v>
      </c>
      <c r="K276" s="21" t="s">
        <v>1111</v>
      </c>
      <c r="L276" s="3"/>
      <c r="M276" s="3"/>
      <c r="N276" s="3"/>
      <c r="O276" s="62">
        <v>45280.0</v>
      </c>
      <c r="P276" s="8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3" t="s">
        <v>1150</v>
      </c>
      <c r="B277" s="4" t="s">
        <v>1151</v>
      </c>
      <c r="C277" s="4">
        <v>7.86884515999E11</v>
      </c>
      <c r="D277" s="3" t="s">
        <v>1152</v>
      </c>
      <c r="E277" s="3">
        <v>51.0</v>
      </c>
      <c r="F277" s="6">
        <f>(E277*16+40)/7.0247</f>
        <v>121.8557376</v>
      </c>
      <c r="G277" s="6">
        <f>F277/E277</f>
        <v>2.389328188</v>
      </c>
      <c r="H277" s="3" t="s">
        <v>672</v>
      </c>
      <c r="I277" s="3" t="s">
        <v>360</v>
      </c>
      <c r="J277" s="7" t="s">
        <v>1069</v>
      </c>
      <c r="K277" s="3" t="s">
        <v>273</v>
      </c>
      <c r="L277" s="3" t="s">
        <v>1153</v>
      </c>
      <c r="M277" s="3" t="s">
        <v>1154</v>
      </c>
      <c r="N277" s="3" t="s">
        <v>1155</v>
      </c>
      <c r="O277" s="3" t="s">
        <v>1156</v>
      </c>
      <c r="P277" s="8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3" t="s">
        <v>1157</v>
      </c>
      <c r="B278" s="4" t="s">
        <v>1158</v>
      </c>
      <c r="C278" s="4">
        <v>7.86884517101E11</v>
      </c>
      <c r="D278" s="3" t="s">
        <v>1159</v>
      </c>
      <c r="H278" s="3" t="s">
        <v>672</v>
      </c>
      <c r="I278" s="3" t="s">
        <v>360</v>
      </c>
      <c r="J278" s="7" t="s">
        <v>1069</v>
      </c>
      <c r="K278" s="3" t="s">
        <v>273</v>
      </c>
      <c r="L278" s="3" t="s">
        <v>1153</v>
      </c>
      <c r="M278" s="3" t="s">
        <v>1154</v>
      </c>
      <c r="N278" s="3" t="s">
        <v>1155</v>
      </c>
      <c r="O278" s="3" t="s">
        <v>1156</v>
      </c>
      <c r="P278" s="8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3" t="s">
        <v>1160</v>
      </c>
      <c r="B279" s="4" t="s">
        <v>1161</v>
      </c>
      <c r="C279" s="4"/>
      <c r="D279" s="3" t="s">
        <v>1162</v>
      </c>
      <c r="E279" s="3">
        <v>186.0</v>
      </c>
      <c r="F279" s="6">
        <f>E279*G279</f>
        <v>1395</v>
      </c>
      <c r="G279" s="6">
        <v>7.5</v>
      </c>
      <c r="H279" s="3" t="s">
        <v>882</v>
      </c>
      <c r="I279" s="47" t="s">
        <v>263</v>
      </c>
      <c r="J279" s="4" t="s">
        <v>1163</v>
      </c>
      <c r="K279" s="3" t="s">
        <v>550</v>
      </c>
      <c r="L279" s="3"/>
      <c r="M279" s="3"/>
      <c r="N279" s="3"/>
      <c r="O279" s="3"/>
      <c r="P279" s="8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3" t="s">
        <v>1164</v>
      </c>
      <c r="B280" s="4" t="s">
        <v>1165</v>
      </c>
      <c r="C280" s="4"/>
      <c r="D280" s="3" t="s">
        <v>1152</v>
      </c>
      <c r="E280" s="3">
        <v>70.0</v>
      </c>
      <c r="F280" s="6"/>
      <c r="G280" s="6">
        <f>F280/E280</f>
        <v>0</v>
      </c>
      <c r="H280" s="3" t="s">
        <v>672</v>
      </c>
      <c r="I280" s="3" t="s">
        <v>360</v>
      </c>
      <c r="J280" s="7" t="s">
        <v>853</v>
      </c>
      <c r="K280" s="3" t="s">
        <v>273</v>
      </c>
      <c r="L280" s="3" t="s">
        <v>1166</v>
      </c>
      <c r="M280" s="30">
        <v>45119.0</v>
      </c>
      <c r="N280" s="3" t="s">
        <v>1167</v>
      </c>
      <c r="O280" s="3" t="s">
        <v>1168</v>
      </c>
      <c r="P280" s="8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3" t="s">
        <v>1169</v>
      </c>
      <c r="B281" s="4" t="s">
        <v>1170</v>
      </c>
      <c r="C281" s="4"/>
      <c r="D281" s="3" t="s">
        <v>1152</v>
      </c>
      <c r="H281" s="3" t="s">
        <v>672</v>
      </c>
      <c r="I281" s="3" t="s">
        <v>360</v>
      </c>
      <c r="J281" s="7" t="s">
        <v>853</v>
      </c>
      <c r="K281" s="3" t="s">
        <v>273</v>
      </c>
      <c r="L281" s="3" t="s">
        <v>1166</v>
      </c>
      <c r="M281" s="30">
        <v>45119.0</v>
      </c>
      <c r="N281" s="3" t="s">
        <v>1167</v>
      </c>
      <c r="O281" s="3" t="s">
        <v>1168</v>
      </c>
      <c r="P281" s="8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3" t="s">
        <v>1171</v>
      </c>
      <c r="B282" s="4" t="s">
        <v>1172</v>
      </c>
      <c r="C282" s="4"/>
      <c r="D282" s="3" t="s">
        <v>1152</v>
      </c>
      <c r="H282" s="3" t="s">
        <v>672</v>
      </c>
      <c r="I282" s="3" t="s">
        <v>360</v>
      </c>
      <c r="J282" s="7" t="s">
        <v>853</v>
      </c>
      <c r="K282" s="3" t="s">
        <v>273</v>
      </c>
      <c r="L282" s="3" t="s">
        <v>1166</v>
      </c>
      <c r="M282" s="30">
        <v>45119.0</v>
      </c>
      <c r="N282" s="3" t="s">
        <v>1167</v>
      </c>
      <c r="O282" s="3" t="s">
        <v>1168</v>
      </c>
      <c r="P282" s="8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3" t="s">
        <v>1173</v>
      </c>
      <c r="B283" s="4" t="s">
        <v>1174</v>
      </c>
      <c r="C283" s="4"/>
      <c r="D283" s="3" t="s">
        <v>1152</v>
      </c>
      <c r="H283" s="3" t="s">
        <v>672</v>
      </c>
      <c r="I283" s="3" t="s">
        <v>360</v>
      </c>
      <c r="J283" s="7" t="s">
        <v>853</v>
      </c>
      <c r="K283" s="3" t="s">
        <v>273</v>
      </c>
      <c r="L283" s="3" t="s">
        <v>1166</v>
      </c>
      <c r="M283" s="30">
        <v>45119.0</v>
      </c>
      <c r="N283" s="3" t="s">
        <v>1167</v>
      </c>
      <c r="O283" s="3" t="s">
        <v>1168</v>
      </c>
      <c r="P283" s="8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3" t="s">
        <v>1175</v>
      </c>
      <c r="B284" s="4" t="s">
        <v>1176</v>
      </c>
      <c r="C284" s="4" t="s">
        <v>1177</v>
      </c>
      <c r="D284" s="4" t="s">
        <v>1178</v>
      </c>
      <c r="E284" s="3">
        <v>58.0</v>
      </c>
      <c r="F284" s="6">
        <f>E284*17/7.0979</f>
        <v>138.9143268</v>
      </c>
      <c r="G284" s="6">
        <f>F284/E284</f>
        <v>2.3950746</v>
      </c>
      <c r="H284" s="3" t="s">
        <v>1179</v>
      </c>
      <c r="I284" s="3" t="s">
        <v>360</v>
      </c>
      <c r="J284" s="4" t="s">
        <v>1149</v>
      </c>
      <c r="K284" s="21" t="s">
        <v>419</v>
      </c>
      <c r="L284" s="2"/>
      <c r="M284" s="30">
        <v>45089.0</v>
      </c>
      <c r="N284" s="3"/>
      <c r="O284" s="3"/>
      <c r="P284" s="8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3" t="s">
        <v>1180</v>
      </c>
      <c r="B285" s="4" t="s">
        <v>1181</v>
      </c>
      <c r="C285" s="4" t="s">
        <v>1182</v>
      </c>
      <c r="D285" s="4" t="s">
        <v>1183</v>
      </c>
      <c r="E285" s="3">
        <v>15.5</v>
      </c>
      <c r="F285" s="3">
        <f t="shared" ref="F285:F286" si="33">E285*17</f>
        <v>263.5</v>
      </c>
      <c r="G285" s="6">
        <v>17.0</v>
      </c>
      <c r="H285" s="3"/>
      <c r="I285" s="47" t="s">
        <v>263</v>
      </c>
      <c r="J285" s="4" t="s">
        <v>1184</v>
      </c>
      <c r="K285" s="3" t="s">
        <v>273</v>
      </c>
      <c r="L285" s="2"/>
      <c r="M285" s="3"/>
      <c r="N285" s="3"/>
      <c r="O285" s="3"/>
      <c r="P285" s="8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2" t="s">
        <v>1185</v>
      </c>
      <c r="B286" s="4" t="s">
        <v>1186</v>
      </c>
      <c r="C286" s="4" t="s">
        <v>1187</v>
      </c>
      <c r="D286" s="3" t="s">
        <v>1188</v>
      </c>
      <c r="E286" s="3">
        <v>61.5</v>
      </c>
      <c r="F286" s="3">
        <f t="shared" si="33"/>
        <v>1045.5</v>
      </c>
      <c r="G286" s="6">
        <v>17.0</v>
      </c>
      <c r="H286" s="63" t="s">
        <v>31</v>
      </c>
      <c r="I286" s="48" t="s">
        <v>268</v>
      </c>
      <c r="J286" s="4" t="s">
        <v>1189</v>
      </c>
      <c r="K286" s="21" t="s">
        <v>419</v>
      </c>
      <c r="L286" s="2"/>
      <c r="M286" s="11" t="s">
        <v>1091</v>
      </c>
      <c r="N286" s="3" t="s">
        <v>1190</v>
      </c>
      <c r="O286" s="11" t="s">
        <v>1191</v>
      </c>
      <c r="P286" s="8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2" t="s">
        <v>1192</v>
      </c>
      <c r="B287" s="32" t="s">
        <v>1193</v>
      </c>
      <c r="C287" s="4" t="s">
        <v>1194</v>
      </c>
      <c r="D287" s="4" t="s">
        <v>1195</v>
      </c>
      <c r="E287" s="3">
        <v>94.0</v>
      </c>
      <c r="F287" s="6">
        <v>220.0</v>
      </c>
      <c r="G287" s="6">
        <f t="shared" ref="G287:G288" si="34">F287/E287*7.09</f>
        <v>16.59361702</v>
      </c>
      <c r="H287" s="64" t="s">
        <v>31</v>
      </c>
      <c r="I287" s="38" t="s">
        <v>268</v>
      </c>
      <c r="J287" s="7" t="s">
        <v>1196</v>
      </c>
      <c r="K287" s="3" t="s">
        <v>273</v>
      </c>
      <c r="L287" s="3"/>
      <c r="M287" s="11" t="s">
        <v>1197</v>
      </c>
      <c r="N287" s="22" t="s">
        <v>1198</v>
      </c>
      <c r="O287" s="10" t="s">
        <v>1199</v>
      </c>
      <c r="P287" s="8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6.5" customHeight="1">
      <c r="A288" s="2" t="s">
        <v>1200</v>
      </c>
      <c r="B288" s="4" t="s">
        <v>1201</v>
      </c>
      <c r="C288" s="4" t="s">
        <v>1202</v>
      </c>
      <c r="D288" s="4" t="s">
        <v>1203</v>
      </c>
      <c r="E288" s="3">
        <v>22.0</v>
      </c>
      <c r="F288" s="3">
        <v>67.0</v>
      </c>
      <c r="G288" s="6">
        <f t="shared" si="34"/>
        <v>21.59227273</v>
      </c>
      <c r="H288" s="64" t="s">
        <v>31</v>
      </c>
      <c r="I288" s="38" t="s">
        <v>268</v>
      </c>
      <c r="J288" s="7" t="s">
        <v>1204</v>
      </c>
      <c r="K288" s="3" t="s">
        <v>273</v>
      </c>
      <c r="L288" s="3"/>
      <c r="M288" s="11" t="s">
        <v>1197</v>
      </c>
      <c r="N288" s="22" t="s">
        <v>1198</v>
      </c>
      <c r="O288" s="10" t="s">
        <v>1199</v>
      </c>
      <c r="P288" s="8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6.5" customHeight="1">
      <c r="A289" s="3" t="s">
        <v>1205</v>
      </c>
      <c r="B289" s="4" t="s">
        <v>1206</v>
      </c>
      <c r="C289" s="4" t="s">
        <v>1207</v>
      </c>
      <c r="D289" s="44" t="s">
        <v>1208</v>
      </c>
      <c r="E289" s="3">
        <v>76.0</v>
      </c>
      <c r="F289" s="6">
        <f>E289*10/7.0287+75/7.1954</f>
        <v>118.5514294</v>
      </c>
      <c r="G289" s="6">
        <f>F289/E289</f>
        <v>1.559887228</v>
      </c>
      <c r="H289" s="3" t="s">
        <v>872</v>
      </c>
      <c r="I289" s="3" t="s">
        <v>360</v>
      </c>
      <c r="J289" s="7" t="s">
        <v>1209</v>
      </c>
      <c r="K289" s="3" t="s">
        <v>550</v>
      </c>
      <c r="L289" s="3"/>
      <c r="M289" s="11" t="s">
        <v>1167</v>
      </c>
      <c r="N289" s="3"/>
      <c r="O289" s="53" t="s">
        <v>1210</v>
      </c>
      <c r="P289" s="8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2" t="s">
        <v>1211</v>
      </c>
      <c r="B290" s="4" t="s">
        <v>1212</v>
      </c>
      <c r="C290" s="4" t="s">
        <v>1213</v>
      </c>
      <c r="D290" s="3" t="s">
        <v>1214</v>
      </c>
      <c r="E290" s="3">
        <v>36.0</v>
      </c>
      <c r="F290" s="3">
        <f>E290*G290</f>
        <v>360</v>
      </c>
      <c r="G290" s="6">
        <v>10.0</v>
      </c>
      <c r="H290" s="3" t="s">
        <v>742</v>
      </c>
      <c r="I290" s="48" t="s">
        <v>268</v>
      </c>
      <c r="J290" s="7" t="s">
        <v>1215</v>
      </c>
      <c r="K290" s="3" t="s">
        <v>273</v>
      </c>
      <c r="L290" s="3"/>
      <c r="M290" s="11" t="s">
        <v>1167</v>
      </c>
      <c r="N290" s="3" t="s">
        <v>1216</v>
      </c>
      <c r="O290" s="4" t="s">
        <v>1217</v>
      </c>
      <c r="P290" s="8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3" t="s">
        <v>1218</v>
      </c>
      <c r="B291" s="4" t="s">
        <v>1219</v>
      </c>
      <c r="C291" s="4"/>
      <c r="D291" s="3" t="s">
        <v>1220</v>
      </c>
      <c r="E291" s="3">
        <v>171.0</v>
      </c>
      <c r="F291" s="6">
        <f>(E291*9+40)/7.0287</f>
        <v>224.6503621</v>
      </c>
      <c r="G291" s="6">
        <f>F291/E291</f>
        <v>1.313744808</v>
      </c>
      <c r="H291" s="3" t="s">
        <v>672</v>
      </c>
      <c r="I291" s="3" t="s">
        <v>360</v>
      </c>
      <c r="J291" s="7" t="s">
        <v>853</v>
      </c>
      <c r="K291" s="21" t="s">
        <v>419</v>
      </c>
      <c r="L291" s="3" t="s">
        <v>1221</v>
      </c>
      <c r="M291" s="3" t="s">
        <v>1222</v>
      </c>
      <c r="N291" s="53">
        <v>45294.0</v>
      </c>
      <c r="O291" s="3" t="s">
        <v>1223</v>
      </c>
      <c r="P291" s="8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3" t="s">
        <v>1224</v>
      </c>
      <c r="B292" s="4" t="s">
        <v>1225</v>
      </c>
      <c r="C292" s="4" t="s">
        <v>1226</v>
      </c>
      <c r="D292" s="3" t="s">
        <v>1227</v>
      </c>
      <c r="E292" s="3">
        <v>12.0</v>
      </c>
      <c r="F292" s="3">
        <f t="shared" ref="F292:F303" si="35">E292*G292</f>
        <v>192</v>
      </c>
      <c r="G292" s="6">
        <v>16.0</v>
      </c>
      <c r="H292" s="3" t="s">
        <v>1148</v>
      </c>
      <c r="I292" s="47" t="s">
        <v>263</v>
      </c>
      <c r="J292" s="4" t="s">
        <v>1228</v>
      </c>
      <c r="K292" s="3" t="s">
        <v>273</v>
      </c>
      <c r="L292" s="2"/>
      <c r="M292" s="3" t="s">
        <v>1229</v>
      </c>
      <c r="N292" s="31">
        <v>45413.0</v>
      </c>
      <c r="O292" s="3"/>
      <c r="P292" s="8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2" t="s">
        <v>1230</v>
      </c>
      <c r="B293" s="4" t="s">
        <v>1231</v>
      </c>
      <c r="C293" s="4" t="s">
        <v>1232</v>
      </c>
      <c r="D293" s="4" t="s">
        <v>1233</v>
      </c>
      <c r="E293" s="3">
        <v>22.0</v>
      </c>
      <c r="F293" s="3">
        <f t="shared" si="35"/>
        <v>352</v>
      </c>
      <c r="G293" s="6">
        <v>16.0</v>
      </c>
      <c r="H293" s="3" t="s">
        <v>1179</v>
      </c>
      <c r="I293" s="38" t="s">
        <v>268</v>
      </c>
      <c r="J293" s="4" t="s">
        <v>1234</v>
      </c>
      <c r="K293" s="3" t="s">
        <v>273</v>
      </c>
      <c r="L293" s="2"/>
      <c r="M293" s="11" t="s">
        <v>1102</v>
      </c>
      <c r="N293" s="3" t="s">
        <v>1142</v>
      </c>
      <c r="O293" s="65" t="s">
        <v>1235</v>
      </c>
      <c r="P293" s="8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3" t="s">
        <v>1236</v>
      </c>
      <c r="B294" s="4" t="s">
        <v>1237</v>
      </c>
      <c r="C294" s="4">
        <v>7.88428224861E11</v>
      </c>
      <c r="D294" s="3" t="s">
        <v>1238</v>
      </c>
      <c r="E294" s="3">
        <v>112.0</v>
      </c>
      <c r="F294" s="3">
        <f t="shared" si="35"/>
        <v>1064</v>
      </c>
      <c r="G294" s="6">
        <v>9.5</v>
      </c>
      <c r="H294" s="3"/>
      <c r="I294" s="47" t="s">
        <v>263</v>
      </c>
      <c r="J294" s="4" t="s">
        <v>1239</v>
      </c>
      <c r="K294" s="3" t="s">
        <v>550</v>
      </c>
      <c r="L294" s="2"/>
      <c r="M294" s="3"/>
      <c r="N294" s="3"/>
      <c r="O294" s="3"/>
      <c r="P294" s="8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3" t="s">
        <v>1240</v>
      </c>
      <c r="B295" s="4" t="s">
        <v>1241</v>
      </c>
      <c r="C295" s="4" t="s">
        <v>1242</v>
      </c>
      <c r="D295" s="3" t="s">
        <v>1243</v>
      </c>
      <c r="E295" s="3">
        <v>32.0</v>
      </c>
      <c r="F295" s="3">
        <f t="shared" si="35"/>
        <v>464</v>
      </c>
      <c r="G295" s="6">
        <v>14.5</v>
      </c>
      <c r="H295" s="3"/>
      <c r="I295" s="47" t="s">
        <v>263</v>
      </c>
      <c r="J295" s="7" t="s">
        <v>1244</v>
      </c>
      <c r="K295" s="3" t="s">
        <v>273</v>
      </c>
      <c r="L295" s="3"/>
      <c r="M295" s="6"/>
      <c r="N295" s="6"/>
      <c r="O295" s="3" t="s">
        <v>1245</v>
      </c>
      <c r="P295" s="8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3" t="s">
        <v>1246</v>
      </c>
      <c r="B296" s="4" t="s">
        <v>1247</v>
      </c>
      <c r="D296" s="3" t="s">
        <v>1248</v>
      </c>
      <c r="E296" s="3">
        <v>12.0</v>
      </c>
      <c r="F296" s="3">
        <f t="shared" si="35"/>
        <v>174</v>
      </c>
      <c r="G296" s="6">
        <v>14.5</v>
      </c>
      <c r="H296" s="3" t="s">
        <v>1249</v>
      </c>
      <c r="I296" s="47" t="s">
        <v>263</v>
      </c>
      <c r="J296" s="7" t="s">
        <v>1250</v>
      </c>
      <c r="K296" s="21" t="s">
        <v>1251</v>
      </c>
      <c r="L296" s="3"/>
      <c r="M296" s="3"/>
      <c r="N296" s="3"/>
      <c r="O296" s="3" t="s">
        <v>1245</v>
      </c>
      <c r="P296" s="8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3" t="s">
        <v>1252</v>
      </c>
      <c r="B297" s="32" t="s">
        <v>1253</v>
      </c>
      <c r="C297" s="4">
        <v>7.89058444812E11</v>
      </c>
      <c r="D297" s="3" t="s">
        <v>1254</v>
      </c>
      <c r="E297" s="3">
        <v>46.0</v>
      </c>
      <c r="F297" s="3">
        <f t="shared" si="35"/>
        <v>552</v>
      </c>
      <c r="G297" s="6">
        <v>12.0</v>
      </c>
      <c r="H297" s="3"/>
      <c r="I297" s="47" t="s">
        <v>263</v>
      </c>
      <c r="J297" s="7" t="s">
        <v>1255</v>
      </c>
      <c r="K297" s="3" t="s">
        <v>273</v>
      </c>
      <c r="L297" s="3"/>
      <c r="M297" s="3"/>
      <c r="N297" s="3" t="s">
        <v>1210</v>
      </c>
      <c r="O297" s="3" t="s">
        <v>1256</v>
      </c>
      <c r="P297" s="8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3" t="s">
        <v>1257</v>
      </c>
      <c r="B298" s="32" t="s">
        <v>1258</v>
      </c>
      <c r="D298" s="3" t="s">
        <v>1259</v>
      </c>
      <c r="E298" s="3">
        <v>120.0</v>
      </c>
      <c r="F298" s="3">
        <f t="shared" si="35"/>
        <v>1440</v>
      </c>
      <c r="G298" s="6">
        <v>12.0</v>
      </c>
      <c r="H298" s="3"/>
      <c r="I298" s="47" t="s">
        <v>263</v>
      </c>
      <c r="J298" s="7" t="s">
        <v>1260</v>
      </c>
      <c r="K298" s="3" t="s">
        <v>273</v>
      </c>
      <c r="L298" s="3"/>
      <c r="M298" s="3"/>
      <c r="N298" s="3" t="s">
        <v>1210</v>
      </c>
      <c r="O298" s="3" t="s">
        <v>1256</v>
      </c>
      <c r="P298" s="8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3" t="s">
        <v>1261</v>
      </c>
      <c r="B299" s="32" t="s">
        <v>1262</v>
      </c>
      <c r="D299" s="4" t="s">
        <v>1263</v>
      </c>
      <c r="E299" s="3">
        <v>23.0</v>
      </c>
      <c r="F299" s="3">
        <f t="shared" si="35"/>
        <v>276</v>
      </c>
      <c r="G299" s="6">
        <v>12.0</v>
      </c>
      <c r="H299" s="3"/>
      <c r="I299" s="47" t="s">
        <v>263</v>
      </c>
      <c r="J299" s="7" t="s">
        <v>1264</v>
      </c>
      <c r="K299" s="3" t="s">
        <v>550</v>
      </c>
      <c r="L299" s="3"/>
      <c r="M299" s="3"/>
      <c r="N299" s="3" t="s">
        <v>1210</v>
      </c>
      <c r="O299" s="3" t="s">
        <v>1256</v>
      </c>
      <c r="P299" s="8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3" t="s">
        <v>1265</v>
      </c>
      <c r="B300" s="32" t="s">
        <v>1266</v>
      </c>
      <c r="D300" s="4" t="s">
        <v>1263</v>
      </c>
      <c r="E300" s="3">
        <v>69.0</v>
      </c>
      <c r="F300" s="3">
        <f t="shared" si="35"/>
        <v>828</v>
      </c>
      <c r="G300" s="6">
        <v>12.0</v>
      </c>
      <c r="H300" s="3"/>
      <c r="I300" s="47" t="s">
        <v>263</v>
      </c>
      <c r="J300" s="7" t="s">
        <v>1267</v>
      </c>
      <c r="K300" s="21" t="s">
        <v>419</v>
      </c>
      <c r="L300" s="3"/>
      <c r="M300" s="3"/>
      <c r="N300" s="3" t="s">
        <v>1210</v>
      </c>
      <c r="O300" s="3" t="s">
        <v>1256</v>
      </c>
      <c r="P300" s="8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3" t="s">
        <v>1268</v>
      </c>
      <c r="B301" s="32" t="s">
        <v>1269</v>
      </c>
      <c r="D301" s="3" t="s">
        <v>1270</v>
      </c>
      <c r="E301" s="3">
        <v>36.0</v>
      </c>
      <c r="F301" s="3">
        <f t="shared" si="35"/>
        <v>432</v>
      </c>
      <c r="G301" s="6">
        <v>12.0</v>
      </c>
      <c r="H301" s="3"/>
      <c r="I301" s="47" t="s">
        <v>263</v>
      </c>
      <c r="J301" s="7" t="s">
        <v>1271</v>
      </c>
      <c r="K301" s="21" t="s">
        <v>419</v>
      </c>
      <c r="L301" s="3"/>
      <c r="M301" s="3"/>
      <c r="N301" s="3" t="s">
        <v>1210</v>
      </c>
      <c r="O301" s="3" t="s">
        <v>1256</v>
      </c>
      <c r="P301" s="8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2" t="s">
        <v>1272</v>
      </c>
      <c r="B302" s="32" t="s">
        <v>1273</v>
      </c>
      <c r="C302" s="4" t="s">
        <v>1274</v>
      </c>
      <c r="D302" s="3" t="s">
        <v>1275</v>
      </c>
      <c r="E302" s="3">
        <v>17.0</v>
      </c>
      <c r="F302" s="3">
        <f t="shared" si="35"/>
        <v>204</v>
      </c>
      <c r="G302" s="6">
        <v>12.0</v>
      </c>
      <c r="H302" s="3" t="s">
        <v>742</v>
      </c>
      <c r="I302" s="38" t="s">
        <v>268</v>
      </c>
      <c r="J302" s="7" t="s">
        <v>1276</v>
      </c>
      <c r="K302" s="3" t="s">
        <v>273</v>
      </c>
      <c r="L302" s="2"/>
      <c r="M302" s="11" t="s">
        <v>1197</v>
      </c>
      <c r="N302" s="3" t="s">
        <v>1142</v>
      </c>
      <c r="O302" s="11" t="s">
        <v>1277</v>
      </c>
      <c r="P302" s="8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3" t="s">
        <v>1278</v>
      </c>
      <c r="B303" s="4" t="s">
        <v>1279</v>
      </c>
      <c r="C303" s="4">
        <v>7.74745499918E11</v>
      </c>
      <c r="D303" s="3" t="s">
        <v>1280</v>
      </c>
      <c r="E303" s="3">
        <v>33.0</v>
      </c>
      <c r="F303" s="3">
        <f t="shared" si="35"/>
        <v>1699.5</v>
      </c>
      <c r="G303" s="6">
        <v>51.5</v>
      </c>
      <c r="H303" s="3"/>
      <c r="I303" s="47" t="s">
        <v>263</v>
      </c>
      <c r="J303" s="7" t="s">
        <v>1281</v>
      </c>
      <c r="K303" s="3" t="s">
        <v>273</v>
      </c>
      <c r="L303" s="3"/>
      <c r="M303" s="3"/>
      <c r="N303" s="66"/>
      <c r="O303" s="3"/>
      <c r="P303" s="8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3" t="s">
        <v>1282</v>
      </c>
      <c r="B304" s="67" t="s">
        <v>1283</v>
      </c>
      <c r="C304" s="4"/>
      <c r="D304" s="3" t="s">
        <v>1284</v>
      </c>
      <c r="E304" s="3">
        <v>216.0</v>
      </c>
      <c r="F304" s="3">
        <f>G304*E304</f>
        <v>1620</v>
      </c>
      <c r="G304" s="6">
        <v>7.5</v>
      </c>
      <c r="H304" s="3"/>
      <c r="I304" s="47" t="s">
        <v>263</v>
      </c>
      <c r="J304" s="54" t="s">
        <v>1285</v>
      </c>
      <c r="K304" s="21" t="s">
        <v>419</v>
      </c>
      <c r="L304" s="3"/>
      <c r="M304" s="3" t="s">
        <v>1286</v>
      </c>
      <c r="N304" s="66"/>
      <c r="O304" s="3"/>
      <c r="P304" s="8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3" t="s">
        <v>1287</v>
      </c>
      <c r="B305" s="4" t="s">
        <v>1288</v>
      </c>
      <c r="C305" s="4">
        <v>7.88995848329E11</v>
      </c>
      <c r="D305" s="3" t="s">
        <v>1289</v>
      </c>
      <c r="E305" s="3">
        <v>21.0</v>
      </c>
      <c r="F305" s="3">
        <f t="shared" ref="F305:F306" si="36">E305*G305</f>
        <v>378</v>
      </c>
      <c r="G305" s="6">
        <v>18.0</v>
      </c>
      <c r="H305" s="3" t="s">
        <v>1290</v>
      </c>
      <c r="I305" s="38" t="s">
        <v>268</v>
      </c>
      <c r="J305" s="4" t="s">
        <v>1291</v>
      </c>
      <c r="K305" s="3" t="s">
        <v>273</v>
      </c>
      <c r="L305" s="2"/>
      <c r="M305" s="11" t="s">
        <v>1197</v>
      </c>
      <c r="N305" s="3" t="s">
        <v>1190</v>
      </c>
      <c r="O305" s="10" t="s">
        <v>1292</v>
      </c>
      <c r="P305" s="8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7.25" customHeight="1">
      <c r="A306" s="3" t="s">
        <v>1293</v>
      </c>
      <c r="B306" s="32" t="s">
        <v>1294</v>
      </c>
      <c r="C306" s="4"/>
      <c r="D306" s="3" t="s">
        <v>1295</v>
      </c>
      <c r="E306" s="3">
        <v>106.0</v>
      </c>
      <c r="F306" s="3">
        <f t="shared" si="36"/>
        <v>901</v>
      </c>
      <c r="G306" s="6">
        <v>8.5</v>
      </c>
      <c r="H306" s="3" t="s">
        <v>742</v>
      </c>
      <c r="I306" s="48" t="s">
        <v>268</v>
      </c>
      <c r="J306" s="12" t="s">
        <v>1296</v>
      </c>
      <c r="K306" s="3" t="s">
        <v>273</v>
      </c>
      <c r="L306" s="2"/>
      <c r="M306" s="11" t="s">
        <v>1297</v>
      </c>
      <c r="N306" s="3" t="s">
        <v>1298</v>
      </c>
      <c r="O306" s="10" t="s">
        <v>1299</v>
      </c>
      <c r="P306" s="8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3" t="s">
        <v>1300</v>
      </c>
      <c r="B307" s="32" t="s">
        <v>1301</v>
      </c>
      <c r="C307" s="4"/>
      <c r="K307" s="3" t="s">
        <v>273</v>
      </c>
      <c r="L307" s="2"/>
      <c r="M307" s="11" t="s">
        <v>1297</v>
      </c>
      <c r="N307" s="3" t="s">
        <v>1298</v>
      </c>
      <c r="O307" s="10" t="s">
        <v>1299</v>
      </c>
      <c r="P307" s="8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3" t="s">
        <v>1302</v>
      </c>
      <c r="B308" s="32" t="s">
        <v>1303</v>
      </c>
      <c r="C308" s="4"/>
      <c r="K308" s="21" t="s">
        <v>419</v>
      </c>
      <c r="L308" s="2"/>
      <c r="M308" s="11" t="s">
        <v>1297</v>
      </c>
      <c r="N308" s="3" t="s">
        <v>1298</v>
      </c>
      <c r="O308" s="10" t="s">
        <v>1299</v>
      </c>
      <c r="P308" s="8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3" t="s">
        <v>1304</v>
      </c>
      <c r="B309" s="4" t="s">
        <v>1305</v>
      </c>
      <c r="C309" s="4"/>
      <c r="D309" s="4" t="s">
        <v>1306</v>
      </c>
      <c r="E309" s="3">
        <v>17.0</v>
      </c>
      <c r="F309" s="6">
        <f>E309*8.5/7.0979</f>
        <v>20.3581341</v>
      </c>
      <c r="G309" s="6">
        <f t="shared" ref="G309:G310" si="37">F309/E309</f>
        <v>1.1975373</v>
      </c>
      <c r="H309" s="3" t="s">
        <v>724</v>
      </c>
      <c r="I309" s="3" t="s">
        <v>360</v>
      </c>
      <c r="J309" s="7" t="s">
        <v>1163</v>
      </c>
      <c r="K309" s="21" t="s">
        <v>419</v>
      </c>
      <c r="L309" s="2"/>
      <c r="M309" s="11" t="s">
        <v>1297</v>
      </c>
      <c r="N309" s="3"/>
      <c r="O309" s="3" t="s">
        <v>1307</v>
      </c>
      <c r="P309" s="8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3" t="s">
        <v>1308</v>
      </c>
      <c r="B310" s="4" t="s">
        <v>1309</v>
      </c>
      <c r="C310" s="4"/>
      <c r="D310" s="4" t="s">
        <v>1306</v>
      </c>
      <c r="E310" s="3">
        <v>117.0</v>
      </c>
      <c r="F310" s="6">
        <f>E310*7.5/7.0979</f>
        <v>123.6281154</v>
      </c>
      <c r="G310" s="6">
        <f t="shared" si="37"/>
        <v>1.056650559</v>
      </c>
      <c r="H310" s="3" t="s">
        <v>724</v>
      </c>
      <c r="I310" s="3" t="s">
        <v>360</v>
      </c>
      <c r="J310" s="7" t="s">
        <v>1163</v>
      </c>
      <c r="K310" s="21" t="s">
        <v>674</v>
      </c>
      <c r="L310" s="2"/>
      <c r="M310" s="11" t="s">
        <v>1310</v>
      </c>
      <c r="N310" s="3"/>
      <c r="O310" s="3" t="s">
        <v>1307</v>
      </c>
      <c r="P310" s="8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3" t="s">
        <v>1311</v>
      </c>
      <c r="B311" s="4" t="s">
        <v>1312</v>
      </c>
      <c r="C311" s="4"/>
      <c r="D311" s="3" t="s">
        <v>1313</v>
      </c>
      <c r="E311" s="3">
        <v>20.5</v>
      </c>
      <c r="F311" s="3">
        <f t="shared" ref="F311:F312" si="38">G311*E311</f>
        <v>153.75</v>
      </c>
      <c r="G311" s="6">
        <v>7.5</v>
      </c>
      <c r="H311" s="37" t="s">
        <v>31</v>
      </c>
      <c r="I311" s="48" t="s">
        <v>268</v>
      </c>
      <c r="J311" s="4" t="s">
        <v>1314</v>
      </c>
      <c r="K311" s="21" t="s">
        <v>674</v>
      </c>
      <c r="L311" s="2"/>
      <c r="M311" s="11" t="s">
        <v>1310</v>
      </c>
      <c r="N311" s="3" t="s">
        <v>1298</v>
      </c>
      <c r="O311" s="10" t="s">
        <v>1315</v>
      </c>
      <c r="P311" s="8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3" t="s">
        <v>1316</v>
      </c>
      <c r="B312" s="4" t="s">
        <v>1317</v>
      </c>
      <c r="C312" s="4"/>
      <c r="D312" s="3" t="s">
        <v>1313</v>
      </c>
      <c r="E312" s="3">
        <v>20.5</v>
      </c>
      <c r="F312" s="3">
        <f t="shared" si="38"/>
        <v>153.75</v>
      </c>
      <c r="G312" s="6">
        <v>7.5</v>
      </c>
      <c r="H312" s="37" t="s">
        <v>31</v>
      </c>
      <c r="I312" s="48" t="s">
        <v>268</v>
      </c>
      <c r="J312" s="4" t="s">
        <v>1314</v>
      </c>
      <c r="K312" s="21" t="s">
        <v>674</v>
      </c>
      <c r="L312" s="2"/>
      <c r="M312" s="11" t="s">
        <v>1310</v>
      </c>
      <c r="N312" s="3" t="s">
        <v>1298</v>
      </c>
      <c r="O312" s="10" t="s">
        <v>1315</v>
      </c>
      <c r="P312" s="8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7.25" customHeight="1">
      <c r="A313" s="3" t="s">
        <v>1318</v>
      </c>
      <c r="B313" s="4" t="s">
        <v>1319</v>
      </c>
      <c r="C313" s="4" t="s">
        <v>1320</v>
      </c>
      <c r="D313" s="3" t="s">
        <v>1321</v>
      </c>
      <c r="E313" s="3">
        <v>101.0</v>
      </c>
      <c r="F313" s="6">
        <f>E313*12/7.0979</f>
        <v>170.7547303</v>
      </c>
      <c r="G313" s="6">
        <f>F313/E313</f>
        <v>1.690640894</v>
      </c>
      <c r="H313" s="3" t="s">
        <v>724</v>
      </c>
      <c r="I313" s="3" t="s">
        <v>360</v>
      </c>
      <c r="J313" s="7" t="s">
        <v>1322</v>
      </c>
      <c r="K313" s="21" t="s">
        <v>674</v>
      </c>
      <c r="L313" s="2"/>
      <c r="M313" s="11" t="s">
        <v>1323</v>
      </c>
      <c r="N313" s="3"/>
      <c r="O313" s="30">
        <v>45414.0</v>
      </c>
      <c r="P313" s="8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3" t="s">
        <v>1324</v>
      </c>
      <c r="B314" s="4" t="s">
        <v>1325</v>
      </c>
      <c r="C314" s="4">
        <v>7.8926910155E11</v>
      </c>
      <c r="D314" s="3" t="s">
        <v>1326</v>
      </c>
      <c r="E314" s="3">
        <v>22.0</v>
      </c>
      <c r="F314" s="3">
        <f t="shared" ref="F314:F315" si="39">G314*E314</f>
        <v>264</v>
      </c>
      <c r="G314" s="3">
        <v>12.0</v>
      </c>
      <c r="H314" s="3" t="s">
        <v>1179</v>
      </c>
      <c r="I314" s="38" t="s">
        <v>268</v>
      </c>
      <c r="J314" s="4" t="s">
        <v>1234</v>
      </c>
      <c r="K314" s="3" t="s">
        <v>273</v>
      </c>
      <c r="L314" s="2"/>
      <c r="M314" s="11" t="s">
        <v>1323</v>
      </c>
      <c r="N314" s="3" t="s">
        <v>1327</v>
      </c>
      <c r="O314" s="11" t="s">
        <v>1328</v>
      </c>
      <c r="P314" s="8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3" t="s">
        <v>1329</v>
      </c>
      <c r="B315" s="4" t="s">
        <v>1330</v>
      </c>
      <c r="C315" s="4">
        <v>7.89269101435E11</v>
      </c>
      <c r="D315" s="3" t="s">
        <v>1331</v>
      </c>
      <c r="E315" s="3">
        <v>12.0</v>
      </c>
      <c r="F315" s="3">
        <f t="shared" si="39"/>
        <v>144</v>
      </c>
      <c r="G315" s="3">
        <v>12.0</v>
      </c>
      <c r="H315" s="3" t="s">
        <v>31</v>
      </c>
      <c r="I315" s="48" t="s">
        <v>268</v>
      </c>
      <c r="J315" s="4" t="s">
        <v>1332</v>
      </c>
      <c r="K315" s="21" t="s">
        <v>1333</v>
      </c>
      <c r="L315" s="2"/>
      <c r="M315" s="11" t="s">
        <v>1323</v>
      </c>
      <c r="N315" s="66" t="s">
        <v>1327</v>
      </c>
      <c r="O315" s="11" t="s">
        <v>1328</v>
      </c>
      <c r="P315" s="8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3" t="s">
        <v>1334</v>
      </c>
      <c r="B316" s="4" t="s">
        <v>1335</v>
      </c>
      <c r="C316" s="4">
        <v>2.70109614093E11</v>
      </c>
      <c r="D316" s="3" t="s">
        <v>1336</v>
      </c>
      <c r="E316" s="3">
        <v>22.0</v>
      </c>
      <c r="F316" s="6">
        <f>E316*40/7.0979</f>
        <v>123.9803322</v>
      </c>
      <c r="G316" s="6">
        <f t="shared" ref="G316:G317" si="40">F316/E316</f>
        <v>5.635469646</v>
      </c>
      <c r="H316" s="3" t="s">
        <v>672</v>
      </c>
      <c r="I316" s="3" t="s">
        <v>360</v>
      </c>
      <c r="J316" s="7" t="s">
        <v>1337</v>
      </c>
      <c r="K316" s="3" t="s">
        <v>550</v>
      </c>
      <c r="L316" s="3"/>
      <c r="M316" s="3" t="s">
        <v>1245</v>
      </c>
      <c r="N316" s="3"/>
      <c r="O316" s="30">
        <v>45353.0</v>
      </c>
      <c r="P316" s="8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3" t="s">
        <v>1338</v>
      </c>
      <c r="B317" s="4" t="s">
        <v>1339</v>
      </c>
      <c r="C317" s="4"/>
      <c r="D317" s="4" t="s">
        <v>1340</v>
      </c>
      <c r="E317" s="3">
        <v>357.0</v>
      </c>
      <c r="F317" s="6">
        <f>E317*8.4/7.0979+50*357/(357+104)/6.9854</f>
        <v>428.0341739</v>
      </c>
      <c r="G317" s="6">
        <f t="shared" si="40"/>
        <v>1.198975277</v>
      </c>
      <c r="H317" s="3" t="s">
        <v>672</v>
      </c>
      <c r="I317" s="3" t="s">
        <v>360</v>
      </c>
      <c r="J317" s="7" t="s">
        <v>1341</v>
      </c>
      <c r="K317" s="3" t="s">
        <v>550</v>
      </c>
      <c r="L317" s="68" t="s">
        <v>1342</v>
      </c>
      <c r="M317" s="3" t="s">
        <v>1245</v>
      </c>
      <c r="N317" s="3"/>
      <c r="O317" s="30">
        <v>45415.0</v>
      </c>
      <c r="P317" s="8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3" t="s">
        <v>1343</v>
      </c>
      <c r="B318" s="4" t="s">
        <v>1344</v>
      </c>
      <c r="C318" s="4"/>
      <c r="D318" s="4" t="s">
        <v>1340</v>
      </c>
      <c r="H318" s="3" t="s">
        <v>672</v>
      </c>
      <c r="I318" s="3" t="s">
        <v>360</v>
      </c>
      <c r="J318" s="7" t="s">
        <v>1341</v>
      </c>
      <c r="K318" s="3" t="s">
        <v>273</v>
      </c>
      <c r="L318" s="4" t="s">
        <v>1345</v>
      </c>
      <c r="M318" s="3" t="s">
        <v>1245</v>
      </c>
      <c r="N318" s="3"/>
      <c r="O318" s="30">
        <v>45415.0</v>
      </c>
      <c r="P318" s="8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3" t="s">
        <v>1346</v>
      </c>
      <c r="B319" s="4" t="s">
        <v>1347</v>
      </c>
      <c r="C319" s="4"/>
      <c r="D319" s="4" t="s">
        <v>1340</v>
      </c>
      <c r="H319" s="3" t="s">
        <v>672</v>
      </c>
      <c r="I319" s="3" t="s">
        <v>360</v>
      </c>
      <c r="J319" s="7" t="s">
        <v>1341</v>
      </c>
      <c r="K319" s="3" t="s">
        <v>273</v>
      </c>
      <c r="L319" s="3"/>
      <c r="M319" s="3" t="s">
        <v>1245</v>
      </c>
      <c r="N319" s="3"/>
      <c r="O319" s="30">
        <v>45415.0</v>
      </c>
      <c r="P319" s="8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3" t="s">
        <v>1348</v>
      </c>
      <c r="B320" s="4" t="s">
        <v>1349</v>
      </c>
      <c r="C320" s="4"/>
      <c r="D320" s="4" t="s">
        <v>1340</v>
      </c>
      <c r="H320" s="3" t="s">
        <v>672</v>
      </c>
      <c r="I320" s="3" t="s">
        <v>360</v>
      </c>
      <c r="J320" s="7" t="s">
        <v>1341</v>
      </c>
      <c r="K320" s="3" t="s">
        <v>273</v>
      </c>
      <c r="L320" s="3"/>
      <c r="M320" s="3" t="s">
        <v>1245</v>
      </c>
      <c r="N320" s="3"/>
      <c r="O320" s="30">
        <v>45415.0</v>
      </c>
      <c r="P320" s="8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3" t="s">
        <v>1350</v>
      </c>
      <c r="B321" s="4" t="s">
        <v>1351</v>
      </c>
      <c r="C321" s="4"/>
      <c r="D321" s="4" t="s">
        <v>1340</v>
      </c>
      <c r="H321" s="3" t="s">
        <v>672</v>
      </c>
      <c r="I321" s="3" t="s">
        <v>360</v>
      </c>
      <c r="J321" s="7" t="s">
        <v>1341</v>
      </c>
      <c r="K321" s="3" t="s">
        <v>273</v>
      </c>
      <c r="L321" s="3"/>
      <c r="M321" s="3" t="s">
        <v>1245</v>
      </c>
      <c r="N321" s="3"/>
      <c r="O321" s="30">
        <v>45415.0</v>
      </c>
      <c r="P321" s="8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3" t="s">
        <v>1352</v>
      </c>
      <c r="B322" s="4" t="s">
        <v>1353</v>
      </c>
      <c r="C322" s="4"/>
      <c r="D322" s="4" t="s">
        <v>1340</v>
      </c>
      <c r="H322" s="3" t="s">
        <v>672</v>
      </c>
      <c r="I322" s="3" t="s">
        <v>360</v>
      </c>
      <c r="J322" s="7" t="s">
        <v>1341</v>
      </c>
      <c r="K322" s="3" t="s">
        <v>273</v>
      </c>
      <c r="L322" s="3"/>
      <c r="M322" s="3" t="s">
        <v>1245</v>
      </c>
      <c r="N322" s="3"/>
      <c r="O322" s="30">
        <v>45415.0</v>
      </c>
      <c r="P322" s="8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3" t="s">
        <v>1354</v>
      </c>
      <c r="B323" s="4" t="s">
        <v>1355</v>
      </c>
      <c r="C323" s="4"/>
      <c r="D323" s="4" t="s">
        <v>1340</v>
      </c>
      <c r="H323" s="3" t="s">
        <v>672</v>
      </c>
      <c r="I323" s="3" t="s">
        <v>360</v>
      </c>
      <c r="J323" s="7" t="s">
        <v>1341</v>
      </c>
      <c r="K323" s="3" t="s">
        <v>273</v>
      </c>
      <c r="L323" s="3"/>
      <c r="M323" s="3" t="s">
        <v>1245</v>
      </c>
      <c r="N323" s="3"/>
      <c r="O323" s="30">
        <v>45415.0</v>
      </c>
      <c r="P323" s="8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3" t="s">
        <v>1356</v>
      </c>
      <c r="B324" s="4" t="s">
        <v>1357</v>
      </c>
      <c r="C324" s="4"/>
      <c r="D324" s="4" t="s">
        <v>1340</v>
      </c>
      <c r="H324" s="3" t="s">
        <v>672</v>
      </c>
      <c r="I324" s="3" t="s">
        <v>360</v>
      </c>
      <c r="J324" s="7" t="s">
        <v>1341</v>
      </c>
      <c r="K324" s="3" t="s">
        <v>273</v>
      </c>
      <c r="L324" s="3"/>
      <c r="M324" s="3" t="s">
        <v>1245</v>
      </c>
      <c r="N324" s="3"/>
      <c r="O324" s="30">
        <v>45415.0</v>
      </c>
      <c r="P324" s="8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3" t="s">
        <v>1358</v>
      </c>
      <c r="B325" s="4" t="s">
        <v>1359</v>
      </c>
      <c r="C325" s="4"/>
      <c r="D325" s="4" t="s">
        <v>1340</v>
      </c>
      <c r="E325" s="3">
        <v>104.0</v>
      </c>
      <c r="F325" s="6">
        <f>E325*8.4/7.0979+50*104/(357+104)/6.9854</f>
        <v>124.6934288</v>
      </c>
      <c r="G325" s="6">
        <f>F325/E325</f>
        <v>1.198975277</v>
      </c>
      <c r="H325" s="3" t="s">
        <v>672</v>
      </c>
      <c r="I325" s="3" t="s">
        <v>360</v>
      </c>
      <c r="J325" s="7" t="s">
        <v>1341</v>
      </c>
      <c r="K325" s="3" t="s">
        <v>273</v>
      </c>
      <c r="L325" s="3"/>
      <c r="M325" s="3" t="s">
        <v>1245</v>
      </c>
      <c r="N325" s="3"/>
      <c r="O325" s="30">
        <v>45415.0</v>
      </c>
      <c r="P325" s="8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3" t="s">
        <v>1360</v>
      </c>
      <c r="B326" s="4" t="s">
        <v>1361</v>
      </c>
      <c r="C326" s="4"/>
      <c r="D326" s="4" t="s">
        <v>1340</v>
      </c>
      <c r="H326" s="3" t="s">
        <v>672</v>
      </c>
      <c r="I326" s="3" t="s">
        <v>360</v>
      </c>
      <c r="J326" s="7" t="s">
        <v>1341</v>
      </c>
      <c r="K326" s="3" t="s">
        <v>273</v>
      </c>
      <c r="L326" s="3"/>
      <c r="M326" s="3" t="s">
        <v>1245</v>
      </c>
      <c r="N326" s="3"/>
      <c r="O326" s="30">
        <v>45415.0</v>
      </c>
      <c r="P326" s="8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3" t="s">
        <v>1362</v>
      </c>
      <c r="B327" s="4" t="s">
        <v>1363</v>
      </c>
      <c r="C327" s="4"/>
      <c r="D327" s="4" t="s">
        <v>1340</v>
      </c>
      <c r="H327" s="3" t="s">
        <v>672</v>
      </c>
      <c r="I327" s="3" t="s">
        <v>360</v>
      </c>
      <c r="J327" s="7" t="s">
        <v>1341</v>
      </c>
      <c r="K327" s="3" t="s">
        <v>550</v>
      </c>
      <c r="L327" s="3"/>
      <c r="M327" s="3" t="s">
        <v>1245</v>
      </c>
      <c r="N327" s="3"/>
      <c r="O327" s="30">
        <v>45415.0</v>
      </c>
      <c r="P327" s="8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3" t="s">
        <v>1364</v>
      </c>
      <c r="B328" s="4" t="s">
        <v>1365</v>
      </c>
      <c r="C328" s="4"/>
      <c r="D328" s="4" t="s">
        <v>1340</v>
      </c>
      <c r="H328" s="3" t="s">
        <v>672</v>
      </c>
      <c r="I328" s="3" t="s">
        <v>360</v>
      </c>
      <c r="J328" s="7" t="s">
        <v>1341</v>
      </c>
      <c r="K328" s="3" t="s">
        <v>550</v>
      </c>
      <c r="L328" s="3"/>
      <c r="M328" s="3" t="s">
        <v>1245</v>
      </c>
      <c r="N328" s="3"/>
      <c r="O328" s="30">
        <v>45415.0</v>
      </c>
      <c r="P328" s="8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3" t="s">
        <v>1366</v>
      </c>
      <c r="B329" s="4" t="s">
        <v>1367</v>
      </c>
      <c r="C329" s="4"/>
      <c r="D329" s="4" t="s">
        <v>1340</v>
      </c>
      <c r="H329" s="3" t="s">
        <v>672</v>
      </c>
      <c r="I329" s="3" t="s">
        <v>360</v>
      </c>
      <c r="J329" s="7" t="s">
        <v>1341</v>
      </c>
      <c r="K329" s="21" t="s">
        <v>419</v>
      </c>
      <c r="L329" s="3"/>
      <c r="M329" s="3" t="s">
        <v>1245</v>
      </c>
      <c r="N329" s="3"/>
      <c r="O329" s="30">
        <v>45415.0</v>
      </c>
      <c r="P329" s="8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3" t="s">
        <v>1368</v>
      </c>
      <c r="B330" s="4" t="s">
        <v>1369</v>
      </c>
      <c r="C330" s="4"/>
      <c r="D330" s="4" t="s">
        <v>1340</v>
      </c>
      <c r="H330" s="3" t="s">
        <v>672</v>
      </c>
      <c r="I330" s="3" t="s">
        <v>360</v>
      </c>
      <c r="J330" s="7" t="s">
        <v>1341</v>
      </c>
      <c r="K330" s="3" t="s">
        <v>273</v>
      </c>
      <c r="L330" s="3"/>
      <c r="M330" s="3" t="s">
        <v>1245</v>
      </c>
      <c r="N330" s="3"/>
      <c r="O330" s="30">
        <v>45415.0</v>
      </c>
      <c r="P330" s="8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3" t="s">
        <v>1370</v>
      </c>
      <c r="B331" s="4" t="s">
        <v>1371</v>
      </c>
      <c r="C331" s="4" t="s">
        <v>1372</v>
      </c>
      <c r="D331" s="3" t="s">
        <v>1373</v>
      </c>
      <c r="E331" s="3">
        <v>31.0</v>
      </c>
      <c r="F331" s="6">
        <f>E331*41/7.0979</f>
        <v>179.067048</v>
      </c>
      <c r="G331" s="6">
        <f t="shared" ref="G331:G332" si="41">F331/E331</f>
        <v>5.776356387</v>
      </c>
      <c r="H331" s="3" t="s">
        <v>1374</v>
      </c>
      <c r="I331" s="3" t="s">
        <v>360</v>
      </c>
      <c r="J331" s="7" t="s">
        <v>1375</v>
      </c>
      <c r="K331" s="3" t="s">
        <v>273</v>
      </c>
      <c r="L331" s="3"/>
      <c r="M331" s="3" t="s">
        <v>1245</v>
      </c>
      <c r="N331" s="3"/>
      <c r="O331" s="30">
        <v>45475.0</v>
      </c>
      <c r="P331" s="8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3" t="s">
        <v>1376</v>
      </c>
      <c r="B332" s="4" t="s">
        <v>1377</v>
      </c>
      <c r="C332" s="4">
        <v>2.70089702373E11</v>
      </c>
      <c r="D332" s="3" t="s">
        <v>1373</v>
      </c>
      <c r="E332" s="3">
        <v>151.0</v>
      </c>
      <c r="F332" s="6">
        <f>E332*12/7.0979</f>
        <v>255.286775</v>
      </c>
      <c r="G332" s="6">
        <f t="shared" si="41"/>
        <v>1.690640894</v>
      </c>
      <c r="H332" s="3" t="s">
        <v>1374</v>
      </c>
      <c r="I332" s="3" t="s">
        <v>360</v>
      </c>
      <c r="J332" s="7" t="s">
        <v>1378</v>
      </c>
      <c r="K332" s="21" t="s">
        <v>1379</v>
      </c>
      <c r="L332" s="3"/>
      <c r="M332" s="3" t="s">
        <v>1245</v>
      </c>
      <c r="N332" s="3"/>
      <c r="O332" s="3" t="s">
        <v>1380</v>
      </c>
      <c r="P332" s="8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3" t="s">
        <v>1381</v>
      </c>
      <c r="B333" s="4" t="s">
        <v>1382</v>
      </c>
      <c r="C333" s="4">
        <v>7.7495436372E11</v>
      </c>
      <c r="D333" s="69" t="s">
        <v>1383</v>
      </c>
      <c r="E333" s="3">
        <v>148.0</v>
      </c>
      <c r="F333" s="3">
        <f t="shared" ref="F333:F338" si="42">G333*E333</f>
        <v>2146</v>
      </c>
      <c r="G333" s="6">
        <v>14.5</v>
      </c>
      <c r="H333" s="64" t="s">
        <v>31</v>
      </c>
      <c r="I333" s="38" t="s">
        <v>268</v>
      </c>
      <c r="J333" s="7" t="s">
        <v>1384</v>
      </c>
      <c r="K333" s="3" t="s">
        <v>550</v>
      </c>
      <c r="L333" s="2" t="s">
        <v>1385</v>
      </c>
      <c r="M333" s="3" t="s">
        <v>1386</v>
      </c>
      <c r="N333" s="66" t="s">
        <v>1387</v>
      </c>
      <c r="O333" s="11" t="s">
        <v>1388</v>
      </c>
      <c r="P333" s="8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3" t="s">
        <v>1389</v>
      </c>
      <c r="B334" s="4" t="s">
        <v>1390</v>
      </c>
      <c r="C334" s="4">
        <v>7.7495436372E11</v>
      </c>
      <c r="D334" s="4" t="s">
        <v>1391</v>
      </c>
      <c r="E334" s="3">
        <v>22.0</v>
      </c>
      <c r="F334" s="3">
        <f t="shared" si="42"/>
        <v>319</v>
      </c>
      <c r="G334" s="6">
        <v>14.5</v>
      </c>
      <c r="H334" s="64" t="s">
        <v>31</v>
      </c>
      <c r="I334" s="38" t="s">
        <v>268</v>
      </c>
      <c r="J334" s="7" t="s">
        <v>1384</v>
      </c>
      <c r="K334" s="3" t="s">
        <v>550</v>
      </c>
      <c r="L334" s="2"/>
      <c r="M334" s="3" t="s">
        <v>1386</v>
      </c>
      <c r="N334" s="3" t="s">
        <v>1387</v>
      </c>
      <c r="O334" s="11" t="s">
        <v>1392</v>
      </c>
      <c r="P334" s="8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3" t="s">
        <v>1393</v>
      </c>
      <c r="B335" s="4" t="s">
        <v>1394</v>
      </c>
      <c r="C335" s="4" t="s">
        <v>1395</v>
      </c>
      <c r="D335" s="3" t="s">
        <v>1326</v>
      </c>
      <c r="E335" s="3">
        <v>22.0</v>
      </c>
      <c r="F335" s="3">
        <f t="shared" si="42"/>
        <v>341</v>
      </c>
      <c r="G335" s="6">
        <v>15.5</v>
      </c>
      <c r="H335" s="3" t="s">
        <v>1179</v>
      </c>
      <c r="I335" s="38" t="s">
        <v>268</v>
      </c>
      <c r="J335" s="4" t="s">
        <v>1396</v>
      </c>
      <c r="K335" s="3" t="s">
        <v>273</v>
      </c>
      <c r="L335" s="2"/>
      <c r="M335" s="3" t="s">
        <v>1256</v>
      </c>
      <c r="N335" s="66" t="s">
        <v>1387</v>
      </c>
      <c r="O335" s="11" t="s">
        <v>1397</v>
      </c>
      <c r="P335" s="8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3" t="s">
        <v>1398</v>
      </c>
      <c r="B336" s="4" t="s">
        <v>1399</v>
      </c>
      <c r="C336" s="4" t="s">
        <v>1400</v>
      </c>
      <c r="D336" s="3" t="s">
        <v>1401</v>
      </c>
      <c r="E336" s="3">
        <v>56.0</v>
      </c>
      <c r="F336" s="3">
        <f t="shared" si="42"/>
        <v>896</v>
      </c>
      <c r="G336" s="6">
        <v>16.0</v>
      </c>
      <c r="H336" s="3" t="s">
        <v>1402</v>
      </c>
      <c r="I336" s="47" t="s">
        <v>263</v>
      </c>
      <c r="J336" s="7" t="s">
        <v>1403</v>
      </c>
      <c r="K336" s="21" t="s">
        <v>1404</v>
      </c>
      <c r="L336" s="2"/>
      <c r="M336" s="3" t="s">
        <v>1256</v>
      </c>
      <c r="N336" s="3" t="s">
        <v>1405</v>
      </c>
      <c r="O336" s="3" t="s">
        <v>1406</v>
      </c>
      <c r="P336" s="8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3" t="s">
        <v>1407</v>
      </c>
      <c r="B337" s="4" t="s">
        <v>1408</v>
      </c>
      <c r="C337" s="4" t="s">
        <v>1409</v>
      </c>
      <c r="D337" s="3" t="s">
        <v>1401</v>
      </c>
      <c r="E337" s="3">
        <v>72.0</v>
      </c>
      <c r="F337" s="3">
        <f t="shared" si="42"/>
        <v>1152</v>
      </c>
      <c r="G337" s="6">
        <v>16.0</v>
      </c>
      <c r="H337" s="3" t="s">
        <v>1402</v>
      </c>
      <c r="I337" s="47" t="s">
        <v>263</v>
      </c>
      <c r="J337" s="7" t="s">
        <v>1410</v>
      </c>
      <c r="K337" s="21" t="s">
        <v>674</v>
      </c>
      <c r="L337" s="2"/>
      <c r="M337" s="3" t="s">
        <v>1256</v>
      </c>
      <c r="N337" s="3" t="s">
        <v>1405</v>
      </c>
      <c r="O337" s="3" t="s">
        <v>1406</v>
      </c>
      <c r="P337" s="8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3" t="s">
        <v>1411</v>
      </c>
      <c r="B338" s="4" t="s">
        <v>1412</v>
      </c>
      <c r="C338" s="4">
        <v>2.71457913117E11</v>
      </c>
      <c r="D338" s="3" t="s">
        <v>1413</v>
      </c>
      <c r="E338" s="39">
        <v>168.0</v>
      </c>
      <c r="F338" s="3">
        <f t="shared" si="42"/>
        <v>2100</v>
      </c>
      <c r="G338" s="3">
        <v>12.5</v>
      </c>
      <c r="H338" s="3" t="s">
        <v>1414</v>
      </c>
      <c r="I338" s="47" t="s">
        <v>263</v>
      </c>
      <c r="J338" s="7" t="s">
        <v>1415</v>
      </c>
      <c r="K338" s="3" t="s">
        <v>273</v>
      </c>
      <c r="L338" s="3"/>
      <c r="M338" s="3" t="s">
        <v>1416</v>
      </c>
      <c r="N338" s="3" t="s">
        <v>1405</v>
      </c>
      <c r="O338" s="3" t="s">
        <v>1417</v>
      </c>
      <c r="P338" s="8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3" t="s">
        <v>1418</v>
      </c>
      <c r="B339" s="4" t="s">
        <v>1419</v>
      </c>
      <c r="C339" s="4"/>
      <c r="D339" s="32" t="s">
        <v>1420</v>
      </c>
      <c r="E339" s="39">
        <v>60.0</v>
      </c>
      <c r="F339" s="6">
        <f>E339*12.5/7.2419</f>
        <v>103.5639818</v>
      </c>
      <c r="G339" s="6">
        <f>F339/E339</f>
        <v>1.726066364</v>
      </c>
      <c r="H339" s="3" t="s">
        <v>1374</v>
      </c>
      <c r="I339" s="70" t="s">
        <v>360</v>
      </c>
      <c r="J339" s="7" t="s">
        <v>1421</v>
      </c>
      <c r="K339" s="3" t="s">
        <v>273</v>
      </c>
      <c r="L339" s="3"/>
      <c r="M339" s="3" t="s">
        <v>1422</v>
      </c>
      <c r="N339" s="3"/>
      <c r="O339" s="3" t="s">
        <v>1423</v>
      </c>
      <c r="P339" s="8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3" t="s">
        <v>1424</v>
      </c>
      <c r="B340" s="4" t="s">
        <v>1425</v>
      </c>
      <c r="C340" s="4">
        <v>2.71457981853E11</v>
      </c>
      <c r="D340" s="3" t="s">
        <v>1413</v>
      </c>
      <c r="E340" s="39">
        <v>101.0</v>
      </c>
      <c r="F340" s="3">
        <f>G340*E340</f>
        <v>1262.5</v>
      </c>
      <c r="G340" s="3">
        <v>12.5</v>
      </c>
      <c r="H340" s="3" t="s">
        <v>1414</v>
      </c>
      <c r="I340" s="47" t="s">
        <v>263</v>
      </c>
      <c r="J340" s="7" t="s">
        <v>1426</v>
      </c>
      <c r="K340" s="3" t="s">
        <v>273</v>
      </c>
      <c r="L340" s="3"/>
      <c r="M340" s="3"/>
      <c r="N340" s="3"/>
      <c r="O340" s="3"/>
      <c r="P340" s="8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3" t="s">
        <v>1427</v>
      </c>
      <c r="B341" s="4" t="s">
        <v>1428</v>
      </c>
      <c r="C341" s="4"/>
      <c r="D341" s="32" t="s">
        <v>1420</v>
      </c>
      <c r="E341" s="39">
        <v>60.0</v>
      </c>
      <c r="F341" s="6">
        <f>E341*12.5/7.2419</f>
        <v>103.5639818</v>
      </c>
      <c r="G341" s="6">
        <f>F341/E341</f>
        <v>1.726066364</v>
      </c>
      <c r="H341" s="3" t="s">
        <v>1374</v>
      </c>
      <c r="I341" s="70" t="s">
        <v>360</v>
      </c>
      <c r="J341" s="7" t="s">
        <v>1421</v>
      </c>
      <c r="K341" s="3" t="s">
        <v>550</v>
      </c>
      <c r="L341" s="3"/>
      <c r="M341" s="3" t="s">
        <v>1422</v>
      </c>
      <c r="N341" s="3"/>
      <c r="O341" s="3" t="s">
        <v>1423</v>
      </c>
      <c r="P341" s="8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3" t="s">
        <v>1429</v>
      </c>
      <c r="B342" s="4" t="s">
        <v>1430</v>
      </c>
      <c r="C342" s="4"/>
      <c r="D342" s="3" t="s">
        <v>1413</v>
      </c>
      <c r="E342" s="39">
        <v>110.0</v>
      </c>
      <c r="F342" s="3">
        <f>G342*E342</f>
        <v>935</v>
      </c>
      <c r="G342" s="6">
        <v>8.5</v>
      </c>
      <c r="H342" s="3" t="s">
        <v>1414</v>
      </c>
      <c r="I342" s="47" t="s">
        <v>263</v>
      </c>
      <c r="J342" s="7" t="s">
        <v>1431</v>
      </c>
      <c r="K342" s="3" t="s">
        <v>273</v>
      </c>
      <c r="L342" s="3"/>
      <c r="M342" s="3"/>
      <c r="N342" s="3"/>
      <c r="O342" s="3"/>
      <c r="P342" s="8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66" t="s">
        <v>1432</v>
      </c>
      <c r="B343" s="4" t="s">
        <v>1433</v>
      </c>
      <c r="C343" s="4"/>
      <c r="D343" s="32" t="s">
        <v>1420</v>
      </c>
      <c r="E343" s="3">
        <v>90.0</v>
      </c>
      <c r="F343" s="6">
        <f>E343*8.5</f>
        <v>765</v>
      </c>
      <c r="G343" s="6">
        <f t="shared" ref="G343:G344" si="43">F343/E343</f>
        <v>8.5</v>
      </c>
      <c r="H343" s="3" t="s">
        <v>1374</v>
      </c>
      <c r="I343" s="70" t="s">
        <v>360</v>
      </c>
      <c r="J343" s="7" t="s">
        <v>1434</v>
      </c>
      <c r="K343" s="3" t="s">
        <v>273</v>
      </c>
      <c r="L343" s="3"/>
      <c r="M343" s="3"/>
      <c r="N343" s="3"/>
      <c r="O343" s="3"/>
      <c r="P343" s="8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3" t="s">
        <v>1435</v>
      </c>
      <c r="B344" s="4" t="s">
        <v>1436</v>
      </c>
      <c r="C344" s="4" t="s">
        <v>1437</v>
      </c>
      <c r="D344" s="3" t="s">
        <v>1438</v>
      </c>
      <c r="E344" s="3">
        <v>10.0</v>
      </c>
      <c r="F344" s="6">
        <f>301368/24800+15.71</f>
        <v>27.86193548</v>
      </c>
      <c r="G344" s="6">
        <f t="shared" si="43"/>
        <v>2.786193548</v>
      </c>
      <c r="H344" s="3" t="s">
        <v>286</v>
      </c>
      <c r="I344" s="38" t="s">
        <v>268</v>
      </c>
      <c r="J344" s="7" t="s">
        <v>1439</v>
      </c>
      <c r="K344" s="3" t="s">
        <v>273</v>
      </c>
      <c r="L344" s="3"/>
      <c r="M344" s="3"/>
      <c r="N344" s="3"/>
      <c r="O344" s="3"/>
      <c r="P344" s="8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3" t="s">
        <v>1440</v>
      </c>
      <c r="B345" s="32" t="s">
        <v>1441</v>
      </c>
      <c r="C345" s="4" t="s">
        <v>1442</v>
      </c>
      <c r="D345" s="3" t="s">
        <v>1443</v>
      </c>
      <c r="E345" s="3">
        <v>21.0</v>
      </c>
      <c r="F345" s="3">
        <f t="shared" ref="F345:F346" si="44">E345*G345</f>
        <v>346.5</v>
      </c>
      <c r="G345" s="6">
        <v>16.5</v>
      </c>
      <c r="H345" s="3" t="s">
        <v>742</v>
      </c>
      <c r="I345" s="38" t="s">
        <v>268</v>
      </c>
      <c r="J345" s="7" t="s">
        <v>1444</v>
      </c>
      <c r="K345" s="3" t="s">
        <v>273</v>
      </c>
      <c r="L345" s="3"/>
      <c r="M345" s="11" t="s">
        <v>1445</v>
      </c>
      <c r="N345" s="3" t="s">
        <v>1327</v>
      </c>
      <c r="O345" s="10" t="s">
        <v>1446</v>
      </c>
      <c r="P345" s="8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3" t="s">
        <v>1447</v>
      </c>
      <c r="B346" s="32" t="s">
        <v>1448</v>
      </c>
      <c r="C346" s="4" t="s">
        <v>1449</v>
      </c>
      <c r="D346" s="3" t="s">
        <v>1443</v>
      </c>
      <c r="E346" s="3">
        <v>21.0</v>
      </c>
      <c r="F346" s="3">
        <f t="shared" si="44"/>
        <v>252</v>
      </c>
      <c r="G346" s="6">
        <v>12.0</v>
      </c>
      <c r="H346" s="3" t="s">
        <v>742</v>
      </c>
      <c r="I346" s="38" t="s">
        <v>268</v>
      </c>
      <c r="J346" s="7" t="s">
        <v>1450</v>
      </c>
      <c r="K346" s="3" t="s">
        <v>273</v>
      </c>
      <c r="L346" s="3"/>
      <c r="M346" s="11" t="s">
        <v>1445</v>
      </c>
      <c r="N346" s="3" t="s">
        <v>1451</v>
      </c>
      <c r="O346" s="10" t="s">
        <v>1452</v>
      </c>
      <c r="P346" s="8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3" t="s">
        <v>1453</v>
      </c>
      <c r="B347" s="4" t="s">
        <v>1454</v>
      </c>
      <c r="C347" s="4" t="s">
        <v>1455</v>
      </c>
      <c r="D347" s="3" t="s">
        <v>1456</v>
      </c>
      <c r="E347" s="3">
        <v>24.0</v>
      </c>
      <c r="F347" s="6">
        <f>(E347*8.9+20)/7.2345</f>
        <v>32.28972286</v>
      </c>
      <c r="G347" s="6">
        <f>F347/E347</f>
        <v>1.345405119</v>
      </c>
      <c r="H347" s="3"/>
      <c r="I347" s="3" t="s">
        <v>360</v>
      </c>
      <c r="J347" s="7" t="s">
        <v>1457</v>
      </c>
      <c r="K347" s="3" t="s">
        <v>273</v>
      </c>
      <c r="L347" s="3"/>
      <c r="M347" s="30">
        <v>45629.0</v>
      </c>
      <c r="N347" s="3"/>
      <c r="O347" s="3"/>
      <c r="P347" s="8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66" t="s">
        <v>1458</v>
      </c>
      <c r="D348" s="3" t="s">
        <v>1459</v>
      </c>
      <c r="E348" s="3">
        <v>18.0</v>
      </c>
      <c r="F348" s="3">
        <f>E348*G348</f>
        <v>160.2</v>
      </c>
      <c r="G348" s="6">
        <v>8.9</v>
      </c>
      <c r="H348" s="3" t="s">
        <v>1402</v>
      </c>
      <c r="I348" s="47" t="s">
        <v>263</v>
      </c>
      <c r="J348" s="7" t="s">
        <v>1457</v>
      </c>
      <c r="K348" s="3" t="s">
        <v>550</v>
      </c>
      <c r="L348" s="3"/>
      <c r="M348" s="30">
        <v>45629.0</v>
      </c>
      <c r="N348" s="3"/>
      <c r="O348" s="3"/>
      <c r="P348" s="8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66" t="s">
        <v>1460</v>
      </c>
      <c r="B349" s="4" t="s">
        <v>1461</v>
      </c>
      <c r="C349" s="4" t="s">
        <v>1462</v>
      </c>
      <c r="D349" s="3" t="s">
        <v>1459</v>
      </c>
      <c r="E349" s="3">
        <v>99.0</v>
      </c>
      <c r="F349" s="3">
        <v>663.3</v>
      </c>
      <c r="G349" s="6">
        <f t="shared" ref="G349:G352" si="45">F349/E349</f>
        <v>6.7</v>
      </c>
      <c r="H349" s="3" t="s">
        <v>1402</v>
      </c>
      <c r="I349" s="47" t="s">
        <v>263</v>
      </c>
      <c r="J349" s="7" t="s">
        <v>1463</v>
      </c>
      <c r="K349" s="3" t="s">
        <v>273</v>
      </c>
      <c r="L349" s="3"/>
      <c r="M349" s="30">
        <v>45629.0</v>
      </c>
      <c r="N349" s="3"/>
      <c r="O349" s="3"/>
      <c r="P349" s="8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1" t="s">
        <v>1464</v>
      </c>
      <c r="B350" s="4" t="s">
        <v>1465</v>
      </c>
      <c r="C350" s="4" t="s">
        <v>1466</v>
      </c>
      <c r="D350" s="3" t="s">
        <v>1459</v>
      </c>
      <c r="E350" s="3">
        <v>59.0</v>
      </c>
      <c r="F350" s="3">
        <v>472.0</v>
      </c>
      <c r="G350" s="6">
        <f t="shared" si="45"/>
        <v>8</v>
      </c>
      <c r="H350" s="3" t="s">
        <v>1402</v>
      </c>
      <c r="I350" s="47" t="s">
        <v>263</v>
      </c>
      <c r="J350" s="7" t="s">
        <v>1467</v>
      </c>
      <c r="K350" s="21" t="s">
        <v>419</v>
      </c>
      <c r="L350" s="3"/>
      <c r="M350" s="30">
        <v>45629.0</v>
      </c>
      <c r="N350" s="3"/>
      <c r="O350" s="3"/>
      <c r="P350" s="8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1" t="s">
        <v>1468</v>
      </c>
      <c r="B351" s="4" t="s">
        <v>1469</v>
      </c>
      <c r="C351" s="4" t="s">
        <v>1470</v>
      </c>
      <c r="D351" s="3" t="s">
        <v>1459</v>
      </c>
      <c r="E351" s="3">
        <v>80.0</v>
      </c>
      <c r="F351" s="3">
        <v>712.0</v>
      </c>
      <c r="G351" s="6">
        <f t="shared" si="45"/>
        <v>8.9</v>
      </c>
      <c r="H351" s="3" t="s">
        <v>1402</v>
      </c>
      <c r="I351" s="47" t="s">
        <v>263</v>
      </c>
      <c r="J351" s="7" t="s">
        <v>1471</v>
      </c>
      <c r="K351" s="3" t="s">
        <v>550</v>
      </c>
      <c r="L351" s="3"/>
      <c r="M351" s="30">
        <v>45629.0</v>
      </c>
      <c r="N351" s="3"/>
      <c r="O351" s="3"/>
      <c r="P351" s="8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1" t="s">
        <v>1472</v>
      </c>
      <c r="B352" s="4" t="s">
        <v>1473</v>
      </c>
      <c r="C352" s="4" t="s">
        <v>1474</v>
      </c>
      <c r="D352" s="3" t="s">
        <v>1459</v>
      </c>
      <c r="E352" s="3">
        <v>40.0</v>
      </c>
      <c r="F352" s="3">
        <v>276.0</v>
      </c>
      <c r="G352" s="6">
        <f t="shared" si="45"/>
        <v>6.9</v>
      </c>
      <c r="H352" s="3" t="s">
        <v>1402</v>
      </c>
      <c r="I352" s="47" t="s">
        <v>263</v>
      </c>
      <c r="J352" s="7" t="s">
        <v>1475</v>
      </c>
      <c r="K352" s="3" t="s">
        <v>273</v>
      </c>
      <c r="L352" s="3"/>
      <c r="M352" s="30">
        <v>45629.0</v>
      </c>
      <c r="N352" s="3"/>
      <c r="O352" s="3"/>
      <c r="P352" s="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3" t="s">
        <v>1476</v>
      </c>
      <c r="B353" s="32" t="s">
        <v>1477</v>
      </c>
      <c r="C353" s="4">
        <v>2.71904586729E11</v>
      </c>
      <c r="D353" s="3" t="s">
        <v>1478</v>
      </c>
      <c r="E353" s="3">
        <v>30.0</v>
      </c>
      <c r="F353" s="3">
        <f t="shared" ref="F353:F356" si="46">G353*E353</f>
        <v>1560</v>
      </c>
      <c r="G353" s="6">
        <v>52.0</v>
      </c>
      <c r="H353" s="3" t="s">
        <v>1090</v>
      </c>
      <c r="I353" s="38" t="s">
        <v>268</v>
      </c>
      <c r="J353" s="7" t="s">
        <v>1479</v>
      </c>
      <c r="K353" s="3" t="s">
        <v>273</v>
      </c>
      <c r="L353" s="2"/>
      <c r="M353" s="11" t="s">
        <v>1480</v>
      </c>
      <c r="N353" s="39" t="s">
        <v>1481</v>
      </c>
      <c r="O353" s="11" t="s">
        <v>1482</v>
      </c>
      <c r="P353" s="8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3" t="s">
        <v>1483</v>
      </c>
      <c r="B354" s="32" t="s">
        <v>1484</v>
      </c>
      <c r="C354" s="4" t="s">
        <v>1485</v>
      </c>
      <c r="D354" s="3" t="s">
        <v>1486</v>
      </c>
      <c r="E354" s="3">
        <v>24.0</v>
      </c>
      <c r="F354" s="3">
        <f t="shared" si="46"/>
        <v>888</v>
      </c>
      <c r="G354" s="6">
        <v>37.0</v>
      </c>
      <c r="H354" s="3" t="s">
        <v>1090</v>
      </c>
      <c r="I354" s="38" t="s">
        <v>268</v>
      </c>
      <c r="J354" s="7" t="s">
        <v>1487</v>
      </c>
      <c r="K354" s="3" t="s">
        <v>273</v>
      </c>
      <c r="L354" s="3"/>
      <c r="M354" s="11" t="s">
        <v>1480</v>
      </c>
      <c r="N354" s="39" t="s">
        <v>1488</v>
      </c>
      <c r="O354" s="11" t="s">
        <v>1489</v>
      </c>
      <c r="P354" s="8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3" t="s">
        <v>1490</v>
      </c>
      <c r="B355" s="4" t="s">
        <v>1491</v>
      </c>
      <c r="C355" s="4" t="s">
        <v>1492</v>
      </c>
      <c r="D355" s="3" t="s">
        <v>1493</v>
      </c>
      <c r="E355" s="3">
        <v>28.0</v>
      </c>
      <c r="F355" s="3">
        <f t="shared" si="46"/>
        <v>1092</v>
      </c>
      <c r="G355" s="6">
        <v>39.0</v>
      </c>
      <c r="H355" s="3" t="s">
        <v>1494</v>
      </c>
      <c r="I355" s="47" t="s">
        <v>263</v>
      </c>
      <c r="J355" s="39" t="s">
        <v>1495</v>
      </c>
      <c r="K355" s="3" t="s">
        <v>273</v>
      </c>
      <c r="L355" s="3"/>
      <c r="M355" s="3" t="s">
        <v>1482</v>
      </c>
      <c r="N355" s="3"/>
      <c r="O355" s="3"/>
      <c r="P355" s="8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3" t="s">
        <v>1496</v>
      </c>
      <c r="B356" s="4" t="s">
        <v>1497</v>
      </c>
      <c r="C356" s="4" t="s">
        <v>1498</v>
      </c>
      <c r="D356" s="3" t="s">
        <v>1493</v>
      </c>
      <c r="E356" s="3">
        <v>13.0</v>
      </c>
      <c r="F356" s="3">
        <f t="shared" si="46"/>
        <v>546</v>
      </c>
      <c r="G356" s="6">
        <v>42.0</v>
      </c>
      <c r="H356" s="3" t="s">
        <v>1494</v>
      </c>
      <c r="I356" s="47" t="s">
        <v>263</v>
      </c>
      <c r="J356" s="39" t="s">
        <v>1499</v>
      </c>
      <c r="K356" s="3" t="s">
        <v>273</v>
      </c>
      <c r="L356" s="3"/>
      <c r="M356" s="3" t="s">
        <v>1482</v>
      </c>
      <c r="N356" s="3"/>
      <c r="O356" s="3"/>
      <c r="P356" s="8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3" t="s">
        <v>1500</v>
      </c>
      <c r="B357" s="32" t="s">
        <v>1501</v>
      </c>
      <c r="C357" s="4" t="s">
        <v>1502</v>
      </c>
      <c r="D357" s="3" t="s">
        <v>1503</v>
      </c>
      <c r="E357" s="3">
        <v>21.0</v>
      </c>
      <c r="F357" s="3">
        <f t="shared" ref="F357:F370" si="47">E357*G357</f>
        <v>178.5</v>
      </c>
      <c r="G357" s="3">
        <v>8.5</v>
      </c>
      <c r="H357" s="37" t="s">
        <v>31</v>
      </c>
      <c r="I357" s="38" t="s">
        <v>268</v>
      </c>
      <c r="J357" s="72" t="s">
        <v>1504</v>
      </c>
      <c r="K357" s="3" t="s">
        <v>273</v>
      </c>
      <c r="L357" s="3"/>
      <c r="M357" s="11" t="s">
        <v>1505</v>
      </c>
      <c r="N357" s="39" t="s">
        <v>1506</v>
      </c>
      <c r="O357" s="11" t="s">
        <v>1507</v>
      </c>
      <c r="P357" s="8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3" t="s">
        <v>1508</v>
      </c>
      <c r="B358" s="32" t="s">
        <v>1509</v>
      </c>
      <c r="C358" s="4" t="s">
        <v>1502</v>
      </c>
      <c r="D358" s="3" t="s">
        <v>1503</v>
      </c>
      <c r="E358" s="3">
        <v>21.0</v>
      </c>
      <c r="F358" s="3">
        <f t="shared" si="47"/>
        <v>178.5</v>
      </c>
      <c r="G358" s="3">
        <v>8.5</v>
      </c>
      <c r="H358" s="37" t="s">
        <v>31</v>
      </c>
      <c r="I358" s="38" t="s">
        <v>268</v>
      </c>
      <c r="J358" s="7" t="s">
        <v>1510</v>
      </c>
      <c r="K358" s="3" t="s">
        <v>273</v>
      </c>
      <c r="L358" s="3"/>
      <c r="M358" s="11" t="s">
        <v>1505</v>
      </c>
      <c r="N358" s="39" t="s">
        <v>1506</v>
      </c>
      <c r="O358" s="11" t="s">
        <v>1507</v>
      </c>
      <c r="P358" s="8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3" t="s">
        <v>1511</v>
      </c>
      <c r="B359" s="4" t="s">
        <v>1512</v>
      </c>
      <c r="C359" s="4">
        <v>7.057211158E9</v>
      </c>
      <c r="D359" s="3" t="s">
        <v>1513</v>
      </c>
      <c r="E359" s="3">
        <f>21*3</f>
        <v>63</v>
      </c>
      <c r="F359" s="3">
        <f t="shared" si="47"/>
        <v>478.8</v>
      </c>
      <c r="G359" s="6">
        <v>7.6</v>
      </c>
      <c r="H359" s="3" t="s">
        <v>742</v>
      </c>
      <c r="I359" s="38" t="s">
        <v>268</v>
      </c>
      <c r="J359" s="7" t="s">
        <v>1450</v>
      </c>
      <c r="K359" s="2" t="s">
        <v>1514</v>
      </c>
      <c r="L359" s="3"/>
      <c r="M359" s="11" t="s">
        <v>1515</v>
      </c>
      <c r="N359" s="39" t="s">
        <v>1506</v>
      </c>
      <c r="O359" s="11" t="s">
        <v>1516</v>
      </c>
      <c r="P359" s="8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3" t="s">
        <v>1517</v>
      </c>
      <c r="B360" s="4" t="s">
        <v>1518</v>
      </c>
      <c r="C360" s="4">
        <v>7.057211158E9</v>
      </c>
      <c r="D360" s="3" t="s">
        <v>1513</v>
      </c>
      <c r="E360" s="3">
        <v>21.0</v>
      </c>
      <c r="F360" s="3">
        <f t="shared" si="47"/>
        <v>159.6</v>
      </c>
      <c r="G360" s="6">
        <v>7.6</v>
      </c>
      <c r="H360" s="3" t="s">
        <v>742</v>
      </c>
      <c r="I360" s="38" t="s">
        <v>268</v>
      </c>
      <c r="J360" s="7" t="s">
        <v>1450</v>
      </c>
      <c r="K360" s="3" t="s">
        <v>273</v>
      </c>
      <c r="L360" s="3"/>
      <c r="M360" s="11" t="s">
        <v>1515</v>
      </c>
      <c r="N360" s="39" t="s">
        <v>1506</v>
      </c>
      <c r="O360" s="11" t="s">
        <v>1516</v>
      </c>
      <c r="P360" s="8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3" t="s">
        <v>1519</v>
      </c>
      <c r="B361" s="4" t="s">
        <v>1520</v>
      </c>
      <c r="C361" s="4">
        <v>7.057211158E9</v>
      </c>
      <c r="D361" s="3" t="s">
        <v>1513</v>
      </c>
      <c r="E361" s="3">
        <v>21.0</v>
      </c>
      <c r="F361" s="3">
        <f t="shared" si="47"/>
        <v>159.6</v>
      </c>
      <c r="G361" s="6">
        <v>7.6</v>
      </c>
      <c r="H361" s="3" t="s">
        <v>742</v>
      </c>
      <c r="I361" s="38" t="s">
        <v>268</v>
      </c>
      <c r="J361" s="7" t="s">
        <v>1450</v>
      </c>
      <c r="K361" s="3" t="s">
        <v>273</v>
      </c>
      <c r="L361" s="3"/>
      <c r="M361" s="11" t="s">
        <v>1515</v>
      </c>
      <c r="N361" s="39" t="s">
        <v>1506</v>
      </c>
      <c r="O361" s="11" t="s">
        <v>1516</v>
      </c>
      <c r="P361" s="8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3" t="s">
        <v>1521</v>
      </c>
      <c r="B362" s="4" t="s">
        <v>1522</v>
      </c>
      <c r="C362" s="4"/>
      <c r="D362" s="3" t="s">
        <v>1523</v>
      </c>
      <c r="E362" s="3">
        <v>29.0</v>
      </c>
      <c r="F362" s="3">
        <f t="shared" si="47"/>
        <v>290</v>
      </c>
      <c r="G362" s="6">
        <v>10.0</v>
      </c>
      <c r="H362" s="3" t="s">
        <v>1021</v>
      </c>
      <c r="I362" s="47" t="s">
        <v>263</v>
      </c>
      <c r="J362" s="7" t="s">
        <v>1163</v>
      </c>
      <c r="K362" s="3" t="s">
        <v>550</v>
      </c>
      <c r="L362" s="3"/>
      <c r="M362" s="11" t="s">
        <v>1489</v>
      </c>
      <c r="N362" s="3"/>
      <c r="O362" s="30">
        <v>45173.0</v>
      </c>
      <c r="P362" s="8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3" t="s">
        <v>1524</v>
      </c>
      <c r="B363" s="4" t="s">
        <v>1525</v>
      </c>
      <c r="C363" s="4"/>
      <c r="D363" s="3" t="s">
        <v>1523</v>
      </c>
      <c r="E363" s="3">
        <v>44.0</v>
      </c>
      <c r="F363" s="3">
        <f t="shared" si="47"/>
        <v>572</v>
      </c>
      <c r="G363" s="6">
        <v>13.0</v>
      </c>
      <c r="H363" s="3" t="s">
        <v>1021</v>
      </c>
      <c r="I363" s="47" t="s">
        <v>263</v>
      </c>
      <c r="J363" s="7" t="s">
        <v>1526</v>
      </c>
      <c r="K363" s="21" t="s">
        <v>674</v>
      </c>
      <c r="L363" s="3"/>
      <c r="M363" s="11" t="s">
        <v>1489</v>
      </c>
      <c r="N363" s="3" t="s">
        <v>1527</v>
      </c>
      <c r="O363" s="11" t="s">
        <v>1528</v>
      </c>
      <c r="P363" s="8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3" t="s">
        <v>1529</v>
      </c>
      <c r="C364" s="4"/>
      <c r="D364" s="3" t="s">
        <v>1530</v>
      </c>
      <c r="E364" s="3">
        <v>14.0</v>
      </c>
      <c r="F364" s="3">
        <f t="shared" si="47"/>
        <v>182</v>
      </c>
      <c r="G364" s="6">
        <v>13.0</v>
      </c>
      <c r="H364" s="3" t="s">
        <v>1531</v>
      </c>
      <c r="I364" s="47" t="s">
        <v>263</v>
      </c>
      <c r="K364" s="21" t="s">
        <v>419</v>
      </c>
      <c r="L364" s="3"/>
      <c r="M364" s="11" t="s">
        <v>1489</v>
      </c>
      <c r="N364" s="3" t="s">
        <v>1527</v>
      </c>
      <c r="O364" s="11" t="s">
        <v>1528</v>
      </c>
      <c r="P364" s="8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3" t="s">
        <v>1532</v>
      </c>
      <c r="C365" s="4"/>
      <c r="D365" s="3" t="s">
        <v>1533</v>
      </c>
      <c r="E365" s="3">
        <v>21.0</v>
      </c>
      <c r="F365" s="3">
        <f t="shared" si="47"/>
        <v>273</v>
      </c>
      <c r="G365" s="6">
        <v>13.0</v>
      </c>
      <c r="H365" s="37" t="s">
        <v>31</v>
      </c>
      <c r="I365" s="38" t="s">
        <v>268</v>
      </c>
      <c r="J365" s="7" t="s">
        <v>1534</v>
      </c>
      <c r="K365" s="3" t="s">
        <v>1535</v>
      </c>
      <c r="L365" s="3"/>
      <c r="M365" s="11" t="s">
        <v>1489</v>
      </c>
      <c r="N365" s="3" t="s">
        <v>1527</v>
      </c>
      <c r="O365" s="11" t="s">
        <v>1528</v>
      </c>
      <c r="P365" s="8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3" t="s">
        <v>1536</v>
      </c>
      <c r="B366" s="4" t="s">
        <v>1537</v>
      </c>
      <c r="C366" s="4"/>
      <c r="D366" s="3" t="s">
        <v>1538</v>
      </c>
      <c r="E366" s="3">
        <v>40.0</v>
      </c>
      <c r="F366" s="3">
        <f t="shared" si="47"/>
        <v>520</v>
      </c>
      <c r="G366" s="6">
        <v>13.0</v>
      </c>
      <c r="H366" s="3" t="s">
        <v>1539</v>
      </c>
      <c r="I366" s="47" t="s">
        <v>263</v>
      </c>
      <c r="J366" s="7" t="s">
        <v>1163</v>
      </c>
      <c r="K366" s="3" t="s">
        <v>550</v>
      </c>
      <c r="L366" s="3"/>
      <c r="M366" s="11" t="s">
        <v>1489</v>
      </c>
      <c r="N366" s="3"/>
      <c r="O366" s="11" t="s">
        <v>1528</v>
      </c>
      <c r="P366" s="8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3" t="s">
        <v>1540</v>
      </c>
      <c r="C367" s="4"/>
      <c r="D367" s="3" t="s">
        <v>1541</v>
      </c>
      <c r="E367" s="3">
        <v>19.0</v>
      </c>
      <c r="F367" s="3">
        <f t="shared" si="47"/>
        <v>247</v>
      </c>
      <c r="G367" s="6">
        <v>13.0</v>
      </c>
      <c r="H367" s="4" t="s">
        <v>1542</v>
      </c>
      <c r="I367" s="47" t="s">
        <v>263</v>
      </c>
      <c r="L367" s="3"/>
      <c r="M367" s="11" t="s">
        <v>1489</v>
      </c>
      <c r="N367" s="3"/>
      <c r="O367" s="11" t="s">
        <v>1528</v>
      </c>
      <c r="P367" s="8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3" t="s">
        <v>1543</v>
      </c>
      <c r="B368" s="4" t="s">
        <v>1544</v>
      </c>
      <c r="C368" s="4"/>
      <c r="D368" s="3" t="s">
        <v>1533</v>
      </c>
      <c r="E368" s="3">
        <v>21.0</v>
      </c>
      <c r="F368" s="3">
        <f t="shared" si="47"/>
        <v>168</v>
      </c>
      <c r="G368" s="6">
        <v>8.0</v>
      </c>
      <c r="H368" s="37" t="s">
        <v>31</v>
      </c>
      <c r="I368" s="38" t="s">
        <v>268</v>
      </c>
      <c r="J368" s="7" t="s">
        <v>1545</v>
      </c>
      <c r="K368" s="3" t="s">
        <v>273</v>
      </c>
      <c r="L368" s="3"/>
      <c r="M368" s="11" t="s">
        <v>1489</v>
      </c>
      <c r="N368" s="3" t="s">
        <v>1546</v>
      </c>
      <c r="O368" s="10" t="s">
        <v>1547</v>
      </c>
      <c r="P368" s="8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3" t="s">
        <v>1548</v>
      </c>
      <c r="B369" s="4" t="s">
        <v>1549</v>
      </c>
      <c r="C369" s="4"/>
      <c r="D369" s="3" t="s">
        <v>1550</v>
      </c>
      <c r="E369" s="3">
        <v>28.0</v>
      </c>
      <c r="F369" s="3">
        <f t="shared" si="47"/>
        <v>280</v>
      </c>
      <c r="G369" s="6">
        <v>10.0</v>
      </c>
      <c r="H369" s="3" t="s">
        <v>1551</v>
      </c>
      <c r="I369" s="47" t="s">
        <v>263</v>
      </c>
      <c r="J369" s="7" t="s">
        <v>1163</v>
      </c>
      <c r="K369" s="21" t="s">
        <v>674</v>
      </c>
      <c r="L369" s="3"/>
      <c r="M369" s="3"/>
      <c r="N369" s="3"/>
      <c r="O369" s="3"/>
      <c r="P369" s="8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7.25" customHeight="1">
      <c r="A370" s="3" t="s">
        <v>1552</v>
      </c>
      <c r="B370" s="32" t="s">
        <v>1553</v>
      </c>
      <c r="C370" s="4" t="s">
        <v>1554</v>
      </c>
      <c r="D370" s="3" t="s">
        <v>1555</v>
      </c>
      <c r="E370" s="3">
        <f>21*3</f>
        <v>63</v>
      </c>
      <c r="F370" s="3">
        <f t="shared" si="47"/>
        <v>3213</v>
      </c>
      <c r="G370" s="6">
        <v>51.0</v>
      </c>
      <c r="H370" s="3" t="s">
        <v>742</v>
      </c>
      <c r="I370" s="48" t="s">
        <v>268</v>
      </c>
      <c r="J370" s="12" t="s">
        <v>1556</v>
      </c>
      <c r="K370" s="21" t="s">
        <v>419</v>
      </c>
      <c r="L370" s="3"/>
      <c r="M370" s="11" t="s">
        <v>1417</v>
      </c>
      <c r="N370" s="3" t="s">
        <v>1557</v>
      </c>
      <c r="O370" s="10" t="s">
        <v>1558</v>
      </c>
      <c r="P370" s="8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3" t="s">
        <v>1559</v>
      </c>
      <c r="B371" s="32" t="s">
        <v>1560</v>
      </c>
      <c r="C371" s="4" t="s">
        <v>1561</v>
      </c>
      <c r="K371" s="3" t="s">
        <v>273</v>
      </c>
      <c r="L371" s="3"/>
      <c r="M371" s="11" t="s">
        <v>1417</v>
      </c>
      <c r="N371" s="3" t="s">
        <v>1562</v>
      </c>
      <c r="O371" s="10" t="s">
        <v>1563</v>
      </c>
      <c r="P371" s="8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3" t="s">
        <v>1564</v>
      </c>
      <c r="B372" s="32" t="s">
        <v>1565</v>
      </c>
      <c r="C372" s="4" t="s">
        <v>1566</v>
      </c>
      <c r="K372" s="3" t="s">
        <v>273</v>
      </c>
      <c r="L372" s="3"/>
      <c r="M372" s="11" t="s">
        <v>1417</v>
      </c>
      <c r="N372" s="3" t="s">
        <v>1562</v>
      </c>
      <c r="O372" s="10" t="s">
        <v>1563</v>
      </c>
      <c r="P372" s="8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3" t="s">
        <v>1567</v>
      </c>
      <c r="B373" s="32" t="s">
        <v>1568</v>
      </c>
      <c r="C373" s="4"/>
      <c r="E373" s="3">
        <v>21.0</v>
      </c>
      <c r="F373" s="3">
        <f>E373*G373</f>
        <v>210</v>
      </c>
      <c r="G373" s="39">
        <v>10.0</v>
      </c>
      <c r="I373" s="38" t="s">
        <v>268</v>
      </c>
      <c r="J373" s="7" t="s">
        <v>1569</v>
      </c>
      <c r="K373" s="3" t="s">
        <v>273</v>
      </c>
      <c r="L373" s="3"/>
      <c r="M373" s="11" t="s">
        <v>1417</v>
      </c>
      <c r="N373" s="3" t="s">
        <v>1570</v>
      </c>
      <c r="O373" s="73" t="s">
        <v>1571</v>
      </c>
      <c r="P373" s="8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3" t="s">
        <v>1572</v>
      </c>
      <c r="B374" s="4" t="s">
        <v>1573</v>
      </c>
      <c r="C374" s="4"/>
      <c r="D374" s="3" t="s">
        <v>1574</v>
      </c>
      <c r="E374" s="3">
        <v>157.0</v>
      </c>
      <c r="F374" s="6">
        <f>E374*7.6/7.2419</f>
        <v>164.7633908</v>
      </c>
      <c r="G374" s="6">
        <f>F374/E374</f>
        <v>1.049448349</v>
      </c>
      <c r="H374" s="3" t="s">
        <v>672</v>
      </c>
      <c r="I374" s="3" t="s">
        <v>360</v>
      </c>
      <c r="J374" s="7" t="s">
        <v>1341</v>
      </c>
      <c r="K374" s="21" t="s">
        <v>1575</v>
      </c>
      <c r="L374" s="3"/>
      <c r="M374" s="3" t="s">
        <v>1576</v>
      </c>
      <c r="N374" s="3" t="s">
        <v>1577</v>
      </c>
      <c r="O374" s="30">
        <v>45356.0</v>
      </c>
      <c r="P374" s="8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3" t="s">
        <v>1578</v>
      </c>
      <c r="B375" s="4" t="s">
        <v>1579</v>
      </c>
      <c r="C375" s="4"/>
      <c r="D375" s="3" t="s">
        <v>1580</v>
      </c>
      <c r="E375" s="3">
        <v>23.0</v>
      </c>
      <c r="F375" s="3">
        <f>E375*10</f>
        <v>230</v>
      </c>
      <c r="G375" s="3">
        <v>10.0</v>
      </c>
      <c r="H375" s="3" t="s">
        <v>1090</v>
      </c>
      <c r="I375" s="48" t="s">
        <v>268</v>
      </c>
      <c r="J375" s="7" t="s">
        <v>1581</v>
      </c>
      <c r="K375" s="3" t="s">
        <v>273</v>
      </c>
      <c r="L375" s="3"/>
      <c r="M375" s="3" t="s">
        <v>1576</v>
      </c>
      <c r="N375" s="3" t="s">
        <v>1570</v>
      </c>
      <c r="O375" s="73" t="s">
        <v>1582</v>
      </c>
      <c r="P375" s="8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3" t="s">
        <v>1583</v>
      </c>
      <c r="B376" s="4" t="s">
        <v>1584</v>
      </c>
      <c r="C376" s="4"/>
      <c r="D376" s="3" t="s">
        <v>1580</v>
      </c>
      <c r="E376" s="3">
        <v>23.0</v>
      </c>
      <c r="F376" s="3">
        <f t="shared" ref="F376:F379" si="48">E376*G376</f>
        <v>195.5</v>
      </c>
      <c r="G376" s="3">
        <v>8.5</v>
      </c>
      <c r="H376" s="3" t="s">
        <v>1090</v>
      </c>
      <c r="J376" s="7" t="s">
        <v>1585</v>
      </c>
      <c r="K376" s="2" t="s">
        <v>1514</v>
      </c>
      <c r="L376" s="3"/>
      <c r="M376" s="3" t="s">
        <v>1576</v>
      </c>
      <c r="N376" s="3" t="s">
        <v>1586</v>
      </c>
      <c r="O376" s="73" t="s">
        <v>1587</v>
      </c>
      <c r="P376" s="8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3" t="s">
        <v>1588</v>
      </c>
      <c r="B377" s="4" t="s">
        <v>1589</v>
      </c>
      <c r="C377" s="4"/>
      <c r="D377" s="3" t="s">
        <v>1590</v>
      </c>
      <c r="E377" s="3">
        <f>22+19</f>
        <v>41</v>
      </c>
      <c r="F377" s="3">
        <f t="shared" si="48"/>
        <v>410</v>
      </c>
      <c r="G377" s="3">
        <v>10.0</v>
      </c>
      <c r="H377" s="4" t="s">
        <v>1591</v>
      </c>
      <c r="J377" s="7" t="s">
        <v>1592</v>
      </c>
      <c r="K377" s="3" t="s">
        <v>273</v>
      </c>
      <c r="L377" s="3"/>
      <c r="M377" s="3" t="s">
        <v>1576</v>
      </c>
      <c r="N377" s="3" t="s">
        <v>1570</v>
      </c>
      <c r="O377" s="73" t="s">
        <v>1593</v>
      </c>
      <c r="P377" s="8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3" t="s">
        <v>1594</v>
      </c>
      <c r="B378" s="4" t="s">
        <v>1595</v>
      </c>
      <c r="C378" s="4"/>
      <c r="D378" s="3" t="s">
        <v>1580</v>
      </c>
      <c r="E378" s="3">
        <v>23.0</v>
      </c>
      <c r="F378" s="3">
        <f t="shared" si="48"/>
        <v>207</v>
      </c>
      <c r="G378" s="3">
        <v>9.0</v>
      </c>
      <c r="H378" s="3" t="s">
        <v>1090</v>
      </c>
      <c r="J378" s="7" t="s">
        <v>1596</v>
      </c>
      <c r="K378" s="3" t="s">
        <v>273</v>
      </c>
      <c r="L378" s="3"/>
      <c r="M378" s="3" t="s">
        <v>1576</v>
      </c>
      <c r="N378" s="3" t="s">
        <v>1570</v>
      </c>
      <c r="O378" s="11" t="s">
        <v>1597</v>
      </c>
      <c r="P378" s="8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3" t="s">
        <v>1598</v>
      </c>
      <c r="B379" s="4" t="s">
        <v>1599</v>
      </c>
      <c r="C379" s="4"/>
      <c r="D379" s="3" t="s">
        <v>1580</v>
      </c>
      <c r="E379" s="3">
        <v>23.0</v>
      </c>
      <c r="F379" s="3">
        <f t="shared" si="48"/>
        <v>184</v>
      </c>
      <c r="G379" s="3">
        <v>8.0</v>
      </c>
      <c r="H379" s="3" t="s">
        <v>1090</v>
      </c>
      <c r="J379" s="7" t="s">
        <v>1600</v>
      </c>
      <c r="K379" s="3" t="s">
        <v>273</v>
      </c>
      <c r="L379" s="3"/>
      <c r="M379" s="3" t="s">
        <v>1576</v>
      </c>
      <c r="N379" s="3" t="s">
        <v>1586</v>
      </c>
      <c r="O379" s="11" t="s">
        <v>1601</v>
      </c>
      <c r="P379" s="8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3" t="s">
        <v>1602</v>
      </c>
      <c r="B380" s="4" t="s">
        <v>1603</v>
      </c>
      <c r="C380" s="4"/>
      <c r="D380" s="3" t="s">
        <v>1604</v>
      </c>
      <c r="E380" s="3">
        <v>52.0</v>
      </c>
      <c r="F380" s="6">
        <f>E380*9.2/7.2419</f>
        <v>66.06001188</v>
      </c>
      <c r="G380" s="6">
        <f t="shared" ref="G380:G381" si="49">F380/E380</f>
        <v>1.270384844</v>
      </c>
      <c r="H380" s="3" t="s">
        <v>672</v>
      </c>
      <c r="I380" s="3" t="s">
        <v>360</v>
      </c>
      <c r="J380" s="7" t="s">
        <v>1341</v>
      </c>
      <c r="K380" s="3" t="s">
        <v>273</v>
      </c>
      <c r="L380" s="3"/>
      <c r="M380" s="3" t="s">
        <v>1576</v>
      </c>
      <c r="N380" s="3" t="s">
        <v>1586</v>
      </c>
      <c r="O380" s="11" t="s">
        <v>1587</v>
      </c>
      <c r="P380" s="8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3" t="s">
        <v>1605</v>
      </c>
      <c r="B381" s="4" t="s">
        <v>1606</v>
      </c>
      <c r="C381" s="4"/>
      <c r="D381" s="3" t="s">
        <v>1604</v>
      </c>
      <c r="E381" s="3">
        <v>101.0</v>
      </c>
      <c r="F381" s="6">
        <f>E381*8.6/7.2419</f>
        <v>119.9408995</v>
      </c>
      <c r="G381" s="6">
        <f t="shared" si="49"/>
        <v>1.187533658</v>
      </c>
      <c r="H381" s="3" t="s">
        <v>672</v>
      </c>
      <c r="I381" s="3" t="s">
        <v>360</v>
      </c>
      <c r="J381" s="7" t="s">
        <v>1341</v>
      </c>
      <c r="K381" s="3" t="s">
        <v>273</v>
      </c>
      <c r="L381" s="3"/>
      <c r="M381" s="3" t="s">
        <v>1576</v>
      </c>
      <c r="N381" s="3" t="s">
        <v>1586</v>
      </c>
      <c r="O381" s="11" t="s">
        <v>1587</v>
      </c>
      <c r="P381" s="8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3" t="s">
        <v>1607</v>
      </c>
      <c r="B382" s="4" t="s">
        <v>1608</v>
      </c>
      <c r="C382" s="4" t="s">
        <v>1609</v>
      </c>
      <c r="D382" s="3" t="s">
        <v>1610</v>
      </c>
      <c r="E382" s="3">
        <v>21.0</v>
      </c>
      <c r="F382" s="3">
        <f t="shared" ref="F382:F409" si="50">E382*G382</f>
        <v>220.5</v>
      </c>
      <c r="G382" s="6">
        <v>10.5</v>
      </c>
      <c r="H382" s="3" t="s">
        <v>742</v>
      </c>
      <c r="I382" s="48" t="s">
        <v>268</v>
      </c>
      <c r="J382" s="7" t="s">
        <v>1611</v>
      </c>
      <c r="K382" s="3" t="s">
        <v>273</v>
      </c>
      <c r="L382" s="3"/>
      <c r="M382" s="3" t="s">
        <v>1576</v>
      </c>
      <c r="N382" s="3" t="s">
        <v>1612</v>
      </c>
      <c r="O382" s="11" t="s">
        <v>1613</v>
      </c>
      <c r="P382" s="8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3" t="s">
        <v>1614</v>
      </c>
      <c r="B383" s="4" t="s">
        <v>1615</v>
      </c>
      <c r="C383" s="4" t="s">
        <v>1616</v>
      </c>
      <c r="D383" s="3" t="s">
        <v>1610</v>
      </c>
      <c r="E383" s="3">
        <v>21.0</v>
      </c>
      <c r="F383" s="3">
        <f t="shared" si="50"/>
        <v>182.7</v>
      </c>
      <c r="G383" s="6">
        <v>8.7</v>
      </c>
      <c r="J383" s="7" t="s">
        <v>1617</v>
      </c>
      <c r="K383" s="3" t="s">
        <v>273</v>
      </c>
      <c r="L383" s="3"/>
      <c r="M383" s="3" t="s">
        <v>1576</v>
      </c>
      <c r="N383" s="3" t="s">
        <v>1570</v>
      </c>
      <c r="O383" s="11" t="s">
        <v>1618</v>
      </c>
      <c r="P383" s="8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3" t="s">
        <v>1619</v>
      </c>
      <c r="B384" s="4" t="s">
        <v>1620</v>
      </c>
      <c r="C384" s="4" t="s">
        <v>1621</v>
      </c>
      <c r="D384" s="3" t="s">
        <v>1610</v>
      </c>
      <c r="E384" s="3">
        <v>42.0</v>
      </c>
      <c r="F384" s="3">
        <f t="shared" si="50"/>
        <v>336</v>
      </c>
      <c r="G384" s="6">
        <v>8.0</v>
      </c>
      <c r="J384" s="7" t="s">
        <v>1622</v>
      </c>
      <c r="K384" s="3" t="s">
        <v>273</v>
      </c>
      <c r="L384" s="3"/>
      <c r="M384" s="3" t="s">
        <v>1576</v>
      </c>
      <c r="N384" s="3" t="s">
        <v>1623</v>
      </c>
      <c r="O384" s="11" t="s">
        <v>1624</v>
      </c>
      <c r="P384" s="8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3" t="s">
        <v>1625</v>
      </c>
      <c r="B385" s="4" t="s">
        <v>1626</v>
      </c>
      <c r="C385" s="4" t="s">
        <v>1627</v>
      </c>
      <c r="D385" s="3" t="s">
        <v>1610</v>
      </c>
      <c r="E385" s="3">
        <v>21.0</v>
      </c>
      <c r="F385" s="3">
        <f t="shared" si="50"/>
        <v>168</v>
      </c>
      <c r="G385" s="6">
        <v>8.0</v>
      </c>
      <c r="J385" s="7" t="s">
        <v>1628</v>
      </c>
      <c r="K385" s="3" t="s">
        <v>273</v>
      </c>
      <c r="L385" s="3"/>
      <c r="M385" s="3" t="s">
        <v>1576</v>
      </c>
      <c r="N385" s="3" t="s">
        <v>1623</v>
      </c>
      <c r="O385" s="11" t="s">
        <v>1629</v>
      </c>
      <c r="P385" s="8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3" t="s">
        <v>1630</v>
      </c>
      <c r="B386" s="4" t="s">
        <v>1631</v>
      </c>
      <c r="C386" s="4" t="s">
        <v>1632</v>
      </c>
      <c r="D386" s="3" t="s">
        <v>1633</v>
      </c>
      <c r="E386" s="3">
        <v>34.0</v>
      </c>
      <c r="F386" s="3">
        <f t="shared" si="50"/>
        <v>1768</v>
      </c>
      <c r="G386" s="6">
        <v>52.0</v>
      </c>
      <c r="H386" s="3" t="s">
        <v>1634</v>
      </c>
      <c r="I386" s="47" t="s">
        <v>263</v>
      </c>
      <c r="J386" s="7" t="s">
        <v>1635</v>
      </c>
      <c r="K386" s="2"/>
      <c r="L386" s="2"/>
      <c r="M386" s="30">
        <v>45326.0</v>
      </c>
      <c r="N386" s="3" t="s">
        <v>1636</v>
      </c>
      <c r="O386" s="30">
        <v>45569.0</v>
      </c>
      <c r="P386" s="8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3" t="s">
        <v>1637</v>
      </c>
      <c r="B387" s="52" t="s">
        <v>1638</v>
      </c>
      <c r="C387" s="4" t="s">
        <v>1639</v>
      </c>
      <c r="D387" s="3" t="s">
        <v>1633</v>
      </c>
      <c r="E387" s="3">
        <v>44.0</v>
      </c>
      <c r="F387" s="3">
        <f t="shared" si="50"/>
        <v>660</v>
      </c>
      <c r="G387" s="6">
        <v>15.0</v>
      </c>
      <c r="H387" s="3" t="s">
        <v>1634</v>
      </c>
      <c r="I387" s="47" t="s">
        <v>263</v>
      </c>
      <c r="J387" s="7" t="s">
        <v>1640</v>
      </c>
      <c r="K387" s="3" t="s">
        <v>550</v>
      </c>
      <c r="L387" s="2"/>
      <c r="M387" s="30">
        <v>45355.0</v>
      </c>
      <c r="N387" s="3" t="s">
        <v>1327</v>
      </c>
      <c r="O387" s="3" t="s">
        <v>1641</v>
      </c>
      <c r="P387" s="8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3" t="s">
        <v>1642</v>
      </c>
      <c r="B388" s="4" t="s">
        <v>1643</v>
      </c>
      <c r="C388" s="4"/>
      <c r="D388" s="3" t="s">
        <v>1633</v>
      </c>
      <c r="E388" s="3">
        <v>43.0</v>
      </c>
      <c r="F388" s="3">
        <f t="shared" si="50"/>
        <v>344</v>
      </c>
      <c r="G388" s="6">
        <v>8.0</v>
      </c>
      <c r="H388" s="3" t="s">
        <v>1634</v>
      </c>
      <c r="I388" s="47" t="s">
        <v>263</v>
      </c>
      <c r="J388" s="7" t="s">
        <v>1644</v>
      </c>
      <c r="K388" s="2"/>
      <c r="L388" s="2"/>
      <c r="M388" s="11" t="s">
        <v>1528</v>
      </c>
      <c r="N388" s="3" t="s">
        <v>1546</v>
      </c>
      <c r="O388" s="11" t="s">
        <v>1645</v>
      </c>
      <c r="P388" s="8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3" t="s">
        <v>1646</v>
      </c>
      <c r="C389" s="4"/>
      <c r="D389" s="4" t="s">
        <v>1647</v>
      </c>
      <c r="E389" s="3">
        <v>21.0</v>
      </c>
      <c r="F389" s="3">
        <f t="shared" si="50"/>
        <v>168</v>
      </c>
      <c r="G389" s="6">
        <v>8.0</v>
      </c>
      <c r="H389" s="3" t="s">
        <v>1090</v>
      </c>
      <c r="I389" s="38" t="s">
        <v>268</v>
      </c>
      <c r="J389" s="7" t="s">
        <v>1648</v>
      </c>
      <c r="K389" s="3" t="s">
        <v>273</v>
      </c>
      <c r="L389" s="3"/>
      <c r="M389" s="11" t="s">
        <v>1528</v>
      </c>
      <c r="N389" s="3" t="s">
        <v>1546</v>
      </c>
      <c r="O389" s="10" t="s">
        <v>1649</v>
      </c>
      <c r="P389" s="8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3" t="s">
        <v>1650</v>
      </c>
      <c r="B390" s="4" t="s">
        <v>1651</v>
      </c>
      <c r="C390" s="4"/>
      <c r="D390" s="3" t="s">
        <v>1633</v>
      </c>
      <c r="E390" s="3">
        <v>27.0</v>
      </c>
      <c r="F390" s="3">
        <f t="shared" si="50"/>
        <v>270</v>
      </c>
      <c r="G390" s="6">
        <v>10.0</v>
      </c>
      <c r="H390" s="3" t="s">
        <v>1634</v>
      </c>
      <c r="I390" s="47" t="s">
        <v>263</v>
      </c>
      <c r="J390" s="7" t="s">
        <v>1652</v>
      </c>
      <c r="K390" s="21" t="s">
        <v>419</v>
      </c>
      <c r="L390" s="2"/>
      <c r="M390" s="11" t="s">
        <v>1528</v>
      </c>
      <c r="N390" s="3" t="s">
        <v>1653</v>
      </c>
      <c r="O390" s="11" t="s">
        <v>1654</v>
      </c>
      <c r="P390" s="8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3" t="s">
        <v>1655</v>
      </c>
      <c r="C391" s="4"/>
      <c r="D391" s="4" t="s">
        <v>1647</v>
      </c>
      <c r="E391" s="3">
        <v>22.0</v>
      </c>
      <c r="F391" s="3">
        <f t="shared" si="50"/>
        <v>220</v>
      </c>
      <c r="G391" s="6">
        <v>10.0</v>
      </c>
      <c r="H391" s="3" t="s">
        <v>1090</v>
      </c>
      <c r="I391" s="38" t="s">
        <v>268</v>
      </c>
      <c r="J391" s="7" t="s">
        <v>1656</v>
      </c>
      <c r="K391" s="3" t="s">
        <v>273</v>
      </c>
      <c r="L391" s="3"/>
      <c r="M391" s="11" t="s">
        <v>1528</v>
      </c>
      <c r="N391" s="3" t="s">
        <v>1653</v>
      </c>
      <c r="O391" s="11" t="s">
        <v>1654</v>
      </c>
      <c r="P391" s="8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3" t="s">
        <v>1657</v>
      </c>
      <c r="B392" s="4" t="s">
        <v>1658</v>
      </c>
      <c r="C392" s="4"/>
      <c r="D392" s="3" t="s">
        <v>1659</v>
      </c>
      <c r="E392" s="3">
        <v>22.0</v>
      </c>
      <c r="F392" s="3">
        <f t="shared" si="50"/>
        <v>158.4</v>
      </c>
      <c r="G392" s="6">
        <v>7.2</v>
      </c>
      <c r="H392" s="3" t="s">
        <v>742</v>
      </c>
      <c r="I392" s="48" t="s">
        <v>268</v>
      </c>
      <c r="J392" s="7" t="s">
        <v>1660</v>
      </c>
      <c r="K392" s="3" t="s">
        <v>273</v>
      </c>
      <c r="L392" s="3"/>
      <c r="M392" s="11" t="s">
        <v>1528</v>
      </c>
      <c r="N392" s="3" t="s">
        <v>1451</v>
      </c>
      <c r="O392" s="11" t="s">
        <v>1661</v>
      </c>
      <c r="P392" s="8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3" t="s">
        <v>1662</v>
      </c>
      <c r="B393" s="4" t="s">
        <v>1663</v>
      </c>
      <c r="C393" s="4"/>
      <c r="D393" s="3" t="s">
        <v>1659</v>
      </c>
      <c r="E393" s="3">
        <v>22.0</v>
      </c>
      <c r="F393" s="3">
        <f t="shared" si="50"/>
        <v>189.2</v>
      </c>
      <c r="G393" s="6">
        <v>8.6</v>
      </c>
      <c r="J393" s="7" t="s">
        <v>1664</v>
      </c>
      <c r="K393" s="3" t="s">
        <v>273</v>
      </c>
      <c r="L393" s="3"/>
      <c r="M393" s="11" t="s">
        <v>1528</v>
      </c>
      <c r="N393" s="3" t="s">
        <v>1665</v>
      </c>
      <c r="O393" s="11" t="s">
        <v>1666</v>
      </c>
      <c r="P393" s="8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3" t="s">
        <v>1667</v>
      </c>
      <c r="B394" s="4" t="s">
        <v>1668</v>
      </c>
      <c r="C394" s="4"/>
      <c r="D394" s="3" t="s">
        <v>1659</v>
      </c>
      <c r="E394" s="3">
        <v>22.0</v>
      </c>
      <c r="F394" s="3">
        <f t="shared" si="50"/>
        <v>220</v>
      </c>
      <c r="G394" s="6">
        <v>10.0</v>
      </c>
      <c r="J394" s="7" t="s">
        <v>1669</v>
      </c>
      <c r="K394" s="3" t="s">
        <v>273</v>
      </c>
      <c r="L394" s="3"/>
      <c r="M394" s="11" t="s">
        <v>1528</v>
      </c>
      <c r="N394" s="3" t="s">
        <v>1665</v>
      </c>
      <c r="O394" s="11" t="s">
        <v>1670</v>
      </c>
      <c r="P394" s="8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3" t="s">
        <v>1671</v>
      </c>
      <c r="B395" s="4" t="s">
        <v>1672</v>
      </c>
      <c r="C395" s="4"/>
      <c r="D395" s="3" t="s">
        <v>1659</v>
      </c>
      <c r="E395" s="3">
        <v>22.0</v>
      </c>
      <c r="F395" s="3">
        <f t="shared" si="50"/>
        <v>189.2</v>
      </c>
      <c r="G395" s="6">
        <v>8.6</v>
      </c>
      <c r="J395" s="7" t="s">
        <v>1673</v>
      </c>
      <c r="K395" s="3" t="s">
        <v>273</v>
      </c>
      <c r="L395" s="3"/>
      <c r="M395" s="11" t="s">
        <v>1528</v>
      </c>
      <c r="N395" s="3" t="s">
        <v>1506</v>
      </c>
      <c r="O395" s="11" t="s">
        <v>1674</v>
      </c>
      <c r="P395" s="8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3" t="s">
        <v>1675</v>
      </c>
      <c r="B396" s="4" t="s">
        <v>1676</v>
      </c>
      <c r="C396" s="4">
        <v>2.73274457101E11</v>
      </c>
      <c r="D396" s="3" t="s">
        <v>1677</v>
      </c>
      <c r="E396" s="3">
        <v>20.5</v>
      </c>
      <c r="F396" s="3">
        <f t="shared" si="50"/>
        <v>1025</v>
      </c>
      <c r="G396" s="6">
        <v>50.0</v>
      </c>
      <c r="H396" s="3" t="s">
        <v>1678</v>
      </c>
      <c r="I396" s="47" t="s">
        <v>263</v>
      </c>
      <c r="J396" s="7" t="s">
        <v>1679</v>
      </c>
      <c r="K396" s="3" t="s">
        <v>273</v>
      </c>
      <c r="L396" s="2"/>
      <c r="M396" s="30">
        <v>45600.0</v>
      </c>
      <c r="N396" s="3" t="s">
        <v>1680</v>
      </c>
      <c r="O396" s="66" t="s">
        <v>1681</v>
      </c>
      <c r="P396" s="8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3" t="s">
        <v>1682</v>
      </c>
      <c r="B397" s="4" t="s">
        <v>1683</v>
      </c>
      <c r="C397" s="4">
        <v>2.73227660288E11</v>
      </c>
      <c r="E397" s="3">
        <v>21.0</v>
      </c>
      <c r="F397" s="3">
        <f t="shared" si="50"/>
        <v>262.5</v>
      </c>
      <c r="G397" s="6">
        <v>12.5</v>
      </c>
      <c r="H397" s="3" t="s">
        <v>1678</v>
      </c>
      <c r="I397" s="47" t="s">
        <v>263</v>
      </c>
      <c r="J397" s="7" t="s">
        <v>1684</v>
      </c>
      <c r="K397" s="21" t="s">
        <v>419</v>
      </c>
      <c r="L397" s="2"/>
      <c r="M397" s="30">
        <v>45600.0</v>
      </c>
      <c r="N397" s="3" t="s">
        <v>1327</v>
      </c>
      <c r="O397" s="66" t="s">
        <v>1685</v>
      </c>
      <c r="P397" s="8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3" t="s">
        <v>1686</v>
      </c>
      <c r="B398" s="4" t="s">
        <v>1687</v>
      </c>
      <c r="C398" s="4">
        <v>2.73227525331E11</v>
      </c>
      <c r="E398" s="3">
        <v>21.0</v>
      </c>
      <c r="F398" s="3">
        <f t="shared" si="50"/>
        <v>283.5</v>
      </c>
      <c r="G398" s="6">
        <v>13.5</v>
      </c>
      <c r="H398" s="3" t="s">
        <v>1678</v>
      </c>
      <c r="I398" s="47" t="s">
        <v>263</v>
      </c>
      <c r="J398" s="7" t="s">
        <v>1688</v>
      </c>
      <c r="K398" s="3" t="s">
        <v>273</v>
      </c>
      <c r="L398" s="2"/>
      <c r="M398" s="30">
        <v>45600.0</v>
      </c>
      <c r="N398" s="3" t="s">
        <v>1451</v>
      </c>
      <c r="O398" s="74">
        <v>45417.0</v>
      </c>
      <c r="P398" s="8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3" t="s">
        <v>1689</v>
      </c>
      <c r="B399" s="4" t="s">
        <v>1690</v>
      </c>
      <c r="C399" s="4">
        <v>2.7322768336E11</v>
      </c>
      <c r="E399" s="3">
        <v>14.0</v>
      </c>
      <c r="F399" s="3">
        <f t="shared" si="50"/>
        <v>203</v>
      </c>
      <c r="G399" s="6">
        <v>14.5</v>
      </c>
      <c r="H399" s="3" t="s">
        <v>1678</v>
      </c>
      <c r="I399" s="47" t="s">
        <v>263</v>
      </c>
      <c r="J399" s="7" t="s">
        <v>1691</v>
      </c>
      <c r="K399" s="3" t="s">
        <v>273</v>
      </c>
      <c r="L399" s="2"/>
      <c r="M399" s="30">
        <v>45600.0</v>
      </c>
      <c r="N399" s="3" t="s">
        <v>1451</v>
      </c>
      <c r="O399" s="74">
        <v>45417.0</v>
      </c>
      <c r="P399" s="8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3" t="s">
        <v>1692</v>
      </c>
      <c r="B400" s="4" t="s">
        <v>1693</v>
      </c>
      <c r="C400" s="4">
        <v>2.73227700815E11</v>
      </c>
      <c r="E400" s="3">
        <v>21.0</v>
      </c>
      <c r="F400" s="3">
        <f t="shared" si="50"/>
        <v>336</v>
      </c>
      <c r="G400" s="6">
        <v>16.0</v>
      </c>
      <c r="H400" s="3" t="s">
        <v>1678</v>
      </c>
      <c r="I400" s="47" t="s">
        <v>263</v>
      </c>
      <c r="J400" s="7" t="s">
        <v>1691</v>
      </c>
      <c r="K400" s="3" t="s">
        <v>550</v>
      </c>
      <c r="L400" s="2"/>
      <c r="M400" s="30">
        <v>45600.0</v>
      </c>
      <c r="N400" s="3" t="s">
        <v>1451</v>
      </c>
      <c r="O400" s="74">
        <v>45417.0</v>
      </c>
      <c r="P400" s="8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3" t="s">
        <v>1694</v>
      </c>
      <c r="B401" s="4" t="s">
        <v>1695</v>
      </c>
      <c r="C401" s="4" t="s">
        <v>1696</v>
      </c>
      <c r="D401" s="3" t="s">
        <v>1697</v>
      </c>
      <c r="E401" s="3">
        <v>89.0</v>
      </c>
      <c r="F401" s="3">
        <f t="shared" si="50"/>
        <v>400.5</v>
      </c>
      <c r="G401" s="6">
        <v>4.5</v>
      </c>
      <c r="H401" s="3" t="s">
        <v>1414</v>
      </c>
      <c r="I401" s="47" t="s">
        <v>263</v>
      </c>
      <c r="J401" s="7" t="s">
        <v>1698</v>
      </c>
      <c r="K401" s="3" t="s">
        <v>550</v>
      </c>
      <c r="L401" s="2"/>
      <c r="M401" s="3" t="s">
        <v>1681</v>
      </c>
      <c r="N401" s="3" t="s">
        <v>1506</v>
      </c>
      <c r="O401" s="3" t="s">
        <v>1699</v>
      </c>
      <c r="P401" s="8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3" t="s">
        <v>1700</v>
      </c>
      <c r="B402" s="4" t="s">
        <v>1701</v>
      </c>
      <c r="C402" s="4">
        <v>2.73275386351E11</v>
      </c>
      <c r="E402" s="3">
        <v>168.0</v>
      </c>
      <c r="F402" s="3">
        <f t="shared" si="50"/>
        <v>1344</v>
      </c>
      <c r="G402" s="6">
        <v>8.0</v>
      </c>
      <c r="H402" s="3" t="s">
        <v>1414</v>
      </c>
      <c r="I402" s="47" t="s">
        <v>263</v>
      </c>
      <c r="J402" s="7" t="s">
        <v>1698</v>
      </c>
      <c r="K402" s="3" t="s">
        <v>550</v>
      </c>
      <c r="L402" s="2"/>
      <c r="M402" s="3" t="s">
        <v>1681</v>
      </c>
      <c r="N402" s="3" t="s">
        <v>1506</v>
      </c>
      <c r="O402" s="3" t="s">
        <v>1699</v>
      </c>
      <c r="P402" s="8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3" t="s">
        <v>1702</v>
      </c>
      <c r="B403" s="4" t="s">
        <v>1703</v>
      </c>
      <c r="C403" s="4">
        <v>9.4797024967E10</v>
      </c>
      <c r="E403" s="3">
        <v>29.0</v>
      </c>
      <c r="F403" s="3">
        <f t="shared" si="50"/>
        <v>217.5</v>
      </c>
      <c r="G403" s="6">
        <v>7.5</v>
      </c>
      <c r="H403" s="3" t="s">
        <v>1414</v>
      </c>
      <c r="I403" s="47" t="s">
        <v>263</v>
      </c>
      <c r="J403" s="7" t="s">
        <v>1698</v>
      </c>
      <c r="K403" s="3" t="s">
        <v>273</v>
      </c>
      <c r="L403" s="2"/>
      <c r="M403" s="3" t="s">
        <v>1681</v>
      </c>
      <c r="N403" s="3" t="s">
        <v>1506</v>
      </c>
      <c r="O403" s="3" t="s">
        <v>1699</v>
      </c>
      <c r="P403" s="8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3" t="s">
        <v>1704</v>
      </c>
      <c r="B404" s="4" t="s">
        <v>1705</v>
      </c>
      <c r="C404" s="4">
        <v>6.90254171E8</v>
      </c>
      <c r="E404" s="3">
        <v>171.0</v>
      </c>
      <c r="F404" s="3">
        <f t="shared" si="50"/>
        <v>1111.5</v>
      </c>
      <c r="G404" s="6">
        <v>6.5</v>
      </c>
      <c r="H404" s="3" t="s">
        <v>1414</v>
      </c>
      <c r="I404" s="47" t="s">
        <v>263</v>
      </c>
      <c r="J404" s="7" t="s">
        <v>1698</v>
      </c>
      <c r="K404" s="3" t="s">
        <v>273</v>
      </c>
      <c r="L404" s="2"/>
      <c r="M404" s="3" t="s">
        <v>1681</v>
      </c>
      <c r="N404" s="3" t="s">
        <v>1506</v>
      </c>
      <c r="O404" s="3" t="s">
        <v>1699</v>
      </c>
      <c r="P404" s="8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3" t="s">
        <v>1706</v>
      </c>
      <c r="B405" s="4" t="s">
        <v>1707</v>
      </c>
      <c r="C405" s="4" t="s">
        <v>1708</v>
      </c>
      <c r="E405" s="3">
        <v>32.0</v>
      </c>
      <c r="F405" s="3">
        <f t="shared" si="50"/>
        <v>544</v>
      </c>
      <c r="G405" s="6">
        <v>17.0</v>
      </c>
      <c r="H405" s="3" t="s">
        <v>1414</v>
      </c>
      <c r="I405" s="47" t="s">
        <v>263</v>
      </c>
      <c r="J405" s="7" t="s">
        <v>1709</v>
      </c>
      <c r="K405" s="3" t="s">
        <v>273</v>
      </c>
      <c r="L405" s="2"/>
      <c r="M405" s="3" t="s">
        <v>1681</v>
      </c>
      <c r="N405" s="3" t="s">
        <v>1710</v>
      </c>
      <c r="O405" s="74">
        <v>45478.0</v>
      </c>
      <c r="P405" s="8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3" t="s">
        <v>1711</v>
      </c>
      <c r="B406" s="4" t="s">
        <v>1712</v>
      </c>
      <c r="C406" s="4" t="s">
        <v>1713</v>
      </c>
      <c r="D406" s="4" t="s">
        <v>1714</v>
      </c>
      <c r="E406" s="3">
        <v>42.0</v>
      </c>
      <c r="F406" s="3">
        <f t="shared" si="50"/>
        <v>252</v>
      </c>
      <c r="G406" s="6">
        <v>6.0</v>
      </c>
      <c r="H406" s="3" t="s">
        <v>742</v>
      </c>
      <c r="I406" s="48" t="s">
        <v>268</v>
      </c>
      <c r="J406" s="7" t="s">
        <v>1715</v>
      </c>
      <c r="K406" s="3" t="s">
        <v>273</v>
      </c>
      <c r="L406" s="3"/>
      <c r="M406" s="11" t="s">
        <v>1577</v>
      </c>
      <c r="N406" s="3" t="s">
        <v>1716</v>
      </c>
      <c r="O406" s="11" t="s">
        <v>1717</v>
      </c>
      <c r="P406" s="8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3" t="s">
        <v>1718</v>
      </c>
      <c r="B407" s="4" t="s">
        <v>1719</v>
      </c>
      <c r="C407" s="4" t="s">
        <v>1720</v>
      </c>
      <c r="D407" s="3" t="s">
        <v>1659</v>
      </c>
      <c r="E407" s="3">
        <v>22.0</v>
      </c>
      <c r="F407" s="3">
        <f t="shared" si="50"/>
        <v>182.6</v>
      </c>
      <c r="G407" s="6">
        <v>8.3</v>
      </c>
      <c r="J407" s="7" t="s">
        <v>1721</v>
      </c>
      <c r="K407" s="3" t="s">
        <v>273</v>
      </c>
      <c r="L407" s="3"/>
      <c r="M407" s="11" t="s">
        <v>1577</v>
      </c>
      <c r="N407" s="3" t="s">
        <v>1716</v>
      </c>
      <c r="O407" s="11" t="s">
        <v>1722</v>
      </c>
      <c r="P407" s="8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3" t="s">
        <v>1723</v>
      </c>
      <c r="B408" s="4" t="s">
        <v>1724</v>
      </c>
      <c r="C408" s="4" t="s">
        <v>1725</v>
      </c>
      <c r="D408" s="4" t="s">
        <v>1714</v>
      </c>
      <c r="E408" s="3">
        <v>42.0</v>
      </c>
      <c r="F408" s="3">
        <f t="shared" si="50"/>
        <v>348.6</v>
      </c>
      <c r="G408" s="6">
        <v>8.3</v>
      </c>
      <c r="J408" s="7" t="s">
        <v>1726</v>
      </c>
      <c r="K408" s="3" t="s">
        <v>273</v>
      </c>
      <c r="L408" s="3"/>
      <c r="M408" s="11" t="s">
        <v>1577</v>
      </c>
      <c r="N408" s="3" t="s">
        <v>1716</v>
      </c>
      <c r="O408" s="11" t="s">
        <v>1727</v>
      </c>
      <c r="P408" s="8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3" t="s">
        <v>1728</v>
      </c>
      <c r="B409" s="75" t="s">
        <v>1729</v>
      </c>
      <c r="C409" s="4" t="s">
        <v>1730</v>
      </c>
      <c r="D409" s="3" t="s">
        <v>1659</v>
      </c>
      <c r="E409" s="3">
        <v>22.0</v>
      </c>
      <c r="F409" s="3">
        <f t="shared" si="50"/>
        <v>215.6</v>
      </c>
      <c r="G409" s="6">
        <v>9.8</v>
      </c>
      <c r="J409" s="7" t="s">
        <v>1731</v>
      </c>
      <c r="K409" s="3" t="s">
        <v>273</v>
      </c>
      <c r="L409" s="3"/>
      <c r="M409" s="11" t="s">
        <v>1577</v>
      </c>
      <c r="N409" s="3" t="s">
        <v>1623</v>
      </c>
      <c r="O409" s="11" t="s">
        <v>1732</v>
      </c>
      <c r="P409" s="8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3" t="s">
        <v>1733</v>
      </c>
      <c r="B410" s="32" t="s">
        <v>1734</v>
      </c>
      <c r="C410" s="4"/>
      <c r="D410" s="44" t="s">
        <v>1735</v>
      </c>
      <c r="E410" s="3">
        <v>71.0</v>
      </c>
      <c r="F410" s="6">
        <f>E410*7.4/7.2587+230*90/300/7.2799</f>
        <v>81.86025916</v>
      </c>
      <c r="G410" s="6">
        <f t="shared" ref="G410:G413" si="51">F410/E410</f>
        <v>1.152961397</v>
      </c>
      <c r="H410" s="33" t="s">
        <v>580</v>
      </c>
      <c r="I410" s="3" t="s">
        <v>360</v>
      </c>
      <c r="J410" s="7" t="s">
        <v>1341</v>
      </c>
      <c r="K410" s="3" t="s">
        <v>1535</v>
      </c>
      <c r="L410" s="2"/>
      <c r="M410" s="11" t="s">
        <v>1577</v>
      </c>
      <c r="N410" s="3"/>
      <c r="O410" s="3" t="s">
        <v>1736</v>
      </c>
      <c r="P410" s="8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3" t="s">
        <v>1737</v>
      </c>
      <c r="B411" s="32" t="s">
        <v>1738</v>
      </c>
      <c r="C411" s="4"/>
      <c r="D411" s="44" t="s">
        <v>1735</v>
      </c>
      <c r="E411" s="3">
        <v>47.0</v>
      </c>
      <c r="F411" s="6">
        <f>E411*6.5/7.2587+230*60/300/7.2799</f>
        <v>48.40619424</v>
      </c>
      <c r="G411" s="6">
        <f t="shared" si="51"/>
        <v>1.029919026</v>
      </c>
      <c r="I411" s="3" t="s">
        <v>360</v>
      </c>
      <c r="J411" s="7" t="s">
        <v>1341</v>
      </c>
      <c r="K411" s="21" t="s">
        <v>419</v>
      </c>
      <c r="L411" s="2"/>
      <c r="M411" s="11" t="s">
        <v>1577</v>
      </c>
      <c r="N411" s="3"/>
      <c r="O411" s="30">
        <v>45479.0</v>
      </c>
      <c r="P411" s="8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3" t="s">
        <v>1739</v>
      </c>
      <c r="B412" s="32" t="s">
        <v>1740</v>
      </c>
      <c r="C412" s="4"/>
      <c r="D412" s="44" t="s">
        <v>1735</v>
      </c>
      <c r="E412" s="3">
        <v>72.0</v>
      </c>
      <c r="F412" s="6">
        <f>E412*8.6/7.2587+230*90/300/7.2799</f>
        <v>94.78268329</v>
      </c>
      <c r="G412" s="6">
        <f t="shared" si="51"/>
        <v>1.316426157</v>
      </c>
      <c r="I412" s="3" t="s">
        <v>360</v>
      </c>
      <c r="J412" s="7" t="s">
        <v>1341</v>
      </c>
      <c r="K412" s="3" t="s">
        <v>273</v>
      </c>
      <c r="L412" s="2"/>
      <c r="M412" s="11" t="s">
        <v>1577</v>
      </c>
      <c r="N412" s="3"/>
      <c r="O412" s="3" t="s">
        <v>1736</v>
      </c>
      <c r="P412" s="8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3" t="s">
        <v>1741</v>
      </c>
      <c r="B413" s="32" t="s">
        <v>1742</v>
      </c>
      <c r="C413" s="4"/>
      <c r="D413" s="44" t="s">
        <v>1735</v>
      </c>
      <c r="E413" s="3">
        <v>49.0</v>
      </c>
      <c r="F413" s="6">
        <f>E413*8.6/7.2587+230*60/300/7.2799</f>
        <v>64.37324068</v>
      </c>
      <c r="G413" s="6">
        <f t="shared" si="51"/>
        <v>1.313739606</v>
      </c>
      <c r="I413" s="3" t="s">
        <v>360</v>
      </c>
      <c r="J413" s="7" t="s">
        <v>1341</v>
      </c>
      <c r="K413" s="3" t="s">
        <v>273</v>
      </c>
      <c r="L413" s="2"/>
      <c r="M413" s="11" t="s">
        <v>1577</v>
      </c>
      <c r="N413" s="3"/>
      <c r="O413" s="3" t="s">
        <v>1736</v>
      </c>
      <c r="P413" s="8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3" t="s">
        <v>1743</v>
      </c>
      <c r="B414" s="4" t="s">
        <v>1744</v>
      </c>
      <c r="C414" s="4"/>
      <c r="D414" s="4" t="s">
        <v>1647</v>
      </c>
      <c r="E414" s="3">
        <v>22.0</v>
      </c>
      <c r="F414" s="3">
        <f>E414*10</f>
        <v>220</v>
      </c>
      <c r="G414" s="3">
        <v>9.0</v>
      </c>
      <c r="H414" s="3" t="s">
        <v>1090</v>
      </c>
      <c r="I414" s="48" t="s">
        <v>268</v>
      </c>
      <c r="J414" s="7" t="s">
        <v>1596</v>
      </c>
      <c r="K414" s="2" t="s">
        <v>1514</v>
      </c>
      <c r="L414" s="3"/>
      <c r="M414" s="11" t="s">
        <v>1745</v>
      </c>
      <c r="N414" s="3" t="s">
        <v>1746</v>
      </c>
      <c r="O414" s="11" t="s">
        <v>1747</v>
      </c>
      <c r="P414" s="8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3" t="s">
        <v>1748</v>
      </c>
      <c r="B415" s="4" t="s">
        <v>1749</v>
      </c>
      <c r="C415" s="4"/>
      <c r="D415" s="4" t="s">
        <v>1647</v>
      </c>
      <c r="E415" s="3">
        <v>22.0</v>
      </c>
      <c r="F415" s="3">
        <f t="shared" ref="F415:F417" si="52">E415*G415</f>
        <v>125.4</v>
      </c>
      <c r="G415" s="3">
        <v>5.7</v>
      </c>
      <c r="J415" s="7" t="s">
        <v>1750</v>
      </c>
      <c r="K415" s="3" t="s">
        <v>273</v>
      </c>
      <c r="L415" s="3"/>
      <c r="M415" s="11" t="s">
        <v>1745</v>
      </c>
      <c r="N415" s="3" t="s">
        <v>1751</v>
      </c>
      <c r="O415" s="11" t="s">
        <v>1752</v>
      </c>
      <c r="P415" s="8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3" t="s">
        <v>1753</v>
      </c>
      <c r="B416" s="4" t="s">
        <v>1754</v>
      </c>
      <c r="C416" s="4"/>
      <c r="D416" s="4" t="s">
        <v>1755</v>
      </c>
      <c r="E416" s="3">
        <v>22.0</v>
      </c>
      <c r="F416" s="3">
        <f t="shared" si="52"/>
        <v>176</v>
      </c>
      <c r="G416" s="3">
        <v>8.0</v>
      </c>
      <c r="J416" s="7" t="s">
        <v>1585</v>
      </c>
      <c r="K416" s="3" t="s">
        <v>273</v>
      </c>
      <c r="L416" s="3"/>
      <c r="M416" s="11" t="s">
        <v>1745</v>
      </c>
      <c r="N416" s="3" t="s">
        <v>1546</v>
      </c>
      <c r="O416" s="11" t="s">
        <v>1756</v>
      </c>
      <c r="P416" s="8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3" t="s">
        <v>1757</v>
      </c>
      <c r="B417" s="4" t="s">
        <v>1758</v>
      </c>
      <c r="C417" s="4">
        <v>2.73455954286E11</v>
      </c>
      <c r="D417" s="4" t="s">
        <v>1755</v>
      </c>
      <c r="E417" s="3">
        <v>22.0</v>
      </c>
      <c r="F417" s="3">
        <f t="shared" si="52"/>
        <v>297</v>
      </c>
      <c r="G417" s="3">
        <v>13.5</v>
      </c>
      <c r="J417" s="76" t="s">
        <v>1759</v>
      </c>
      <c r="K417" s="2" t="s">
        <v>1514</v>
      </c>
      <c r="L417" s="3"/>
      <c r="M417" s="11" t="s">
        <v>1745</v>
      </c>
      <c r="N417" s="3" t="s">
        <v>1387</v>
      </c>
      <c r="O417" s="11" t="s">
        <v>1760</v>
      </c>
      <c r="P417" s="8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3" t="s">
        <v>1761</v>
      </c>
      <c r="B418" s="4" t="s">
        <v>1762</v>
      </c>
      <c r="C418" s="4"/>
      <c r="D418" s="77" t="s">
        <v>1763</v>
      </c>
      <c r="E418" s="3">
        <v>85.0</v>
      </c>
      <c r="F418" s="6">
        <f>E418*6.5/7.1938</f>
        <v>76.80224638</v>
      </c>
      <c r="G418" s="6">
        <f>F418/E418</f>
        <v>0.9035558398</v>
      </c>
      <c r="H418" s="3" t="s">
        <v>672</v>
      </c>
      <c r="I418" s="3" t="s">
        <v>360</v>
      </c>
      <c r="J418" s="7" t="s">
        <v>1341</v>
      </c>
      <c r="K418" s="3" t="s">
        <v>550</v>
      </c>
      <c r="L418" s="2"/>
      <c r="M418" s="30">
        <v>45296.0</v>
      </c>
      <c r="N418" s="3"/>
      <c r="O418" s="30">
        <v>45297.0</v>
      </c>
      <c r="P418" s="8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3" t="s">
        <v>1764</v>
      </c>
      <c r="B419" s="4" t="s">
        <v>1765</v>
      </c>
      <c r="C419" s="4"/>
      <c r="D419" s="3" t="s">
        <v>1766</v>
      </c>
      <c r="E419" s="3">
        <v>191.0</v>
      </c>
      <c r="F419" s="3">
        <f t="shared" ref="F419:F423" si="53">E419*G419</f>
        <v>2196.5</v>
      </c>
      <c r="G419" s="6">
        <v>11.5</v>
      </c>
      <c r="H419" s="3" t="s">
        <v>1767</v>
      </c>
      <c r="I419" s="47" t="s">
        <v>263</v>
      </c>
      <c r="J419" s="7" t="s">
        <v>1768</v>
      </c>
      <c r="K419" s="3" t="s">
        <v>273</v>
      </c>
      <c r="L419" s="2"/>
      <c r="M419" s="30">
        <v>45296.0</v>
      </c>
      <c r="N419" s="3" t="s">
        <v>1612</v>
      </c>
      <c r="O419" s="3" t="s">
        <v>1769</v>
      </c>
      <c r="P419" s="8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3" t="s">
        <v>1770</v>
      </c>
      <c r="B420" s="4" t="s">
        <v>1771</v>
      </c>
      <c r="C420" s="4"/>
      <c r="E420" s="3">
        <v>107.0</v>
      </c>
      <c r="F420" s="3">
        <f t="shared" si="53"/>
        <v>1230.5</v>
      </c>
      <c r="G420" s="6">
        <v>11.5</v>
      </c>
      <c r="H420" s="3" t="s">
        <v>1767</v>
      </c>
      <c r="I420" s="47" t="s">
        <v>263</v>
      </c>
      <c r="J420" s="7" t="s">
        <v>1341</v>
      </c>
      <c r="K420" s="21" t="s">
        <v>419</v>
      </c>
      <c r="L420" s="2"/>
      <c r="M420" s="30">
        <v>45296.0</v>
      </c>
      <c r="N420" s="3" t="s">
        <v>1451</v>
      </c>
      <c r="O420" s="3" t="s">
        <v>1772</v>
      </c>
      <c r="P420" s="8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3" t="s">
        <v>1773</v>
      </c>
      <c r="B421" s="4" t="s">
        <v>1774</v>
      </c>
      <c r="C421" s="4">
        <v>7.7608496479E11</v>
      </c>
      <c r="E421" s="3">
        <v>126.0</v>
      </c>
      <c r="F421" s="3">
        <f t="shared" si="53"/>
        <v>1575</v>
      </c>
      <c r="G421" s="6">
        <v>12.5</v>
      </c>
      <c r="H421" s="3" t="s">
        <v>1767</v>
      </c>
      <c r="I421" s="47" t="s">
        <v>263</v>
      </c>
      <c r="J421" s="7" t="s">
        <v>1775</v>
      </c>
      <c r="K421" s="3" t="s">
        <v>550</v>
      </c>
      <c r="L421" s="2"/>
      <c r="M421" s="30">
        <v>45296.0</v>
      </c>
      <c r="N421" s="3" t="s">
        <v>1327</v>
      </c>
      <c r="O421" s="3" t="s">
        <v>1776</v>
      </c>
      <c r="P421" s="8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3" t="s">
        <v>1777</v>
      </c>
      <c r="B422" s="4" t="s">
        <v>1778</v>
      </c>
      <c r="C422" s="4">
        <v>7.057218686E9</v>
      </c>
      <c r="E422" s="3">
        <v>63.0</v>
      </c>
      <c r="F422" s="3">
        <f t="shared" si="53"/>
        <v>693</v>
      </c>
      <c r="G422" s="6">
        <v>11.0</v>
      </c>
      <c r="H422" s="3" t="s">
        <v>1767</v>
      </c>
      <c r="I422" s="47" t="s">
        <v>263</v>
      </c>
      <c r="J422" s="7" t="s">
        <v>1779</v>
      </c>
      <c r="K422" s="3" t="s">
        <v>273</v>
      </c>
      <c r="L422" s="2"/>
      <c r="M422" s="3" t="s">
        <v>1780</v>
      </c>
      <c r="N422" s="3" t="s">
        <v>1612</v>
      </c>
      <c r="O422" s="30">
        <v>45570.0</v>
      </c>
      <c r="P422" s="8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3" t="s">
        <v>1781</v>
      </c>
      <c r="B423" s="52" t="s">
        <v>1782</v>
      </c>
      <c r="C423" s="4">
        <v>1.18610008591E11</v>
      </c>
      <c r="E423" s="3">
        <v>170.0</v>
      </c>
      <c r="F423" s="3">
        <f t="shared" si="53"/>
        <v>1496</v>
      </c>
      <c r="G423" s="6">
        <v>8.8</v>
      </c>
      <c r="H423" s="3" t="s">
        <v>1767</v>
      </c>
      <c r="I423" s="47" t="s">
        <v>263</v>
      </c>
      <c r="J423" s="7" t="s">
        <v>1783</v>
      </c>
      <c r="K423" s="3" t="s">
        <v>1784</v>
      </c>
      <c r="M423" s="30">
        <v>45296.0</v>
      </c>
      <c r="N423" s="3" t="s">
        <v>1785</v>
      </c>
      <c r="O423" s="3" t="s">
        <v>1786</v>
      </c>
      <c r="P423" s="8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3" t="s">
        <v>1787</v>
      </c>
      <c r="B424" s="4" t="s">
        <v>1788</v>
      </c>
      <c r="C424" s="4">
        <v>2.74025416847E11</v>
      </c>
      <c r="D424" s="4" t="s">
        <v>1789</v>
      </c>
      <c r="E424" s="3">
        <v>17.0</v>
      </c>
      <c r="F424" s="6">
        <f>E424*58.5/7.2587+20/7.2799</f>
        <v>139.7552947</v>
      </c>
      <c r="G424" s="6">
        <f t="shared" ref="G424:G425" si="54">F424/E424</f>
        <v>8.220899687</v>
      </c>
      <c r="H424" s="3" t="s">
        <v>1790</v>
      </c>
      <c r="I424" s="3" t="s">
        <v>360</v>
      </c>
      <c r="J424" s="7" t="s">
        <v>1791</v>
      </c>
      <c r="K424" s="21" t="s">
        <v>419</v>
      </c>
      <c r="L424" s="3"/>
      <c r="M424" s="3"/>
      <c r="N424" s="3"/>
      <c r="O424" s="3"/>
      <c r="P424" s="8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6.5" customHeight="1">
      <c r="A425" s="3" t="s">
        <v>1792</v>
      </c>
      <c r="B425" s="4" t="s">
        <v>1793</v>
      </c>
      <c r="C425" s="4" t="s">
        <v>1794</v>
      </c>
      <c r="D425" s="4" t="s">
        <v>1795</v>
      </c>
      <c r="E425" s="3">
        <v>16.0</v>
      </c>
      <c r="F425" s="6">
        <f>E425*50/7.2587+20/7.2799</f>
        <v>112.959863</v>
      </c>
      <c r="G425" s="6">
        <f t="shared" si="54"/>
        <v>7.059991436</v>
      </c>
      <c r="H425" s="3" t="s">
        <v>1790</v>
      </c>
      <c r="I425" s="3" t="s">
        <v>360</v>
      </c>
      <c r="J425" s="7" t="s">
        <v>1796</v>
      </c>
      <c r="K425" s="3" t="s">
        <v>273</v>
      </c>
      <c r="L425" s="2"/>
      <c r="M425" s="3"/>
      <c r="N425" s="3"/>
      <c r="O425" s="3"/>
      <c r="P425" s="8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3" t="s">
        <v>1797</v>
      </c>
      <c r="B426" s="4" t="s">
        <v>1798</v>
      </c>
      <c r="C426" s="4">
        <v>2.74268382291E11</v>
      </c>
      <c r="D426" s="4" t="s">
        <v>1799</v>
      </c>
      <c r="E426" s="3">
        <v>150.0</v>
      </c>
      <c r="F426" s="3">
        <f t="shared" ref="F426:F430" si="55">E426*G426</f>
        <v>2325</v>
      </c>
      <c r="G426" s="6">
        <v>15.5</v>
      </c>
      <c r="H426" s="13" t="s">
        <v>31</v>
      </c>
      <c r="I426" s="48" t="s">
        <v>268</v>
      </c>
      <c r="J426" s="7" t="s">
        <v>1800</v>
      </c>
      <c r="K426" s="2" t="s">
        <v>1514</v>
      </c>
      <c r="L426" s="3"/>
      <c r="M426" s="30">
        <v>45540.0</v>
      </c>
      <c r="N426" s="3" t="s">
        <v>1801</v>
      </c>
      <c r="O426" s="3" t="s">
        <v>1802</v>
      </c>
      <c r="P426" s="8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3" t="s">
        <v>1803</v>
      </c>
      <c r="B427" s="4" t="s">
        <v>1804</v>
      </c>
      <c r="C427" s="4"/>
      <c r="D427" s="4" t="s">
        <v>1805</v>
      </c>
      <c r="E427" s="3">
        <v>23.0</v>
      </c>
      <c r="F427" s="3">
        <f t="shared" si="55"/>
        <v>131.1</v>
      </c>
      <c r="G427" s="6">
        <v>5.7</v>
      </c>
      <c r="J427" s="7" t="s">
        <v>1806</v>
      </c>
      <c r="K427" s="2" t="s">
        <v>1514</v>
      </c>
      <c r="L427" s="3"/>
      <c r="M427" s="3" t="s">
        <v>1807</v>
      </c>
      <c r="N427" s="3" t="s">
        <v>1716</v>
      </c>
      <c r="O427" s="3" t="s">
        <v>1808</v>
      </c>
      <c r="P427" s="8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3" t="s">
        <v>1809</v>
      </c>
      <c r="B428" s="4" t="s">
        <v>1810</v>
      </c>
      <c r="C428" s="4" t="s">
        <v>1811</v>
      </c>
      <c r="D428" s="3" t="s">
        <v>1812</v>
      </c>
      <c r="E428" s="3">
        <v>21.0</v>
      </c>
      <c r="F428" s="3">
        <f t="shared" si="55"/>
        <v>262.5</v>
      </c>
      <c r="G428" s="6">
        <v>12.5</v>
      </c>
      <c r="J428" s="76" t="s">
        <v>1813</v>
      </c>
      <c r="K428" s="21" t="s">
        <v>1814</v>
      </c>
      <c r="L428" s="3"/>
      <c r="M428" s="3" t="s">
        <v>1815</v>
      </c>
      <c r="N428" s="3" t="s">
        <v>1653</v>
      </c>
      <c r="O428" s="3" t="s">
        <v>1816</v>
      </c>
      <c r="P428" s="8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3" t="s">
        <v>1817</v>
      </c>
      <c r="B429" s="4" t="s">
        <v>1818</v>
      </c>
      <c r="C429" s="4" t="s">
        <v>1819</v>
      </c>
      <c r="D429" s="3" t="s">
        <v>1820</v>
      </c>
      <c r="E429" s="3">
        <v>22.0</v>
      </c>
      <c r="F429" s="3">
        <f t="shared" si="55"/>
        <v>297</v>
      </c>
      <c r="G429" s="6">
        <v>13.5</v>
      </c>
      <c r="J429" s="7" t="s">
        <v>1821</v>
      </c>
      <c r="K429" s="2" t="s">
        <v>1514</v>
      </c>
      <c r="L429" s="3"/>
      <c r="M429" s="3" t="s">
        <v>1807</v>
      </c>
      <c r="N429" s="3" t="s">
        <v>1506</v>
      </c>
      <c r="O429" s="11" t="s">
        <v>1822</v>
      </c>
      <c r="P429" s="8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3" t="s">
        <v>1823</v>
      </c>
      <c r="B430" s="4" t="s">
        <v>1824</v>
      </c>
      <c r="C430" s="4" t="s">
        <v>1825</v>
      </c>
      <c r="D430" s="3" t="s">
        <v>1820</v>
      </c>
      <c r="E430" s="3">
        <v>23.0</v>
      </c>
      <c r="F430" s="3">
        <f t="shared" si="55"/>
        <v>310.5</v>
      </c>
      <c r="G430" s="6">
        <v>13.5</v>
      </c>
      <c r="J430" s="7" t="s">
        <v>1826</v>
      </c>
      <c r="K430" s="3" t="s">
        <v>273</v>
      </c>
      <c r="L430" s="3"/>
      <c r="M430" s="3" t="s">
        <v>1807</v>
      </c>
      <c r="N430" s="3" t="s">
        <v>1506</v>
      </c>
      <c r="O430" s="11" t="s">
        <v>1827</v>
      </c>
      <c r="P430" s="8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3" t="s">
        <v>1828</v>
      </c>
      <c r="B431" s="4" t="s">
        <v>1829</v>
      </c>
      <c r="C431" s="4"/>
      <c r="D431" s="3" t="s">
        <v>1830</v>
      </c>
      <c r="E431" s="3">
        <v>34.0</v>
      </c>
      <c r="F431" s="6">
        <f>E431*8.2/7.1938</f>
        <v>38.7555951</v>
      </c>
      <c r="G431" s="6">
        <f t="shared" ref="G431:G434" si="56">F431/E431</f>
        <v>1.139870444</v>
      </c>
      <c r="H431" s="3" t="s">
        <v>724</v>
      </c>
      <c r="I431" s="3" t="s">
        <v>360</v>
      </c>
      <c r="J431" s="7" t="s">
        <v>1831</v>
      </c>
      <c r="K431" s="3" t="s">
        <v>273</v>
      </c>
      <c r="L431" s="3"/>
      <c r="M431" s="3"/>
      <c r="N431" s="3"/>
      <c r="O431" s="3"/>
      <c r="P431" s="8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3" t="s">
        <v>1832</v>
      </c>
      <c r="B432" s="4" t="s">
        <v>1833</v>
      </c>
      <c r="C432" s="4"/>
      <c r="D432" s="3" t="s">
        <v>1830</v>
      </c>
      <c r="E432" s="3">
        <v>17.0</v>
      </c>
      <c r="F432" s="6">
        <f>E432*8/7.1938</f>
        <v>18.90516834</v>
      </c>
      <c r="G432" s="6">
        <f t="shared" si="56"/>
        <v>1.112068726</v>
      </c>
      <c r="H432" s="3" t="s">
        <v>724</v>
      </c>
      <c r="I432" s="3" t="s">
        <v>360</v>
      </c>
      <c r="J432" s="7" t="s">
        <v>1831</v>
      </c>
      <c r="K432" s="3" t="s">
        <v>273</v>
      </c>
      <c r="L432" s="3"/>
      <c r="M432" s="3"/>
      <c r="N432" s="3"/>
      <c r="O432" s="3"/>
      <c r="P432" s="8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3" t="s">
        <v>1834</v>
      </c>
      <c r="B433" s="4" t="s">
        <v>1835</v>
      </c>
      <c r="C433" s="4"/>
      <c r="D433" s="3" t="s">
        <v>1830</v>
      </c>
      <c r="E433" s="3">
        <v>34.0</v>
      </c>
      <c r="F433" s="6">
        <f>E433*5.7/7.1938</f>
        <v>26.93986488</v>
      </c>
      <c r="G433" s="6">
        <f t="shared" si="56"/>
        <v>0.7923489672</v>
      </c>
      <c r="H433" s="3" t="s">
        <v>724</v>
      </c>
      <c r="I433" s="3" t="s">
        <v>360</v>
      </c>
      <c r="J433" s="7" t="s">
        <v>1831</v>
      </c>
      <c r="K433" s="3" t="s">
        <v>273</v>
      </c>
      <c r="L433" s="3"/>
      <c r="M433" s="3"/>
      <c r="N433" s="3"/>
      <c r="O433" s="3"/>
      <c r="P433" s="8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3" t="s">
        <v>1836</v>
      </c>
      <c r="B434" s="4" t="s">
        <v>1837</v>
      </c>
      <c r="C434" s="4"/>
      <c r="D434" s="3" t="s">
        <v>1830</v>
      </c>
      <c r="E434" s="3">
        <v>34.0</v>
      </c>
      <c r="F434" s="6">
        <f>E434*8/7.1938</f>
        <v>37.81033668</v>
      </c>
      <c r="G434" s="6">
        <f t="shared" si="56"/>
        <v>1.112068726</v>
      </c>
      <c r="H434" s="3" t="s">
        <v>724</v>
      </c>
      <c r="I434" s="3" t="s">
        <v>360</v>
      </c>
      <c r="J434" s="7" t="s">
        <v>1831</v>
      </c>
      <c r="K434" s="2" t="s">
        <v>1838</v>
      </c>
      <c r="L434" s="3"/>
      <c r="M434" s="3"/>
      <c r="N434" s="3"/>
      <c r="O434" s="3"/>
      <c r="P434" s="8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3" t="s">
        <v>1839</v>
      </c>
      <c r="B435" s="75" t="s">
        <v>1840</v>
      </c>
      <c r="C435" s="4"/>
      <c r="D435" s="3" t="s">
        <v>1841</v>
      </c>
      <c r="E435" s="3">
        <v>23.0</v>
      </c>
      <c r="F435" s="3">
        <f>E435*G435</f>
        <v>188.6</v>
      </c>
      <c r="G435" s="6">
        <v>8.2</v>
      </c>
      <c r="H435" s="3" t="s">
        <v>724</v>
      </c>
      <c r="I435" s="38" t="s">
        <v>268</v>
      </c>
      <c r="J435" s="7" t="s">
        <v>1842</v>
      </c>
      <c r="K435" s="3" t="s">
        <v>273</v>
      </c>
      <c r="L435" s="3"/>
      <c r="M435" s="30">
        <v>45540.0</v>
      </c>
      <c r="N435" s="3" t="s">
        <v>1843</v>
      </c>
      <c r="O435" s="3" t="s">
        <v>1844</v>
      </c>
      <c r="P435" s="8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3" t="s">
        <v>1845</v>
      </c>
      <c r="B436" s="4" t="s">
        <v>1846</v>
      </c>
      <c r="C436" s="4"/>
      <c r="D436" s="77" t="s">
        <v>1847</v>
      </c>
      <c r="E436" s="3">
        <v>48.0</v>
      </c>
      <c r="F436" s="6">
        <f>E436*8.7/7.1938</f>
        <v>58.04998749</v>
      </c>
      <c r="G436" s="6">
        <f t="shared" ref="G436:G440" si="57">F436/E436</f>
        <v>1.209374739</v>
      </c>
      <c r="H436" s="3" t="s">
        <v>1848</v>
      </c>
      <c r="I436" s="3" t="s">
        <v>360</v>
      </c>
      <c r="J436" s="7" t="s">
        <v>1341</v>
      </c>
      <c r="K436" s="3" t="s">
        <v>1535</v>
      </c>
      <c r="L436" s="3"/>
      <c r="M436" s="3" t="s">
        <v>1736</v>
      </c>
      <c r="N436" s="3"/>
      <c r="O436" s="3" t="s">
        <v>1849</v>
      </c>
      <c r="P436" s="8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3" t="s">
        <v>1850</v>
      </c>
      <c r="B437" s="4" t="s">
        <v>1851</v>
      </c>
      <c r="C437" s="4">
        <v>7.76340803485E11</v>
      </c>
      <c r="D437" s="77" t="s">
        <v>1852</v>
      </c>
      <c r="E437" s="3">
        <v>115.0</v>
      </c>
      <c r="F437" s="6">
        <f>(E437*14.5+155)/7.1938-200/3/7.2362</f>
        <v>244.130218</v>
      </c>
      <c r="G437" s="6">
        <f t="shared" si="57"/>
        <v>2.12287146</v>
      </c>
      <c r="H437" s="3" t="s">
        <v>1848</v>
      </c>
      <c r="I437" s="3" t="s">
        <v>360</v>
      </c>
      <c r="J437" s="7" t="s">
        <v>1853</v>
      </c>
      <c r="K437" s="21" t="s">
        <v>419</v>
      </c>
      <c r="L437" s="3"/>
      <c r="M437" s="3" t="s">
        <v>1736</v>
      </c>
      <c r="N437" s="3"/>
      <c r="O437" s="30">
        <v>45388.0</v>
      </c>
      <c r="P437" s="8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3" t="s">
        <v>1854</v>
      </c>
      <c r="B438" s="4" t="s">
        <v>1855</v>
      </c>
      <c r="C438" s="4"/>
      <c r="D438" s="77" t="s">
        <v>1847</v>
      </c>
      <c r="E438" s="3">
        <v>116.0</v>
      </c>
      <c r="F438" s="6">
        <f>E438*7.4/7.1938</f>
        <v>119.3249743</v>
      </c>
      <c r="G438" s="6">
        <f t="shared" si="57"/>
        <v>1.028663571</v>
      </c>
      <c r="H438" s="3" t="s">
        <v>1848</v>
      </c>
      <c r="I438" s="3" t="s">
        <v>360</v>
      </c>
      <c r="J438" s="7" t="s">
        <v>1341</v>
      </c>
      <c r="K438" s="2" t="s">
        <v>1856</v>
      </c>
      <c r="L438" s="3"/>
      <c r="M438" s="3" t="s">
        <v>1736</v>
      </c>
      <c r="N438" s="3"/>
      <c r="O438" s="3" t="s">
        <v>1849</v>
      </c>
      <c r="P438" s="8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8.75" customHeight="1">
      <c r="A439" s="3" t="s">
        <v>1857</v>
      </c>
      <c r="B439" s="4" t="s">
        <v>1858</v>
      </c>
      <c r="C439" s="4">
        <v>7.76340797166E11</v>
      </c>
      <c r="D439" s="78" t="s">
        <v>1859</v>
      </c>
      <c r="E439" s="3">
        <v>167.0</v>
      </c>
      <c r="F439" s="6">
        <f>(E439*13.5+155*2)/7.1938-200/3*2/7.2362</f>
        <v>338.0616536</v>
      </c>
      <c r="G439" s="6">
        <f t="shared" si="57"/>
        <v>2.024321279</v>
      </c>
      <c r="H439" s="3" t="s">
        <v>1848</v>
      </c>
      <c r="I439" s="3" t="s">
        <v>360</v>
      </c>
      <c r="J439" s="7" t="s">
        <v>1853</v>
      </c>
      <c r="K439" s="3" t="s">
        <v>1535</v>
      </c>
      <c r="L439" s="3"/>
      <c r="M439" s="3"/>
      <c r="N439" s="3"/>
      <c r="O439" s="3"/>
      <c r="P439" s="8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3" t="s">
        <v>1860</v>
      </c>
      <c r="B440" s="4" t="s">
        <v>1861</v>
      </c>
      <c r="C440" s="4"/>
      <c r="D440" s="77" t="s">
        <v>1847</v>
      </c>
      <c r="E440" s="3">
        <v>35.0</v>
      </c>
      <c r="F440" s="6">
        <f>E440*7.3/7.1938</f>
        <v>35.51669493</v>
      </c>
      <c r="G440" s="6">
        <f t="shared" si="57"/>
        <v>1.014762712</v>
      </c>
      <c r="H440" s="3" t="s">
        <v>1848</v>
      </c>
      <c r="I440" s="3" t="s">
        <v>360</v>
      </c>
      <c r="J440" s="7" t="s">
        <v>1341</v>
      </c>
      <c r="K440" s="3" t="s">
        <v>273</v>
      </c>
      <c r="L440" s="3"/>
      <c r="M440" s="3"/>
      <c r="N440" s="3"/>
      <c r="O440" s="3"/>
      <c r="P440" s="8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3" t="s">
        <v>1862</v>
      </c>
      <c r="B441" s="4" t="s">
        <v>1863</v>
      </c>
      <c r="C441" s="4"/>
      <c r="D441" s="3" t="s">
        <v>1864</v>
      </c>
      <c r="E441" s="3">
        <v>22.0</v>
      </c>
      <c r="F441" s="3">
        <f t="shared" ref="F441:F453" si="58">E441*G441</f>
        <v>184.8</v>
      </c>
      <c r="G441" s="6">
        <v>8.4</v>
      </c>
      <c r="H441" s="3" t="s">
        <v>742</v>
      </c>
      <c r="I441" s="48" t="s">
        <v>268</v>
      </c>
      <c r="J441" s="7" t="s">
        <v>1865</v>
      </c>
      <c r="K441" s="3" t="s">
        <v>1535</v>
      </c>
      <c r="L441" s="2"/>
      <c r="M441" s="3" t="s">
        <v>1807</v>
      </c>
      <c r="N441" s="3" t="s">
        <v>1785</v>
      </c>
      <c r="O441" s="11" t="s">
        <v>1866</v>
      </c>
      <c r="P441" s="8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3" t="s">
        <v>1867</v>
      </c>
      <c r="B442" s="4" t="s">
        <v>1868</v>
      </c>
      <c r="C442" s="4"/>
      <c r="D442" s="3" t="s">
        <v>1864</v>
      </c>
      <c r="E442" s="3">
        <v>22.0</v>
      </c>
      <c r="F442" s="3">
        <f t="shared" si="58"/>
        <v>184.8</v>
      </c>
      <c r="G442" s="6">
        <v>8.4</v>
      </c>
      <c r="J442" s="7" t="s">
        <v>1869</v>
      </c>
      <c r="K442" s="21" t="s">
        <v>419</v>
      </c>
      <c r="L442" s="2"/>
      <c r="M442" s="3" t="s">
        <v>1807</v>
      </c>
      <c r="N442" s="3" t="s">
        <v>1785</v>
      </c>
      <c r="O442" s="11" t="s">
        <v>1870</v>
      </c>
      <c r="P442" s="8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3" t="s">
        <v>1871</v>
      </c>
      <c r="B443" s="4" t="s">
        <v>1872</v>
      </c>
      <c r="C443" s="4"/>
      <c r="D443" s="3" t="s">
        <v>1864</v>
      </c>
      <c r="E443" s="3">
        <v>22.0</v>
      </c>
      <c r="F443" s="3">
        <f t="shared" si="58"/>
        <v>162.8</v>
      </c>
      <c r="G443" s="6">
        <v>7.4</v>
      </c>
      <c r="J443" s="7" t="s">
        <v>1873</v>
      </c>
      <c r="K443" s="3" t="s">
        <v>273</v>
      </c>
      <c r="L443" s="2"/>
      <c r="M443" s="3" t="s">
        <v>1807</v>
      </c>
      <c r="N443" s="3" t="s">
        <v>1716</v>
      </c>
      <c r="O443" s="11" t="s">
        <v>1808</v>
      </c>
      <c r="P443" s="8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3" t="s">
        <v>1874</v>
      </c>
      <c r="B444" s="4" t="s">
        <v>1875</v>
      </c>
      <c r="C444" s="4"/>
      <c r="D444" s="3" t="s">
        <v>1864</v>
      </c>
      <c r="E444" s="3">
        <v>43.0</v>
      </c>
      <c r="F444" s="3">
        <f t="shared" si="58"/>
        <v>318.2</v>
      </c>
      <c r="G444" s="6">
        <v>7.4</v>
      </c>
      <c r="J444" s="7" t="s">
        <v>1876</v>
      </c>
      <c r="K444" s="3" t="s">
        <v>273</v>
      </c>
      <c r="L444" s="2"/>
      <c r="M444" s="3" t="s">
        <v>1807</v>
      </c>
      <c r="N444" s="3" t="s">
        <v>1716</v>
      </c>
      <c r="O444" s="11" t="s">
        <v>1877</v>
      </c>
      <c r="P444" s="8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3" t="s">
        <v>1878</v>
      </c>
      <c r="B445" s="4" t="s">
        <v>1879</v>
      </c>
      <c r="C445" s="4">
        <v>6.37275833E8</v>
      </c>
      <c r="D445" s="3" t="s">
        <v>1880</v>
      </c>
      <c r="E445" s="3">
        <v>79.0</v>
      </c>
      <c r="F445" s="3">
        <f t="shared" si="58"/>
        <v>711</v>
      </c>
      <c r="G445" s="6">
        <v>9.0</v>
      </c>
      <c r="H445" s="3" t="s">
        <v>1881</v>
      </c>
      <c r="I445" s="47" t="s">
        <v>263</v>
      </c>
      <c r="J445" s="7" t="s">
        <v>1882</v>
      </c>
      <c r="K445" s="21" t="s">
        <v>419</v>
      </c>
      <c r="L445" s="3"/>
      <c r="M445" s="3" t="s">
        <v>1807</v>
      </c>
      <c r="N445" s="3" t="s">
        <v>1883</v>
      </c>
      <c r="O445" s="66" t="s">
        <v>1884</v>
      </c>
      <c r="P445" s="8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3" t="s">
        <v>1885</v>
      </c>
      <c r="B446" s="4" t="s">
        <v>1886</v>
      </c>
      <c r="C446" s="4">
        <v>8.55228703E8</v>
      </c>
      <c r="D446" s="3" t="s">
        <v>1880</v>
      </c>
      <c r="E446" s="3">
        <v>108.0</v>
      </c>
      <c r="F446" s="3">
        <f t="shared" si="58"/>
        <v>918</v>
      </c>
      <c r="G446" s="6">
        <v>8.5</v>
      </c>
      <c r="H446" s="3" t="s">
        <v>1887</v>
      </c>
      <c r="J446" s="7" t="s">
        <v>1882</v>
      </c>
      <c r="K446" s="3" t="s">
        <v>273</v>
      </c>
      <c r="L446" s="3"/>
      <c r="M446" s="3" t="s">
        <v>1807</v>
      </c>
      <c r="N446" s="3" t="s">
        <v>1883</v>
      </c>
      <c r="O446" s="66" t="s">
        <v>1884</v>
      </c>
      <c r="P446" s="8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3" t="s">
        <v>1888</v>
      </c>
      <c r="B447" s="52" t="s">
        <v>1889</v>
      </c>
      <c r="C447" s="4"/>
      <c r="D447" s="3" t="s">
        <v>1890</v>
      </c>
      <c r="E447" s="3">
        <v>62.0</v>
      </c>
      <c r="F447" s="3">
        <f t="shared" si="58"/>
        <v>589</v>
      </c>
      <c r="G447" s="6">
        <v>9.5</v>
      </c>
      <c r="H447" s="3" t="s">
        <v>1634</v>
      </c>
      <c r="J447" s="7" t="s">
        <v>1882</v>
      </c>
      <c r="K447" s="3" t="s">
        <v>273</v>
      </c>
      <c r="L447" s="3"/>
      <c r="M447" s="3" t="s">
        <v>1807</v>
      </c>
      <c r="N447" s="3" t="s">
        <v>1891</v>
      </c>
      <c r="O447" s="3" t="s">
        <v>1892</v>
      </c>
      <c r="P447" s="8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3" t="s">
        <v>1893</v>
      </c>
      <c r="B448" s="4" t="s">
        <v>1894</v>
      </c>
      <c r="C448" s="4">
        <v>8.792710413E9</v>
      </c>
      <c r="D448" s="3" t="s">
        <v>1880</v>
      </c>
      <c r="E448" s="3">
        <v>164.0</v>
      </c>
      <c r="F448" s="3">
        <f t="shared" si="58"/>
        <v>1476</v>
      </c>
      <c r="G448" s="6">
        <v>9.0</v>
      </c>
      <c r="H448" s="3" t="s">
        <v>1887</v>
      </c>
      <c r="J448" s="7" t="s">
        <v>1882</v>
      </c>
      <c r="K448" s="3" t="s">
        <v>1535</v>
      </c>
      <c r="L448" s="3"/>
      <c r="M448" s="3" t="s">
        <v>1807</v>
      </c>
      <c r="N448" s="3" t="s">
        <v>1883</v>
      </c>
      <c r="O448" s="66" t="s">
        <v>1884</v>
      </c>
      <c r="P448" s="8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3" t="s">
        <v>1895</v>
      </c>
      <c r="B449" s="4" t="s">
        <v>1896</v>
      </c>
      <c r="C449" s="4">
        <v>2.74561597293E11</v>
      </c>
      <c r="D449" s="3" t="s">
        <v>1890</v>
      </c>
      <c r="E449" s="3">
        <v>30.0</v>
      </c>
      <c r="F449" s="3">
        <f t="shared" si="58"/>
        <v>435</v>
      </c>
      <c r="G449" s="6">
        <v>14.5</v>
      </c>
      <c r="H449" s="3" t="s">
        <v>1634</v>
      </c>
      <c r="J449" s="7" t="s">
        <v>1897</v>
      </c>
      <c r="K449" s="2" t="s">
        <v>1856</v>
      </c>
      <c r="L449" s="3"/>
      <c r="M449" s="3" t="s">
        <v>1807</v>
      </c>
      <c r="N449" s="3" t="s">
        <v>1653</v>
      </c>
      <c r="O449" s="3" t="s">
        <v>1898</v>
      </c>
      <c r="P449" s="8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3" t="s">
        <v>1899</v>
      </c>
      <c r="B450" s="4" t="s">
        <v>1900</v>
      </c>
      <c r="C450" s="4" t="s">
        <v>1901</v>
      </c>
      <c r="D450" s="3" t="s">
        <v>1902</v>
      </c>
      <c r="E450" s="3">
        <v>21.0</v>
      </c>
      <c r="F450" s="3">
        <f t="shared" si="58"/>
        <v>182.7</v>
      </c>
      <c r="G450" s="6">
        <v>8.7</v>
      </c>
      <c r="H450" s="3" t="s">
        <v>742</v>
      </c>
      <c r="I450" s="48" t="s">
        <v>268</v>
      </c>
      <c r="J450" s="7" t="s">
        <v>1903</v>
      </c>
      <c r="K450" s="3" t="s">
        <v>273</v>
      </c>
      <c r="L450" s="2"/>
      <c r="M450" s="3" t="s">
        <v>1807</v>
      </c>
      <c r="N450" s="3" t="s">
        <v>1785</v>
      </c>
      <c r="O450" s="11" t="s">
        <v>1904</v>
      </c>
      <c r="P450" s="8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3" t="s">
        <v>1905</v>
      </c>
      <c r="B451" s="75" t="s">
        <v>1906</v>
      </c>
      <c r="C451" s="4" t="s">
        <v>1907</v>
      </c>
      <c r="D451" s="3" t="s">
        <v>1902</v>
      </c>
      <c r="E451" s="3">
        <v>21.0</v>
      </c>
      <c r="F451" s="3">
        <f t="shared" si="58"/>
        <v>231</v>
      </c>
      <c r="G451" s="6">
        <v>11.0</v>
      </c>
      <c r="J451" s="7" t="s">
        <v>1908</v>
      </c>
      <c r="K451" s="3" t="s">
        <v>1535</v>
      </c>
      <c r="L451" s="2"/>
      <c r="M451" s="3" t="s">
        <v>1807</v>
      </c>
      <c r="N451" s="3" t="s">
        <v>1506</v>
      </c>
      <c r="O451" s="11" t="s">
        <v>1877</v>
      </c>
      <c r="P451" s="8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3" t="s">
        <v>1909</v>
      </c>
      <c r="B452" s="4" t="s">
        <v>1910</v>
      </c>
      <c r="C452" s="4" t="s">
        <v>1911</v>
      </c>
      <c r="D452" s="3" t="s">
        <v>1902</v>
      </c>
      <c r="E452" s="3">
        <v>21.0</v>
      </c>
      <c r="F452" s="3">
        <f t="shared" si="58"/>
        <v>153.3</v>
      </c>
      <c r="G452" s="6">
        <v>7.3</v>
      </c>
      <c r="J452" s="7" t="s">
        <v>1912</v>
      </c>
      <c r="K452" s="3" t="s">
        <v>273</v>
      </c>
      <c r="L452" s="2"/>
      <c r="M452" s="3" t="s">
        <v>1807</v>
      </c>
      <c r="N452" s="3" t="s">
        <v>1716</v>
      </c>
      <c r="O452" s="11" t="s">
        <v>1913</v>
      </c>
      <c r="P452" s="8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3" t="s">
        <v>1914</v>
      </c>
      <c r="B453" s="4" t="s">
        <v>1915</v>
      </c>
      <c r="C453" s="4" t="s">
        <v>1916</v>
      </c>
      <c r="D453" s="3" t="s">
        <v>1902</v>
      </c>
      <c r="E453" s="3">
        <v>21.0</v>
      </c>
      <c r="F453" s="3">
        <f t="shared" si="58"/>
        <v>155.4</v>
      </c>
      <c r="G453" s="6">
        <v>7.4</v>
      </c>
      <c r="J453" s="7" t="s">
        <v>1917</v>
      </c>
      <c r="K453" s="3" t="s">
        <v>273</v>
      </c>
      <c r="L453" s="2"/>
      <c r="M453" s="3" t="s">
        <v>1807</v>
      </c>
      <c r="N453" s="3" t="s">
        <v>1716</v>
      </c>
      <c r="O453" s="11" t="s">
        <v>1877</v>
      </c>
      <c r="P453" s="8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3" t="s">
        <v>1918</v>
      </c>
      <c r="B454" s="4" t="s">
        <v>1919</v>
      </c>
      <c r="C454" s="4" t="s">
        <v>1920</v>
      </c>
      <c r="D454" s="3" t="s">
        <v>1921</v>
      </c>
      <c r="E454" s="3">
        <v>18.0</v>
      </c>
      <c r="F454" s="3">
        <v>974.0</v>
      </c>
      <c r="G454" s="6">
        <f>F454/E454</f>
        <v>54.11111111</v>
      </c>
      <c r="H454" s="3" t="s">
        <v>1922</v>
      </c>
      <c r="I454" s="47" t="s">
        <v>263</v>
      </c>
      <c r="J454" s="7" t="s">
        <v>1923</v>
      </c>
      <c r="K454" s="3" t="s">
        <v>273</v>
      </c>
      <c r="L454" s="3"/>
      <c r="M454" s="3" t="s">
        <v>1924</v>
      </c>
      <c r="N454" s="3" t="s">
        <v>1925</v>
      </c>
      <c r="O454" s="3" t="s">
        <v>1926</v>
      </c>
      <c r="P454" s="8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3" t="s">
        <v>1927</v>
      </c>
      <c r="B455" s="4" t="s">
        <v>1928</v>
      </c>
      <c r="C455" s="4" t="s">
        <v>1929</v>
      </c>
      <c r="D455" s="3" t="s">
        <v>1930</v>
      </c>
      <c r="E455" s="3">
        <v>19.0</v>
      </c>
      <c r="F455" s="3">
        <f t="shared" ref="F455:F458" si="59">G455*E455</f>
        <v>275.5</v>
      </c>
      <c r="G455" s="6">
        <v>14.5</v>
      </c>
      <c r="H455" s="3" t="s">
        <v>1931</v>
      </c>
      <c r="J455" s="7" t="s">
        <v>1932</v>
      </c>
      <c r="K455" s="3" t="s">
        <v>273</v>
      </c>
      <c r="L455" s="3"/>
      <c r="M455" s="3" t="s">
        <v>1924</v>
      </c>
      <c r="N455" s="3" t="s">
        <v>1933</v>
      </c>
      <c r="O455" s="3" t="s">
        <v>1934</v>
      </c>
      <c r="P455" s="8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3" t="s">
        <v>1935</v>
      </c>
      <c r="B456" s="4" t="s">
        <v>1936</v>
      </c>
      <c r="C456" s="4" t="s">
        <v>1937</v>
      </c>
      <c r="D456" s="3" t="s">
        <v>1930</v>
      </c>
      <c r="E456" s="3">
        <v>20.0</v>
      </c>
      <c r="F456" s="3">
        <f t="shared" si="59"/>
        <v>280</v>
      </c>
      <c r="G456" s="6">
        <v>14.0</v>
      </c>
      <c r="H456" s="3" t="s">
        <v>1931</v>
      </c>
      <c r="J456" s="7" t="s">
        <v>1938</v>
      </c>
      <c r="K456" s="3" t="s">
        <v>273</v>
      </c>
      <c r="L456" s="3"/>
      <c r="M456" s="3" t="s">
        <v>1924</v>
      </c>
      <c r="N456" s="3" t="s">
        <v>1327</v>
      </c>
      <c r="O456" s="3" t="s">
        <v>1939</v>
      </c>
      <c r="P456" s="8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3" t="s">
        <v>1940</v>
      </c>
      <c r="B457" s="4" t="s">
        <v>1941</v>
      </c>
      <c r="C457" s="4" t="s">
        <v>1942</v>
      </c>
      <c r="D457" s="3" t="s">
        <v>1921</v>
      </c>
      <c r="E457" s="3">
        <v>24.0</v>
      </c>
      <c r="F457" s="3">
        <f t="shared" si="59"/>
        <v>408</v>
      </c>
      <c r="G457" s="6">
        <v>17.0</v>
      </c>
      <c r="H457" s="3" t="s">
        <v>1922</v>
      </c>
      <c r="J457" s="7" t="s">
        <v>1943</v>
      </c>
      <c r="K457" s="3" t="s">
        <v>273</v>
      </c>
      <c r="L457" s="3"/>
      <c r="M457" s="3" t="s">
        <v>1924</v>
      </c>
      <c r="N457" s="3" t="s">
        <v>1944</v>
      </c>
      <c r="O457" s="3" t="s">
        <v>1945</v>
      </c>
      <c r="P457" s="8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3" t="s">
        <v>1946</v>
      </c>
      <c r="B458" s="52" t="s">
        <v>1947</v>
      </c>
      <c r="C458" s="4"/>
      <c r="D458" s="3" t="s">
        <v>1930</v>
      </c>
      <c r="E458" s="3">
        <v>20.0</v>
      </c>
      <c r="F458" s="3">
        <f t="shared" si="59"/>
        <v>170</v>
      </c>
      <c r="G458" s="6">
        <v>8.5</v>
      </c>
      <c r="H458" s="3" t="s">
        <v>1931</v>
      </c>
      <c r="J458" s="7" t="s">
        <v>1948</v>
      </c>
      <c r="K458" s="3" t="s">
        <v>1535</v>
      </c>
      <c r="L458" s="3"/>
      <c r="M458" s="3" t="s">
        <v>1924</v>
      </c>
      <c r="N458" s="3" t="s">
        <v>1451</v>
      </c>
      <c r="O458" s="3" t="s">
        <v>1949</v>
      </c>
      <c r="P458" s="8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3" t="s">
        <v>1950</v>
      </c>
      <c r="B459" s="4" t="s">
        <v>1951</v>
      </c>
      <c r="C459" s="4" t="s">
        <v>1952</v>
      </c>
      <c r="D459" s="3" t="s">
        <v>1953</v>
      </c>
      <c r="E459" s="3">
        <v>17.0</v>
      </c>
      <c r="F459" s="6">
        <f t="shared" ref="F459:F460" si="60">E459*48/7.1938+20/7.2587</f>
        <v>116.1863243</v>
      </c>
      <c r="G459" s="6">
        <f t="shared" ref="G459:G460" si="61">F459/E459</f>
        <v>6.834489668</v>
      </c>
      <c r="H459" s="3" t="s">
        <v>1790</v>
      </c>
      <c r="I459" s="3" t="s">
        <v>360</v>
      </c>
      <c r="J459" s="7" t="s">
        <v>1796</v>
      </c>
      <c r="K459" s="3" t="s">
        <v>273</v>
      </c>
      <c r="L459" s="3"/>
      <c r="M459" s="3" t="s">
        <v>1954</v>
      </c>
      <c r="N459" s="3"/>
      <c r="O459" s="30">
        <v>45356.0</v>
      </c>
      <c r="P459" s="8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3" t="s">
        <v>1955</v>
      </c>
      <c r="B460" s="4" t="s">
        <v>1956</v>
      </c>
      <c r="C460" s="4" t="s">
        <v>1957</v>
      </c>
      <c r="D460" s="3" t="s">
        <v>1953</v>
      </c>
      <c r="E460" s="3">
        <v>17.0</v>
      </c>
      <c r="F460" s="6">
        <f t="shared" si="60"/>
        <v>116.1863243</v>
      </c>
      <c r="G460" s="6">
        <f t="shared" si="61"/>
        <v>6.834489668</v>
      </c>
      <c r="H460" s="3" t="s">
        <v>1790</v>
      </c>
      <c r="I460" s="3" t="s">
        <v>360</v>
      </c>
      <c r="J460" s="7" t="s">
        <v>1796</v>
      </c>
      <c r="K460" s="3" t="s">
        <v>273</v>
      </c>
      <c r="L460" s="3"/>
      <c r="M460" s="3" t="s">
        <v>1954</v>
      </c>
      <c r="N460" s="3"/>
      <c r="O460" s="30">
        <v>45356.0</v>
      </c>
      <c r="P460" s="8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3" t="s">
        <v>1958</v>
      </c>
      <c r="B461" s="75" t="s">
        <v>1959</v>
      </c>
      <c r="C461" s="4"/>
      <c r="D461" s="3" t="s">
        <v>1960</v>
      </c>
      <c r="E461" s="3">
        <v>44.0</v>
      </c>
      <c r="F461" s="3">
        <f t="shared" ref="F461:F472" si="62">G461*E461</f>
        <v>550</v>
      </c>
      <c r="G461" s="6">
        <v>12.5</v>
      </c>
      <c r="H461" s="79" t="s">
        <v>31</v>
      </c>
      <c r="I461" s="48" t="s">
        <v>268</v>
      </c>
      <c r="J461" s="7" t="s">
        <v>1961</v>
      </c>
      <c r="K461" s="3"/>
      <c r="L461" s="3"/>
      <c r="M461" s="3" t="s">
        <v>1772</v>
      </c>
      <c r="N461" s="3" t="s">
        <v>1451</v>
      </c>
      <c r="O461" s="30" t="s">
        <v>1962</v>
      </c>
      <c r="P461" s="8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3" t="s">
        <v>1963</v>
      </c>
      <c r="B462" s="4" t="s">
        <v>1964</v>
      </c>
      <c r="C462" s="4"/>
      <c r="D462" s="3" t="s">
        <v>1965</v>
      </c>
      <c r="E462" s="3">
        <v>20.0</v>
      </c>
      <c r="F462" s="3">
        <f t="shared" si="62"/>
        <v>150</v>
      </c>
      <c r="G462" s="6">
        <v>7.5</v>
      </c>
      <c r="J462" s="7" t="s">
        <v>1966</v>
      </c>
      <c r="K462" s="3"/>
      <c r="L462" s="3"/>
      <c r="M462" s="3" t="s">
        <v>1772</v>
      </c>
      <c r="N462" s="3" t="s">
        <v>1506</v>
      </c>
      <c r="O462" s="30">
        <v>45358.0</v>
      </c>
      <c r="P462" s="8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3" t="s">
        <v>1967</v>
      </c>
      <c r="B463" s="4" t="s">
        <v>1968</v>
      </c>
      <c r="C463" s="4"/>
      <c r="D463" s="3" t="s">
        <v>1969</v>
      </c>
      <c r="E463" s="3">
        <v>91.0</v>
      </c>
      <c r="F463" s="3">
        <f t="shared" si="62"/>
        <v>709.8</v>
      </c>
      <c r="G463" s="6">
        <v>7.8</v>
      </c>
      <c r="H463" s="3" t="s">
        <v>1970</v>
      </c>
      <c r="I463" s="47" t="s">
        <v>263</v>
      </c>
      <c r="J463" s="7" t="s">
        <v>1971</v>
      </c>
      <c r="K463" s="3" t="s">
        <v>273</v>
      </c>
      <c r="L463" s="2"/>
      <c r="M463" s="30">
        <v>45449.0</v>
      </c>
      <c r="N463" s="3" t="s">
        <v>1716</v>
      </c>
      <c r="O463" s="31">
        <v>45480.0</v>
      </c>
      <c r="P463" s="8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3" t="s">
        <v>1972</v>
      </c>
      <c r="B464" s="4" t="s">
        <v>1973</v>
      </c>
      <c r="C464" s="4" t="s">
        <v>1974</v>
      </c>
      <c r="E464" s="3">
        <v>73.0</v>
      </c>
      <c r="F464" s="3">
        <f t="shared" si="62"/>
        <v>576.7</v>
      </c>
      <c r="G464" s="6">
        <v>7.9</v>
      </c>
      <c r="H464" s="3" t="s">
        <v>1970</v>
      </c>
      <c r="J464" s="7" t="s">
        <v>1975</v>
      </c>
      <c r="K464" s="3" t="s">
        <v>1535</v>
      </c>
      <c r="L464" s="2"/>
      <c r="M464" s="30">
        <v>45449.0</v>
      </c>
      <c r="N464" s="3" t="s">
        <v>1976</v>
      </c>
      <c r="O464" s="3" t="s">
        <v>1977</v>
      </c>
      <c r="P464" s="8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3" t="s">
        <v>1978</v>
      </c>
      <c r="B465" s="4" t="s">
        <v>1979</v>
      </c>
      <c r="C465" s="4"/>
      <c r="E465" s="3">
        <v>37.0</v>
      </c>
      <c r="F465" s="3">
        <f t="shared" si="62"/>
        <v>296</v>
      </c>
      <c r="G465" s="6">
        <v>8.0</v>
      </c>
      <c r="H465" s="3" t="s">
        <v>1970</v>
      </c>
      <c r="J465" s="7" t="s">
        <v>1980</v>
      </c>
      <c r="K465" s="3"/>
      <c r="L465" s="2"/>
      <c r="M465" s="30">
        <v>45449.0</v>
      </c>
      <c r="N465" s="3" t="s">
        <v>1976</v>
      </c>
      <c r="O465" s="3" t="s">
        <v>1977</v>
      </c>
      <c r="P465" s="8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3" t="s">
        <v>1981</v>
      </c>
      <c r="B466" s="4" t="s">
        <v>1982</v>
      </c>
      <c r="C466" s="4"/>
      <c r="E466" s="3">
        <v>55.0</v>
      </c>
      <c r="F466" s="3">
        <f t="shared" si="62"/>
        <v>467.5</v>
      </c>
      <c r="G466" s="6">
        <v>8.5</v>
      </c>
      <c r="H466" s="3" t="s">
        <v>1970</v>
      </c>
      <c r="J466" s="7" t="s">
        <v>1983</v>
      </c>
      <c r="K466" s="3"/>
      <c r="L466" s="2"/>
      <c r="M466" s="30">
        <v>45449.0</v>
      </c>
      <c r="N466" s="3" t="s">
        <v>1976</v>
      </c>
      <c r="O466" s="3" t="s">
        <v>1977</v>
      </c>
      <c r="P466" s="8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80" t="s">
        <v>1984</v>
      </c>
      <c r="B467" s="4" t="s">
        <v>1985</v>
      </c>
      <c r="C467" s="4" t="s">
        <v>1986</v>
      </c>
      <c r="E467" s="3">
        <v>37.0</v>
      </c>
      <c r="F467" s="3">
        <f t="shared" si="62"/>
        <v>388.5</v>
      </c>
      <c r="G467" s="6">
        <v>10.5</v>
      </c>
      <c r="H467" s="3" t="s">
        <v>1970</v>
      </c>
      <c r="J467" s="7" t="s">
        <v>1987</v>
      </c>
      <c r="K467" s="3" t="s">
        <v>273</v>
      </c>
      <c r="L467" s="2"/>
      <c r="M467" s="30">
        <v>45449.0</v>
      </c>
      <c r="N467" s="3" t="s">
        <v>1506</v>
      </c>
      <c r="O467" s="31">
        <v>45633.0</v>
      </c>
      <c r="P467" s="8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3" t="s">
        <v>1988</v>
      </c>
      <c r="B468" s="4" t="s">
        <v>1989</v>
      </c>
      <c r="C468" s="4">
        <v>8.56299703E8</v>
      </c>
      <c r="D468" s="3" t="s">
        <v>1990</v>
      </c>
      <c r="E468" s="3">
        <v>104.0</v>
      </c>
      <c r="F468" s="3">
        <f t="shared" si="62"/>
        <v>1248</v>
      </c>
      <c r="G468" s="6">
        <v>12.0</v>
      </c>
      <c r="H468" s="3" t="s">
        <v>1767</v>
      </c>
      <c r="I468" s="47" t="s">
        <v>263</v>
      </c>
      <c r="J468" s="7" t="s">
        <v>1991</v>
      </c>
      <c r="K468" s="21" t="s">
        <v>419</v>
      </c>
      <c r="L468" s="3" t="s">
        <v>1992</v>
      </c>
      <c r="M468" s="3" t="s">
        <v>1993</v>
      </c>
      <c r="N468" s="3" t="s">
        <v>1933</v>
      </c>
      <c r="O468" s="39" t="s">
        <v>1994</v>
      </c>
      <c r="P468" s="8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3" t="s">
        <v>1995</v>
      </c>
      <c r="B469" s="4" t="s">
        <v>1996</v>
      </c>
      <c r="C469" s="4"/>
      <c r="E469" s="3">
        <v>123.0</v>
      </c>
      <c r="F469" s="3">
        <f t="shared" si="62"/>
        <v>1389.9</v>
      </c>
      <c r="G469" s="6">
        <v>11.3</v>
      </c>
      <c r="H469" s="3" t="s">
        <v>1767</v>
      </c>
      <c r="J469" s="7" t="s">
        <v>1997</v>
      </c>
      <c r="K469" s="3" t="s">
        <v>1535</v>
      </c>
      <c r="L469" s="3" t="s">
        <v>1992</v>
      </c>
      <c r="M469" s="3" t="s">
        <v>1993</v>
      </c>
      <c r="N469" s="3" t="s">
        <v>1998</v>
      </c>
      <c r="O469" s="39" t="s">
        <v>1999</v>
      </c>
      <c r="P469" s="8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3" t="s">
        <v>2000</v>
      </c>
      <c r="B470" s="4" t="s">
        <v>2001</v>
      </c>
      <c r="C470" s="4">
        <v>1.1933120973E10</v>
      </c>
      <c r="E470" s="3">
        <v>84.0</v>
      </c>
      <c r="F470" s="3">
        <f t="shared" si="62"/>
        <v>898.8</v>
      </c>
      <c r="G470" s="6">
        <v>10.7</v>
      </c>
      <c r="H470" s="3" t="s">
        <v>1767</v>
      </c>
      <c r="J470" s="7" t="s">
        <v>2002</v>
      </c>
      <c r="K470" s="2" t="s">
        <v>1514</v>
      </c>
      <c r="L470" s="3" t="s">
        <v>1992</v>
      </c>
      <c r="M470" s="3" t="s">
        <v>1993</v>
      </c>
      <c r="N470" s="3" t="s">
        <v>2003</v>
      </c>
      <c r="O470" s="39" t="s">
        <v>2004</v>
      </c>
      <c r="P470" s="8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3" t="s">
        <v>2005</v>
      </c>
      <c r="B471" s="4" t="s">
        <v>2006</v>
      </c>
      <c r="C471" s="4"/>
      <c r="E471" s="3">
        <v>62.0</v>
      </c>
      <c r="F471" s="3">
        <f t="shared" si="62"/>
        <v>793.6</v>
      </c>
      <c r="G471" s="6">
        <v>12.8</v>
      </c>
      <c r="H471" s="3" t="s">
        <v>1767</v>
      </c>
      <c r="J471" s="7" t="s">
        <v>2007</v>
      </c>
      <c r="K471" s="3" t="s">
        <v>1535</v>
      </c>
      <c r="L471" s="3" t="s">
        <v>1992</v>
      </c>
      <c r="M471" s="3" t="s">
        <v>1993</v>
      </c>
      <c r="N471" s="3" t="s">
        <v>1883</v>
      </c>
      <c r="O471" s="39" t="s">
        <v>2008</v>
      </c>
      <c r="P471" s="8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3" t="s">
        <v>2009</v>
      </c>
      <c r="B472" s="4" t="s">
        <v>2010</v>
      </c>
      <c r="C472" s="4">
        <v>8.1638019999E10</v>
      </c>
      <c r="E472" s="3">
        <v>58.0</v>
      </c>
      <c r="F472" s="3">
        <f t="shared" si="62"/>
        <v>742.4</v>
      </c>
      <c r="G472" s="6">
        <v>12.8</v>
      </c>
      <c r="H472" s="3" t="s">
        <v>1767</v>
      </c>
      <c r="J472" s="7" t="s">
        <v>2011</v>
      </c>
      <c r="K472" s="3" t="s">
        <v>1535</v>
      </c>
      <c r="L472" s="3" t="s">
        <v>1992</v>
      </c>
      <c r="M472" s="3" t="s">
        <v>1993</v>
      </c>
      <c r="N472" s="3" t="s">
        <v>1883</v>
      </c>
      <c r="O472" s="39" t="s">
        <v>2008</v>
      </c>
      <c r="P472" s="8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3" t="s">
        <v>2012</v>
      </c>
      <c r="B473" s="4" t="s">
        <v>2013</v>
      </c>
      <c r="C473" s="4" t="s">
        <v>2014</v>
      </c>
      <c r="D473" s="3" t="s">
        <v>2015</v>
      </c>
      <c r="E473" s="3">
        <v>32.0</v>
      </c>
      <c r="F473" s="6">
        <f>(E473*50+40)/7.1938</f>
        <v>227.9740888</v>
      </c>
      <c r="G473" s="6">
        <f t="shared" ref="G473:G477" si="63">F473/E473</f>
        <v>7.124190275</v>
      </c>
      <c r="H473" s="3" t="s">
        <v>2016</v>
      </c>
      <c r="I473" s="3" t="s">
        <v>360</v>
      </c>
      <c r="J473" s="7" t="s">
        <v>1796</v>
      </c>
      <c r="K473" s="3" t="s">
        <v>550</v>
      </c>
      <c r="L473" s="3"/>
      <c r="M473" s="30">
        <v>45571.0</v>
      </c>
      <c r="N473" s="3"/>
      <c r="O473" s="3" t="s">
        <v>2017</v>
      </c>
      <c r="P473" s="8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3" t="s">
        <v>2018</v>
      </c>
      <c r="B474" s="4" t="s">
        <v>2019</v>
      </c>
      <c r="C474" s="4"/>
      <c r="D474" s="3" t="s">
        <v>2020</v>
      </c>
      <c r="E474" s="3">
        <v>32.0</v>
      </c>
      <c r="F474" s="6">
        <f t="shared" ref="F474:F475" si="64">E474*12.8/7.2067</f>
        <v>56.83599983</v>
      </c>
      <c r="G474" s="6">
        <f t="shared" si="63"/>
        <v>1.776124995</v>
      </c>
      <c r="H474" s="3" t="s">
        <v>2016</v>
      </c>
      <c r="I474" s="3" t="s">
        <v>360</v>
      </c>
      <c r="J474" s="7" t="s">
        <v>2021</v>
      </c>
      <c r="K474" s="3" t="s">
        <v>1535</v>
      </c>
      <c r="L474" s="3"/>
      <c r="M474" s="3" t="s">
        <v>1993</v>
      </c>
      <c r="N474" s="3" t="s">
        <v>2022</v>
      </c>
      <c r="O474" s="81">
        <v>45483.0</v>
      </c>
      <c r="P474" s="8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3" t="s">
        <v>2023</v>
      </c>
      <c r="B475" s="4" t="s">
        <v>2024</v>
      </c>
      <c r="C475" s="4"/>
      <c r="D475" s="77" t="s">
        <v>2025</v>
      </c>
      <c r="E475" s="3">
        <v>37.0</v>
      </c>
      <c r="F475" s="6">
        <f t="shared" si="64"/>
        <v>65.71662481</v>
      </c>
      <c r="G475" s="6">
        <f t="shared" si="63"/>
        <v>1.776124995</v>
      </c>
      <c r="H475" s="3" t="s">
        <v>2026</v>
      </c>
      <c r="I475" s="3" t="s">
        <v>360</v>
      </c>
      <c r="J475" s="7" t="s">
        <v>2021</v>
      </c>
      <c r="K475" s="3" t="s">
        <v>1535</v>
      </c>
      <c r="L475" s="3"/>
      <c r="M475" s="3" t="s">
        <v>1993</v>
      </c>
      <c r="N475" s="3" t="s">
        <v>2022</v>
      </c>
      <c r="O475" s="81">
        <v>45483.0</v>
      </c>
      <c r="P475" s="8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3" t="s">
        <v>2027</v>
      </c>
      <c r="B476" s="4" t="s">
        <v>2028</v>
      </c>
      <c r="C476" s="4">
        <v>2.75645955588E11</v>
      </c>
      <c r="D476" s="3" t="s">
        <v>2029</v>
      </c>
      <c r="E476" s="3">
        <v>15.0</v>
      </c>
      <c r="F476" s="6">
        <f>E476*58.5/7.191+20/7.1938</f>
        <v>124.8077062</v>
      </c>
      <c r="G476" s="6">
        <f t="shared" si="63"/>
        <v>8.320513749</v>
      </c>
      <c r="H476" s="3" t="s">
        <v>2016</v>
      </c>
      <c r="I476" s="3" t="s">
        <v>360</v>
      </c>
      <c r="J476" s="7" t="s">
        <v>2030</v>
      </c>
      <c r="K476" s="35" t="s">
        <v>2031</v>
      </c>
      <c r="L476" s="3"/>
      <c r="M476" s="30">
        <v>45571.0</v>
      </c>
      <c r="N476" s="3"/>
      <c r="O476" s="3" t="s">
        <v>2032</v>
      </c>
      <c r="P476" s="8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3" t="s">
        <v>2033</v>
      </c>
      <c r="B477" s="4" t="s">
        <v>2034</v>
      </c>
      <c r="C477" s="4"/>
      <c r="D477" s="77" t="s">
        <v>2025</v>
      </c>
      <c r="E477" s="3">
        <v>53.0</v>
      </c>
      <c r="F477" s="6">
        <f>E477*15/7.2067</f>
        <v>110.3140133</v>
      </c>
      <c r="G477" s="6">
        <f t="shared" si="63"/>
        <v>2.081396478</v>
      </c>
      <c r="H477" s="3" t="s">
        <v>2026</v>
      </c>
      <c r="I477" s="3" t="s">
        <v>360</v>
      </c>
      <c r="J477" s="7" t="s">
        <v>2021</v>
      </c>
      <c r="K477" s="21" t="s">
        <v>2035</v>
      </c>
      <c r="L477" s="3"/>
      <c r="M477" s="3" t="s">
        <v>1993</v>
      </c>
      <c r="N477" s="3" t="s">
        <v>2036</v>
      </c>
      <c r="O477" s="81">
        <v>45483.0</v>
      </c>
      <c r="P477" s="8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3" t="s">
        <v>2037</v>
      </c>
      <c r="B478" s="4" t="s">
        <v>2038</v>
      </c>
      <c r="C478" s="4">
        <v>7.76818853356E11</v>
      </c>
      <c r="D478" s="3" t="s">
        <v>2039</v>
      </c>
      <c r="E478" s="3">
        <v>117.0</v>
      </c>
      <c r="F478" s="3">
        <f t="shared" ref="F478:F509" si="65">G478*E478</f>
        <v>1696.5</v>
      </c>
      <c r="G478" s="6">
        <v>14.5</v>
      </c>
      <c r="H478" s="13" t="s">
        <v>31</v>
      </c>
      <c r="I478" s="48" t="s">
        <v>268</v>
      </c>
      <c r="J478" s="7" t="s">
        <v>2040</v>
      </c>
      <c r="K478" s="3" t="s">
        <v>1535</v>
      </c>
      <c r="L478" s="3" t="s">
        <v>2041</v>
      </c>
      <c r="M478" s="3" t="s">
        <v>1993</v>
      </c>
      <c r="N478" s="3" t="s">
        <v>1801</v>
      </c>
      <c r="O478" s="82" t="s">
        <v>2042</v>
      </c>
      <c r="P478" s="8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3" t="s">
        <v>2043</v>
      </c>
      <c r="B479" s="4" t="s">
        <v>2044</v>
      </c>
      <c r="C479" s="4"/>
      <c r="D479" s="3" t="s">
        <v>2045</v>
      </c>
      <c r="E479" s="3">
        <v>20.0</v>
      </c>
      <c r="F479" s="3">
        <f t="shared" si="65"/>
        <v>160</v>
      </c>
      <c r="G479" s="6">
        <v>8.0</v>
      </c>
      <c r="J479" s="7" t="s">
        <v>2046</v>
      </c>
      <c r="K479" s="3" t="s">
        <v>273</v>
      </c>
      <c r="L479" s="3" t="s">
        <v>2041</v>
      </c>
      <c r="M479" s="3" t="s">
        <v>1993</v>
      </c>
      <c r="N479" s="3" t="s">
        <v>1298</v>
      </c>
      <c r="O479" s="82" t="s">
        <v>2047</v>
      </c>
      <c r="P479" s="8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3" t="s">
        <v>2048</v>
      </c>
      <c r="B480" s="4" t="s">
        <v>2049</v>
      </c>
      <c r="C480" s="4"/>
      <c r="D480" s="3" t="s">
        <v>2045</v>
      </c>
      <c r="E480" s="3">
        <v>20.0</v>
      </c>
      <c r="F480" s="3">
        <f t="shared" si="65"/>
        <v>160</v>
      </c>
      <c r="G480" s="6">
        <v>8.0</v>
      </c>
      <c r="J480" s="7" t="s">
        <v>2050</v>
      </c>
      <c r="K480" s="3" t="s">
        <v>273</v>
      </c>
      <c r="L480" s="3" t="s">
        <v>2041</v>
      </c>
      <c r="M480" s="3" t="s">
        <v>1993</v>
      </c>
      <c r="N480" s="3" t="s">
        <v>1298</v>
      </c>
      <c r="O480" s="83" t="s">
        <v>2047</v>
      </c>
      <c r="P480" s="8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3" t="s">
        <v>2051</v>
      </c>
      <c r="B481" s="4" t="s">
        <v>2052</v>
      </c>
      <c r="C481" s="4"/>
      <c r="D481" s="3" t="s">
        <v>2045</v>
      </c>
      <c r="E481" s="3">
        <v>20.0</v>
      </c>
      <c r="F481" s="3">
        <f t="shared" si="65"/>
        <v>190</v>
      </c>
      <c r="G481" s="6">
        <v>9.5</v>
      </c>
      <c r="J481" s="7" t="s">
        <v>2053</v>
      </c>
      <c r="K481" s="3" t="s">
        <v>273</v>
      </c>
      <c r="L481" s="3" t="s">
        <v>2041</v>
      </c>
      <c r="M481" s="3" t="s">
        <v>1993</v>
      </c>
      <c r="N481" s="3" t="s">
        <v>1298</v>
      </c>
      <c r="O481" s="83" t="s">
        <v>2047</v>
      </c>
      <c r="P481" s="8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3" t="s">
        <v>2054</v>
      </c>
      <c r="B482" s="4" t="s">
        <v>2055</v>
      </c>
      <c r="C482" s="4"/>
      <c r="D482" s="3" t="s">
        <v>2045</v>
      </c>
      <c r="E482" s="3">
        <f>64</f>
        <v>64</v>
      </c>
      <c r="F482" s="3">
        <f t="shared" si="65"/>
        <v>800</v>
      </c>
      <c r="G482" s="6">
        <v>12.5</v>
      </c>
      <c r="H482" s="4" t="s">
        <v>2056</v>
      </c>
      <c r="J482" s="7" t="s">
        <v>2057</v>
      </c>
      <c r="K482" s="2" t="s">
        <v>1514</v>
      </c>
      <c r="L482" s="3" t="s">
        <v>2041</v>
      </c>
      <c r="M482" s="3" t="s">
        <v>1993</v>
      </c>
      <c r="N482" s="3" t="s">
        <v>2058</v>
      </c>
      <c r="O482" s="84" t="s">
        <v>2059</v>
      </c>
      <c r="P482" s="8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3" t="s">
        <v>2060</v>
      </c>
      <c r="B483" s="4" t="s">
        <v>2061</v>
      </c>
      <c r="C483" s="4" t="s">
        <v>2062</v>
      </c>
      <c r="D483" s="3" t="s">
        <v>2063</v>
      </c>
      <c r="E483" s="3">
        <v>21.0</v>
      </c>
      <c r="F483" s="3">
        <f t="shared" si="65"/>
        <v>325.5</v>
      </c>
      <c r="G483" s="6">
        <v>15.5</v>
      </c>
      <c r="H483" s="3" t="s">
        <v>1678</v>
      </c>
      <c r="I483" s="47" t="s">
        <v>263</v>
      </c>
      <c r="J483" s="7" t="s">
        <v>2064</v>
      </c>
      <c r="K483" s="3" t="s">
        <v>1535</v>
      </c>
      <c r="L483" s="3"/>
      <c r="M483" s="3" t="s">
        <v>1993</v>
      </c>
      <c r="N483" s="3" t="s">
        <v>1716</v>
      </c>
      <c r="O483" s="39" t="s">
        <v>2004</v>
      </c>
      <c r="P483" s="8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3" t="s">
        <v>2065</v>
      </c>
      <c r="B484" s="4" t="s">
        <v>2066</v>
      </c>
      <c r="C484" s="4"/>
      <c r="E484" s="3">
        <v>12.0</v>
      </c>
      <c r="F484" s="3">
        <f t="shared" si="65"/>
        <v>100.8</v>
      </c>
      <c r="G484" s="6">
        <v>8.4</v>
      </c>
      <c r="H484" s="3" t="s">
        <v>1678</v>
      </c>
      <c r="J484" s="7" t="s">
        <v>1698</v>
      </c>
      <c r="K484" s="3" t="s">
        <v>273</v>
      </c>
      <c r="L484" s="3"/>
      <c r="M484" s="3" t="s">
        <v>1993</v>
      </c>
      <c r="N484" s="3" t="s">
        <v>1451</v>
      </c>
      <c r="O484" s="39" t="s">
        <v>1999</v>
      </c>
      <c r="P484" s="8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3" t="s">
        <v>2067</v>
      </c>
      <c r="B485" s="4" t="s">
        <v>2068</v>
      </c>
      <c r="C485" s="4"/>
      <c r="E485" s="3">
        <v>21.0</v>
      </c>
      <c r="F485" s="3">
        <f t="shared" si="65"/>
        <v>262.5</v>
      </c>
      <c r="G485" s="6">
        <v>12.5</v>
      </c>
      <c r="H485" s="3" t="s">
        <v>1678</v>
      </c>
      <c r="J485" s="7" t="s">
        <v>2069</v>
      </c>
      <c r="K485" s="21" t="s">
        <v>419</v>
      </c>
      <c r="L485" s="3"/>
      <c r="M485" s="3" t="s">
        <v>1993</v>
      </c>
      <c r="N485" s="3" t="s">
        <v>2070</v>
      </c>
      <c r="O485" s="3" t="s">
        <v>2071</v>
      </c>
      <c r="P485" s="8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3" t="s">
        <v>2072</v>
      </c>
      <c r="B486" s="4" t="s">
        <v>2073</v>
      </c>
      <c r="C486" s="4"/>
      <c r="E486" s="3">
        <v>21.0</v>
      </c>
      <c r="F486" s="3">
        <f t="shared" si="65"/>
        <v>325.5</v>
      </c>
      <c r="G486" s="6">
        <v>15.5</v>
      </c>
      <c r="H486" s="3" t="s">
        <v>1678</v>
      </c>
      <c r="J486" s="7" t="s">
        <v>2074</v>
      </c>
      <c r="K486" s="3" t="s">
        <v>1535</v>
      </c>
      <c r="L486" s="3"/>
      <c r="M486" s="3" t="s">
        <v>1993</v>
      </c>
      <c r="N486" s="3" t="s">
        <v>1716</v>
      </c>
      <c r="O486" s="39" t="s">
        <v>2004</v>
      </c>
      <c r="P486" s="8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3" t="s">
        <v>2075</v>
      </c>
      <c r="B487" s="4" t="s">
        <v>2076</v>
      </c>
      <c r="C487" s="4"/>
      <c r="E487" s="3">
        <v>21.0</v>
      </c>
      <c r="F487" s="3">
        <f t="shared" si="65"/>
        <v>325.5</v>
      </c>
      <c r="G487" s="6">
        <v>15.5</v>
      </c>
      <c r="H487" s="3" t="s">
        <v>1678</v>
      </c>
      <c r="J487" s="7" t="s">
        <v>2077</v>
      </c>
      <c r="K487" s="3" t="s">
        <v>1535</v>
      </c>
      <c r="L487" s="3"/>
      <c r="M487" s="3" t="s">
        <v>1993</v>
      </c>
      <c r="N487" s="3" t="s">
        <v>1716</v>
      </c>
      <c r="O487" s="39" t="s">
        <v>2004</v>
      </c>
      <c r="P487" s="8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3" t="s">
        <v>2078</v>
      </c>
      <c r="B488" s="4" t="s">
        <v>2079</v>
      </c>
      <c r="C488" s="4"/>
      <c r="D488" s="3" t="s">
        <v>2080</v>
      </c>
      <c r="E488" s="3">
        <v>34.0</v>
      </c>
      <c r="F488" s="3">
        <f t="shared" si="65"/>
        <v>435.2</v>
      </c>
      <c r="G488" s="6">
        <v>12.8</v>
      </c>
      <c r="H488" s="4" t="s">
        <v>2081</v>
      </c>
      <c r="I488" s="38" t="s">
        <v>268</v>
      </c>
      <c r="J488" s="7" t="s">
        <v>2082</v>
      </c>
      <c r="K488" s="3" t="s">
        <v>1535</v>
      </c>
      <c r="L488" s="3" t="s">
        <v>1992</v>
      </c>
      <c r="M488" s="3" t="s">
        <v>2083</v>
      </c>
      <c r="N488" s="3" t="s">
        <v>1506</v>
      </c>
      <c r="O488" s="85" t="s">
        <v>2084</v>
      </c>
      <c r="P488" s="8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3" t="s">
        <v>2085</v>
      </c>
      <c r="B489" s="4" t="s">
        <v>2079</v>
      </c>
      <c r="C489" s="4"/>
      <c r="D489" s="3" t="s">
        <v>1990</v>
      </c>
      <c r="E489" s="3">
        <v>15.0</v>
      </c>
      <c r="F489" s="3">
        <f t="shared" si="65"/>
        <v>192</v>
      </c>
      <c r="G489" s="6">
        <v>12.8</v>
      </c>
      <c r="H489" s="4" t="s">
        <v>1767</v>
      </c>
      <c r="I489" s="47" t="s">
        <v>263</v>
      </c>
      <c r="J489" s="7" t="s">
        <v>2086</v>
      </c>
      <c r="K489" s="3" t="s">
        <v>1535</v>
      </c>
      <c r="L489" s="3" t="s">
        <v>1992</v>
      </c>
      <c r="M489" s="3" t="s">
        <v>2083</v>
      </c>
      <c r="N489" s="3" t="s">
        <v>1506</v>
      </c>
      <c r="O489" s="82" t="s">
        <v>2084</v>
      </c>
      <c r="P489" s="8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3" t="s">
        <v>2087</v>
      </c>
      <c r="B490" s="4" t="s">
        <v>2088</v>
      </c>
      <c r="C490" s="4"/>
      <c r="D490" s="3" t="s">
        <v>2089</v>
      </c>
      <c r="E490" s="3">
        <v>43.0</v>
      </c>
      <c r="F490" s="3">
        <f t="shared" si="65"/>
        <v>490.2</v>
      </c>
      <c r="G490" s="6">
        <v>11.4</v>
      </c>
      <c r="H490" s="4" t="s">
        <v>2090</v>
      </c>
      <c r="I490" s="38" t="s">
        <v>268</v>
      </c>
      <c r="J490" s="7" t="s">
        <v>2091</v>
      </c>
      <c r="K490" s="3" t="s">
        <v>273</v>
      </c>
      <c r="L490" s="3" t="s">
        <v>1992</v>
      </c>
      <c r="M490" s="3" t="s">
        <v>2083</v>
      </c>
      <c r="N490" s="3" t="s">
        <v>2092</v>
      </c>
      <c r="O490" s="10" t="s">
        <v>2093</v>
      </c>
      <c r="P490" s="8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3" t="s">
        <v>2094</v>
      </c>
      <c r="B491" s="4" t="s">
        <v>2088</v>
      </c>
      <c r="C491" s="4"/>
      <c r="D491" s="3" t="s">
        <v>1990</v>
      </c>
      <c r="E491" s="3">
        <v>22.0</v>
      </c>
      <c r="F491" s="3">
        <f t="shared" si="65"/>
        <v>250.8</v>
      </c>
      <c r="G491" s="6">
        <v>11.4</v>
      </c>
      <c r="H491" s="4" t="s">
        <v>1767</v>
      </c>
      <c r="I491" s="47" t="s">
        <v>263</v>
      </c>
      <c r="J491" s="7" t="s">
        <v>2091</v>
      </c>
      <c r="K491" s="3" t="s">
        <v>273</v>
      </c>
      <c r="L491" s="3" t="s">
        <v>1992</v>
      </c>
      <c r="M491" s="3" t="s">
        <v>2083</v>
      </c>
      <c r="N491" s="3" t="s">
        <v>2092</v>
      </c>
      <c r="O491" s="10" t="s">
        <v>2093</v>
      </c>
      <c r="P491" s="8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3" t="s">
        <v>2095</v>
      </c>
      <c r="B492" s="4" t="s">
        <v>2096</v>
      </c>
      <c r="C492" s="4"/>
      <c r="D492" s="3" t="s">
        <v>2080</v>
      </c>
      <c r="E492" s="3">
        <v>47.0</v>
      </c>
      <c r="F492" s="3">
        <f t="shared" si="65"/>
        <v>535.8</v>
      </c>
      <c r="G492" s="6">
        <v>11.4</v>
      </c>
      <c r="H492" s="4" t="s">
        <v>2097</v>
      </c>
      <c r="I492" s="38" t="s">
        <v>268</v>
      </c>
      <c r="J492" s="7" t="s">
        <v>2098</v>
      </c>
      <c r="K492" s="3" t="s">
        <v>1535</v>
      </c>
      <c r="L492" s="3" t="s">
        <v>1992</v>
      </c>
      <c r="M492" s="3" t="s">
        <v>2083</v>
      </c>
      <c r="N492" s="3" t="s">
        <v>2092</v>
      </c>
      <c r="O492" s="10" t="s">
        <v>2093</v>
      </c>
      <c r="P492" s="8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3" t="s">
        <v>2099</v>
      </c>
      <c r="B493" s="4" t="s">
        <v>2096</v>
      </c>
      <c r="C493" s="4"/>
      <c r="D493" s="3" t="s">
        <v>2100</v>
      </c>
      <c r="E493" s="3">
        <v>22.0</v>
      </c>
      <c r="F493" s="3">
        <f t="shared" si="65"/>
        <v>250.8</v>
      </c>
      <c r="G493" s="6">
        <v>11.4</v>
      </c>
      <c r="H493" s="4" t="s">
        <v>1767</v>
      </c>
      <c r="I493" s="47" t="s">
        <v>263</v>
      </c>
      <c r="J493" s="7" t="s">
        <v>2101</v>
      </c>
      <c r="K493" s="3" t="s">
        <v>1535</v>
      </c>
      <c r="L493" s="3" t="s">
        <v>1992</v>
      </c>
      <c r="M493" s="3" t="s">
        <v>2083</v>
      </c>
      <c r="N493" s="3" t="s">
        <v>2092</v>
      </c>
      <c r="O493" s="10" t="s">
        <v>2093</v>
      </c>
      <c r="P493" s="8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3" t="s">
        <v>2102</v>
      </c>
      <c r="B494" s="4" t="s">
        <v>2103</v>
      </c>
      <c r="C494" s="4"/>
      <c r="E494" s="3">
        <v>16.0</v>
      </c>
      <c r="F494" s="3">
        <f t="shared" si="65"/>
        <v>182.4</v>
      </c>
      <c r="G494" s="6">
        <v>11.4</v>
      </c>
      <c r="H494" s="3" t="s">
        <v>1767</v>
      </c>
      <c r="I494" s="47" t="s">
        <v>263</v>
      </c>
      <c r="J494" s="7" t="s">
        <v>2104</v>
      </c>
      <c r="K494" s="3" t="s">
        <v>273</v>
      </c>
      <c r="L494" s="3" t="s">
        <v>1992</v>
      </c>
      <c r="M494" s="3" t="s">
        <v>2083</v>
      </c>
      <c r="N494" s="3" t="s">
        <v>2092</v>
      </c>
      <c r="O494" s="10" t="s">
        <v>2093</v>
      </c>
      <c r="P494" s="8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3" t="s">
        <v>2105</v>
      </c>
      <c r="B495" s="4" t="s">
        <v>2106</v>
      </c>
      <c r="C495" s="4"/>
      <c r="D495" s="3" t="s">
        <v>2107</v>
      </c>
      <c r="E495" s="3">
        <v>30.0</v>
      </c>
      <c r="F495" s="3">
        <f t="shared" si="65"/>
        <v>234</v>
      </c>
      <c r="G495" s="6">
        <v>7.8</v>
      </c>
      <c r="H495" s="3" t="s">
        <v>2108</v>
      </c>
      <c r="I495" s="38" t="s">
        <v>268</v>
      </c>
      <c r="J495" s="7" t="s">
        <v>2109</v>
      </c>
      <c r="K495" s="3" t="s">
        <v>1535</v>
      </c>
      <c r="L495" s="3"/>
      <c r="M495" s="30">
        <v>45449.0</v>
      </c>
      <c r="N495" s="30">
        <v>45633.0</v>
      </c>
      <c r="O495" s="4" t="s">
        <v>2110</v>
      </c>
      <c r="P495" s="8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3" t="s">
        <v>2111</v>
      </c>
      <c r="B496" s="4" t="s">
        <v>2112</v>
      </c>
      <c r="C496" s="4"/>
      <c r="D496" s="3" t="s">
        <v>2113</v>
      </c>
      <c r="E496" s="3">
        <v>59.0</v>
      </c>
      <c r="F496" s="3">
        <f t="shared" si="65"/>
        <v>460.2</v>
      </c>
      <c r="G496" s="6">
        <v>7.8</v>
      </c>
      <c r="H496" s="3" t="s">
        <v>2108</v>
      </c>
      <c r="I496" s="38" t="s">
        <v>268</v>
      </c>
      <c r="J496" s="7" t="s">
        <v>2114</v>
      </c>
      <c r="K496" s="3" t="s">
        <v>273</v>
      </c>
      <c r="L496" s="3"/>
      <c r="M496" s="30">
        <v>45449.0</v>
      </c>
      <c r="N496" s="3" t="s">
        <v>2083</v>
      </c>
      <c r="O496" s="86" t="s">
        <v>2115</v>
      </c>
      <c r="P496" s="8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B497" s="4" t="s">
        <v>2116</v>
      </c>
      <c r="C497" s="4"/>
      <c r="D497" s="3" t="s">
        <v>2117</v>
      </c>
      <c r="E497" s="3">
        <v>19.0</v>
      </c>
      <c r="F497" s="3">
        <f t="shared" si="65"/>
        <v>148.2</v>
      </c>
      <c r="G497" s="6">
        <v>7.8</v>
      </c>
      <c r="H497" s="3" t="s">
        <v>2108</v>
      </c>
      <c r="I497" s="38" t="s">
        <v>268</v>
      </c>
      <c r="J497" s="7" t="s">
        <v>2114</v>
      </c>
      <c r="K497" s="3" t="s">
        <v>273</v>
      </c>
      <c r="L497" s="3"/>
      <c r="M497" s="30">
        <v>45449.0</v>
      </c>
      <c r="N497" s="3" t="s">
        <v>2083</v>
      </c>
      <c r="O497" s="86" t="s">
        <v>2115</v>
      </c>
      <c r="P497" s="8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3" t="s">
        <v>2118</v>
      </c>
      <c r="B498" s="86" t="s">
        <v>2119</v>
      </c>
      <c r="C498" s="86"/>
      <c r="D498" s="3" t="s">
        <v>2113</v>
      </c>
      <c r="E498" s="61">
        <v>45.0</v>
      </c>
      <c r="F498" s="61">
        <f t="shared" si="65"/>
        <v>351</v>
      </c>
      <c r="G498" s="6">
        <v>7.8</v>
      </c>
      <c r="H498" s="3" t="s">
        <v>2108</v>
      </c>
      <c r="I498" s="87" t="s">
        <v>268</v>
      </c>
      <c r="J498" s="86" t="s">
        <v>2069</v>
      </c>
      <c r="K498" s="3" t="s">
        <v>273</v>
      </c>
      <c r="L498" s="86"/>
      <c r="M498" s="30">
        <v>45449.0</v>
      </c>
      <c r="N498" s="61" t="s">
        <v>2022</v>
      </c>
      <c r="O498" s="86" t="s">
        <v>2120</v>
      </c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ht="15.75" customHeight="1">
      <c r="B499" s="86" t="s">
        <v>2121</v>
      </c>
      <c r="C499" s="86"/>
      <c r="D499" s="3" t="s">
        <v>2117</v>
      </c>
      <c r="E499" s="61">
        <v>38.0</v>
      </c>
      <c r="F499" s="61">
        <f t="shared" si="65"/>
        <v>296.4</v>
      </c>
      <c r="G499" s="6">
        <v>7.8</v>
      </c>
      <c r="H499" s="3" t="s">
        <v>2108</v>
      </c>
      <c r="I499" s="87" t="s">
        <v>268</v>
      </c>
      <c r="J499" s="86" t="s">
        <v>2069</v>
      </c>
      <c r="K499" s="2" t="s">
        <v>1514</v>
      </c>
      <c r="L499" s="86"/>
      <c r="M499" s="30">
        <v>45449.0</v>
      </c>
      <c r="N499" s="61" t="s">
        <v>2022</v>
      </c>
      <c r="O499" s="86" t="s">
        <v>2120</v>
      </c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ht="15.75" customHeight="1">
      <c r="A500" s="3" t="s">
        <v>2122</v>
      </c>
      <c r="B500" s="86" t="s">
        <v>2123</v>
      </c>
      <c r="C500" s="86"/>
      <c r="D500" s="3" t="s">
        <v>2113</v>
      </c>
      <c r="E500" s="61">
        <v>65.0</v>
      </c>
      <c r="F500" s="61">
        <f t="shared" si="65"/>
        <v>507</v>
      </c>
      <c r="G500" s="6">
        <v>7.8</v>
      </c>
      <c r="H500" s="4" t="s">
        <v>1591</v>
      </c>
      <c r="I500" s="87" t="s">
        <v>268</v>
      </c>
      <c r="J500" s="86" t="s">
        <v>2124</v>
      </c>
      <c r="K500" s="2" t="s">
        <v>1514</v>
      </c>
      <c r="L500" s="86"/>
      <c r="M500" s="30">
        <v>45449.0</v>
      </c>
      <c r="N500" s="61" t="s">
        <v>2022</v>
      </c>
      <c r="O500" s="86" t="s">
        <v>2125</v>
      </c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ht="15.75" customHeight="1">
      <c r="B501" s="86" t="s">
        <v>2126</v>
      </c>
      <c r="C501" s="86"/>
      <c r="D501" s="3" t="s">
        <v>2117</v>
      </c>
      <c r="E501" s="61">
        <v>38.0</v>
      </c>
      <c r="F501" s="61">
        <f t="shared" si="65"/>
        <v>296.4</v>
      </c>
      <c r="G501" s="6">
        <v>7.8</v>
      </c>
      <c r="H501" s="3" t="s">
        <v>2108</v>
      </c>
      <c r="I501" s="87" t="s">
        <v>268</v>
      </c>
      <c r="J501" s="86" t="s">
        <v>2124</v>
      </c>
      <c r="K501" s="2" t="s">
        <v>1514</v>
      </c>
      <c r="L501" s="86"/>
      <c r="M501" s="30">
        <v>45449.0</v>
      </c>
      <c r="N501" s="61" t="s">
        <v>2022</v>
      </c>
      <c r="O501" s="86" t="s">
        <v>2125</v>
      </c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ht="15.75" customHeight="1">
      <c r="A502" s="3" t="s">
        <v>2127</v>
      </c>
      <c r="B502" s="86" t="s">
        <v>2128</v>
      </c>
      <c r="C502" s="86"/>
      <c r="D502" s="3" t="s">
        <v>2113</v>
      </c>
      <c r="E502" s="61">
        <v>45.0</v>
      </c>
      <c r="F502" s="61">
        <f t="shared" si="65"/>
        <v>351</v>
      </c>
      <c r="G502" s="6">
        <v>7.8</v>
      </c>
      <c r="H502" s="3" t="s">
        <v>2108</v>
      </c>
      <c r="I502" s="87" t="s">
        <v>268</v>
      </c>
      <c r="J502" s="86" t="s">
        <v>1971</v>
      </c>
      <c r="K502" s="3" t="s">
        <v>273</v>
      </c>
      <c r="L502" s="86"/>
      <c r="M502" s="30">
        <v>45449.0</v>
      </c>
      <c r="N502" s="3" t="s">
        <v>2083</v>
      </c>
      <c r="O502" s="86" t="s">
        <v>2125</v>
      </c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ht="15.75" customHeight="1">
      <c r="B503" s="86" t="s">
        <v>2129</v>
      </c>
      <c r="C503" s="86"/>
      <c r="D503" s="3" t="s">
        <v>2117</v>
      </c>
      <c r="E503" s="61">
        <v>19.0</v>
      </c>
      <c r="F503" s="61">
        <f t="shared" si="65"/>
        <v>148.2</v>
      </c>
      <c r="G503" s="6">
        <v>7.8</v>
      </c>
      <c r="H503" s="3" t="s">
        <v>2108</v>
      </c>
      <c r="I503" s="87" t="s">
        <v>268</v>
      </c>
      <c r="J503" s="86" t="s">
        <v>1971</v>
      </c>
      <c r="K503" s="3" t="s">
        <v>1784</v>
      </c>
      <c r="L503" s="86"/>
      <c r="M503" s="30">
        <v>45449.0</v>
      </c>
      <c r="N503" s="3" t="s">
        <v>2083</v>
      </c>
      <c r="O503" s="86" t="s">
        <v>2125</v>
      </c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ht="15.75" customHeight="1">
      <c r="A504" s="3" t="s">
        <v>2130</v>
      </c>
      <c r="B504" s="86" t="s">
        <v>2131</v>
      </c>
      <c r="C504" s="86"/>
      <c r="D504" s="3" t="s">
        <v>2117</v>
      </c>
      <c r="E504" s="61">
        <v>52.0</v>
      </c>
      <c r="F504" s="61">
        <f t="shared" si="65"/>
        <v>936</v>
      </c>
      <c r="G504" s="6">
        <v>18.0</v>
      </c>
      <c r="H504" s="3" t="s">
        <v>2108</v>
      </c>
      <c r="I504" s="87" t="s">
        <v>268</v>
      </c>
      <c r="J504" s="86" t="s">
        <v>2132</v>
      </c>
      <c r="K504" s="3" t="s">
        <v>273</v>
      </c>
      <c r="L504" s="86"/>
      <c r="M504" s="30">
        <v>45449.0</v>
      </c>
      <c r="N504" s="3" t="s">
        <v>2083</v>
      </c>
      <c r="O504" s="86" t="s">
        <v>2125</v>
      </c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ht="15.75" customHeight="1">
      <c r="A505" s="3" t="s">
        <v>2133</v>
      </c>
      <c r="B505" s="4" t="s">
        <v>2134</v>
      </c>
      <c r="C505" s="4"/>
      <c r="D505" s="3" t="s">
        <v>2135</v>
      </c>
      <c r="E505" s="3">
        <v>62.0</v>
      </c>
      <c r="F505" s="61">
        <f t="shared" si="65"/>
        <v>527</v>
      </c>
      <c r="G505" s="6">
        <v>8.5</v>
      </c>
      <c r="H505" s="3" t="s">
        <v>1414</v>
      </c>
      <c r="I505" s="47" t="s">
        <v>263</v>
      </c>
      <c r="J505" s="7" t="s">
        <v>2136</v>
      </c>
      <c r="K505" s="3"/>
      <c r="L505" s="3" t="s">
        <v>2041</v>
      </c>
      <c r="M505" s="3" t="s">
        <v>2022</v>
      </c>
      <c r="N505" s="3" t="s">
        <v>2137</v>
      </c>
      <c r="O505" s="3" t="s">
        <v>2138</v>
      </c>
      <c r="P505" s="8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3" t="s">
        <v>2139</v>
      </c>
      <c r="B506" s="4" t="s">
        <v>2140</v>
      </c>
      <c r="C506" s="4"/>
      <c r="D506" s="3" t="s">
        <v>2141</v>
      </c>
      <c r="E506" s="3">
        <v>93.0</v>
      </c>
      <c r="F506" s="61">
        <f t="shared" si="65"/>
        <v>883.5</v>
      </c>
      <c r="G506" s="6">
        <v>9.5</v>
      </c>
      <c r="H506" s="3" t="s">
        <v>1414</v>
      </c>
      <c r="J506" s="7" t="s">
        <v>2142</v>
      </c>
      <c r="K506" s="3" t="s">
        <v>1535</v>
      </c>
      <c r="L506" s="3" t="s">
        <v>2041</v>
      </c>
      <c r="M506" s="3" t="s">
        <v>2022</v>
      </c>
      <c r="N506" s="3" t="s">
        <v>2137</v>
      </c>
      <c r="O506" s="3" t="s">
        <v>2138</v>
      </c>
      <c r="P506" s="8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3" t="s">
        <v>2143</v>
      </c>
      <c r="B507" s="4" t="s">
        <v>2144</v>
      </c>
      <c r="C507" s="4"/>
      <c r="D507" s="3" t="s">
        <v>2145</v>
      </c>
      <c r="E507" s="3">
        <v>111.0</v>
      </c>
      <c r="F507" s="61">
        <f t="shared" si="65"/>
        <v>1387.5</v>
      </c>
      <c r="G507" s="6">
        <v>12.5</v>
      </c>
      <c r="H507" s="3" t="s">
        <v>2146</v>
      </c>
      <c r="J507" s="7" t="s">
        <v>2147</v>
      </c>
      <c r="K507" s="3" t="s">
        <v>1535</v>
      </c>
      <c r="L507" s="3" t="s">
        <v>2041</v>
      </c>
      <c r="M507" s="3" t="s">
        <v>2022</v>
      </c>
      <c r="N507" s="3" t="s">
        <v>1451</v>
      </c>
      <c r="O507" s="3" t="s">
        <v>2148</v>
      </c>
      <c r="P507" s="8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3" t="s">
        <v>2149</v>
      </c>
      <c r="B508" s="4" t="s">
        <v>2150</v>
      </c>
      <c r="C508" s="4">
        <v>7.77043456555E11</v>
      </c>
      <c r="D508" s="3" t="s">
        <v>2151</v>
      </c>
      <c r="E508" s="3">
        <v>44.0</v>
      </c>
      <c r="F508" s="61">
        <f t="shared" si="65"/>
        <v>748</v>
      </c>
      <c r="G508" s="6">
        <v>17.0</v>
      </c>
      <c r="H508" s="3" t="s">
        <v>2152</v>
      </c>
      <c r="J508" s="7" t="s">
        <v>2153</v>
      </c>
      <c r="K508" s="3" t="s">
        <v>1535</v>
      </c>
      <c r="L508" s="3" t="s">
        <v>2041</v>
      </c>
      <c r="M508" s="3" t="s">
        <v>2022</v>
      </c>
      <c r="N508" s="3" t="s">
        <v>2154</v>
      </c>
      <c r="O508" s="3" t="s">
        <v>2155</v>
      </c>
      <c r="P508" s="8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3" t="s">
        <v>2156</v>
      </c>
      <c r="B509" s="4" t="s">
        <v>2157</v>
      </c>
      <c r="C509" s="4"/>
      <c r="D509" s="3" t="s">
        <v>2141</v>
      </c>
      <c r="E509" s="3">
        <v>59.0</v>
      </c>
      <c r="F509" s="61">
        <f t="shared" si="65"/>
        <v>501.5</v>
      </c>
      <c r="G509" s="6">
        <v>8.5</v>
      </c>
      <c r="H509" s="3" t="s">
        <v>1414</v>
      </c>
      <c r="J509" s="7" t="s">
        <v>2158</v>
      </c>
      <c r="K509" s="3" t="s">
        <v>1535</v>
      </c>
      <c r="L509" s="3" t="s">
        <v>2041</v>
      </c>
      <c r="M509" s="3" t="s">
        <v>2022</v>
      </c>
      <c r="N509" s="3" t="s">
        <v>2003</v>
      </c>
      <c r="O509" s="3" t="s">
        <v>2159</v>
      </c>
      <c r="P509" s="8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3" t="s">
        <v>2160</v>
      </c>
      <c r="B510" s="4" t="s">
        <v>2161</v>
      </c>
      <c r="C510" s="4" t="s">
        <v>2162</v>
      </c>
      <c r="D510" s="3" t="s">
        <v>2163</v>
      </c>
      <c r="E510" s="3">
        <v>24.0</v>
      </c>
      <c r="F510" s="6">
        <f t="shared" ref="F510:F511" si="66">E510*50/7.2294+114/8*1/7.191</f>
        <v>167.9705225</v>
      </c>
      <c r="G510" s="6">
        <f t="shared" ref="G510:G514" si="67">F510/E510</f>
        <v>6.998771769</v>
      </c>
      <c r="H510" s="3" t="s">
        <v>1848</v>
      </c>
      <c r="I510" s="3" t="s">
        <v>360</v>
      </c>
      <c r="J510" s="7" t="s">
        <v>2164</v>
      </c>
      <c r="K510" s="3" t="s">
        <v>273</v>
      </c>
      <c r="L510" s="3"/>
      <c r="M510" s="30">
        <v>45329.0</v>
      </c>
      <c r="N510" s="3"/>
      <c r="O510" s="3" t="s">
        <v>2165</v>
      </c>
      <c r="P510" s="8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3" t="s">
        <v>2166</v>
      </c>
      <c r="B511" s="4" t="s">
        <v>2167</v>
      </c>
      <c r="C511" s="4" t="s">
        <v>2168</v>
      </c>
      <c r="D511" s="3" t="s">
        <v>2163</v>
      </c>
      <c r="E511" s="3">
        <v>24.0</v>
      </c>
      <c r="F511" s="6">
        <f t="shared" si="66"/>
        <v>167.9705225</v>
      </c>
      <c r="G511" s="6">
        <f t="shared" si="67"/>
        <v>6.998771769</v>
      </c>
      <c r="H511" s="3" t="s">
        <v>1848</v>
      </c>
      <c r="I511" s="3" t="s">
        <v>360</v>
      </c>
      <c r="J511" s="7" t="s">
        <v>2164</v>
      </c>
      <c r="K511" s="3" t="s">
        <v>273</v>
      </c>
      <c r="L511" s="3"/>
      <c r="M511" s="30">
        <v>45329.0</v>
      </c>
      <c r="N511" s="3"/>
      <c r="O511" s="3" t="s">
        <v>2165</v>
      </c>
      <c r="P511" s="8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3" t="s">
        <v>2169</v>
      </c>
      <c r="B512" s="4" t="s">
        <v>2170</v>
      </c>
      <c r="C512" s="4">
        <v>7.77166544823E11</v>
      </c>
      <c r="D512" s="3" t="s">
        <v>2163</v>
      </c>
      <c r="E512" s="3">
        <v>48.0</v>
      </c>
      <c r="F512" s="6">
        <f>E512*52/7.2294+114/8*2/7.191</f>
        <v>349.2201552</v>
      </c>
      <c r="G512" s="6">
        <f t="shared" si="67"/>
        <v>7.275419901</v>
      </c>
      <c r="H512" s="3" t="s">
        <v>1848</v>
      </c>
      <c r="I512" s="3" t="s">
        <v>360</v>
      </c>
      <c r="J512" s="7" t="s">
        <v>2164</v>
      </c>
      <c r="K512" s="3" t="s">
        <v>273</v>
      </c>
      <c r="L512" s="3"/>
      <c r="M512" s="30">
        <v>45329.0</v>
      </c>
      <c r="N512" s="3"/>
      <c r="O512" s="3" t="s">
        <v>2165</v>
      </c>
      <c r="P512" s="8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3" t="s">
        <v>2171</v>
      </c>
      <c r="B513" s="4" t="s">
        <v>2172</v>
      </c>
      <c r="C513" s="4" t="s">
        <v>2173</v>
      </c>
      <c r="D513" s="3" t="s">
        <v>2163</v>
      </c>
      <c r="E513" s="3">
        <v>48.0</v>
      </c>
      <c r="F513" s="6">
        <f t="shared" ref="F513:F514" si="68">E513*51/7.2294+114/8*2/7.191</f>
        <v>342.5806001</v>
      </c>
      <c r="G513" s="6">
        <f t="shared" si="67"/>
        <v>7.137095835</v>
      </c>
      <c r="H513" s="3" t="s">
        <v>1848</v>
      </c>
      <c r="I513" s="3" t="s">
        <v>360</v>
      </c>
      <c r="J513" s="7" t="s">
        <v>2164</v>
      </c>
      <c r="K513" s="3" t="s">
        <v>273</v>
      </c>
      <c r="L513" s="3"/>
      <c r="M513" s="30">
        <v>45329.0</v>
      </c>
      <c r="N513" s="3"/>
      <c r="O513" s="3" t="s">
        <v>2165</v>
      </c>
      <c r="P513" s="8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3" t="s">
        <v>2174</v>
      </c>
      <c r="B514" s="4" t="s">
        <v>2175</v>
      </c>
      <c r="C514" s="4" t="s">
        <v>2176</v>
      </c>
      <c r="D514" s="3" t="s">
        <v>2163</v>
      </c>
      <c r="E514" s="3">
        <v>48.0</v>
      </c>
      <c r="F514" s="6">
        <f t="shared" si="68"/>
        <v>342.5806001</v>
      </c>
      <c r="G514" s="6">
        <f t="shared" si="67"/>
        <v>7.137095835</v>
      </c>
      <c r="H514" s="3" t="s">
        <v>1848</v>
      </c>
      <c r="I514" s="3" t="s">
        <v>360</v>
      </c>
      <c r="J514" s="7" t="s">
        <v>2164</v>
      </c>
      <c r="K514" s="3" t="s">
        <v>1535</v>
      </c>
      <c r="L514" s="3"/>
      <c r="M514" s="30">
        <v>45329.0</v>
      </c>
      <c r="N514" s="3"/>
      <c r="O514" s="3" t="s">
        <v>2165</v>
      </c>
      <c r="P514" s="8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3" t="s">
        <v>2177</v>
      </c>
      <c r="B515" s="4" t="s">
        <v>2178</v>
      </c>
      <c r="C515" s="4"/>
      <c r="D515" s="3" t="s">
        <v>2179</v>
      </c>
      <c r="E515" s="3">
        <v>17.0</v>
      </c>
      <c r="F515" s="3">
        <f t="shared" ref="F515:F518" si="69">E515*G515</f>
        <v>183.6</v>
      </c>
      <c r="G515" s="6">
        <v>10.8</v>
      </c>
      <c r="H515" s="3" t="s">
        <v>1414</v>
      </c>
      <c r="I515" s="47" t="s">
        <v>263</v>
      </c>
      <c r="J515" s="7" t="s">
        <v>2180</v>
      </c>
      <c r="K515" s="3"/>
      <c r="L515" s="3"/>
      <c r="M515" s="30">
        <v>45389.0</v>
      </c>
      <c r="N515" s="3" t="s">
        <v>1716</v>
      </c>
      <c r="O515" s="3" t="s">
        <v>2181</v>
      </c>
      <c r="P515" s="8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3" t="s">
        <v>2182</v>
      </c>
      <c r="B516" s="4" t="s">
        <v>2183</v>
      </c>
      <c r="C516" s="4" t="s">
        <v>2184</v>
      </c>
      <c r="D516" s="3" t="s">
        <v>2179</v>
      </c>
      <c r="E516" s="3">
        <v>19.0</v>
      </c>
      <c r="F516" s="3">
        <f t="shared" si="69"/>
        <v>950</v>
      </c>
      <c r="G516" s="6">
        <v>50.0</v>
      </c>
      <c r="H516" s="3" t="s">
        <v>2185</v>
      </c>
      <c r="J516" s="7" t="s">
        <v>2186</v>
      </c>
      <c r="K516" s="3" t="s">
        <v>1535</v>
      </c>
      <c r="L516" s="3"/>
      <c r="M516" s="30">
        <v>45358.0</v>
      </c>
      <c r="N516" s="3" t="s">
        <v>2187</v>
      </c>
      <c r="O516" s="30">
        <v>45633.0</v>
      </c>
      <c r="P516" s="8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3" t="s">
        <v>2188</v>
      </c>
      <c r="B517" s="4" t="s">
        <v>2189</v>
      </c>
      <c r="C517" s="4" t="s">
        <v>2190</v>
      </c>
      <c r="D517" s="3" t="s">
        <v>2179</v>
      </c>
      <c r="E517" s="3">
        <v>36.0</v>
      </c>
      <c r="F517" s="3">
        <f t="shared" si="69"/>
        <v>504</v>
      </c>
      <c r="G517" s="6">
        <v>14.0</v>
      </c>
      <c r="H517" s="3" t="s">
        <v>2191</v>
      </c>
      <c r="J517" s="7" t="s">
        <v>2180</v>
      </c>
      <c r="K517" s="3" t="s">
        <v>1535</v>
      </c>
      <c r="L517" s="3"/>
      <c r="M517" s="30">
        <v>45358.0</v>
      </c>
      <c r="N517" s="3" t="s">
        <v>2192</v>
      </c>
      <c r="O517" s="3" t="s">
        <v>2193</v>
      </c>
      <c r="P517" s="8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3" t="s">
        <v>2194</v>
      </c>
      <c r="B518" s="4" t="s">
        <v>2195</v>
      </c>
      <c r="C518" s="4"/>
      <c r="D518" s="3" t="s">
        <v>2179</v>
      </c>
      <c r="E518" s="3">
        <v>16.0</v>
      </c>
      <c r="F518" s="3">
        <f t="shared" si="69"/>
        <v>156.8</v>
      </c>
      <c r="G518" s="6">
        <v>9.8</v>
      </c>
      <c r="H518" s="3" t="s">
        <v>1414</v>
      </c>
      <c r="J518" s="7" t="s">
        <v>2180</v>
      </c>
      <c r="K518" s="3"/>
      <c r="L518" s="3"/>
      <c r="M518" s="30">
        <v>45389.0</v>
      </c>
      <c r="N518" s="3" t="s">
        <v>1716</v>
      </c>
      <c r="O518" s="3" t="s">
        <v>2181</v>
      </c>
      <c r="P518" s="8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3" t="s">
        <v>2196</v>
      </c>
      <c r="B519" s="4" t="s">
        <v>2197</v>
      </c>
      <c r="C519" s="4"/>
      <c r="D519" s="3" t="s">
        <v>2198</v>
      </c>
      <c r="E519" s="3">
        <v>80.0</v>
      </c>
      <c r="F519" s="61">
        <f t="shared" ref="F519:F527" si="70">G519*E519</f>
        <v>784</v>
      </c>
      <c r="G519" s="6">
        <f>6.8+3</f>
        <v>9.8</v>
      </c>
      <c r="H519" s="13" t="s">
        <v>31</v>
      </c>
      <c r="I519" s="48" t="s">
        <v>268</v>
      </c>
      <c r="J519" s="7" t="s">
        <v>2199</v>
      </c>
      <c r="K519" s="3" t="s">
        <v>1535</v>
      </c>
      <c r="L519" s="2" t="s">
        <v>2200</v>
      </c>
      <c r="M519" s="30">
        <v>45358.0</v>
      </c>
      <c r="N519" s="3" t="s">
        <v>2201</v>
      </c>
      <c r="O519" s="3" t="s">
        <v>2202</v>
      </c>
      <c r="P519" s="8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3" t="s">
        <v>2203</v>
      </c>
      <c r="B520" s="4" t="s">
        <v>2204</v>
      </c>
      <c r="C520" s="4"/>
      <c r="D520" s="3" t="s">
        <v>2198</v>
      </c>
      <c r="E520" s="3">
        <v>21.0</v>
      </c>
      <c r="F520" s="61">
        <f t="shared" si="70"/>
        <v>218.4</v>
      </c>
      <c r="G520" s="6">
        <f>7.4+3</f>
        <v>10.4</v>
      </c>
      <c r="J520" s="7" t="s">
        <v>2205</v>
      </c>
      <c r="K520" s="3" t="s">
        <v>1535</v>
      </c>
      <c r="L520" s="2" t="s">
        <v>2200</v>
      </c>
      <c r="M520" s="30">
        <v>45358.0</v>
      </c>
      <c r="N520" s="3" t="s">
        <v>2201</v>
      </c>
      <c r="O520" s="88">
        <v>45420.0</v>
      </c>
      <c r="P520" s="8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3" t="s">
        <v>2206</v>
      </c>
      <c r="B521" s="4" t="s">
        <v>2207</v>
      </c>
      <c r="C521" s="4"/>
      <c r="D521" s="3" t="s">
        <v>2198</v>
      </c>
      <c r="E521" s="3">
        <v>21.0</v>
      </c>
      <c r="F521" s="61">
        <f t="shared" si="70"/>
        <v>268.8</v>
      </c>
      <c r="G521" s="6">
        <f>9.8+3</f>
        <v>12.8</v>
      </c>
      <c r="J521" s="7" t="s">
        <v>2208</v>
      </c>
      <c r="K521" s="3" t="s">
        <v>1535</v>
      </c>
      <c r="L521" s="2" t="s">
        <v>2200</v>
      </c>
      <c r="M521" s="30">
        <v>45358.0</v>
      </c>
      <c r="N521" s="3" t="s">
        <v>2201</v>
      </c>
      <c r="O521" s="11" t="s">
        <v>2209</v>
      </c>
      <c r="P521" s="8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3" t="s">
        <v>2210</v>
      </c>
      <c r="B522" s="4" t="s">
        <v>2211</v>
      </c>
      <c r="C522" s="4"/>
      <c r="D522" s="3" t="s">
        <v>2198</v>
      </c>
      <c r="E522" s="3">
        <v>37.0</v>
      </c>
      <c r="F522" s="61">
        <f t="shared" si="70"/>
        <v>510.6</v>
      </c>
      <c r="G522" s="6">
        <f>10.8+3</f>
        <v>13.8</v>
      </c>
      <c r="J522" s="7" t="s">
        <v>2212</v>
      </c>
      <c r="K522" s="3"/>
      <c r="L522" s="2" t="s">
        <v>2200</v>
      </c>
      <c r="M522" s="30">
        <v>45358.0</v>
      </c>
      <c r="N522" s="3" t="s">
        <v>2201</v>
      </c>
      <c r="O522" s="89">
        <v>45420.0</v>
      </c>
      <c r="P522" s="8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3" t="s">
        <v>2213</v>
      </c>
      <c r="B523" s="4" t="s">
        <v>2214</v>
      </c>
      <c r="C523" s="4"/>
      <c r="D523" s="3" t="s">
        <v>2215</v>
      </c>
      <c r="E523" s="3">
        <v>42.0</v>
      </c>
      <c r="F523" s="61">
        <f t="shared" si="70"/>
        <v>411.6</v>
      </c>
      <c r="G523" s="6">
        <v>9.8</v>
      </c>
      <c r="H523" s="3" t="s">
        <v>742</v>
      </c>
      <c r="I523" s="48" t="s">
        <v>268</v>
      </c>
      <c r="J523" s="7" t="s">
        <v>2216</v>
      </c>
      <c r="K523" s="3" t="s">
        <v>1535</v>
      </c>
      <c r="L523" s="2" t="s">
        <v>2200</v>
      </c>
      <c r="M523" s="30">
        <v>45358.0</v>
      </c>
      <c r="N523" s="3" t="s">
        <v>2217</v>
      </c>
      <c r="O523" s="3" t="s">
        <v>2218</v>
      </c>
      <c r="P523" s="8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3" t="s">
        <v>2219</v>
      </c>
      <c r="B524" s="4" t="s">
        <v>2220</v>
      </c>
      <c r="C524" s="4"/>
      <c r="D524" s="3" t="s">
        <v>2215</v>
      </c>
      <c r="E524" s="3">
        <v>20.0</v>
      </c>
      <c r="F524" s="61">
        <f t="shared" si="70"/>
        <v>216</v>
      </c>
      <c r="G524" s="6">
        <v>10.8</v>
      </c>
      <c r="J524" s="7" t="s">
        <v>2221</v>
      </c>
      <c r="K524" s="3" t="s">
        <v>1535</v>
      </c>
      <c r="L524" s="2" t="s">
        <v>2200</v>
      </c>
      <c r="M524" s="30">
        <v>45358.0</v>
      </c>
      <c r="N524" s="3" t="s">
        <v>2217</v>
      </c>
      <c r="O524" s="90" t="s">
        <v>2222</v>
      </c>
      <c r="P524" s="8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3" t="s">
        <v>2223</v>
      </c>
      <c r="B525" s="4" t="s">
        <v>2224</v>
      </c>
      <c r="C525" s="4"/>
      <c r="D525" s="3" t="s">
        <v>2215</v>
      </c>
      <c r="E525" s="3">
        <v>42.0</v>
      </c>
      <c r="F525" s="61">
        <f t="shared" si="70"/>
        <v>453.6</v>
      </c>
      <c r="G525" s="6">
        <v>10.8</v>
      </c>
      <c r="J525" s="7" t="s">
        <v>2225</v>
      </c>
      <c r="K525" s="3"/>
      <c r="L525" s="2" t="s">
        <v>2200</v>
      </c>
      <c r="M525" s="30">
        <v>45358.0</v>
      </c>
      <c r="N525" s="3" t="s">
        <v>2217</v>
      </c>
      <c r="O525" s="90" t="s">
        <v>2226</v>
      </c>
      <c r="P525" s="8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3" t="s">
        <v>2227</v>
      </c>
      <c r="B526" s="4" t="s">
        <v>2228</v>
      </c>
      <c r="C526" s="4"/>
      <c r="D526" s="3" t="s">
        <v>2215</v>
      </c>
      <c r="E526" s="3">
        <v>22.0</v>
      </c>
      <c r="F526" s="61">
        <f t="shared" si="70"/>
        <v>149.6</v>
      </c>
      <c r="G526" s="6">
        <v>6.8</v>
      </c>
      <c r="J526" s="7" t="s">
        <v>2229</v>
      </c>
      <c r="K526" s="3" t="s">
        <v>1535</v>
      </c>
      <c r="L526" s="2" t="s">
        <v>2200</v>
      </c>
      <c r="M526" s="30">
        <v>45358.0</v>
      </c>
      <c r="N526" s="3" t="s">
        <v>2201</v>
      </c>
      <c r="O526" s="88">
        <v>45390.0</v>
      </c>
      <c r="P526" s="8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3" t="s">
        <v>2230</v>
      </c>
      <c r="B527" s="4" t="s">
        <v>2231</v>
      </c>
      <c r="C527" s="4"/>
      <c r="D527" s="3" t="s">
        <v>2215</v>
      </c>
      <c r="E527" s="3">
        <v>42.0</v>
      </c>
      <c r="F527" s="61">
        <f t="shared" si="70"/>
        <v>310.8</v>
      </c>
      <c r="G527" s="6">
        <v>7.4</v>
      </c>
      <c r="J527" s="7" t="s">
        <v>2232</v>
      </c>
      <c r="K527" s="3" t="s">
        <v>1535</v>
      </c>
      <c r="L527" s="2" t="s">
        <v>2200</v>
      </c>
      <c r="M527" s="30">
        <v>45358.0</v>
      </c>
      <c r="N527" s="3" t="s">
        <v>2201</v>
      </c>
      <c r="O527" s="88">
        <v>45420.0</v>
      </c>
      <c r="P527" s="8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3" t="s">
        <v>2233</v>
      </c>
      <c r="B528" s="4" t="s">
        <v>2234</v>
      </c>
      <c r="C528" s="4" t="s">
        <v>2235</v>
      </c>
      <c r="D528" s="77" t="s">
        <v>2236</v>
      </c>
      <c r="E528" s="3">
        <v>95.0</v>
      </c>
      <c r="F528" s="6">
        <f>E528*15.57/7.2294+186/13*4/7.191</f>
        <v>212.5607079</v>
      </c>
      <c r="G528" s="6">
        <f t="shared" ref="G528:G532" si="71">F528/E528</f>
        <v>2.237481136</v>
      </c>
      <c r="H528" s="3" t="s">
        <v>1848</v>
      </c>
      <c r="I528" s="3" t="s">
        <v>360</v>
      </c>
      <c r="J528" s="7" t="s">
        <v>2237</v>
      </c>
      <c r="K528" s="3" t="s">
        <v>1535</v>
      </c>
      <c r="L528" s="3"/>
      <c r="M528" s="30">
        <v>45542.0</v>
      </c>
      <c r="N528" s="3" t="s">
        <v>2238</v>
      </c>
      <c r="O528" s="30">
        <v>45299.0</v>
      </c>
      <c r="P528" s="8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3" t="s">
        <v>2239</v>
      </c>
      <c r="B529" s="4" t="s">
        <v>2240</v>
      </c>
      <c r="C529" s="4" t="s">
        <v>2241</v>
      </c>
      <c r="D529" s="77" t="s">
        <v>2236</v>
      </c>
      <c r="E529" s="3">
        <v>72.0</v>
      </c>
      <c r="F529" s="6">
        <f>E529*15.57/7.2294+186/13*3/7.191</f>
        <v>161.0358102</v>
      </c>
      <c r="G529" s="6">
        <f t="shared" si="71"/>
        <v>2.236608475</v>
      </c>
      <c r="H529" s="3" t="s">
        <v>1848</v>
      </c>
      <c r="I529" s="3" t="s">
        <v>360</v>
      </c>
      <c r="J529" s="7" t="s">
        <v>2237</v>
      </c>
      <c r="K529" s="3" t="s">
        <v>1535</v>
      </c>
      <c r="L529" s="3"/>
      <c r="M529" s="30">
        <v>45542.0</v>
      </c>
      <c r="N529" s="3" t="s">
        <v>2242</v>
      </c>
      <c r="O529" s="30">
        <v>45543.0</v>
      </c>
      <c r="P529" s="8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3" t="s">
        <v>2243</v>
      </c>
      <c r="B530" s="4" t="s">
        <v>2244</v>
      </c>
      <c r="C530" s="4" t="s">
        <v>2245</v>
      </c>
      <c r="D530" s="77" t="s">
        <v>2236</v>
      </c>
      <c r="E530" s="3">
        <v>24.0</v>
      </c>
      <c r="F530" s="6">
        <f>E530*14/7.2294+186/13*1/7.191</f>
        <v>48.46655262</v>
      </c>
      <c r="G530" s="6">
        <f t="shared" si="71"/>
        <v>2.019439692</v>
      </c>
      <c r="H530" s="3" t="s">
        <v>1848</v>
      </c>
      <c r="I530" s="3" t="s">
        <v>360</v>
      </c>
      <c r="J530" s="7" t="s">
        <v>2237</v>
      </c>
      <c r="K530" s="3" t="s">
        <v>1535</v>
      </c>
      <c r="L530" s="3"/>
      <c r="M530" s="30">
        <v>45542.0</v>
      </c>
      <c r="N530" s="3" t="s">
        <v>2246</v>
      </c>
      <c r="O530" s="30">
        <v>45543.0</v>
      </c>
      <c r="P530" s="8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3" t="s">
        <v>2247</v>
      </c>
      <c r="B531" s="4" t="s">
        <v>2248</v>
      </c>
      <c r="C531" s="4" t="s">
        <v>2249</v>
      </c>
      <c r="D531" s="77" t="s">
        <v>2236</v>
      </c>
      <c r="E531" s="3">
        <v>74.0</v>
      </c>
      <c r="F531" s="6">
        <f>E531*14.35/7.2294+186/13*3/7.191</f>
        <v>152.855325</v>
      </c>
      <c r="G531" s="6">
        <f t="shared" si="71"/>
        <v>2.0656125</v>
      </c>
      <c r="H531" s="3" t="s">
        <v>1848</v>
      </c>
      <c r="I531" s="3" t="s">
        <v>360</v>
      </c>
      <c r="J531" s="7" t="s">
        <v>2237</v>
      </c>
      <c r="K531" s="3" t="s">
        <v>1535</v>
      </c>
      <c r="L531" s="3"/>
      <c r="M531" s="30">
        <v>45542.0</v>
      </c>
      <c r="N531" s="3" t="s">
        <v>2238</v>
      </c>
      <c r="O531" s="30">
        <v>45299.0</v>
      </c>
      <c r="P531" s="8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3" t="s">
        <v>2250</v>
      </c>
      <c r="B532" s="4" t="s">
        <v>2251</v>
      </c>
      <c r="C532" s="4" t="s">
        <v>2252</v>
      </c>
      <c r="D532" s="77" t="s">
        <v>2236</v>
      </c>
      <c r="E532" s="3">
        <v>50.0</v>
      </c>
      <c r="F532" s="6">
        <f>E532*14/7.2294+186/13*2/7.191</f>
        <v>100.8061791</v>
      </c>
      <c r="G532" s="6">
        <f t="shared" si="71"/>
        <v>2.016123582</v>
      </c>
      <c r="H532" s="3" t="s">
        <v>1848</v>
      </c>
      <c r="I532" s="3" t="s">
        <v>360</v>
      </c>
      <c r="J532" s="7" t="s">
        <v>2237</v>
      </c>
      <c r="K532" s="3" t="s">
        <v>1535</v>
      </c>
      <c r="L532" s="3"/>
      <c r="M532" s="30">
        <v>45542.0</v>
      </c>
      <c r="N532" s="3" t="s">
        <v>2084</v>
      </c>
      <c r="O532" s="3" t="s">
        <v>2253</v>
      </c>
      <c r="P532" s="8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3" t="s">
        <v>2254</v>
      </c>
      <c r="B533" s="4" t="s">
        <v>2255</v>
      </c>
      <c r="C533" s="4"/>
      <c r="D533" s="3" t="s">
        <v>2256</v>
      </c>
      <c r="E533" s="3">
        <v>43.0</v>
      </c>
      <c r="F533" s="61">
        <f t="shared" ref="F533:F537" si="72">G533*E533</f>
        <v>438.6</v>
      </c>
      <c r="G533" s="6">
        <v>10.2</v>
      </c>
      <c r="H533" s="3" t="s">
        <v>742</v>
      </c>
      <c r="I533" s="48" t="s">
        <v>268</v>
      </c>
      <c r="J533" s="7" t="s">
        <v>2257</v>
      </c>
      <c r="K533" s="3"/>
      <c r="L533" s="2" t="s">
        <v>2200</v>
      </c>
      <c r="M533" s="30">
        <v>45572.0</v>
      </c>
      <c r="N533" s="3" t="s">
        <v>2217</v>
      </c>
      <c r="O533" s="91" t="s">
        <v>2258</v>
      </c>
      <c r="P533" s="8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3" t="s">
        <v>2259</v>
      </c>
      <c r="B534" s="4" t="s">
        <v>2260</v>
      </c>
      <c r="C534" s="4"/>
      <c r="D534" s="3" t="s">
        <v>2256</v>
      </c>
      <c r="E534" s="3">
        <v>22.0</v>
      </c>
      <c r="F534" s="61">
        <f t="shared" si="72"/>
        <v>215.6</v>
      </c>
      <c r="G534" s="6">
        <v>9.8</v>
      </c>
      <c r="J534" s="7" t="s">
        <v>2261</v>
      </c>
      <c r="K534" s="3"/>
      <c r="L534" s="2" t="s">
        <v>2200</v>
      </c>
      <c r="M534" s="30">
        <v>45572.0</v>
      </c>
      <c r="N534" s="3" t="s">
        <v>2217</v>
      </c>
      <c r="O534" s="91" t="s">
        <v>2258</v>
      </c>
      <c r="P534" s="8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3" t="s">
        <v>2262</v>
      </c>
      <c r="B535" s="4" t="s">
        <v>2263</v>
      </c>
      <c r="C535" s="4"/>
      <c r="D535" s="3" t="s">
        <v>2256</v>
      </c>
      <c r="E535" s="3">
        <v>22.0</v>
      </c>
      <c r="F535" s="61">
        <f t="shared" si="72"/>
        <v>215.6</v>
      </c>
      <c r="G535" s="6">
        <v>9.8</v>
      </c>
      <c r="J535" s="7" t="s">
        <v>2264</v>
      </c>
      <c r="K535" s="3"/>
      <c r="L535" s="2" t="s">
        <v>2200</v>
      </c>
      <c r="M535" s="30">
        <v>45572.0</v>
      </c>
      <c r="N535" s="3" t="s">
        <v>2217</v>
      </c>
      <c r="O535" s="90" t="s">
        <v>2265</v>
      </c>
      <c r="P535" s="8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3" t="s">
        <v>2266</v>
      </c>
      <c r="B536" s="4" t="s">
        <v>2267</v>
      </c>
      <c r="C536" s="4"/>
      <c r="D536" s="3" t="s">
        <v>2256</v>
      </c>
      <c r="E536" s="3">
        <v>22.0</v>
      </c>
      <c r="F536" s="61">
        <f t="shared" si="72"/>
        <v>224.4</v>
      </c>
      <c r="G536" s="6">
        <v>10.2</v>
      </c>
      <c r="J536" s="7" t="s">
        <v>2268</v>
      </c>
      <c r="K536" s="3"/>
      <c r="L536" s="2" t="s">
        <v>2200</v>
      </c>
      <c r="M536" s="30">
        <v>45572.0</v>
      </c>
      <c r="N536" s="3" t="s">
        <v>2217</v>
      </c>
      <c r="O536" s="91" t="s">
        <v>2258</v>
      </c>
      <c r="P536" s="8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3" t="s">
        <v>2269</v>
      </c>
      <c r="B537" s="4" t="s">
        <v>2270</v>
      </c>
      <c r="C537" s="4"/>
      <c r="D537" s="3" t="s">
        <v>2256</v>
      </c>
      <c r="E537" s="3">
        <v>42.0</v>
      </c>
      <c r="F537" s="61">
        <f t="shared" si="72"/>
        <v>411.6</v>
      </c>
      <c r="G537" s="6">
        <v>9.8</v>
      </c>
      <c r="J537" s="7" t="s">
        <v>2271</v>
      </c>
      <c r="K537" s="3"/>
      <c r="L537" s="2" t="s">
        <v>2200</v>
      </c>
      <c r="M537" s="30">
        <v>45572.0</v>
      </c>
      <c r="N537" s="3" t="s">
        <v>2217</v>
      </c>
      <c r="O537" s="91" t="s">
        <v>2258</v>
      </c>
      <c r="P537" s="8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3" t="s">
        <v>2272</v>
      </c>
      <c r="B538" s="4" t="s">
        <v>2273</v>
      </c>
      <c r="C538" s="4" t="s">
        <v>2274</v>
      </c>
      <c r="D538" s="3" t="s">
        <v>2275</v>
      </c>
      <c r="E538" s="3">
        <v>34.0</v>
      </c>
      <c r="F538" s="6">
        <f>(E538*18.5+2)/7.2561</f>
        <v>86.96131531</v>
      </c>
      <c r="G538" s="6">
        <f t="shared" ref="G538:G548" si="73">F538/E538</f>
        <v>2.557685744</v>
      </c>
      <c r="H538" s="3" t="s">
        <v>672</v>
      </c>
      <c r="I538" s="3" t="s">
        <v>360</v>
      </c>
      <c r="J538" s="7" t="s">
        <v>2276</v>
      </c>
      <c r="K538" s="3"/>
      <c r="L538" s="3"/>
      <c r="M538" s="3" t="s">
        <v>2277</v>
      </c>
      <c r="N538" s="3" t="s">
        <v>2278</v>
      </c>
      <c r="O538" s="30">
        <v>45634.0</v>
      </c>
      <c r="P538" s="8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3" t="s">
        <v>2279</v>
      </c>
      <c r="B539" s="4" t="s">
        <v>2280</v>
      </c>
      <c r="C539" s="4" t="s">
        <v>2281</v>
      </c>
      <c r="D539" s="3" t="s">
        <v>2282</v>
      </c>
      <c r="E539" s="3">
        <v>99.0</v>
      </c>
      <c r="F539" s="6">
        <f>(E539*53+6)/7.2561</f>
        <v>723.9426138</v>
      </c>
      <c r="G539" s="6">
        <f t="shared" si="73"/>
        <v>7.312551655</v>
      </c>
      <c r="H539" s="3" t="s">
        <v>672</v>
      </c>
      <c r="I539" s="3" t="s">
        <v>360</v>
      </c>
      <c r="J539" s="7" t="s">
        <v>2283</v>
      </c>
      <c r="K539" s="3" t="s">
        <v>1535</v>
      </c>
      <c r="L539" s="3"/>
      <c r="M539" s="3"/>
      <c r="N539" s="3"/>
      <c r="O539" s="3"/>
      <c r="P539" s="8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3" t="s">
        <v>2284</v>
      </c>
      <c r="B540" s="4" t="s">
        <v>2285</v>
      </c>
      <c r="C540" s="4" t="s">
        <v>2286</v>
      </c>
      <c r="D540" s="3" t="s">
        <v>2282</v>
      </c>
      <c r="E540" s="3">
        <v>34.0</v>
      </c>
      <c r="F540" s="6">
        <f>(E540*18.5+2)/7.2561</f>
        <v>86.96131531</v>
      </c>
      <c r="G540" s="6">
        <f t="shared" si="73"/>
        <v>2.557685744</v>
      </c>
      <c r="H540" s="3" t="s">
        <v>672</v>
      </c>
      <c r="I540" s="3" t="s">
        <v>360</v>
      </c>
      <c r="J540" s="7" t="s">
        <v>2276</v>
      </c>
      <c r="K540" s="3" t="s">
        <v>1535</v>
      </c>
      <c r="L540" s="3"/>
      <c r="M540" s="3" t="s">
        <v>2277</v>
      </c>
      <c r="N540" s="3" t="s">
        <v>2278</v>
      </c>
      <c r="O540" s="30">
        <v>45634.0</v>
      </c>
      <c r="P540" s="8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3" t="s">
        <v>2287</v>
      </c>
      <c r="B541" s="4" t="s">
        <v>2288</v>
      </c>
      <c r="C541" s="4" t="s">
        <v>2289</v>
      </c>
      <c r="D541" s="3" t="s">
        <v>2282</v>
      </c>
      <c r="E541" s="3">
        <v>101.0</v>
      </c>
      <c r="F541" s="6">
        <f t="shared" ref="F541:F542" si="74">(E541*18.5+6)/7.2561</f>
        <v>258.3343669</v>
      </c>
      <c r="G541" s="6">
        <f t="shared" si="73"/>
        <v>2.557766009</v>
      </c>
      <c r="H541" s="3" t="s">
        <v>672</v>
      </c>
      <c r="I541" s="3" t="s">
        <v>360</v>
      </c>
      <c r="J541" s="7" t="s">
        <v>2276</v>
      </c>
      <c r="K541" s="3" t="s">
        <v>1535</v>
      </c>
      <c r="L541" s="3"/>
      <c r="M541" s="3" t="s">
        <v>2277</v>
      </c>
      <c r="N541" s="3" t="s">
        <v>2278</v>
      </c>
      <c r="O541" s="30">
        <v>45634.0</v>
      </c>
      <c r="P541" s="8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3" t="s">
        <v>2290</v>
      </c>
      <c r="B542" s="4" t="s">
        <v>2291</v>
      </c>
      <c r="C542" s="4" t="s">
        <v>2292</v>
      </c>
      <c r="D542" s="3" t="s">
        <v>2282</v>
      </c>
      <c r="E542" s="3">
        <v>99.0</v>
      </c>
      <c r="F542" s="6">
        <f t="shared" si="74"/>
        <v>253.235209</v>
      </c>
      <c r="G542" s="6">
        <f t="shared" si="73"/>
        <v>2.557931404</v>
      </c>
      <c r="H542" s="3" t="s">
        <v>672</v>
      </c>
      <c r="I542" s="3" t="s">
        <v>360</v>
      </c>
      <c r="J542" s="7" t="s">
        <v>2276</v>
      </c>
      <c r="K542" s="3" t="s">
        <v>1535</v>
      </c>
      <c r="L542" s="3"/>
      <c r="M542" s="3" t="s">
        <v>2277</v>
      </c>
      <c r="N542" s="3" t="s">
        <v>2278</v>
      </c>
      <c r="O542" s="30">
        <v>45634.0</v>
      </c>
      <c r="P542" s="8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3" t="s">
        <v>2293</v>
      </c>
      <c r="B543" s="4" t="s">
        <v>2294</v>
      </c>
      <c r="C543" s="4"/>
      <c r="D543" s="3" t="s">
        <v>2295</v>
      </c>
      <c r="E543" s="3">
        <v>25.0</v>
      </c>
      <c r="F543" s="3">
        <f>25*53</f>
        <v>1325</v>
      </c>
      <c r="G543" s="6">
        <f t="shared" si="73"/>
        <v>53</v>
      </c>
      <c r="H543" s="3" t="s">
        <v>2296</v>
      </c>
      <c r="I543" s="3" t="s">
        <v>360</v>
      </c>
      <c r="J543" s="7" t="s">
        <v>1375</v>
      </c>
      <c r="K543" s="3" t="s">
        <v>273</v>
      </c>
      <c r="L543" s="3" t="s">
        <v>1535</v>
      </c>
      <c r="M543" s="30">
        <v>45603.0</v>
      </c>
      <c r="N543" s="3"/>
      <c r="O543" s="3" t="s">
        <v>2084</v>
      </c>
      <c r="P543" s="8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3" t="s">
        <v>2297</v>
      </c>
      <c r="B544" s="4" t="s">
        <v>2298</v>
      </c>
      <c r="C544" s="4"/>
      <c r="D544" s="3" t="s">
        <v>2299</v>
      </c>
      <c r="E544" s="3">
        <v>32.0</v>
      </c>
      <c r="F544" s="3">
        <f>E544*7.4</f>
        <v>236.8</v>
      </c>
      <c r="G544" s="6">
        <f t="shared" si="73"/>
        <v>7.4</v>
      </c>
      <c r="H544" s="3" t="s">
        <v>1374</v>
      </c>
      <c r="I544" s="3" t="s">
        <v>360</v>
      </c>
      <c r="J544" s="7" t="s">
        <v>2300</v>
      </c>
      <c r="K544" s="3"/>
      <c r="L544" s="3"/>
      <c r="M544" s="3" t="s">
        <v>2301</v>
      </c>
      <c r="N544" s="3"/>
      <c r="O544" s="3" t="s">
        <v>2302</v>
      </c>
      <c r="P544" s="8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3" t="s">
        <v>2303</v>
      </c>
      <c r="B545" s="4" t="s">
        <v>2304</v>
      </c>
      <c r="C545" s="4"/>
      <c r="D545" s="3" t="s">
        <v>2305</v>
      </c>
      <c r="E545" s="3">
        <v>46.0</v>
      </c>
      <c r="F545" s="3">
        <f t="shared" ref="F545:F546" si="75">E545*10.8</f>
        <v>496.8</v>
      </c>
      <c r="G545" s="6">
        <f t="shared" si="73"/>
        <v>10.8</v>
      </c>
      <c r="H545" s="3" t="s">
        <v>1374</v>
      </c>
      <c r="I545" s="3" t="s">
        <v>360</v>
      </c>
      <c r="J545" s="7" t="s">
        <v>2300</v>
      </c>
      <c r="K545" s="3"/>
      <c r="L545" s="3"/>
      <c r="M545" s="3" t="s">
        <v>2301</v>
      </c>
      <c r="N545" s="3"/>
      <c r="O545" s="3" t="s">
        <v>2302</v>
      </c>
      <c r="P545" s="8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3" t="s">
        <v>2306</v>
      </c>
      <c r="B546" s="4" t="s">
        <v>2307</v>
      </c>
      <c r="C546" s="4"/>
      <c r="D546" s="3" t="s">
        <v>2305</v>
      </c>
      <c r="E546" s="3">
        <v>62.0</v>
      </c>
      <c r="F546" s="3">
        <f t="shared" si="75"/>
        <v>669.6</v>
      </c>
      <c r="G546" s="6">
        <f t="shared" si="73"/>
        <v>10.8</v>
      </c>
      <c r="H546" s="3" t="s">
        <v>1374</v>
      </c>
      <c r="I546" s="3" t="s">
        <v>360</v>
      </c>
      <c r="J546" s="7" t="s">
        <v>2300</v>
      </c>
      <c r="K546" s="3"/>
      <c r="L546" s="3"/>
      <c r="M546" s="3" t="s">
        <v>2301</v>
      </c>
      <c r="N546" s="3"/>
      <c r="O546" s="3" t="s">
        <v>2302</v>
      </c>
      <c r="P546" s="8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3" t="s">
        <v>2308</v>
      </c>
      <c r="B547" s="4" t="s">
        <v>2309</v>
      </c>
      <c r="C547" s="4"/>
      <c r="D547" s="3" t="s">
        <v>2299</v>
      </c>
      <c r="E547" s="3">
        <v>46.0</v>
      </c>
      <c r="F547" s="3">
        <f t="shared" ref="F547:F548" si="76">E547*9.8</f>
        <v>450.8</v>
      </c>
      <c r="G547" s="6">
        <f t="shared" si="73"/>
        <v>9.8</v>
      </c>
      <c r="H547" s="3" t="s">
        <v>1374</v>
      </c>
      <c r="I547" s="3" t="s">
        <v>360</v>
      </c>
      <c r="J547" s="7" t="s">
        <v>2300</v>
      </c>
      <c r="K547" s="3"/>
      <c r="L547" s="3"/>
      <c r="M547" s="3" t="s">
        <v>2301</v>
      </c>
      <c r="N547" s="3"/>
      <c r="O547" s="3" t="s">
        <v>2302</v>
      </c>
      <c r="P547" s="8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3" t="s">
        <v>2310</v>
      </c>
      <c r="B548" s="4" t="s">
        <v>2311</v>
      </c>
      <c r="C548" s="4"/>
      <c r="D548" s="3" t="s">
        <v>2299</v>
      </c>
      <c r="E548" s="3">
        <v>77.0</v>
      </c>
      <c r="F548" s="3">
        <f t="shared" si="76"/>
        <v>754.6</v>
      </c>
      <c r="G548" s="6">
        <f t="shared" si="73"/>
        <v>9.8</v>
      </c>
      <c r="H548" s="3" t="s">
        <v>1374</v>
      </c>
      <c r="I548" s="3" t="s">
        <v>360</v>
      </c>
      <c r="J548" s="7" t="s">
        <v>2300</v>
      </c>
      <c r="K548" s="3"/>
      <c r="L548" s="3"/>
      <c r="M548" s="3" t="s">
        <v>2301</v>
      </c>
      <c r="N548" s="3"/>
      <c r="O548" s="3" t="s">
        <v>2302</v>
      </c>
      <c r="P548" s="8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3" t="s">
        <v>2312</v>
      </c>
      <c r="B549" s="4" t="s">
        <v>2313</v>
      </c>
      <c r="C549" s="4"/>
      <c r="D549" s="3" t="s">
        <v>2314</v>
      </c>
      <c r="E549" s="3">
        <v>28.0</v>
      </c>
      <c r="F549" s="3">
        <f t="shared" ref="F549:F550" si="77">E549*G549</f>
        <v>1302</v>
      </c>
      <c r="G549" s="6">
        <v>46.5</v>
      </c>
      <c r="H549" s="3" t="s">
        <v>2315</v>
      </c>
      <c r="I549" s="47" t="s">
        <v>263</v>
      </c>
      <c r="J549" s="7" t="s">
        <v>2316</v>
      </c>
      <c r="K549" s="3" t="s">
        <v>1535</v>
      </c>
      <c r="L549" s="3"/>
      <c r="M549" s="3" t="s">
        <v>2317</v>
      </c>
      <c r="N549" s="3"/>
      <c r="O549" s="3" t="s">
        <v>2318</v>
      </c>
      <c r="P549" s="8" t="s">
        <v>2319</v>
      </c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3" t="s">
        <v>2320</v>
      </c>
      <c r="B550" s="4" t="s">
        <v>2321</v>
      </c>
      <c r="C550" s="4"/>
      <c r="E550" s="3">
        <v>54.0</v>
      </c>
      <c r="F550" s="3">
        <f t="shared" si="77"/>
        <v>2511</v>
      </c>
      <c r="G550" s="6">
        <v>46.5</v>
      </c>
      <c r="H550" s="3" t="s">
        <v>2315</v>
      </c>
      <c r="I550" s="47" t="s">
        <v>263</v>
      </c>
      <c r="J550" s="7" t="s">
        <v>2316</v>
      </c>
      <c r="K550" s="3" t="s">
        <v>1535</v>
      </c>
      <c r="L550" s="3"/>
      <c r="M550" s="3" t="s">
        <v>2317</v>
      </c>
      <c r="N550" s="3"/>
      <c r="O550" s="3" t="s">
        <v>2318</v>
      </c>
      <c r="P550" s="8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3" t="s">
        <v>2322</v>
      </c>
      <c r="B551" s="4" t="s">
        <v>2323</v>
      </c>
      <c r="C551" s="4" t="s">
        <v>2324</v>
      </c>
      <c r="D551" s="3" t="s">
        <v>2325</v>
      </c>
      <c r="E551" s="3">
        <v>34.0</v>
      </c>
      <c r="F551" s="6">
        <f>E551*48.5/7.2091</f>
        <v>228.7386775</v>
      </c>
      <c r="G551" s="6">
        <f t="shared" ref="G551:G559" si="78">F551/E551</f>
        <v>6.727608162</v>
      </c>
      <c r="H551" s="77" t="s">
        <v>2326</v>
      </c>
      <c r="I551" s="3" t="s">
        <v>360</v>
      </c>
      <c r="J551" s="7" t="s">
        <v>2327</v>
      </c>
      <c r="K551" s="3"/>
      <c r="L551" s="3"/>
      <c r="M551" s="3"/>
      <c r="N551" s="3"/>
      <c r="O551" s="3"/>
      <c r="P551" s="8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3" t="s">
        <v>2328</v>
      </c>
      <c r="B552" s="4" t="s">
        <v>2329</v>
      </c>
      <c r="C552" s="4" t="s">
        <v>2330</v>
      </c>
      <c r="D552" s="3" t="s">
        <v>2325</v>
      </c>
      <c r="E552" s="3">
        <v>35.0</v>
      </c>
      <c r="F552" s="6">
        <f>E552*47.5/7.2091</f>
        <v>230.6113107</v>
      </c>
      <c r="G552" s="6">
        <f t="shared" si="78"/>
        <v>6.588894592</v>
      </c>
      <c r="H552" s="77" t="s">
        <v>2326</v>
      </c>
      <c r="I552" s="3" t="s">
        <v>360</v>
      </c>
      <c r="J552" s="7" t="s">
        <v>2327</v>
      </c>
      <c r="K552" s="3"/>
      <c r="L552" s="3"/>
      <c r="M552" s="3"/>
      <c r="N552" s="3"/>
      <c r="O552" s="3"/>
      <c r="P552" s="8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3" t="s">
        <v>2331</v>
      </c>
      <c r="B553" s="4" t="s">
        <v>2332</v>
      </c>
      <c r="C553" s="4" t="s">
        <v>2333</v>
      </c>
      <c r="D553" s="3" t="s">
        <v>2334</v>
      </c>
      <c r="E553" s="3">
        <v>23.0</v>
      </c>
      <c r="F553" s="6">
        <f>E553*48.5/7.2091</f>
        <v>154.7349877</v>
      </c>
      <c r="G553" s="6">
        <f t="shared" si="78"/>
        <v>6.727608162</v>
      </c>
      <c r="H553" s="77" t="s">
        <v>2335</v>
      </c>
      <c r="I553" s="3" t="s">
        <v>360</v>
      </c>
      <c r="J553" s="7" t="s">
        <v>2327</v>
      </c>
      <c r="K553" s="3" t="s">
        <v>2336</v>
      </c>
      <c r="L553" s="3"/>
      <c r="M553" s="3"/>
      <c r="N553" s="3"/>
      <c r="O553" s="3"/>
      <c r="P553" s="8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3" t="s">
        <v>2337</v>
      </c>
      <c r="B554" s="4" t="s">
        <v>2338</v>
      </c>
      <c r="C554" s="4" t="s">
        <v>2339</v>
      </c>
      <c r="D554" s="3" t="s">
        <v>2340</v>
      </c>
      <c r="E554" s="3">
        <v>44.0</v>
      </c>
      <c r="F554" s="6">
        <f>E554*47.5/7.2091</f>
        <v>289.911362</v>
      </c>
      <c r="G554" s="6">
        <f t="shared" si="78"/>
        <v>6.588894592</v>
      </c>
      <c r="H554" s="77" t="s">
        <v>2341</v>
      </c>
      <c r="I554" s="3" t="s">
        <v>360</v>
      </c>
      <c r="J554" s="7" t="s">
        <v>2327</v>
      </c>
      <c r="K554" s="3"/>
      <c r="L554" s="3"/>
      <c r="M554" s="3"/>
      <c r="N554" s="3"/>
      <c r="O554" s="3"/>
      <c r="P554" s="8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3" t="s">
        <v>2342</v>
      </c>
      <c r="B555" s="4" t="s">
        <v>2343</v>
      </c>
      <c r="C555" s="4" t="s">
        <v>2344</v>
      </c>
      <c r="D555" s="3" t="s">
        <v>2325</v>
      </c>
      <c r="E555" s="3">
        <v>135.0</v>
      </c>
      <c r="F555" s="6">
        <f>E555*14.1/7.2561</f>
        <v>262.3310043</v>
      </c>
      <c r="G555" s="6">
        <f t="shared" si="78"/>
        <v>1.943192624</v>
      </c>
      <c r="H555" s="77" t="s">
        <v>2326</v>
      </c>
      <c r="I555" s="3" t="s">
        <v>360</v>
      </c>
      <c r="J555" s="7" t="s">
        <v>2237</v>
      </c>
      <c r="K555" s="3"/>
      <c r="L555" s="3"/>
      <c r="M555" s="3" t="s">
        <v>2084</v>
      </c>
      <c r="N555" s="30">
        <v>45451.0</v>
      </c>
      <c r="O555" s="3" t="s">
        <v>2345</v>
      </c>
      <c r="P555" s="8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3" t="s">
        <v>2346</v>
      </c>
      <c r="B556" s="4" t="s">
        <v>2347</v>
      </c>
      <c r="C556" s="4" t="s">
        <v>2348</v>
      </c>
      <c r="D556" s="3" t="s">
        <v>2340</v>
      </c>
      <c r="E556" s="3">
        <v>321.0</v>
      </c>
      <c r="F556" s="6">
        <f>(E556*14+28.95)/7.2561</f>
        <v>623.3307148</v>
      </c>
      <c r="G556" s="6">
        <f t="shared" si="78"/>
        <v>1.941840233</v>
      </c>
      <c r="H556" s="77" t="s">
        <v>2341</v>
      </c>
      <c r="I556" s="3" t="s">
        <v>360</v>
      </c>
      <c r="J556" s="7" t="s">
        <v>2237</v>
      </c>
      <c r="K556" s="3"/>
      <c r="L556" s="3"/>
      <c r="M556" s="3" t="s">
        <v>2349</v>
      </c>
      <c r="N556" s="3" t="s">
        <v>2350</v>
      </c>
      <c r="O556" s="3" t="s">
        <v>2345</v>
      </c>
      <c r="P556" s="8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3" t="s">
        <v>2351</v>
      </c>
      <c r="B557" s="4" t="s">
        <v>2352</v>
      </c>
      <c r="C557" s="4" t="s">
        <v>2353</v>
      </c>
      <c r="D557" s="3" t="s">
        <v>2340</v>
      </c>
      <c r="E557" s="3">
        <v>232.0</v>
      </c>
      <c r="F557" s="6">
        <f>E557*16.7/7.2561</f>
        <v>533.9507449</v>
      </c>
      <c r="G557" s="6">
        <f t="shared" si="78"/>
        <v>2.301511831</v>
      </c>
      <c r="H557" s="77" t="s">
        <v>2341</v>
      </c>
      <c r="I557" s="3" t="s">
        <v>360</v>
      </c>
      <c r="J557" s="7" t="s">
        <v>2237</v>
      </c>
      <c r="K557" s="3"/>
      <c r="L557" s="3"/>
      <c r="M557" s="3" t="s">
        <v>2084</v>
      </c>
      <c r="N557" s="3" t="s">
        <v>2354</v>
      </c>
      <c r="O557" s="3" t="s">
        <v>2345</v>
      </c>
      <c r="P557" s="8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3" t="s">
        <v>2355</v>
      </c>
      <c r="B558" s="4" t="s">
        <v>2356</v>
      </c>
      <c r="C558" s="4" t="s">
        <v>2357</v>
      </c>
      <c r="D558" s="3" t="s">
        <v>2325</v>
      </c>
      <c r="E558" s="3">
        <v>100.0</v>
      </c>
      <c r="F558" s="6">
        <f>E558*18.2/7.2561</f>
        <v>250.8234451</v>
      </c>
      <c r="G558" s="6">
        <f t="shared" si="78"/>
        <v>2.508234451</v>
      </c>
      <c r="H558" s="77" t="s">
        <v>2326</v>
      </c>
      <c r="I558" s="3" t="s">
        <v>360</v>
      </c>
      <c r="J558" s="7" t="s">
        <v>2358</v>
      </c>
      <c r="K558" s="3"/>
      <c r="L558" s="3"/>
      <c r="M558" s="3" t="s">
        <v>2084</v>
      </c>
      <c r="N558" s="30">
        <v>45451.0</v>
      </c>
      <c r="O558" s="3" t="s">
        <v>2345</v>
      </c>
      <c r="P558" s="8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3" t="s">
        <v>2359</v>
      </c>
      <c r="B559" s="4" t="s">
        <v>2360</v>
      </c>
      <c r="C559" s="4" t="s">
        <v>2361</v>
      </c>
      <c r="D559" s="3" t="s">
        <v>2340</v>
      </c>
      <c r="E559" s="3">
        <v>191.0</v>
      </c>
      <c r="F559" s="6">
        <f>(E559*15.2+29.1)/7.2561</f>
        <v>404.1151583</v>
      </c>
      <c r="G559" s="6">
        <f t="shared" si="78"/>
        <v>2.115786169</v>
      </c>
      <c r="H559" s="77" t="s">
        <v>2341</v>
      </c>
      <c r="I559" s="3" t="s">
        <v>360</v>
      </c>
      <c r="J559" s="7" t="s">
        <v>2237</v>
      </c>
      <c r="K559" s="3"/>
      <c r="L559" s="3"/>
      <c r="M559" s="3" t="s">
        <v>2084</v>
      </c>
      <c r="N559" s="3" t="s">
        <v>2354</v>
      </c>
      <c r="O559" s="3" t="s">
        <v>2345</v>
      </c>
      <c r="P559" s="8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3" t="s">
        <v>2362</v>
      </c>
      <c r="B560" s="4" t="s">
        <v>2363</v>
      </c>
      <c r="C560" s="4"/>
      <c r="D560" s="3"/>
      <c r="E560" s="3">
        <v>87.0</v>
      </c>
      <c r="F560" s="3">
        <f t="shared" ref="F560:F564" si="79">E560*G560</f>
        <v>1200.6</v>
      </c>
      <c r="G560" s="6">
        <v>13.8</v>
      </c>
      <c r="H560" s="3" t="s">
        <v>2364</v>
      </c>
      <c r="I560" s="47" t="s">
        <v>263</v>
      </c>
      <c r="J560" s="7" t="s">
        <v>2365</v>
      </c>
      <c r="K560" s="3"/>
      <c r="L560" s="3"/>
      <c r="M560" s="3"/>
      <c r="N560" s="3" t="s">
        <v>1998</v>
      </c>
      <c r="O560" s="3"/>
      <c r="P560" s="8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3" t="s">
        <v>2366</v>
      </c>
      <c r="B561" s="4" t="s">
        <v>2367</v>
      </c>
      <c r="C561" s="4"/>
      <c r="D561" s="3"/>
      <c r="E561" s="3">
        <v>27.0</v>
      </c>
      <c r="F561" s="3">
        <f t="shared" si="79"/>
        <v>183.6</v>
      </c>
      <c r="G561" s="6">
        <v>6.8</v>
      </c>
      <c r="H561" s="3" t="s">
        <v>2368</v>
      </c>
      <c r="J561" s="7" t="s">
        <v>2369</v>
      </c>
      <c r="K561" s="3"/>
      <c r="L561" s="3"/>
      <c r="M561" s="3"/>
      <c r="N561" s="3" t="s">
        <v>2003</v>
      </c>
      <c r="O561" s="3"/>
      <c r="P561" s="8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3" t="s">
        <v>2370</v>
      </c>
      <c r="B562" s="4" t="s">
        <v>2371</v>
      </c>
      <c r="C562" s="4"/>
      <c r="D562" s="3"/>
      <c r="E562" s="39">
        <v>184.0</v>
      </c>
      <c r="F562" s="3">
        <f t="shared" si="79"/>
        <v>2116</v>
      </c>
      <c r="G562" s="39">
        <v>11.5</v>
      </c>
      <c r="H562" s="3" t="s">
        <v>2364</v>
      </c>
      <c r="J562" s="7" t="s">
        <v>1882</v>
      </c>
      <c r="K562" s="3"/>
      <c r="L562" s="3"/>
      <c r="M562" s="3"/>
      <c r="N562" s="3" t="s">
        <v>1998</v>
      </c>
      <c r="O562" s="3"/>
      <c r="P562" s="8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3" t="s">
        <v>2372</v>
      </c>
      <c r="B563" s="4" t="s">
        <v>2373</v>
      </c>
      <c r="C563" s="4"/>
      <c r="D563" s="3"/>
      <c r="E563" s="3">
        <v>30.0</v>
      </c>
      <c r="F563" s="3">
        <f t="shared" si="79"/>
        <v>219</v>
      </c>
      <c r="G563" s="6">
        <v>7.3</v>
      </c>
      <c r="H563" s="3" t="s">
        <v>2368</v>
      </c>
      <c r="J563" s="7" t="s">
        <v>2374</v>
      </c>
      <c r="K563" s="3"/>
      <c r="L563" s="3"/>
      <c r="M563" s="3"/>
      <c r="N563" s="3" t="s">
        <v>2003</v>
      </c>
      <c r="O563" s="3"/>
      <c r="P563" s="8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3" t="s">
        <v>2375</v>
      </c>
      <c r="B564" s="4" t="s">
        <v>2376</v>
      </c>
      <c r="C564" s="4"/>
      <c r="D564" s="3"/>
      <c r="E564" s="3">
        <v>91.0</v>
      </c>
      <c r="F564" s="3">
        <f t="shared" si="79"/>
        <v>1137.5</v>
      </c>
      <c r="G564" s="6">
        <v>12.5</v>
      </c>
      <c r="H564" s="3" t="s">
        <v>2364</v>
      </c>
      <c r="J564" s="7" t="s">
        <v>2377</v>
      </c>
      <c r="K564" s="3"/>
      <c r="L564" s="3"/>
      <c r="M564" s="3"/>
      <c r="N564" s="3" t="s">
        <v>1998</v>
      </c>
      <c r="O564" s="3"/>
      <c r="P564" s="8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3" t="s">
        <v>2378</v>
      </c>
      <c r="B565" s="4" t="s">
        <v>2379</v>
      </c>
      <c r="C565" s="4"/>
      <c r="D565" s="3"/>
      <c r="E565" s="3">
        <v>222.0</v>
      </c>
      <c r="F565" s="3"/>
      <c r="G565" s="6"/>
      <c r="H565" s="92" t="s">
        <v>1767</v>
      </c>
      <c r="I565" s="47" t="s">
        <v>263</v>
      </c>
      <c r="J565" s="7" t="s">
        <v>2380</v>
      </c>
      <c r="K565" s="3"/>
      <c r="L565" s="3"/>
      <c r="M565" s="3"/>
      <c r="N565" s="3"/>
      <c r="O565" s="3"/>
      <c r="P565" s="8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3" t="s">
        <v>2381</v>
      </c>
      <c r="B566" s="4" t="s">
        <v>2382</v>
      </c>
      <c r="C566" s="4"/>
      <c r="D566" s="3"/>
      <c r="E566" s="3">
        <v>220.0</v>
      </c>
      <c r="F566" s="3"/>
      <c r="G566" s="6"/>
      <c r="H566" s="92" t="s">
        <v>1767</v>
      </c>
      <c r="J566" s="7" t="s">
        <v>2380</v>
      </c>
      <c r="K566" s="3"/>
      <c r="L566" s="3"/>
      <c r="M566" s="3"/>
      <c r="N566" s="3"/>
      <c r="O566" s="3"/>
      <c r="P566" s="8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3" t="s">
        <v>2383</v>
      </c>
      <c r="B567" s="4" t="s">
        <v>2384</v>
      </c>
      <c r="C567" s="4"/>
      <c r="D567" s="3"/>
      <c r="E567" s="3">
        <v>267.0</v>
      </c>
      <c r="F567" s="3"/>
      <c r="G567" s="6"/>
      <c r="H567" s="92" t="s">
        <v>1767</v>
      </c>
      <c r="J567" s="7" t="s">
        <v>2380</v>
      </c>
      <c r="K567" s="3"/>
      <c r="L567" s="3"/>
      <c r="M567" s="3"/>
      <c r="N567" s="3"/>
      <c r="O567" s="3"/>
      <c r="P567" s="8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3" t="s">
        <v>2385</v>
      </c>
      <c r="B568" s="4" t="s">
        <v>2386</v>
      </c>
      <c r="C568" s="4"/>
      <c r="D568" s="3"/>
      <c r="E568" s="3">
        <v>266.0</v>
      </c>
      <c r="F568" s="3"/>
      <c r="G568" s="6"/>
      <c r="H568" s="92" t="s">
        <v>1767</v>
      </c>
      <c r="J568" s="7" t="s">
        <v>2380</v>
      </c>
      <c r="K568" s="3"/>
      <c r="L568" s="3"/>
      <c r="M568" s="3"/>
      <c r="N568" s="3"/>
      <c r="O568" s="3"/>
      <c r="P568" s="8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3" t="s">
        <v>2387</v>
      </c>
      <c r="B569" s="4" t="s">
        <v>2388</v>
      </c>
      <c r="C569" s="4"/>
      <c r="D569" s="3"/>
      <c r="E569" s="3">
        <v>262.0</v>
      </c>
      <c r="F569" s="3"/>
      <c r="G569" s="6"/>
      <c r="H569" s="92" t="s">
        <v>1767</v>
      </c>
      <c r="J569" s="7" t="s">
        <v>2380</v>
      </c>
      <c r="K569" s="3"/>
      <c r="L569" s="3"/>
      <c r="M569" s="3"/>
      <c r="N569" s="3" t="s">
        <v>1883</v>
      </c>
      <c r="O569" s="3"/>
      <c r="P569" s="8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3" t="s">
        <v>2389</v>
      </c>
      <c r="B570" s="4" t="s">
        <v>2390</v>
      </c>
      <c r="C570" s="4"/>
      <c r="D570" s="3"/>
      <c r="E570" s="3"/>
      <c r="F570" s="3"/>
      <c r="G570" s="6"/>
      <c r="H570" s="3" t="s">
        <v>1414</v>
      </c>
      <c r="I570" s="93" t="s">
        <v>263</v>
      </c>
      <c r="J570" s="7" t="s">
        <v>1882</v>
      </c>
      <c r="K570" s="3"/>
      <c r="L570" s="3"/>
      <c r="M570" s="3"/>
      <c r="N570" s="3"/>
      <c r="O570" s="3"/>
      <c r="P570" s="8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3" t="s">
        <v>2391</v>
      </c>
      <c r="B571" s="4" t="s">
        <v>2392</v>
      </c>
      <c r="C571" s="4"/>
      <c r="D571" s="3"/>
      <c r="E571" s="3"/>
      <c r="F571" s="3"/>
      <c r="G571" s="6"/>
      <c r="H571" s="3" t="s">
        <v>1414</v>
      </c>
      <c r="J571" s="7" t="s">
        <v>1882</v>
      </c>
      <c r="K571" s="3"/>
      <c r="L571" s="3"/>
      <c r="M571" s="3"/>
      <c r="N571" s="3"/>
      <c r="O571" s="3"/>
      <c r="P571" s="8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3" t="s">
        <v>2393</v>
      </c>
      <c r="B572" s="4" t="s">
        <v>2394</v>
      </c>
      <c r="C572" s="4"/>
      <c r="D572" s="3"/>
      <c r="E572" s="3"/>
      <c r="F572" s="3"/>
      <c r="G572" s="6"/>
      <c r="H572" s="3" t="s">
        <v>2395</v>
      </c>
      <c r="J572" s="7" t="s">
        <v>1882</v>
      </c>
      <c r="K572" s="3"/>
      <c r="L572" s="3"/>
      <c r="M572" s="3"/>
      <c r="N572" s="3"/>
      <c r="O572" s="3"/>
      <c r="P572" s="8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3" t="s">
        <v>2396</v>
      </c>
      <c r="B573" s="4" t="s">
        <v>2397</v>
      </c>
      <c r="C573" s="4"/>
      <c r="D573" s="3"/>
      <c r="E573" s="3"/>
      <c r="F573" s="3"/>
      <c r="G573" s="6"/>
      <c r="H573" s="3" t="s">
        <v>2398</v>
      </c>
      <c r="J573" s="7" t="s">
        <v>1882</v>
      </c>
      <c r="K573" s="3"/>
      <c r="L573" s="3"/>
      <c r="M573" s="3"/>
      <c r="N573" s="3"/>
      <c r="O573" s="3"/>
      <c r="P573" s="8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3" t="s">
        <v>2399</v>
      </c>
      <c r="B574" s="4" t="s">
        <v>2400</v>
      </c>
      <c r="C574" s="4"/>
      <c r="D574" s="3"/>
      <c r="E574" s="3"/>
      <c r="F574" s="3"/>
      <c r="G574" s="6"/>
      <c r="H574" s="3" t="s">
        <v>1414</v>
      </c>
      <c r="J574" s="7" t="s">
        <v>1882</v>
      </c>
      <c r="K574" s="3"/>
      <c r="L574" s="3"/>
      <c r="M574" s="3"/>
      <c r="N574" s="3"/>
      <c r="O574" s="3"/>
      <c r="P574" s="8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3"/>
      <c r="B575" s="4"/>
      <c r="C575" s="4"/>
      <c r="D575" s="3"/>
      <c r="E575" s="3"/>
      <c r="F575" s="3"/>
      <c r="G575" s="6"/>
      <c r="H575" s="3"/>
      <c r="I575" s="3"/>
      <c r="J575" s="7"/>
      <c r="K575" s="3"/>
      <c r="L575" s="3"/>
      <c r="M575" s="3"/>
      <c r="N575" s="3"/>
      <c r="O575" s="3"/>
      <c r="P575" s="8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3"/>
      <c r="B576" s="4"/>
      <c r="C576" s="4"/>
      <c r="D576" s="3"/>
      <c r="E576" s="3"/>
      <c r="F576" s="3"/>
      <c r="G576" s="6"/>
      <c r="H576" s="3"/>
      <c r="I576" s="3"/>
      <c r="J576" s="7"/>
      <c r="K576" s="3"/>
      <c r="L576" s="3"/>
      <c r="M576" s="3"/>
      <c r="N576" s="3"/>
      <c r="O576" s="3"/>
      <c r="P576" s="8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3"/>
      <c r="B577" s="4"/>
      <c r="C577" s="4"/>
      <c r="D577" s="3"/>
      <c r="E577" s="3"/>
      <c r="F577" s="3"/>
      <c r="G577" s="6"/>
      <c r="H577" s="3"/>
      <c r="I577" s="3"/>
      <c r="J577" s="7"/>
      <c r="K577" s="3"/>
      <c r="L577" s="3"/>
      <c r="M577" s="3"/>
      <c r="N577" s="3"/>
      <c r="O577" s="3"/>
      <c r="P577" s="8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3"/>
      <c r="B578" s="4"/>
      <c r="C578" s="4"/>
      <c r="D578" s="3"/>
      <c r="E578" s="3"/>
      <c r="F578" s="3"/>
      <c r="G578" s="6"/>
      <c r="H578" s="3"/>
      <c r="I578" s="3"/>
      <c r="J578" s="7"/>
      <c r="K578" s="3"/>
      <c r="L578" s="3"/>
      <c r="M578" s="3"/>
      <c r="N578" s="3"/>
      <c r="O578" s="3"/>
      <c r="P578" s="8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3"/>
      <c r="B579" s="4"/>
      <c r="C579" s="4"/>
      <c r="D579" s="3"/>
      <c r="E579" s="3"/>
      <c r="F579" s="3"/>
      <c r="G579" s="6"/>
      <c r="H579" s="3"/>
      <c r="I579" s="3"/>
      <c r="J579" s="7"/>
      <c r="K579" s="3"/>
      <c r="L579" s="3"/>
      <c r="M579" s="3"/>
      <c r="N579" s="3"/>
      <c r="O579" s="3"/>
      <c r="P579" s="8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3"/>
      <c r="B580" s="4"/>
      <c r="C580" s="4"/>
      <c r="D580" s="3"/>
      <c r="E580" s="3"/>
      <c r="F580" s="3"/>
      <c r="G580" s="6"/>
      <c r="H580" s="3"/>
      <c r="I580" s="3"/>
      <c r="J580" s="7"/>
      <c r="K580" s="3"/>
      <c r="L580" s="3"/>
      <c r="M580" s="3"/>
      <c r="N580" s="3"/>
      <c r="O580" s="3"/>
      <c r="P580" s="8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3"/>
      <c r="B581" s="4"/>
      <c r="C581" s="4"/>
      <c r="D581" s="3"/>
      <c r="E581" s="3"/>
      <c r="F581" s="3"/>
      <c r="G581" s="6"/>
      <c r="H581" s="3"/>
      <c r="I581" s="3"/>
      <c r="J581" s="7"/>
      <c r="K581" s="3"/>
      <c r="L581" s="3"/>
      <c r="M581" s="3"/>
      <c r="N581" s="3"/>
      <c r="O581" s="3"/>
      <c r="P581" s="8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3"/>
      <c r="B582" s="4"/>
      <c r="C582" s="4"/>
      <c r="D582" s="3"/>
      <c r="E582" s="3"/>
      <c r="F582" s="3"/>
      <c r="G582" s="6"/>
      <c r="H582" s="3"/>
      <c r="I582" s="3"/>
      <c r="J582" s="7"/>
      <c r="K582" s="3"/>
      <c r="L582" s="3"/>
      <c r="M582" s="3"/>
      <c r="N582" s="3"/>
      <c r="O582" s="3"/>
      <c r="P582" s="8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3"/>
      <c r="B583" s="4"/>
      <c r="C583" s="4"/>
      <c r="D583" s="3"/>
      <c r="E583" s="3"/>
      <c r="F583" s="3"/>
      <c r="G583" s="6"/>
      <c r="H583" s="3"/>
      <c r="I583" s="3"/>
      <c r="J583" s="7"/>
      <c r="K583" s="3"/>
      <c r="L583" s="3"/>
      <c r="M583" s="3"/>
      <c r="N583" s="3"/>
      <c r="O583" s="3"/>
      <c r="P583" s="8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3"/>
      <c r="B584" s="4"/>
      <c r="C584" s="4"/>
      <c r="D584" s="3"/>
      <c r="E584" s="3"/>
      <c r="F584" s="3"/>
      <c r="G584" s="6"/>
      <c r="H584" s="3"/>
      <c r="I584" s="3"/>
      <c r="J584" s="7"/>
      <c r="K584" s="3"/>
      <c r="L584" s="3"/>
      <c r="M584" s="3"/>
      <c r="N584" s="3"/>
      <c r="O584" s="3"/>
      <c r="P584" s="8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3"/>
      <c r="B585" s="4"/>
      <c r="C585" s="4"/>
      <c r="D585" s="3"/>
      <c r="E585" s="3"/>
      <c r="F585" s="3"/>
      <c r="G585" s="6"/>
      <c r="H585" s="3"/>
      <c r="I585" s="3"/>
      <c r="J585" s="7"/>
      <c r="K585" s="3"/>
      <c r="L585" s="3"/>
      <c r="M585" s="3"/>
      <c r="N585" s="3"/>
      <c r="O585" s="3"/>
      <c r="P585" s="8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3"/>
      <c r="B586" s="4"/>
      <c r="C586" s="4"/>
      <c r="D586" s="3"/>
      <c r="E586" s="3"/>
      <c r="F586" s="3"/>
      <c r="G586" s="6"/>
      <c r="H586" s="3"/>
      <c r="I586" s="3"/>
      <c r="J586" s="7"/>
      <c r="K586" s="3"/>
      <c r="L586" s="3"/>
      <c r="M586" s="3"/>
      <c r="N586" s="3"/>
      <c r="O586" s="3"/>
      <c r="P586" s="8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3"/>
      <c r="B587" s="4"/>
      <c r="C587" s="4"/>
      <c r="D587" s="3"/>
      <c r="E587" s="3"/>
      <c r="F587" s="3"/>
      <c r="G587" s="6"/>
      <c r="H587" s="3"/>
      <c r="I587" s="3"/>
      <c r="J587" s="7"/>
      <c r="K587" s="3"/>
      <c r="L587" s="3"/>
      <c r="M587" s="3"/>
      <c r="N587" s="3"/>
      <c r="O587" s="3"/>
      <c r="P587" s="8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3"/>
      <c r="B588" s="4"/>
      <c r="C588" s="4"/>
      <c r="D588" s="3"/>
      <c r="E588" s="3"/>
      <c r="F588" s="3"/>
      <c r="G588" s="6"/>
      <c r="H588" s="3"/>
      <c r="I588" s="3"/>
      <c r="J588" s="7"/>
      <c r="K588" s="3"/>
      <c r="L588" s="3"/>
      <c r="M588" s="3"/>
      <c r="N588" s="3"/>
      <c r="O588" s="3"/>
      <c r="P588" s="8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3"/>
      <c r="B589" s="4"/>
      <c r="C589" s="4"/>
      <c r="D589" s="3"/>
      <c r="E589" s="3"/>
      <c r="F589" s="3"/>
      <c r="G589" s="6"/>
      <c r="H589" s="3"/>
      <c r="I589" s="3"/>
      <c r="J589" s="7"/>
      <c r="K589" s="3"/>
      <c r="L589" s="3"/>
      <c r="M589" s="3"/>
      <c r="N589" s="3"/>
      <c r="O589" s="3"/>
      <c r="P589" s="8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3"/>
      <c r="B590" s="4"/>
      <c r="C590" s="4"/>
      <c r="D590" s="3"/>
      <c r="E590" s="3"/>
      <c r="F590" s="3"/>
      <c r="G590" s="6"/>
      <c r="H590" s="3"/>
      <c r="I590" s="3"/>
      <c r="J590" s="7"/>
      <c r="K590" s="3"/>
      <c r="L590" s="3"/>
      <c r="M590" s="3"/>
      <c r="N590" s="3"/>
      <c r="O590" s="3"/>
      <c r="P590" s="8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3"/>
      <c r="B591" s="4"/>
      <c r="C591" s="4"/>
      <c r="D591" s="3"/>
      <c r="E591" s="3"/>
      <c r="F591" s="3"/>
      <c r="G591" s="6"/>
      <c r="H591" s="3"/>
      <c r="I591" s="3"/>
      <c r="J591" s="7"/>
      <c r="K591" s="3"/>
      <c r="L591" s="3"/>
      <c r="M591" s="3"/>
      <c r="N591" s="3"/>
      <c r="O591" s="3"/>
      <c r="P591" s="8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3"/>
      <c r="B592" s="4"/>
      <c r="C592" s="4"/>
      <c r="D592" s="3"/>
      <c r="E592" s="3"/>
      <c r="F592" s="3"/>
      <c r="G592" s="6"/>
      <c r="H592" s="3"/>
      <c r="I592" s="3"/>
      <c r="J592" s="7"/>
      <c r="K592" s="3"/>
      <c r="L592" s="3"/>
      <c r="M592" s="3"/>
      <c r="N592" s="3"/>
      <c r="O592" s="3"/>
      <c r="P592" s="8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3"/>
      <c r="B593" s="4"/>
      <c r="C593" s="4"/>
      <c r="D593" s="3"/>
      <c r="E593" s="3"/>
      <c r="F593" s="3"/>
      <c r="G593" s="6"/>
      <c r="H593" s="3"/>
      <c r="I593" s="3"/>
      <c r="J593" s="7"/>
      <c r="K593" s="3"/>
      <c r="L593" s="3"/>
      <c r="M593" s="3"/>
      <c r="N593" s="3"/>
      <c r="O593" s="3"/>
      <c r="P593" s="8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3"/>
      <c r="B594" s="4"/>
      <c r="C594" s="4"/>
      <c r="D594" s="3"/>
      <c r="E594" s="3"/>
      <c r="F594" s="3"/>
      <c r="G594" s="6"/>
      <c r="H594" s="3"/>
      <c r="I594" s="3"/>
      <c r="J594" s="7"/>
      <c r="K594" s="3"/>
      <c r="L594" s="3"/>
      <c r="M594" s="3"/>
      <c r="N594" s="3"/>
      <c r="O594" s="3"/>
      <c r="P594" s="8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3"/>
      <c r="B595" s="4"/>
      <c r="C595" s="4"/>
      <c r="D595" s="3"/>
      <c r="E595" s="3"/>
      <c r="F595" s="3"/>
      <c r="G595" s="6"/>
      <c r="H595" s="3"/>
      <c r="I595" s="3"/>
      <c r="J595" s="7"/>
      <c r="K595" s="3"/>
      <c r="L595" s="3"/>
      <c r="M595" s="3"/>
      <c r="N595" s="3"/>
      <c r="O595" s="3"/>
      <c r="P595" s="8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3"/>
      <c r="B596" s="4"/>
      <c r="C596" s="4"/>
      <c r="D596" s="3"/>
      <c r="E596" s="3"/>
      <c r="F596" s="3"/>
      <c r="G596" s="6"/>
      <c r="H596" s="3"/>
      <c r="I596" s="3"/>
      <c r="J596" s="7"/>
      <c r="K596" s="3"/>
      <c r="L596" s="3"/>
      <c r="M596" s="3"/>
      <c r="N596" s="3"/>
      <c r="O596" s="3"/>
      <c r="P596" s="8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3"/>
      <c r="B597" s="4"/>
      <c r="C597" s="4"/>
      <c r="D597" s="3"/>
      <c r="E597" s="3"/>
      <c r="F597" s="3"/>
      <c r="G597" s="6"/>
      <c r="H597" s="3"/>
      <c r="I597" s="3"/>
      <c r="J597" s="7"/>
      <c r="K597" s="3"/>
      <c r="L597" s="3"/>
      <c r="M597" s="3"/>
      <c r="N597" s="3"/>
      <c r="O597" s="3"/>
      <c r="P597" s="8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3"/>
      <c r="B598" s="4"/>
      <c r="C598" s="4"/>
      <c r="D598" s="3"/>
      <c r="E598" s="3"/>
      <c r="F598" s="3"/>
      <c r="G598" s="6"/>
      <c r="H598" s="3"/>
      <c r="I598" s="3"/>
      <c r="J598" s="7"/>
      <c r="K598" s="3"/>
      <c r="L598" s="3"/>
      <c r="M598" s="3"/>
      <c r="N598" s="3"/>
      <c r="O598" s="3"/>
      <c r="P598" s="8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3"/>
      <c r="B599" s="4"/>
      <c r="C599" s="4"/>
      <c r="D599" s="3"/>
      <c r="E599" s="3"/>
      <c r="F599" s="3"/>
      <c r="G599" s="6"/>
      <c r="H599" s="3"/>
      <c r="I599" s="3"/>
      <c r="J599" s="7"/>
      <c r="K599" s="3"/>
      <c r="L599" s="3"/>
      <c r="M599" s="3"/>
      <c r="N599" s="3"/>
      <c r="O599" s="3"/>
      <c r="P599" s="8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3"/>
      <c r="B600" s="4"/>
      <c r="C600" s="4"/>
      <c r="D600" s="3"/>
      <c r="E600" s="3"/>
      <c r="F600" s="3"/>
      <c r="G600" s="6"/>
      <c r="H600" s="3"/>
      <c r="I600" s="3"/>
      <c r="J600" s="7"/>
      <c r="K600" s="3"/>
      <c r="L600" s="3"/>
      <c r="M600" s="3"/>
      <c r="N600" s="3"/>
      <c r="O600" s="3"/>
      <c r="P600" s="8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3"/>
      <c r="B601" s="4"/>
      <c r="C601" s="4"/>
      <c r="D601" s="3"/>
      <c r="E601" s="3"/>
      <c r="F601" s="3"/>
      <c r="G601" s="6"/>
      <c r="H601" s="3"/>
      <c r="I601" s="3"/>
      <c r="J601" s="7"/>
      <c r="K601" s="3"/>
      <c r="L601" s="3"/>
      <c r="M601" s="3"/>
      <c r="N601" s="3"/>
      <c r="O601" s="3"/>
      <c r="P601" s="8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3"/>
      <c r="B602" s="4"/>
      <c r="C602" s="4"/>
      <c r="D602" s="3"/>
      <c r="E602" s="3"/>
      <c r="F602" s="3"/>
      <c r="G602" s="6"/>
      <c r="H602" s="3"/>
      <c r="I602" s="3"/>
      <c r="J602" s="7"/>
      <c r="K602" s="3"/>
      <c r="L602" s="3"/>
      <c r="M602" s="3"/>
      <c r="N602" s="3"/>
      <c r="O602" s="3"/>
      <c r="P602" s="8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3"/>
      <c r="B603" s="4"/>
      <c r="C603" s="4"/>
      <c r="D603" s="3"/>
      <c r="E603" s="3"/>
      <c r="F603" s="3"/>
      <c r="G603" s="6"/>
      <c r="H603" s="3"/>
      <c r="I603" s="3"/>
      <c r="J603" s="7"/>
      <c r="K603" s="3"/>
      <c r="L603" s="3"/>
      <c r="M603" s="3"/>
      <c r="N603" s="3"/>
      <c r="O603" s="3"/>
      <c r="P603" s="8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3"/>
      <c r="B604" s="4"/>
      <c r="C604" s="4"/>
      <c r="D604" s="3"/>
      <c r="E604" s="3"/>
      <c r="F604" s="3"/>
      <c r="G604" s="6"/>
      <c r="H604" s="3"/>
      <c r="I604" s="3"/>
      <c r="J604" s="7"/>
      <c r="K604" s="3"/>
      <c r="L604" s="3"/>
      <c r="M604" s="3"/>
      <c r="N604" s="3"/>
      <c r="O604" s="3"/>
      <c r="P604" s="8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3"/>
      <c r="B605" s="4"/>
      <c r="C605" s="4"/>
      <c r="D605" s="3"/>
      <c r="E605" s="3"/>
      <c r="F605" s="3"/>
      <c r="G605" s="6"/>
      <c r="H605" s="3"/>
      <c r="I605" s="3"/>
      <c r="J605" s="7"/>
      <c r="K605" s="3"/>
      <c r="L605" s="3"/>
      <c r="M605" s="3"/>
      <c r="N605" s="3"/>
      <c r="O605" s="3"/>
      <c r="P605" s="8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3"/>
      <c r="B606" s="4"/>
      <c r="C606" s="4"/>
      <c r="D606" s="3"/>
      <c r="E606" s="3"/>
      <c r="F606" s="3"/>
      <c r="G606" s="6"/>
      <c r="H606" s="3"/>
      <c r="I606" s="3"/>
      <c r="J606" s="7"/>
      <c r="K606" s="3"/>
      <c r="L606" s="3"/>
      <c r="M606" s="3"/>
      <c r="N606" s="3"/>
      <c r="O606" s="3"/>
      <c r="P606" s="8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3"/>
      <c r="B607" s="4"/>
      <c r="C607" s="4"/>
      <c r="D607" s="3"/>
      <c r="E607" s="3"/>
      <c r="F607" s="3"/>
      <c r="G607" s="6"/>
      <c r="H607" s="3"/>
      <c r="I607" s="3"/>
      <c r="J607" s="7"/>
      <c r="K607" s="3"/>
      <c r="L607" s="3"/>
      <c r="M607" s="3"/>
      <c r="N607" s="3"/>
      <c r="O607" s="3"/>
      <c r="P607" s="8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3"/>
      <c r="B608" s="4"/>
      <c r="C608" s="4"/>
      <c r="D608" s="3"/>
      <c r="E608" s="3"/>
      <c r="F608" s="3"/>
      <c r="G608" s="6"/>
      <c r="H608" s="3"/>
      <c r="I608" s="3"/>
      <c r="J608" s="7"/>
      <c r="K608" s="3"/>
      <c r="L608" s="3"/>
      <c r="M608" s="3"/>
      <c r="N608" s="3"/>
      <c r="O608" s="3"/>
      <c r="P608" s="8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3"/>
      <c r="B609" s="4"/>
      <c r="C609" s="4"/>
      <c r="D609" s="3"/>
      <c r="E609" s="3"/>
      <c r="F609" s="3"/>
      <c r="G609" s="6"/>
      <c r="H609" s="3"/>
      <c r="I609" s="3"/>
      <c r="J609" s="7"/>
      <c r="K609" s="3"/>
      <c r="L609" s="3"/>
      <c r="M609" s="3"/>
      <c r="N609" s="3"/>
      <c r="O609" s="3"/>
      <c r="P609" s="8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3"/>
      <c r="B610" s="4"/>
      <c r="C610" s="4"/>
      <c r="D610" s="3"/>
      <c r="E610" s="3"/>
      <c r="F610" s="3"/>
      <c r="G610" s="6"/>
      <c r="H610" s="3"/>
      <c r="I610" s="3"/>
      <c r="J610" s="7"/>
      <c r="K610" s="3"/>
      <c r="L610" s="3"/>
      <c r="M610" s="3"/>
      <c r="N610" s="3"/>
      <c r="O610" s="3"/>
      <c r="P610" s="8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3"/>
      <c r="B611" s="4"/>
      <c r="C611" s="4"/>
      <c r="D611" s="3"/>
      <c r="E611" s="3"/>
      <c r="F611" s="3"/>
      <c r="G611" s="6"/>
      <c r="H611" s="3"/>
      <c r="I611" s="3"/>
      <c r="J611" s="7"/>
      <c r="K611" s="3"/>
      <c r="L611" s="3"/>
      <c r="M611" s="3"/>
      <c r="N611" s="3"/>
      <c r="O611" s="3"/>
      <c r="P611" s="8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3"/>
      <c r="B612" s="4"/>
      <c r="C612" s="4"/>
      <c r="D612" s="3"/>
      <c r="E612" s="3"/>
      <c r="F612" s="3"/>
      <c r="G612" s="6"/>
      <c r="H612" s="3"/>
      <c r="I612" s="3"/>
      <c r="J612" s="7"/>
      <c r="K612" s="3"/>
      <c r="L612" s="3"/>
      <c r="M612" s="3"/>
      <c r="N612" s="3"/>
      <c r="O612" s="3"/>
      <c r="P612" s="8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3"/>
      <c r="B613" s="4"/>
      <c r="C613" s="4"/>
      <c r="D613" s="3"/>
      <c r="E613" s="3"/>
      <c r="F613" s="3"/>
      <c r="G613" s="6"/>
      <c r="H613" s="3"/>
      <c r="I613" s="3"/>
      <c r="J613" s="7"/>
      <c r="K613" s="3"/>
      <c r="L613" s="3"/>
      <c r="M613" s="3"/>
      <c r="N613" s="3"/>
      <c r="O613" s="3"/>
      <c r="P613" s="8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3"/>
      <c r="B614" s="4"/>
      <c r="C614" s="4"/>
      <c r="D614" s="3"/>
      <c r="E614" s="3"/>
      <c r="F614" s="3"/>
      <c r="G614" s="6"/>
      <c r="H614" s="3"/>
      <c r="I614" s="3"/>
      <c r="J614" s="7"/>
      <c r="K614" s="3"/>
      <c r="L614" s="3"/>
      <c r="M614" s="3"/>
      <c r="N614" s="3"/>
      <c r="O614" s="3"/>
      <c r="P614" s="8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3"/>
      <c r="B615" s="4"/>
      <c r="C615" s="4"/>
      <c r="D615" s="3"/>
      <c r="E615" s="3"/>
      <c r="F615" s="3"/>
      <c r="G615" s="6"/>
      <c r="H615" s="3"/>
      <c r="I615" s="3"/>
      <c r="J615" s="7"/>
      <c r="K615" s="3"/>
      <c r="L615" s="3"/>
      <c r="M615" s="3"/>
      <c r="N615" s="3"/>
      <c r="O615" s="3"/>
      <c r="P615" s="8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3"/>
      <c r="B616" s="4"/>
      <c r="C616" s="4"/>
      <c r="D616" s="3"/>
      <c r="E616" s="3"/>
      <c r="F616" s="3"/>
      <c r="G616" s="6"/>
      <c r="H616" s="3"/>
      <c r="I616" s="3"/>
      <c r="J616" s="7"/>
      <c r="K616" s="3"/>
      <c r="L616" s="3"/>
      <c r="M616" s="3"/>
      <c r="N616" s="3"/>
      <c r="O616" s="3"/>
      <c r="P616" s="8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3"/>
      <c r="B617" s="4"/>
      <c r="C617" s="4"/>
      <c r="D617" s="3"/>
      <c r="E617" s="3"/>
      <c r="F617" s="3"/>
      <c r="G617" s="6"/>
      <c r="H617" s="3"/>
      <c r="I617" s="3"/>
      <c r="J617" s="7"/>
      <c r="K617" s="3"/>
      <c r="L617" s="3"/>
      <c r="M617" s="3"/>
      <c r="N617" s="3"/>
      <c r="O617" s="3"/>
      <c r="P617" s="8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3"/>
      <c r="B618" s="4"/>
      <c r="C618" s="4"/>
      <c r="D618" s="3"/>
      <c r="E618" s="3"/>
      <c r="F618" s="3"/>
      <c r="G618" s="6"/>
      <c r="H618" s="3"/>
      <c r="I618" s="3"/>
      <c r="J618" s="7"/>
      <c r="K618" s="3"/>
      <c r="L618" s="3"/>
      <c r="M618" s="3"/>
      <c r="N618" s="3"/>
      <c r="O618" s="3"/>
      <c r="P618" s="8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3"/>
      <c r="B619" s="4"/>
      <c r="C619" s="4"/>
      <c r="D619" s="3"/>
      <c r="E619" s="3"/>
      <c r="F619" s="3"/>
      <c r="G619" s="6"/>
      <c r="H619" s="3"/>
      <c r="I619" s="3"/>
      <c r="J619" s="7"/>
      <c r="K619" s="3"/>
      <c r="L619" s="3"/>
      <c r="M619" s="3"/>
      <c r="N619" s="3"/>
      <c r="O619" s="3"/>
      <c r="P619" s="8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3"/>
      <c r="B620" s="4"/>
      <c r="C620" s="4"/>
      <c r="D620" s="3"/>
      <c r="E620" s="3"/>
      <c r="F620" s="3"/>
      <c r="G620" s="6"/>
      <c r="H620" s="3"/>
      <c r="I620" s="3"/>
      <c r="J620" s="7"/>
      <c r="K620" s="3"/>
      <c r="L620" s="3"/>
      <c r="M620" s="3"/>
      <c r="N620" s="3"/>
      <c r="O620" s="3"/>
      <c r="P620" s="8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3"/>
      <c r="B621" s="4"/>
      <c r="C621" s="4"/>
      <c r="D621" s="3"/>
      <c r="E621" s="3"/>
      <c r="F621" s="3"/>
      <c r="G621" s="6"/>
      <c r="H621" s="3"/>
      <c r="I621" s="3"/>
      <c r="J621" s="7"/>
      <c r="K621" s="3"/>
      <c r="L621" s="3"/>
      <c r="M621" s="3"/>
      <c r="N621" s="3"/>
      <c r="O621" s="3"/>
      <c r="P621" s="8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3"/>
      <c r="B622" s="4"/>
      <c r="C622" s="4"/>
      <c r="D622" s="3"/>
      <c r="E622" s="3"/>
      <c r="F622" s="3"/>
      <c r="G622" s="6"/>
      <c r="H622" s="3"/>
      <c r="I622" s="3"/>
      <c r="J622" s="7"/>
      <c r="K622" s="3"/>
      <c r="L622" s="3"/>
      <c r="M622" s="3"/>
      <c r="N622" s="3"/>
      <c r="O622" s="3"/>
      <c r="P622" s="8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3"/>
      <c r="B623" s="4"/>
      <c r="C623" s="4"/>
      <c r="D623" s="3"/>
      <c r="E623" s="3"/>
      <c r="F623" s="3"/>
      <c r="G623" s="6"/>
      <c r="H623" s="3"/>
      <c r="I623" s="3"/>
      <c r="J623" s="7"/>
      <c r="K623" s="3"/>
      <c r="L623" s="3"/>
      <c r="M623" s="3"/>
      <c r="N623" s="3"/>
      <c r="O623" s="3"/>
      <c r="P623" s="8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3"/>
      <c r="B624" s="4"/>
      <c r="C624" s="4"/>
      <c r="D624" s="3"/>
      <c r="E624" s="3"/>
      <c r="F624" s="3"/>
      <c r="G624" s="6"/>
      <c r="H624" s="3"/>
      <c r="I624" s="3"/>
      <c r="J624" s="7"/>
      <c r="K624" s="3"/>
      <c r="L624" s="3"/>
      <c r="M624" s="3"/>
      <c r="N624" s="3"/>
      <c r="O624" s="3"/>
      <c r="P624" s="8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3"/>
      <c r="B625" s="4"/>
      <c r="C625" s="4"/>
      <c r="D625" s="3"/>
      <c r="E625" s="3"/>
      <c r="F625" s="3"/>
      <c r="G625" s="6"/>
      <c r="H625" s="3"/>
      <c r="I625" s="3"/>
      <c r="J625" s="7"/>
      <c r="K625" s="3"/>
      <c r="L625" s="3"/>
      <c r="M625" s="3"/>
      <c r="N625" s="3"/>
      <c r="O625" s="3"/>
      <c r="P625" s="8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3"/>
      <c r="B626" s="4"/>
      <c r="C626" s="4"/>
      <c r="D626" s="3"/>
      <c r="E626" s="3"/>
      <c r="F626" s="3"/>
      <c r="G626" s="6"/>
      <c r="H626" s="3"/>
      <c r="I626" s="3"/>
      <c r="J626" s="7"/>
      <c r="K626" s="3"/>
      <c r="L626" s="3"/>
      <c r="M626" s="3"/>
      <c r="N626" s="3"/>
      <c r="O626" s="3"/>
      <c r="P626" s="8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3"/>
      <c r="B627" s="4"/>
      <c r="C627" s="4"/>
      <c r="D627" s="3"/>
      <c r="E627" s="3"/>
      <c r="F627" s="3"/>
      <c r="G627" s="6"/>
      <c r="H627" s="3"/>
      <c r="I627" s="3"/>
      <c r="J627" s="7"/>
      <c r="K627" s="3"/>
      <c r="L627" s="3"/>
      <c r="M627" s="3"/>
      <c r="N627" s="3"/>
      <c r="O627" s="3"/>
      <c r="P627" s="8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3"/>
      <c r="B628" s="4"/>
      <c r="C628" s="4"/>
      <c r="D628" s="3"/>
      <c r="E628" s="3"/>
      <c r="F628" s="3"/>
      <c r="G628" s="6"/>
      <c r="H628" s="3"/>
      <c r="I628" s="3"/>
      <c r="J628" s="7"/>
      <c r="K628" s="3"/>
      <c r="L628" s="3"/>
      <c r="M628" s="3"/>
      <c r="N628" s="3"/>
      <c r="O628" s="3"/>
      <c r="P628" s="8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3"/>
      <c r="B629" s="4"/>
      <c r="C629" s="4"/>
      <c r="D629" s="3"/>
      <c r="E629" s="3"/>
      <c r="F629" s="3"/>
      <c r="G629" s="6"/>
      <c r="H629" s="3"/>
      <c r="I629" s="3"/>
      <c r="J629" s="7"/>
      <c r="K629" s="3"/>
      <c r="L629" s="3"/>
      <c r="M629" s="3"/>
      <c r="N629" s="3"/>
      <c r="O629" s="3"/>
      <c r="P629" s="8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3"/>
      <c r="B630" s="4"/>
      <c r="C630" s="4"/>
      <c r="D630" s="3"/>
      <c r="E630" s="3"/>
      <c r="F630" s="3"/>
      <c r="G630" s="6"/>
      <c r="H630" s="3"/>
      <c r="I630" s="3"/>
      <c r="J630" s="7"/>
      <c r="K630" s="3"/>
      <c r="L630" s="3"/>
      <c r="M630" s="3"/>
      <c r="N630" s="3"/>
      <c r="O630" s="3"/>
      <c r="P630" s="8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3"/>
      <c r="B631" s="4"/>
      <c r="C631" s="4"/>
      <c r="D631" s="3"/>
      <c r="E631" s="3"/>
      <c r="F631" s="3"/>
      <c r="G631" s="6"/>
      <c r="H631" s="3"/>
      <c r="I631" s="3"/>
      <c r="J631" s="7"/>
      <c r="K631" s="3"/>
      <c r="L631" s="3"/>
      <c r="M631" s="3"/>
      <c r="N631" s="3"/>
      <c r="O631" s="3"/>
      <c r="P631" s="8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3"/>
      <c r="B632" s="4"/>
      <c r="C632" s="4"/>
      <c r="D632" s="3"/>
      <c r="E632" s="3"/>
      <c r="F632" s="3"/>
      <c r="G632" s="6"/>
      <c r="H632" s="3"/>
      <c r="I632" s="3"/>
      <c r="J632" s="7"/>
      <c r="K632" s="3"/>
      <c r="L632" s="3"/>
      <c r="M632" s="3"/>
      <c r="N632" s="3"/>
      <c r="O632" s="3"/>
      <c r="P632" s="8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3"/>
      <c r="B633" s="4"/>
      <c r="C633" s="4"/>
      <c r="D633" s="3"/>
      <c r="E633" s="3"/>
      <c r="F633" s="3"/>
      <c r="G633" s="6"/>
      <c r="H633" s="3"/>
      <c r="I633" s="3"/>
      <c r="J633" s="7"/>
      <c r="K633" s="3"/>
      <c r="L633" s="3"/>
      <c r="M633" s="3"/>
      <c r="N633" s="3"/>
      <c r="O633" s="3"/>
      <c r="P633" s="8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3"/>
      <c r="B634" s="4"/>
      <c r="C634" s="4"/>
      <c r="D634" s="3"/>
      <c r="E634" s="3"/>
      <c r="F634" s="3"/>
      <c r="G634" s="6"/>
      <c r="H634" s="3"/>
      <c r="I634" s="3"/>
      <c r="J634" s="7"/>
      <c r="K634" s="3"/>
      <c r="L634" s="3"/>
      <c r="M634" s="3"/>
      <c r="N634" s="3"/>
      <c r="O634" s="3"/>
      <c r="P634" s="8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3"/>
      <c r="B635" s="4"/>
      <c r="C635" s="4"/>
      <c r="D635" s="3"/>
      <c r="E635" s="3"/>
      <c r="F635" s="3"/>
      <c r="G635" s="6"/>
      <c r="H635" s="3"/>
      <c r="I635" s="3"/>
      <c r="J635" s="7"/>
      <c r="K635" s="3"/>
      <c r="L635" s="3"/>
      <c r="M635" s="3"/>
      <c r="N635" s="3"/>
      <c r="O635" s="3"/>
      <c r="P635" s="8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3"/>
      <c r="B636" s="4"/>
      <c r="C636" s="4"/>
      <c r="D636" s="3"/>
      <c r="E636" s="3"/>
      <c r="F636" s="3"/>
      <c r="G636" s="6"/>
      <c r="H636" s="3"/>
      <c r="I636" s="3"/>
      <c r="J636" s="7"/>
      <c r="K636" s="3"/>
      <c r="L636" s="3"/>
      <c r="M636" s="3"/>
      <c r="N636" s="3"/>
      <c r="O636" s="3"/>
      <c r="P636" s="8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3"/>
      <c r="B637" s="4"/>
      <c r="C637" s="4"/>
      <c r="D637" s="3"/>
      <c r="E637" s="3"/>
      <c r="F637" s="3"/>
      <c r="G637" s="6"/>
      <c r="H637" s="3"/>
      <c r="I637" s="3"/>
      <c r="J637" s="7"/>
      <c r="K637" s="3"/>
      <c r="L637" s="3"/>
      <c r="M637" s="3"/>
      <c r="N637" s="3"/>
      <c r="O637" s="3"/>
      <c r="P637" s="8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3"/>
      <c r="B638" s="4"/>
      <c r="C638" s="4"/>
      <c r="D638" s="3"/>
      <c r="E638" s="3"/>
      <c r="F638" s="3"/>
      <c r="G638" s="6"/>
      <c r="H638" s="3"/>
      <c r="I638" s="3"/>
      <c r="J638" s="7"/>
      <c r="K638" s="3"/>
      <c r="L638" s="3"/>
      <c r="M638" s="3"/>
      <c r="N638" s="3"/>
      <c r="O638" s="3"/>
      <c r="P638" s="8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3"/>
      <c r="B639" s="4"/>
      <c r="C639" s="4"/>
      <c r="D639" s="3"/>
      <c r="E639" s="3"/>
      <c r="F639" s="3"/>
      <c r="G639" s="6"/>
      <c r="H639" s="3"/>
      <c r="I639" s="3"/>
      <c r="J639" s="7"/>
      <c r="K639" s="3"/>
      <c r="L639" s="3"/>
      <c r="M639" s="3"/>
      <c r="N639" s="3"/>
      <c r="O639" s="3"/>
      <c r="P639" s="8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3"/>
      <c r="B640" s="4"/>
      <c r="C640" s="4"/>
      <c r="D640" s="3"/>
      <c r="E640" s="3"/>
      <c r="F640" s="3"/>
      <c r="G640" s="6"/>
      <c r="H640" s="3"/>
      <c r="I640" s="3"/>
      <c r="J640" s="7"/>
      <c r="K640" s="3"/>
      <c r="L640" s="3"/>
      <c r="M640" s="3"/>
      <c r="N640" s="3"/>
      <c r="O640" s="3"/>
      <c r="P640" s="8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3"/>
      <c r="B641" s="4"/>
      <c r="C641" s="4"/>
      <c r="D641" s="3"/>
      <c r="E641" s="3"/>
      <c r="F641" s="3"/>
      <c r="G641" s="6"/>
      <c r="H641" s="3"/>
      <c r="I641" s="3"/>
      <c r="J641" s="7"/>
      <c r="K641" s="3"/>
      <c r="L641" s="3"/>
      <c r="M641" s="3"/>
      <c r="N641" s="3"/>
      <c r="O641" s="3"/>
      <c r="P641" s="8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3"/>
      <c r="B642" s="4"/>
      <c r="C642" s="4"/>
      <c r="D642" s="3"/>
      <c r="E642" s="3"/>
      <c r="F642" s="3"/>
      <c r="G642" s="6"/>
      <c r="H642" s="3"/>
      <c r="I642" s="3"/>
      <c r="J642" s="7"/>
      <c r="K642" s="3"/>
      <c r="L642" s="3"/>
      <c r="M642" s="3"/>
      <c r="N642" s="3"/>
      <c r="O642" s="3"/>
      <c r="P642" s="8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3"/>
      <c r="B643" s="4"/>
      <c r="C643" s="4"/>
      <c r="D643" s="3"/>
      <c r="E643" s="3"/>
      <c r="F643" s="3"/>
      <c r="G643" s="6"/>
      <c r="H643" s="3"/>
      <c r="I643" s="3"/>
      <c r="J643" s="7"/>
      <c r="K643" s="3"/>
      <c r="L643" s="3"/>
      <c r="M643" s="3"/>
      <c r="N643" s="3"/>
      <c r="O643" s="3"/>
      <c r="P643" s="8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3"/>
      <c r="B644" s="4"/>
      <c r="C644" s="4"/>
      <c r="D644" s="3"/>
      <c r="E644" s="3"/>
      <c r="F644" s="3"/>
      <c r="G644" s="6"/>
      <c r="H644" s="3"/>
      <c r="I644" s="3"/>
      <c r="J644" s="7"/>
      <c r="K644" s="3"/>
      <c r="L644" s="3"/>
      <c r="M644" s="3"/>
      <c r="N644" s="3"/>
      <c r="O644" s="3"/>
      <c r="P644" s="8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3"/>
      <c r="B645" s="4"/>
      <c r="C645" s="4"/>
      <c r="D645" s="3"/>
      <c r="E645" s="3"/>
      <c r="F645" s="3"/>
      <c r="G645" s="6"/>
      <c r="H645" s="3"/>
      <c r="I645" s="3"/>
      <c r="J645" s="7"/>
      <c r="K645" s="3"/>
      <c r="L645" s="3"/>
      <c r="M645" s="3"/>
      <c r="N645" s="3"/>
      <c r="O645" s="3"/>
      <c r="P645" s="8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3"/>
      <c r="B646" s="4"/>
      <c r="C646" s="4"/>
      <c r="D646" s="3"/>
      <c r="E646" s="3"/>
      <c r="F646" s="3"/>
      <c r="G646" s="6"/>
      <c r="H646" s="3"/>
      <c r="I646" s="3"/>
      <c r="J646" s="7"/>
      <c r="K646" s="3"/>
      <c r="L646" s="3"/>
      <c r="M646" s="3"/>
      <c r="N646" s="3"/>
      <c r="O646" s="3"/>
      <c r="P646" s="8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3"/>
      <c r="B647" s="4"/>
      <c r="C647" s="4"/>
      <c r="D647" s="3"/>
      <c r="E647" s="3"/>
      <c r="F647" s="3"/>
      <c r="G647" s="6"/>
      <c r="H647" s="3"/>
      <c r="I647" s="3"/>
      <c r="J647" s="7"/>
      <c r="K647" s="3"/>
      <c r="L647" s="3"/>
      <c r="M647" s="3"/>
      <c r="N647" s="3"/>
      <c r="O647" s="3"/>
      <c r="P647" s="8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3"/>
      <c r="B648" s="4"/>
      <c r="C648" s="4"/>
      <c r="D648" s="3"/>
      <c r="E648" s="3"/>
      <c r="F648" s="3"/>
      <c r="G648" s="6"/>
      <c r="H648" s="3"/>
      <c r="I648" s="3"/>
      <c r="J648" s="7"/>
      <c r="K648" s="3"/>
      <c r="L648" s="3"/>
      <c r="M648" s="3"/>
      <c r="N648" s="3"/>
      <c r="O648" s="3"/>
      <c r="P648" s="8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3"/>
      <c r="B649" s="4"/>
      <c r="C649" s="4"/>
      <c r="D649" s="3"/>
      <c r="E649" s="3"/>
      <c r="F649" s="3"/>
      <c r="G649" s="6"/>
      <c r="H649" s="3"/>
      <c r="I649" s="3"/>
      <c r="J649" s="7"/>
      <c r="K649" s="3"/>
      <c r="L649" s="3"/>
      <c r="M649" s="3"/>
      <c r="N649" s="3"/>
      <c r="O649" s="3"/>
      <c r="P649" s="8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3"/>
      <c r="B650" s="4"/>
      <c r="C650" s="4"/>
      <c r="D650" s="3"/>
      <c r="E650" s="3"/>
      <c r="F650" s="3"/>
      <c r="G650" s="6"/>
      <c r="H650" s="3"/>
      <c r="I650" s="3"/>
      <c r="J650" s="7"/>
      <c r="K650" s="3"/>
      <c r="L650" s="3"/>
      <c r="M650" s="3"/>
      <c r="N650" s="3"/>
      <c r="O650" s="3"/>
      <c r="P650" s="8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3"/>
      <c r="B651" s="4"/>
      <c r="C651" s="4"/>
      <c r="D651" s="3"/>
      <c r="E651" s="3"/>
      <c r="F651" s="3"/>
      <c r="G651" s="6"/>
      <c r="H651" s="3"/>
      <c r="I651" s="3"/>
      <c r="J651" s="7"/>
      <c r="K651" s="3"/>
      <c r="L651" s="3"/>
      <c r="M651" s="3"/>
      <c r="N651" s="3"/>
      <c r="O651" s="3"/>
      <c r="P651" s="8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3"/>
      <c r="B652" s="4"/>
      <c r="C652" s="4"/>
      <c r="D652" s="3"/>
      <c r="E652" s="3"/>
      <c r="F652" s="3"/>
      <c r="G652" s="6"/>
      <c r="H652" s="3"/>
      <c r="I652" s="3"/>
      <c r="J652" s="7"/>
      <c r="K652" s="3"/>
      <c r="L652" s="3"/>
      <c r="M652" s="3"/>
      <c r="N652" s="3"/>
      <c r="O652" s="3"/>
      <c r="P652" s="8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3"/>
      <c r="B653" s="4"/>
      <c r="C653" s="4"/>
      <c r="D653" s="3"/>
      <c r="E653" s="3"/>
      <c r="F653" s="3"/>
      <c r="G653" s="6"/>
      <c r="H653" s="3"/>
      <c r="I653" s="3"/>
      <c r="J653" s="7"/>
      <c r="K653" s="3"/>
      <c r="L653" s="3"/>
      <c r="M653" s="3"/>
      <c r="N653" s="3"/>
      <c r="O653" s="3"/>
      <c r="P653" s="8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3"/>
      <c r="B654" s="4"/>
      <c r="C654" s="4"/>
      <c r="D654" s="3"/>
      <c r="E654" s="3"/>
      <c r="F654" s="3"/>
      <c r="G654" s="6"/>
      <c r="H654" s="3"/>
      <c r="I654" s="3"/>
      <c r="J654" s="7"/>
      <c r="K654" s="3"/>
      <c r="L654" s="3"/>
      <c r="M654" s="3"/>
      <c r="N654" s="3"/>
      <c r="O654" s="3"/>
      <c r="P654" s="8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3"/>
      <c r="B655" s="4"/>
      <c r="C655" s="4"/>
      <c r="D655" s="3"/>
      <c r="E655" s="3"/>
      <c r="F655" s="3"/>
      <c r="G655" s="6"/>
      <c r="H655" s="3"/>
      <c r="I655" s="3"/>
      <c r="J655" s="7"/>
      <c r="K655" s="3"/>
      <c r="L655" s="3"/>
      <c r="M655" s="3"/>
      <c r="N655" s="3"/>
      <c r="O655" s="3"/>
      <c r="P655" s="8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3"/>
      <c r="B656" s="4"/>
      <c r="C656" s="4"/>
      <c r="D656" s="3"/>
      <c r="E656" s="3"/>
      <c r="F656" s="3"/>
      <c r="G656" s="6"/>
      <c r="H656" s="3"/>
      <c r="I656" s="3"/>
      <c r="J656" s="7"/>
      <c r="K656" s="3"/>
      <c r="L656" s="3"/>
      <c r="M656" s="3"/>
      <c r="N656" s="3"/>
      <c r="O656" s="3"/>
      <c r="P656" s="8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3"/>
      <c r="B657" s="4"/>
      <c r="C657" s="4"/>
      <c r="D657" s="3"/>
      <c r="E657" s="3"/>
      <c r="F657" s="3"/>
      <c r="G657" s="6"/>
      <c r="H657" s="3"/>
      <c r="I657" s="3"/>
      <c r="J657" s="7"/>
      <c r="K657" s="3"/>
      <c r="L657" s="3"/>
      <c r="M657" s="3"/>
      <c r="N657" s="3"/>
      <c r="O657" s="3"/>
      <c r="P657" s="8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3"/>
      <c r="B658" s="4"/>
      <c r="C658" s="4"/>
      <c r="D658" s="3"/>
      <c r="E658" s="3"/>
      <c r="F658" s="3"/>
      <c r="G658" s="6"/>
      <c r="H658" s="3"/>
      <c r="I658" s="3"/>
      <c r="J658" s="7"/>
      <c r="K658" s="3"/>
      <c r="L658" s="3"/>
      <c r="M658" s="3"/>
      <c r="N658" s="3"/>
      <c r="O658" s="3"/>
      <c r="P658" s="8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3"/>
      <c r="B659" s="4"/>
      <c r="C659" s="4"/>
      <c r="D659" s="3"/>
      <c r="E659" s="3"/>
      <c r="F659" s="3"/>
      <c r="G659" s="6"/>
      <c r="H659" s="3"/>
      <c r="I659" s="3"/>
      <c r="J659" s="7"/>
      <c r="K659" s="3"/>
      <c r="L659" s="3"/>
      <c r="M659" s="3"/>
      <c r="N659" s="3"/>
      <c r="O659" s="3"/>
      <c r="P659" s="8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3"/>
      <c r="B660" s="4"/>
      <c r="C660" s="4"/>
      <c r="D660" s="3"/>
      <c r="E660" s="3"/>
      <c r="F660" s="3"/>
      <c r="G660" s="6"/>
      <c r="H660" s="3"/>
      <c r="I660" s="3"/>
      <c r="J660" s="7"/>
      <c r="K660" s="3"/>
      <c r="L660" s="3"/>
      <c r="M660" s="3"/>
      <c r="N660" s="3"/>
      <c r="O660" s="3"/>
      <c r="P660" s="8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3"/>
      <c r="B661" s="4"/>
      <c r="C661" s="4"/>
      <c r="D661" s="3"/>
      <c r="E661" s="3"/>
      <c r="F661" s="3"/>
      <c r="G661" s="6"/>
      <c r="H661" s="3"/>
      <c r="I661" s="3"/>
      <c r="J661" s="7"/>
      <c r="K661" s="3"/>
      <c r="L661" s="3"/>
      <c r="M661" s="3"/>
      <c r="N661" s="3"/>
      <c r="O661" s="3"/>
      <c r="P661" s="8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3"/>
      <c r="B662" s="4"/>
      <c r="C662" s="4"/>
      <c r="D662" s="3"/>
      <c r="E662" s="3"/>
      <c r="F662" s="3"/>
      <c r="G662" s="6"/>
      <c r="H662" s="3"/>
      <c r="I662" s="3"/>
      <c r="J662" s="7"/>
      <c r="K662" s="3"/>
      <c r="L662" s="3"/>
      <c r="M662" s="3"/>
      <c r="N662" s="3"/>
      <c r="O662" s="3"/>
      <c r="P662" s="8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3"/>
      <c r="B663" s="4"/>
      <c r="C663" s="4"/>
      <c r="D663" s="3"/>
      <c r="E663" s="3"/>
      <c r="F663" s="3"/>
      <c r="G663" s="6"/>
      <c r="H663" s="3"/>
      <c r="I663" s="3"/>
      <c r="J663" s="7"/>
      <c r="K663" s="3"/>
      <c r="L663" s="3"/>
      <c r="M663" s="3"/>
      <c r="N663" s="3"/>
      <c r="O663" s="3"/>
      <c r="P663" s="8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3"/>
      <c r="B664" s="4"/>
      <c r="C664" s="4"/>
      <c r="D664" s="3"/>
      <c r="E664" s="3"/>
      <c r="F664" s="3"/>
      <c r="G664" s="6"/>
      <c r="H664" s="3"/>
      <c r="I664" s="3"/>
      <c r="J664" s="7"/>
      <c r="K664" s="3"/>
      <c r="L664" s="3"/>
      <c r="M664" s="3"/>
      <c r="N664" s="3"/>
      <c r="O664" s="3"/>
      <c r="P664" s="8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3"/>
      <c r="B665" s="4"/>
      <c r="C665" s="4"/>
      <c r="D665" s="3"/>
      <c r="E665" s="3"/>
      <c r="F665" s="3"/>
      <c r="G665" s="6"/>
      <c r="H665" s="3"/>
      <c r="I665" s="3"/>
      <c r="J665" s="7"/>
      <c r="K665" s="3"/>
      <c r="L665" s="3"/>
      <c r="M665" s="3"/>
      <c r="N665" s="3"/>
      <c r="O665" s="3"/>
      <c r="P665" s="8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3"/>
      <c r="B666" s="4"/>
      <c r="C666" s="4"/>
      <c r="D666" s="3"/>
      <c r="E666" s="3"/>
      <c r="F666" s="3"/>
      <c r="G666" s="6"/>
      <c r="H666" s="3"/>
      <c r="I666" s="3"/>
      <c r="J666" s="7"/>
      <c r="K666" s="3"/>
      <c r="L666" s="3"/>
      <c r="M666" s="3"/>
      <c r="N666" s="3"/>
      <c r="O666" s="3"/>
      <c r="P666" s="8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3"/>
      <c r="B667" s="4"/>
      <c r="C667" s="4"/>
      <c r="D667" s="3"/>
      <c r="E667" s="3"/>
      <c r="F667" s="3"/>
      <c r="G667" s="6"/>
      <c r="H667" s="3"/>
      <c r="I667" s="3"/>
      <c r="J667" s="7"/>
      <c r="K667" s="3"/>
      <c r="L667" s="3"/>
      <c r="M667" s="3"/>
      <c r="N667" s="3"/>
      <c r="O667" s="3"/>
      <c r="P667" s="8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3"/>
      <c r="B668" s="4"/>
      <c r="C668" s="4"/>
      <c r="D668" s="3"/>
      <c r="E668" s="3"/>
      <c r="F668" s="3"/>
      <c r="G668" s="6"/>
      <c r="H668" s="3"/>
      <c r="I668" s="3"/>
      <c r="J668" s="7"/>
      <c r="K668" s="3"/>
      <c r="L668" s="3"/>
      <c r="M668" s="3"/>
      <c r="N668" s="3"/>
      <c r="O668" s="3"/>
      <c r="P668" s="8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3"/>
      <c r="B669" s="4"/>
      <c r="C669" s="4"/>
      <c r="D669" s="3"/>
      <c r="E669" s="3"/>
      <c r="F669" s="3"/>
      <c r="G669" s="6"/>
      <c r="H669" s="3"/>
      <c r="I669" s="3"/>
      <c r="J669" s="7"/>
      <c r="K669" s="3"/>
      <c r="L669" s="3"/>
      <c r="M669" s="3"/>
      <c r="N669" s="3"/>
      <c r="O669" s="3"/>
      <c r="P669" s="8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3"/>
      <c r="B670" s="4"/>
      <c r="C670" s="4"/>
      <c r="D670" s="3"/>
      <c r="E670" s="3"/>
      <c r="F670" s="3"/>
      <c r="G670" s="6"/>
      <c r="H670" s="3"/>
      <c r="I670" s="3"/>
      <c r="J670" s="7"/>
      <c r="K670" s="3"/>
      <c r="L670" s="3"/>
      <c r="M670" s="3"/>
      <c r="N670" s="3"/>
      <c r="O670" s="3"/>
      <c r="P670" s="8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3"/>
      <c r="B671" s="4"/>
      <c r="C671" s="4"/>
      <c r="D671" s="3"/>
      <c r="E671" s="3"/>
      <c r="F671" s="3"/>
      <c r="G671" s="6"/>
      <c r="H671" s="3"/>
      <c r="I671" s="3"/>
      <c r="J671" s="7"/>
      <c r="K671" s="3"/>
      <c r="L671" s="3"/>
      <c r="M671" s="3"/>
      <c r="N671" s="3"/>
      <c r="O671" s="3"/>
      <c r="P671" s="8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3"/>
      <c r="B672" s="4"/>
      <c r="C672" s="4"/>
      <c r="D672" s="3"/>
      <c r="E672" s="3"/>
      <c r="F672" s="3"/>
      <c r="G672" s="6"/>
      <c r="H672" s="3"/>
      <c r="I672" s="3"/>
      <c r="J672" s="7"/>
      <c r="K672" s="3"/>
      <c r="L672" s="3"/>
      <c r="M672" s="3"/>
      <c r="N672" s="3"/>
      <c r="O672" s="3"/>
      <c r="P672" s="8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3"/>
      <c r="B673" s="4"/>
      <c r="C673" s="4"/>
      <c r="D673" s="3"/>
      <c r="E673" s="3"/>
      <c r="F673" s="3"/>
      <c r="G673" s="6"/>
      <c r="H673" s="3"/>
      <c r="I673" s="3"/>
      <c r="J673" s="7"/>
      <c r="K673" s="3"/>
      <c r="L673" s="3"/>
      <c r="M673" s="3"/>
      <c r="N673" s="3"/>
      <c r="O673" s="3"/>
      <c r="P673" s="8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3"/>
      <c r="B674" s="4"/>
      <c r="C674" s="4"/>
      <c r="D674" s="3"/>
      <c r="E674" s="3"/>
      <c r="F674" s="3"/>
      <c r="G674" s="6"/>
      <c r="H674" s="3"/>
      <c r="I674" s="3"/>
      <c r="J674" s="7"/>
      <c r="K674" s="3"/>
      <c r="L674" s="3"/>
      <c r="M674" s="3"/>
      <c r="N674" s="3"/>
      <c r="O674" s="3"/>
      <c r="P674" s="8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3"/>
      <c r="B675" s="4"/>
      <c r="C675" s="4"/>
      <c r="D675" s="3"/>
      <c r="E675" s="3"/>
      <c r="F675" s="3"/>
      <c r="G675" s="6"/>
      <c r="H675" s="3"/>
      <c r="I675" s="3"/>
      <c r="J675" s="7"/>
      <c r="K675" s="3"/>
      <c r="L675" s="3"/>
      <c r="M675" s="3"/>
      <c r="N675" s="3"/>
      <c r="O675" s="3"/>
      <c r="P675" s="8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3"/>
      <c r="B676" s="4"/>
      <c r="C676" s="4"/>
      <c r="D676" s="3"/>
      <c r="E676" s="3"/>
      <c r="F676" s="3"/>
      <c r="G676" s="6"/>
      <c r="H676" s="3"/>
      <c r="I676" s="3"/>
      <c r="J676" s="7"/>
      <c r="K676" s="3"/>
      <c r="L676" s="3"/>
      <c r="M676" s="3"/>
      <c r="N676" s="3"/>
      <c r="O676" s="3"/>
      <c r="P676" s="8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3"/>
      <c r="B677" s="4"/>
      <c r="C677" s="4"/>
      <c r="D677" s="3"/>
      <c r="E677" s="3"/>
      <c r="F677" s="3"/>
      <c r="G677" s="6"/>
      <c r="H677" s="3"/>
      <c r="I677" s="3"/>
      <c r="J677" s="7"/>
      <c r="K677" s="3"/>
      <c r="L677" s="3"/>
      <c r="M677" s="3"/>
      <c r="N677" s="3"/>
      <c r="O677" s="3"/>
      <c r="P677" s="8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3"/>
      <c r="B678" s="4"/>
      <c r="C678" s="4"/>
      <c r="D678" s="3"/>
      <c r="E678" s="3"/>
      <c r="F678" s="3"/>
      <c r="G678" s="6"/>
      <c r="H678" s="3"/>
      <c r="I678" s="3"/>
      <c r="J678" s="7"/>
      <c r="K678" s="3"/>
      <c r="L678" s="3"/>
      <c r="M678" s="3"/>
      <c r="N678" s="3"/>
      <c r="O678" s="3"/>
      <c r="P678" s="8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3"/>
      <c r="B679" s="4"/>
      <c r="C679" s="4"/>
      <c r="D679" s="3"/>
      <c r="E679" s="3"/>
      <c r="F679" s="3"/>
      <c r="G679" s="6"/>
      <c r="H679" s="3"/>
      <c r="I679" s="3"/>
      <c r="J679" s="7"/>
      <c r="K679" s="3"/>
      <c r="L679" s="3"/>
      <c r="M679" s="3"/>
      <c r="N679" s="3"/>
      <c r="O679" s="3"/>
      <c r="P679" s="8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3"/>
      <c r="B680" s="4"/>
      <c r="C680" s="4"/>
      <c r="D680" s="3"/>
      <c r="E680" s="3"/>
      <c r="F680" s="3"/>
      <c r="G680" s="6"/>
      <c r="H680" s="3"/>
      <c r="I680" s="3"/>
      <c r="J680" s="7"/>
      <c r="K680" s="3"/>
      <c r="L680" s="3"/>
      <c r="M680" s="3"/>
      <c r="N680" s="3"/>
      <c r="O680" s="3"/>
      <c r="P680" s="8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3"/>
      <c r="B681" s="4"/>
      <c r="C681" s="4"/>
      <c r="D681" s="3"/>
      <c r="E681" s="3"/>
      <c r="F681" s="3"/>
      <c r="G681" s="6"/>
      <c r="H681" s="3"/>
      <c r="I681" s="3"/>
      <c r="J681" s="7"/>
      <c r="K681" s="3"/>
      <c r="L681" s="3"/>
      <c r="M681" s="3"/>
      <c r="N681" s="3"/>
      <c r="O681" s="3"/>
      <c r="P681" s="8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3"/>
      <c r="B682" s="4"/>
      <c r="C682" s="4"/>
      <c r="D682" s="3"/>
      <c r="E682" s="3"/>
      <c r="F682" s="3"/>
      <c r="G682" s="6"/>
      <c r="H682" s="3"/>
      <c r="I682" s="3"/>
      <c r="J682" s="7"/>
      <c r="K682" s="3"/>
      <c r="L682" s="3"/>
      <c r="M682" s="3"/>
      <c r="N682" s="3"/>
      <c r="O682" s="3"/>
      <c r="P682" s="8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3"/>
      <c r="B683" s="4"/>
      <c r="C683" s="4"/>
      <c r="D683" s="3"/>
      <c r="E683" s="3"/>
      <c r="F683" s="3"/>
      <c r="G683" s="6"/>
      <c r="H683" s="3"/>
      <c r="I683" s="3"/>
      <c r="J683" s="7"/>
      <c r="K683" s="3"/>
      <c r="L683" s="3"/>
      <c r="M683" s="3"/>
      <c r="N683" s="3"/>
      <c r="O683" s="3"/>
      <c r="P683" s="8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3"/>
      <c r="B684" s="4"/>
      <c r="C684" s="4"/>
      <c r="D684" s="3"/>
      <c r="E684" s="3"/>
      <c r="F684" s="3"/>
      <c r="G684" s="6"/>
      <c r="H684" s="3"/>
      <c r="I684" s="3"/>
      <c r="J684" s="7"/>
      <c r="K684" s="3"/>
      <c r="L684" s="3"/>
      <c r="M684" s="3"/>
      <c r="N684" s="3"/>
      <c r="O684" s="3"/>
      <c r="P684" s="8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3"/>
      <c r="B685" s="4"/>
      <c r="C685" s="4"/>
      <c r="D685" s="3"/>
      <c r="E685" s="3"/>
      <c r="F685" s="3"/>
      <c r="G685" s="6"/>
      <c r="H685" s="3"/>
      <c r="I685" s="3"/>
      <c r="J685" s="7"/>
      <c r="K685" s="3"/>
      <c r="L685" s="3"/>
      <c r="M685" s="3"/>
      <c r="N685" s="3"/>
      <c r="O685" s="3"/>
      <c r="P685" s="8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3"/>
      <c r="B686" s="4"/>
      <c r="C686" s="4"/>
      <c r="D686" s="3"/>
      <c r="E686" s="3"/>
      <c r="F686" s="3"/>
      <c r="G686" s="6"/>
      <c r="H686" s="3"/>
      <c r="I686" s="3"/>
      <c r="J686" s="7"/>
      <c r="K686" s="3"/>
      <c r="L686" s="3"/>
      <c r="M686" s="3"/>
      <c r="N686" s="3"/>
      <c r="O686" s="3"/>
      <c r="P686" s="8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3"/>
      <c r="B687" s="4"/>
      <c r="C687" s="4"/>
      <c r="D687" s="3"/>
      <c r="E687" s="3"/>
      <c r="F687" s="3"/>
      <c r="G687" s="6"/>
      <c r="H687" s="3"/>
      <c r="I687" s="3"/>
      <c r="J687" s="7"/>
      <c r="K687" s="3"/>
      <c r="L687" s="3"/>
      <c r="M687" s="3"/>
      <c r="N687" s="3"/>
      <c r="O687" s="3"/>
      <c r="P687" s="8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3"/>
      <c r="B688" s="4"/>
      <c r="C688" s="4"/>
      <c r="D688" s="3"/>
      <c r="E688" s="3"/>
      <c r="F688" s="3"/>
      <c r="G688" s="6"/>
      <c r="H688" s="3"/>
      <c r="I688" s="3"/>
      <c r="J688" s="7"/>
      <c r="K688" s="3"/>
      <c r="L688" s="3"/>
      <c r="M688" s="3"/>
      <c r="N688" s="3"/>
      <c r="O688" s="3"/>
      <c r="P688" s="8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3"/>
      <c r="B689" s="4"/>
      <c r="C689" s="4"/>
      <c r="D689" s="3"/>
      <c r="E689" s="3"/>
      <c r="F689" s="3"/>
      <c r="G689" s="6"/>
      <c r="H689" s="3"/>
      <c r="I689" s="3"/>
      <c r="J689" s="7"/>
      <c r="K689" s="3"/>
      <c r="L689" s="3"/>
      <c r="M689" s="3"/>
      <c r="N689" s="3"/>
      <c r="O689" s="3"/>
      <c r="P689" s="8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3"/>
      <c r="B690" s="4"/>
      <c r="C690" s="4"/>
      <c r="D690" s="3"/>
      <c r="E690" s="3"/>
      <c r="F690" s="3"/>
      <c r="G690" s="6"/>
      <c r="H690" s="3"/>
      <c r="I690" s="3"/>
      <c r="J690" s="7"/>
      <c r="K690" s="3"/>
      <c r="L690" s="3"/>
      <c r="M690" s="3"/>
      <c r="N690" s="3"/>
      <c r="O690" s="3"/>
      <c r="P690" s="8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3"/>
      <c r="B691" s="4"/>
      <c r="C691" s="4"/>
      <c r="D691" s="3"/>
      <c r="E691" s="3"/>
      <c r="F691" s="3"/>
      <c r="G691" s="6"/>
      <c r="H691" s="3"/>
      <c r="I691" s="3"/>
      <c r="J691" s="7"/>
      <c r="K691" s="3"/>
      <c r="L691" s="3"/>
      <c r="M691" s="3"/>
      <c r="N691" s="3"/>
      <c r="O691" s="3"/>
      <c r="P691" s="8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3"/>
      <c r="B692" s="4"/>
      <c r="C692" s="4"/>
      <c r="D692" s="3"/>
      <c r="E692" s="3"/>
      <c r="F692" s="3"/>
      <c r="G692" s="6"/>
      <c r="H692" s="3"/>
      <c r="I692" s="3"/>
      <c r="J692" s="7"/>
      <c r="K692" s="3"/>
      <c r="L692" s="3"/>
      <c r="M692" s="3"/>
      <c r="N692" s="3"/>
      <c r="O692" s="3"/>
      <c r="P692" s="8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3"/>
      <c r="B693" s="4"/>
      <c r="C693" s="4"/>
      <c r="D693" s="3"/>
      <c r="E693" s="3"/>
      <c r="F693" s="3"/>
      <c r="G693" s="6"/>
      <c r="H693" s="3"/>
      <c r="I693" s="3"/>
      <c r="J693" s="7"/>
      <c r="K693" s="3"/>
      <c r="L693" s="3"/>
      <c r="M693" s="3"/>
      <c r="N693" s="3"/>
      <c r="O693" s="3"/>
      <c r="P693" s="8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3"/>
      <c r="B694" s="4"/>
      <c r="C694" s="4"/>
      <c r="D694" s="3"/>
      <c r="E694" s="3"/>
      <c r="F694" s="3"/>
      <c r="G694" s="6"/>
      <c r="H694" s="3"/>
      <c r="I694" s="3"/>
      <c r="J694" s="7"/>
      <c r="K694" s="3"/>
      <c r="L694" s="3"/>
      <c r="M694" s="3"/>
      <c r="N694" s="3"/>
      <c r="O694" s="3"/>
      <c r="P694" s="8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3"/>
      <c r="B695" s="4"/>
      <c r="C695" s="4"/>
      <c r="D695" s="3"/>
      <c r="E695" s="3"/>
      <c r="F695" s="3"/>
      <c r="G695" s="6"/>
      <c r="H695" s="3"/>
      <c r="I695" s="3"/>
      <c r="J695" s="7"/>
      <c r="K695" s="3"/>
      <c r="L695" s="3"/>
      <c r="M695" s="3"/>
      <c r="N695" s="3"/>
      <c r="O695" s="3"/>
      <c r="P695" s="8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3"/>
      <c r="B696" s="4"/>
      <c r="C696" s="4"/>
      <c r="D696" s="3"/>
      <c r="E696" s="3"/>
      <c r="F696" s="3"/>
      <c r="G696" s="6"/>
      <c r="H696" s="3"/>
      <c r="I696" s="3"/>
      <c r="J696" s="7"/>
      <c r="K696" s="3"/>
      <c r="L696" s="3"/>
      <c r="M696" s="3"/>
      <c r="N696" s="3"/>
      <c r="O696" s="3"/>
      <c r="P696" s="8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3"/>
      <c r="B697" s="4"/>
      <c r="C697" s="4"/>
      <c r="D697" s="3"/>
      <c r="E697" s="3"/>
      <c r="F697" s="3"/>
      <c r="G697" s="6"/>
      <c r="H697" s="3"/>
      <c r="I697" s="3"/>
      <c r="J697" s="7"/>
      <c r="K697" s="3"/>
      <c r="L697" s="3"/>
      <c r="M697" s="3"/>
      <c r="N697" s="3"/>
      <c r="O697" s="3"/>
      <c r="P697" s="8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3"/>
      <c r="B698" s="4"/>
      <c r="C698" s="4"/>
      <c r="D698" s="3"/>
      <c r="E698" s="3"/>
      <c r="F698" s="3"/>
      <c r="G698" s="6"/>
      <c r="H698" s="3"/>
      <c r="I698" s="3"/>
      <c r="J698" s="7"/>
      <c r="K698" s="3"/>
      <c r="L698" s="3"/>
      <c r="M698" s="3"/>
      <c r="N698" s="3"/>
      <c r="O698" s="3"/>
      <c r="P698" s="8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3"/>
      <c r="B699" s="4"/>
      <c r="C699" s="4"/>
      <c r="D699" s="3"/>
      <c r="E699" s="3"/>
      <c r="F699" s="3"/>
      <c r="G699" s="6"/>
      <c r="H699" s="3"/>
      <c r="I699" s="3"/>
      <c r="J699" s="7"/>
      <c r="K699" s="3"/>
      <c r="L699" s="3"/>
      <c r="M699" s="3"/>
      <c r="N699" s="3"/>
      <c r="O699" s="3"/>
      <c r="P699" s="8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3"/>
      <c r="B700" s="4"/>
      <c r="C700" s="4"/>
      <c r="D700" s="3"/>
      <c r="E700" s="3"/>
      <c r="F700" s="3"/>
      <c r="G700" s="6"/>
      <c r="H700" s="3"/>
      <c r="I700" s="3"/>
      <c r="J700" s="7"/>
      <c r="K700" s="3"/>
      <c r="L700" s="3"/>
      <c r="M700" s="3"/>
      <c r="N700" s="3"/>
      <c r="O700" s="3"/>
      <c r="P700" s="8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3"/>
      <c r="B701" s="4"/>
      <c r="C701" s="4"/>
      <c r="D701" s="3"/>
      <c r="E701" s="3"/>
      <c r="F701" s="3"/>
      <c r="G701" s="6"/>
      <c r="H701" s="3"/>
      <c r="I701" s="3"/>
      <c r="J701" s="7"/>
      <c r="K701" s="3"/>
      <c r="L701" s="3"/>
      <c r="M701" s="3"/>
      <c r="N701" s="3"/>
      <c r="O701" s="3"/>
      <c r="P701" s="8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3"/>
      <c r="B702" s="4"/>
      <c r="C702" s="4"/>
      <c r="D702" s="3"/>
      <c r="E702" s="3"/>
      <c r="F702" s="3"/>
      <c r="G702" s="6"/>
      <c r="H702" s="3"/>
      <c r="I702" s="3"/>
      <c r="J702" s="7"/>
      <c r="K702" s="3"/>
      <c r="L702" s="3"/>
      <c r="M702" s="3"/>
      <c r="N702" s="3"/>
      <c r="O702" s="3"/>
      <c r="P702" s="8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3"/>
      <c r="B703" s="4"/>
      <c r="C703" s="4"/>
      <c r="D703" s="3"/>
      <c r="E703" s="3"/>
      <c r="F703" s="3"/>
      <c r="G703" s="6"/>
      <c r="H703" s="3"/>
      <c r="I703" s="3"/>
      <c r="J703" s="7"/>
      <c r="K703" s="3"/>
      <c r="L703" s="3"/>
      <c r="M703" s="3"/>
      <c r="N703" s="3"/>
      <c r="O703" s="3"/>
      <c r="P703" s="8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3"/>
      <c r="B704" s="4"/>
      <c r="C704" s="4"/>
      <c r="D704" s="3"/>
      <c r="E704" s="3"/>
      <c r="F704" s="3"/>
      <c r="G704" s="6"/>
      <c r="H704" s="3"/>
      <c r="I704" s="3"/>
      <c r="J704" s="7"/>
      <c r="K704" s="3"/>
      <c r="L704" s="3"/>
      <c r="M704" s="3"/>
      <c r="N704" s="3"/>
      <c r="O704" s="3"/>
      <c r="P704" s="8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3"/>
      <c r="B705" s="4"/>
      <c r="C705" s="4"/>
      <c r="D705" s="3"/>
      <c r="E705" s="3"/>
      <c r="F705" s="3"/>
      <c r="G705" s="6"/>
      <c r="H705" s="3"/>
      <c r="I705" s="3"/>
      <c r="J705" s="7"/>
      <c r="K705" s="3"/>
      <c r="L705" s="3"/>
      <c r="M705" s="3"/>
      <c r="N705" s="3"/>
      <c r="O705" s="3"/>
      <c r="P705" s="8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3"/>
      <c r="B706" s="4"/>
      <c r="C706" s="4"/>
      <c r="D706" s="3"/>
      <c r="E706" s="3"/>
      <c r="F706" s="3"/>
      <c r="G706" s="6"/>
      <c r="H706" s="3"/>
      <c r="I706" s="3"/>
      <c r="J706" s="7"/>
      <c r="K706" s="3"/>
      <c r="L706" s="3"/>
      <c r="M706" s="3"/>
      <c r="N706" s="3"/>
      <c r="O706" s="3"/>
      <c r="P706" s="8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3"/>
      <c r="B707" s="4"/>
      <c r="C707" s="4"/>
      <c r="D707" s="3"/>
      <c r="E707" s="3"/>
      <c r="F707" s="3"/>
      <c r="G707" s="6"/>
      <c r="H707" s="3"/>
      <c r="I707" s="3"/>
      <c r="J707" s="7"/>
      <c r="K707" s="3"/>
      <c r="L707" s="3"/>
      <c r="M707" s="3"/>
      <c r="N707" s="3"/>
      <c r="O707" s="3"/>
      <c r="P707" s="8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3"/>
      <c r="B708" s="4"/>
      <c r="C708" s="4"/>
      <c r="D708" s="3"/>
      <c r="E708" s="3"/>
      <c r="F708" s="3"/>
      <c r="G708" s="6"/>
      <c r="H708" s="3"/>
      <c r="I708" s="3"/>
      <c r="J708" s="7"/>
      <c r="K708" s="3"/>
      <c r="L708" s="3"/>
      <c r="M708" s="3"/>
      <c r="N708" s="3"/>
      <c r="O708" s="3"/>
      <c r="P708" s="8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3"/>
      <c r="B709" s="4"/>
      <c r="C709" s="4"/>
      <c r="D709" s="3"/>
      <c r="E709" s="3"/>
      <c r="F709" s="3"/>
      <c r="G709" s="6"/>
      <c r="H709" s="3"/>
      <c r="I709" s="3"/>
      <c r="J709" s="7"/>
      <c r="K709" s="3"/>
      <c r="L709" s="3"/>
      <c r="M709" s="3"/>
      <c r="N709" s="3"/>
      <c r="O709" s="3"/>
      <c r="P709" s="8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3"/>
      <c r="B710" s="4"/>
      <c r="C710" s="4"/>
      <c r="D710" s="3"/>
      <c r="E710" s="3"/>
      <c r="F710" s="3"/>
      <c r="G710" s="6"/>
      <c r="H710" s="3"/>
      <c r="I710" s="3"/>
      <c r="J710" s="7"/>
      <c r="K710" s="3"/>
      <c r="L710" s="3"/>
      <c r="M710" s="3"/>
      <c r="N710" s="3"/>
      <c r="O710" s="3"/>
      <c r="P710" s="8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3"/>
      <c r="B711" s="4"/>
      <c r="C711" s="4"/>
      <c r="D711" s="3"/>
      <c r="E711" s="3"/>
      <c r="F711" s="3"/>
      <c r="G711" s="6"/>
      <c r="H711" s="3"/>
      <c r="I711" s="3"/>
      <c r="J711" s="7"/>
      <c r="K711" s="3"/>
      <c r="L711" s="3"/>
      <c r="M711" s="3"/>
      <c r="N711" s="3"/>
      <c r="O711" s="3"/>
      <c r="P711" s="8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3"/>
      <c r="B712" s="4"/>
      <c r="C712" s="4"/>
      <c r="D712" s="3"/>
      <c r="E712" s="3"/>
      <c r="F712" s="3"/>
      <c r="G712" s="6"/>
      <c r="H712" s="3"/>
      <c r="I712" s="3"/>
      <c r="J712" s="7"/>
      <c r="K712" s="3"/>
      <c r="L712" s="3"/>
      <c r="M712" s="3"/>
      <c r="N712" s="3"/>
      <c r="O712" s="3"/>
      <c r="P712" s="8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3"/>
      <c r="B713" s="4"/>
      <c r="C713" s="4"/>
      <c r="D713" s="3"/>
      <c r="E713" s="3"/>
      <c r="F713" s="3"/>
      <c r="G713" s="6"/>
      <c r="H713" s="3"/>
      <c r="I713" s="3"/>
      <c r="J713" s="7"/>
      <c r="K713" s="3"/>
      <c r="L713" s="3"/>
      <c r="M713" s="3"/>
      <c r="N713" s="3"/>
      <c r="O713" s="3"/>
      <c r="P713" s="8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3"/>
      <c r="B714" s="4"/>
      <c r="C714" s="4"/>
      <c r="D714" s="3"/>
      <c r="E714" s="3"/>
      <c r="F714" s="3"/>
      <c r="G714" s="6"/>
      <c r="H714" s="3"/>
      <c r="I714" s="3"/>
      <c r="J714" s="7"/>
      <c r="K714" s="3"/>
      <c r="L714" s="3"/>
      <c r="M714" s="3"/>
      <c r="N714" s="3"/>
      <c r="O714" s="3"/>
      <c r="P714" s="8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3"/>
      <c r="B715" s="4"/>
      <c r="C715" s="4"/>
      <c r="D715" s="3"/>
      <c r="E715" s="3"/>
      <c r="F715" s="3"/>
      <c r="G715" s="6"/>
      <c r="H715" s="3"/>
      <c r="I715" s="3"/>
      <c r="J715" s="7"/>
      <c r="K715" s="3"/>
      <c r="L715" s="3"/>
      <c r="M715" s="3"/>
      <c r="N715" s="3"/>
      <c r="O715" s="3"/>
      <c r="P715" s="8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3"/>
      <c r="B716" s="4"/>
      <c r="C716" s="4"/>
      <c r="D716" s="3"/>
      <c r="E716" s="3"/>
      <c r="F716" s="3"/>
      <c r="G716" s="6"/>
      <c r="H716" s="3"/>
      <c r="I716" s="3"/>
      <c r="J716" s="7"/>
      <c r="K716" s="3"/>
      <c r="L716" s="3"/>
      <c r="M716" s="3"/>
      <c r="N716" s="3"/>
      <c r="O716" s="3"/>
      <c r="P716" s="8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3"/>
      <c r="B717" s="4"/>
      <c r="C717" s="4"/>
      <c r="D717" s="3"/>
      <c r="E717" s="3"/>
      <c r="F717" s="3"/>
      <c r="G717" s="6"/>
      <c r="H717" s="3"/>
      <c r="I717" s="3"/>
      <c r="J717" s="7"/>
      <c r="K717" s="3"/>
      <c r="L717" s="3"/>
      <c r="M717" s="3"/>
      <c r="N717" s="3"/>
      <c r="O717" s="3"/>
      <c r="P717" s="8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3"/>
      <c r="B718" s="4"/>
      <c r="C718" s="4"/>
      <c r="D718" s="3"/>
      <c r="E718" s="3"/>
      <c r="F718" s="3"/>
      <c r="G718" s="6"/>
      <c r="H718" s="3"/>
      <c r="I718" s="3"/>
      <c r="J718" s="7"/>
      <c r="K718" s="3"/>
      <c r="L718" s="3"/>
      <c r="M718" s="3"/>
      <c r="N718" s="3"/>
      <c r="O718" s="3"/>
      <c r="P718" s="8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3"/>
      <c r="B719" s="4"/>
      <c r="C719" s="4"/>
      <c r="D719" s="3"/>
      <c r="E719" s="3"/>
      <c r="F719" s="3"/>
      <c r="G719" s="6"/>
      <c r="H719" s="3"/>
      <c r="I719" s="3"/>
      <c r="J719" s="7"/>
      <c r="K719" s="3"/>
      <c r="L719" s="3"/>
      <c r="M719" s="3"/>
      <c r="N719" s="3"/>
      <c r="O719" s="3"/>
      <c r="P719" s="8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3"/>
      <c r="B720" s="4"/>
      <c r="C720" s="4"/>
      <c r="D720" s="3"/>
      <c r="E720" s="3"/>
      <c r="F720" s="3"/>
      <c r="G720" s="6"/>
      <c r="H720" s="3"/>
      <c r="I720" s="3"/>
      <c r="J720" s="7"/>
      <c r="K720" s="3"/>
      <c r="L720" s="3"/>
      <c r="M720" s="3"/>
      <c r="N720" s="3"/>
      <c r="O720" s="3"/>
      <c r="P720" s="8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3"/>
      <c r="B721" s="4"/>
      <c r="C721" s="4"/>
      <c r="D721" s="3"/>
      <c r="E721" s="3"/>
      <c r="F721" s="3"/>
      <c r="G721" s="6"/>
      <c r="H721" s="3"/>
      <c r="I721" s="3"/>
      <c r="J721" s="7"/>
      <c r="K721" s="3"/>
      <c r="L721" s="3"/>
      <c r="M721" s="3"/>
      <c r="N721" s="3"/>
      <c r="O721" s="3"/>
      <c r="P721" s="8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3"/>
      <c r="B722" s="4"/>
      <c r="C722" s="4"/>
      <c r="D722" s="3"/>
      <c r="E722" s="3"/>
      <c r="F722" s="3"/>
      <c r="G722" s="6"/>
      <c r="H722" s="3"/>
      <c r="I722" s="3"/>
      <c r="J722" s="7"/>
      <c r="K722" s="3"/>
      <c r="L722" s="3"/>
      <c r="M722" s="3"/>
      <c r="N722" s="3"/>
      <c r="O722" s="3"/>
      <c r="P722" s="8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3"/>
      <c r="B723" s="4"/>
      <c r="C723" s="4"/>
      <c r="D723" s="3"/>
      <c r="E723" s="3"/>
      <c r="F723" s="3"/>
      <c r="G723" s="6"/>
      <c r="H723" s="3"/>
      <c r="I723" s="3"/>
      <c r="J723" s="7"/>
      <c r="K723" s="3"/>
      <c r="L723" s="3"/>
      <c r="M723" s="3"/>
      <c r="N723" s="3"/>
      <c r="O723" s="3"/>
      <c r="P723" s="8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3"/>
      <c r="B724" s="4"/>
      <c r="C724" s="4"/>
      <c r="D724" s="3"/>
      <c r="E724" s="3"/>
      <c r="F724" s="3"/>
      <c r="G724" s="6"/>
      <c r="H724" s="3"/>
      <c r="I724" s="3"/>
      <c r="J724" s="7"/>
      <c r="K724" s="3"/>
      <c r="L724" s="3"/>
      <c r="M724" s="3"/>
      <c r="N724" s="3"/>
      <c r="O724" s="3"/>
      <c r="P724" s="8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3"/>
      <c r="B725" s="4"/>
      <c r="C725" s="4"/>
      <c r="D725" s="3"/>
      <c r="E725" s="3"/>
      <c r="F725" s="3"/>
      <c r="G725" s="6"/>
      <c r="H725" s="3"/>
      <c r="I725" s="3"/>
      <c r="J725" s="7"/>
      <c r="K725" s="3"/>
      <c r="L725" s="3"/>
      <c r="M725" s="3"/>
      <c r="N725" s="3"/>
      <c r="O725" s="3"/>
      <c r="P725" s="8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3"/>
      <c r="B726" s="4"/>
      <c r="C726" s="4"/>
      <c r="D726" s="3"/>
      <c r="E726" s="3"/>
      <c r="F726" s="3"/>
      <c r="G726" s="6"/>
      <c r="H726" s="3"/>
      <c r="I726" s="3"/>
      <c r="J726" s="7"/>
      <c r="K726" s="3"/>
      <c r="L726" s="3"/>
      <c r="M726" s="3"/>
      <c r="N726" s="3"/>
      <c r="O726" s="3"/>
      <c r="P726" s="8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3"/>
      <c r="B727" s="4"/>
      <c r="C727" s="4"/>
      <c r="D727" s="3"/>
      <c r="E727" s="3"/>
      <c r="F727" s="3"/>
      <c r="G727" s="6"/>
      <c r="H727" s="3"/>
      <c r="I727" s="3"/>
      <c r="J727" s="7"/>
      <c r="K727" s="3"/>
      <c r="L727" s="3"/>
      <c r="M727" s="3"/>
      <c r="N727" s="3"/>
      <c r="O727" s="3"/>
      <c r="P727" s="8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3"/>
      <c r="B728" s="4"/>
      <c r="C728" s="4"/>
      <c r="D728" s="3"/>
      <c r="E728" s="3"/>
      <c r="F728" s="3"/>
      <c r="G728" s="6"/>
      <c r="H728" s="3"/>
      <c r="I728" s="3"/>
      <c r="J728" s="7"/>
      <c r="K728" s="3"/>
      <c r="L728" s="3"/>
      <c r="M728" s="3"/>
      <c r="N728" s="3"/>
      <c r="O728" s="3"/>
      <c r="P728" s="8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3"/>
      <c r="B729" s="4"/>
      <c r="C729" s="4"/>
      <c r="D729" s="3"/>
      <c r="E729" s="3"/>
      <c r="F729" s="3"/>
      <c r="G729" s="6"/>
      <c r="H729" s="3"/>
      <c r="I729" s="3"/>
      <c r="J729" s="7"/>
      <c r="K729" s="3"/>
      <c r="L729" s="3"/>
      <c r="M729" s="3"/>
      <c r="N729" s="3"/>
      <c r="O729" s="3"/>
      <c r="P729" s="8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3"/>
      <c r="B730" s="4"/>
      <c r="C730" s="4"/>
      <c r="D730" s="3"/>
      <c r="E730" s="3"/>
      <c r="F730" s="3"/>
      <c r="G730" s="6"/>
      <c r="H730" s="3"/>
      <c r="I730" s="3"/>
      <c r="J730" s="7"/>
      <c r="K730" s="3"/>
      <c r="L730" s="3"/>
      <c r="M730" s="3"/>
      <c r="N730" s="3"/>
      <c r="O730" s="3"/>
      <c r="P730" s="8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3"/>
      <c r="B731" s="4"/>
      <c r="C731" s="4"/>
      <c r="D731" s="3"/>
      <c r="E731" s="3"/>
      <c r="F731" s="3"/>
      <c r="G731" s="6"/>
      <c r="H731" s="3"/>
      <c r="I731" s="3"/>
      <c r="J731" s="7"/>
      <c r="K731" s="3"/>
      <c r="L731" s="3"/>
      <c r="M731" s="3"/>
      <c r="N731" s="3"/>
      <c r="O731" s="3"/>
      <c r="P731" s="8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3"/>
      <c r="B732" s="4"/>
      <c r="C732" s="4"/>
      <c r="D732" s="3"/>
      <c r="E732" s="3"/>
      <c r="F732" s="3"/>
      <c r="G732" s="6"/>
      <c r="H732" s="3"/>
      <c r="I732" s="3"/>
      <c r="J732" s="7"/>
      <c r="K732" s="3"/>
      <c r="L732" s="3"/>
      <c r="M732" s="3"/>
      <c r="N732" s="3"/>
      <c r="O732" s="3"/>
      <c r="P732" s="8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3"/>
      <c r="B733" s="4"/>
      <c r="C733" s="4"/>
      <c r="D733" s="3"/>
      <c r="E733" s="3"/>
      <c r="F733" s="3"/>
      <c r="G733" s="6"/>
      <c r="H733" s="3"/>
      <c r="I733" s="3"/>
      <c r="J733" s="7"/>
      <c r="K733" s="3"/>
      <c r="L733" s="3"/>
      <c r="M733" s="3"/>
      <c r="N733" s="3"/>
      <c r="O733" s="3"/>
      <c r="P733" s="8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3"/>
      <c r="B734" s="4"/>
      <c r="C734" s="4"/>
      <c r="D734" s="3"/>
      <c r="E734" s="3"/>
      <c r="F734" s="3"/>
      <c r="G734" s="6"/>
      <c r="H734" s="3"/>
      <c r="I734" s="3"/>
      <c r="J734" s="7"/>
      <c r="K734" s="3"/>
      <c r="L734" s="3"/>
      <c r="M734" s="3"/>
      <c r="N734" s="3"/>
      <c r="O734" s="3"/>
      <c r="P734" s="8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3"/>
      <c r="B735" s="4"/>
      <c r="C735" s="4"/>
      <c r="D735" s="3"/>
      <c r="E735" s="3"/>
      <c r="F735" s="3"/>
      <c r="G735" s="6"/>
      <c r="H735" s="3"/>
      <c r="I735" s="3"/>
      <c r="J735" s="7"/>
      <c r="K735" s="3"/>
      <c r="L735" s="3"/>
      <c r="M735" s="3"/>
      <c r="N735" s="3"/>
      <c r="O735" s="3"/>
      <c r="P735" s="8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3"/>
      <c r="B736" s="4"/>
      <c r="C736" s="4"/>
      <c r="D736" s="3"/>
      <c r="E736" s="3"/>
      <c r="F736" s="3"/>
      <c r="G736" s="6"/>
      <c r="H736" s="3"/>
      <c r="I736" s="3"/>
      <c r="J736" s="7"/>
      <c r="K736" s="3"/>
      <c r="L736" s="3"/>
      <c r="M736" s="3"/>
      <c r="N736" s="3"/>
      <c r="O736" s="3"/>
      <c r="P736" s="8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3"/>
      <c r="B737" s="4"/>
      <c r="C737" s="4"/>
      <c r="D737" s="3"/>
      <c r="E737" s="3"/>
      <c r="F737" s="3"/>
      <c r="G737" s="6"/>
      <c r="H737" s="3"/>
      <c r="I737" s="3"/>
      <c r="J737" s="7"/>
      <c r="K737" s="3"/>
      <c r="L737" s="3"/>
      <c r="M737" s="3"/>
      <c r="N737" s="3"/>
      <c r="O737" s="3"/>
      <c r="P737" s="8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3"/>
      <c r="B738" s="4"/>
      <c r="C738" s="4"/>
      <c r="D738" s="3"/>
      <c r="E738" s="3"/>
      <c r="F738" s="3"/>
      <c r="G738" s="6"/>
      <c r="H738" s="3"/>
      <c r="I738" s="3"/>
      <c r="J738" s="7"/>
      <c r="K738" s="3"/>
      <c r="L738" s="3"/>
      <c r="M738" s="3"/>
      <c r="N738" s="3"/>
      <c r="O738" s="3"/>
      <c r="P738" s="8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3"/>
      <c r="B739" s="4"/>
      <c r="C739" s="4"/>
      <c r="D739" s="3"/>
      <c r="E739" s="3"/>
      <c r="F739" s="3"/>
      <c r="G739" s="6"/>
      <c r="H739" s="3"/>
      <c r="I739" s="3"/>
      <c r="J739" s="7"/>
      <c r="K739" s="3"/>
      <c r="L739" s="3"/>
      <c r="M739" s="3"/>
      <c r="N739" s="3"/>
      <c r="O739" s="3"/>
      <c r="P739" s="8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3"/>
      <c r="B740" s="4"/>
      <c r="C740" s="4"/>
      <c r="D740" s="3"/>
      <c r="E740" s="3"/>
      <c r="F740" s="3"/>
      <c r="G740" s="6"/>
      <c r="H740" s="3"/>
      <c r="I740" s="3"/>
      <c r="J740" s="7"/>
      <c r="K740" s="3"/>
      <c r="L740" s="3"/>
      <c r="M740" s="3"/>
      <c r="N740" s="3"/>
      <c r="O740" s="3"/>
      <c r="P740" s="8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3"/>
      <c r="B741" s="4"/>
      <c r="C741" s="4"/>
      <c r="D741" s="3"/>
      <c r="E741" s="3"/>
      <c r="F741" s="3"/>
      <c r="G741" s="6"/>
      <c r="H741" s="3"/>
      <c r="I741" s="3"/>
      <c r="J741" s="7"/>
      <c r="K741" s="3"/>
      <c r="L741" s="3"/>
      <c r="M741" s="3"/>
      <c r="N741" s="3"/>
      <c r="O741" s="3"/>
      <c r="P741" s="8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3"/>
      <c r="B742" s="4"/>
      <c r="C742" s="4"/>
      <c r="D742" s="3"/>
      <c r="E742" s="3"/>
      <c r="F742" s="3"/>
      <c r="G742" s="6"/>
      <c r="H742" s="3"/>
      <c r="I742" s="3"/>
      <c r="J742" s="7"/>
      <c r="K742" s="3"/>
      <c r="L742" s="3"/>
      <c r="M742" s="3"/>
      <c r="N742" s="3"/>
      <c r="O742" s="3"/>
      <c r="P742" s="8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3"/>
      <c r="B743" s="4"/>
      <c r="C743" s="4"/>
      <c r="D743" s="3"/>
      <c r="E743" s="3"/>
      <c r="F743" s="3"/>
      <c r="G743" s="6"/>
      <c r="H743" s="3"/>
      <c r="I743" s="3"/>
      <c r="J743" s="7"/>
      <c r="K743" s="3"/>
      <c r="L743" s="3"/>
      <c r="M743" s="3"/>
      <c r="N743" s="3"/>
      <c r="O743" s="3"/>
      <c r="P743" s="8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3"/>
      <c r="B744" s="4"/>
      <c r="C744" s="4"/>
      <c r="D744" s="3"/>
      <c r="E744" s="3"/>
      <c r="F744" s="3"/>
      <c r="G744" s="6"/>
      <c r="H744" s="3"/>
      <c r="I744" s="3"/>
      <c r="J744" s="7"/>
      <c r="K744" s="3"/>
      <c r="L744" s="3"/>
      <c r="M744" s="3"/>
      <c r="N744" s="3"/>
      <c r="O744" s="3"/>
      <c r="P744" s="8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3"/>
      <c r="B745" s="4"/>
      <c r="C745" s="4"/>
      <c r="D745" s="3"/>
      <c r="E745" s="3"/>
      <c r="F745" s="3"/>
      <c r="G745" s="6"/>
      <c r="H745" s="3"/>
      <c r="I745" s="3"/>
      <c r="J745" s="7"/>
      <c r="K745" s="3"/>
      <c r="L745" s="3"/>
      <c r="M745" s="3"/>
      <c r="N745" s="3"/>
      <c r="O745" s="3"/>
      <c r="P745" s="8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3"/>
      <c r="B746" s="4"/>
      <c r="C746" s="4"/>
      <c r="D746" s="3"/>
      <c r="E746" s="3"/>
      <c r="F746" s="3"/>
      <c r="G746" s="6"/>
      <c r="H746" s="3"/>
      <c r="I746" s="3"/>
      <c r="J746" s="7"/>
      <c r="K746" s="3"/>
      <c r="L746" s="3"/>
      <c r="M746" s="3"/>
      <c r="N746" s="3"/>
      <c r="O746" s="3"/>
      <c r="P746" s="8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3"/>
      <c r="B747" s="4"/>
      <c r="C747" s="4"/>
      <c r="D747" s="3"/>
      <c r="E747" s="3"/>
      <c r="F747" s="3"/>
      <c r="G747" s="6"/>
      <c r="H747" s="3"/>
      <c r="I747" s="3"/>
      <c r="J747" s="7"/>
      <c r="K747" s="3"/>
      <c r="L747" s="3"/>
      <c r="M747" s="3"/>
      <c r="N747" s="3"/>
      <c r="O747" s="3"/>
      <c r="P747" s="8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3"/>
      <c r="B748" s="4"/>
      <c r="C748" s="4"/>
      <c r="D748" s="3"/>
      <c r="E748" s="3"/>
      <c r="F748" s="3"/>
      <c r="G748" s="6"/>
      <c r="H748" s="3"/>
      <c r="I748" s="3"/>
      <c r="J748" s="7"/>
      <c r="K748" s="3"/>
      <c r="L748" s="3"/>
      <c r="M748" s="3"/>
      <c r="N748" s="3"/>
      <c r="O748" s="3"/>
      <c r="P748" s="8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3"/>
      <c r="B749" s="4"/>
      <c r="C749" s="4"/>
      <c r="D749" s="3"/>
      <c r="E749" s="3"/>
      <c r="F749" s="3"/>
      <c r="G749" s="6"/>
      <c r="H749" s="3"/>
      <c r="I749" s="3"/>
      <c r="J749" s="7"/>
      <c r="K749" s="3"/>
      <c r="L749" s="3"/>
      <c r="M749" s="3"/>
      <c r="N749" s="3"/>
      <c r="O749" s="3"/>
      <c r="P749" s="8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3"/>
      <c r="B750" s="4"/>
      <c r="C750" s="4"/>
      <c r="D750" s="3"/>
      <c r="E750" s="3"/>
      <c r="F750" s="3"/>
      <c r="G750" s="6"/>
      <c r="H750" s="3"/>
      <c r="I750" s="3"/>
      <c r="J750" s="7"/>
      <c r="K750" s="3"/>
      <c r="L750" s="3"/>
      <c r="M750" s="3"/>
      <c r="N750" s="3"/>
      <c r="O750" s="3"/>
      <c r="P750" s="8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3"/>
      <c r="B751" s="4"/>
      <c r="C751" s="4"/>
      <c r="D751" s="3"/>
      <c r="E751" s="3"/>
      <c r="F751" s="3"/>
      <c r="G751" s="6"/>
      <c r="H751" s="3"/>
      <c r="I751" s="3"/>
      <c r="J751" s="7"/>
      <c r="K751" s="3"/>
      <c r="L751" s="3"/>
      <c r="M751" s="3"/>
      <c r="N751" s="3"/>
      <c r="O751" s="3"/>
      <c r="P751" s="8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3"/>
      <c r="B752" s="4"/>
      <c r="C752" s="4"/>
      <c r="D752" s="3"/>
      <c r="E752" s="3"/>
      <c r="F752" s="3"/>
      <c r="G752" s="6"/>
      <c r="H752" s="3"/>
      <c r="I752" s="3"/>
      <c r="J752" s="7"/>
      <c r="K752" s="3"/>
      <c r="L752" s="3"/>
      <c r="M752" s="3"/>
      <c r="N752" s="3"/>
      <c r="O752" s="3"/>
      <c r="P752" s="8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3"/>
      <c r="B753" s="4"/>
      <c r="C753" s="4"/>
      <c r="D753" s="3"/>
      <c r="E753" s="3"/>
      <c r="F753" s="3"/>
      <c r="G753" s="6"/>
      <c r="H753" s="3"/>
      <c r="I753" s="3"/>
      <c r="J753" s="7"/>
      <c r="K753" s="3"/>
      <c r="L753" s="3"/>
      <c r="M753" s="3"/>
      <c r="N753" s="3"/>
      <c r="O753" s="3"/>
      <c r="P753" s="8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3"/>
      <c r="B754" s="4"/>
      <c r="C754" s="4"/>
      <c r="D754" s="3"/>
      <c r="E754" s="3"/>
      <c r="F754" s="3"/>
      <c r="G754" s="6"/>
      <c r="H754" s="3"/>
      <c r="I754" s="3"/>
      <c r="J754" s="7"/>
      <c r="K754" s="3"/>
      <c r="L754" s="3"/>
      <c r="M754" s="3"/>
      <c r="N754" s="3"/>
      <c r="O754" s="3"/>
      <c r="P754" s="8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3"/>
      <c r="B755" s="4"/>
      <c r="C755" s="4"/>
      <c r="D755" s="3"/>
      <c r="E755" s="3"/>
      <c r="F755" s="3"/>
      <c r="G755" s="6"/>
      <c r="H755" s="3"/>
      <c r="I755" s="3"/>
      <c r="J755" s="7"/>
      <c r="K755" s="3"/>
      <c r="L755" s="3"/>
      <c r="M755" s="3"/>
      <c r="N755" s="3"/>
      <c r="O755" s="3"/>
      <c r="P755" s="8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3"/>
      <c r="B756" s="4"/>
      <c r="C756" s="4"/>
      <c r="D756" s="3"/>
      <c r="E756" s="3"/>
      <c r="F756" s="3"/>
      <c r="G756" s="6"/>
      <c r="H756" s="3"/>
      <c r="I756" s="3"/>
      <c r="J756" s="7"/>
      <c r="K756" s="3"/>
      <c r="L756" s="3"/>
      <c r="M756" s="3"/>
      <c r="N756" s="3"/>
      <c r="O756" s="3"/>
      <c r="P756" s="8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3"/>
      <c r="B757" s="4"/>
      <c r="C757" s="4"/>
      <c r="D757" s="3"/>
      <c r="E757" s="3"/>
      <c r="F757" s="3"/>
      <c r="G757" s="6"/>
      <c r="H757" s="3"/>
      <c r="I757" s="3"/>
      <c r="J757" s="7"/>
      <c r="K757" s="3"/>
      <c r="L757" s="3"/>
      <c r="M757" s="3"/>
      <c r="N757" s="3"/>
      <c r="O757" s="3"/>
      <c r="P757" s="8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3"/>
      <c r="B758" s="4"/>
      <c r="C758" s="4"/>
      <c r="D758" s="3"/>
      <c r="E758" s="3"/>
      <c r="F758" s="3"/>
      <c r="G758" s="6"/>
      <c r="H758" s="3"/>
      <c r="I758" s="3"/>
      <c r="J758" s="7"/>
      <c r="K758" s="3"/>
      <c r="L758" s="3"/>
      <c r="M758" s="3"/>
      <c r="N758" s="3"/>
      <c r="O758" s="3"/>
      <c r="P758" s="8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3"/>
      <c r="B759" s="4"/>
      <c r="C759" s="4"/>
      <c r="D759" s="3"/>
      <c r="E759" s="3"/>
      <c r="F759" s="3"/>
      <c r="G759" s="6"/>
      <c r="H759" s="3"/>
      <c r="I759" s="3"/>
      <c r="J759" s="7"/>
      <c r="K759" s="3"/>
      <c r="L759" s="3"/>
      <c r="M759" s="3"/>
      <c r="N759" s="3"/>
      <c r="O759" s="3"/>
      <c r="P759" s="8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3"/>
      <c r="B760" s="4"/>
      <c r="C760" s="4"/>
      <c r="D760" s="3"/>
      <c r="E760" s="3"/>
      <c r="F760" s="3"/>
      <c r="G760" s="6"/>
      <c r="H760" s="3"/>
      <c r="I760" s="3"/>
      <c r="J760" s="7"/>
      <c r="K760" s="3"/>
      <c r="L760" s="3"/>
      <c r="M760" s="3"/>
      <c r="N760" s="3"/>
      <c r="O760" s="3"/>
      <c r="P760" s="8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3"/>
      <c r="B761" s="4"/>
      <c r="C761" s="4"/>
      <c r="D761" s="3"/>
      <c r="E761" s="3"/>
      <c r="F761" s="3"/>
      <c r="G761" s="6"/>
      <c r="H761" s="3"/>
      <c r="I761" s="3"/>
      <c r="J761" s="7"/>
      <c r="K761" s="3"/>
      <c r="L761" s="3"/>
      <c r="M761" s="3"/>
      <c r="N761" s="3"/>
      <c r="O761" s="3"/>
      <c r="P761" s="8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3"/>
      <c r="B762" s="4"/>
      <c r="C762" s="4"/>
      <c r="D762" s="3"/>
      <c r="E762" s="3"/>
      <c r="F762" s="3"/>
      <c r="G762" s="6"/>
      <c r="H762" s="3"/>
      <c r="I762" s="3"/>
      <c r="J762" s="7"/>
      <c r="K762" s="3"/>
      <c r="L762" s="3"/>
      <c r="M762" s="3"/>
      <c r="N762" s="3"/>
      <c r="O762" s="3"/>
      <c r="P762" s="8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3"/>
      <c r="B763" s="4"/>
      <c r="C763" s="4"/>
      <c r="D763" s="3"/>
      <c r="E763" s="3"/>
      <c r="F763" s="3"/>
      <c r="G763" s="6"/>
      <c r="H763" s="3"/>
      <c r="I763" s="3"/>
      <c r="J763" s="7"/>
      <c r="K763" s="3"/>
      <c r="L763" s="3"/>
      <c r="M763" s="3"/>
      <c r="N763" s="3"/>
      <c r="O763" s="3"/>
      <c r="P763" s="8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3"/>
      <c r="B764" s="4"/>
      <c r="C764" s="4"/>
      <c r="D764" s="3"/>
      <c r="E764" s="3"/>
      <c r="F764" s="3"/>
      <c r="G764" s="6"/>
      <c r="H764" s="3"/>
      <c r="I764" s="3"/>
      <c r="J764" s="7"/>
      <c r="K764" s="3"/>
      <c r="L764" s="3"/>
      <c r="M764" s="3"/>
      <c r="N764" s="3"/>
      <c r="O764" s="3"/>
      <c r="P764" s="8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3"/>
      <c r="B765" s="4"/>
      <c r="C765" s="4"/>
      <c r="D765" s="3"/>
      <c r="E765" s="3"/>
      <c r="F765" s="3"/>
      <c r="G765" s="6"/>
      <c r="H765" s="3"/>
      <c r="I765" s="3"/>
      <c r="J765" s="7"/>
      <c r="K765" s="3"/>
      <c r="L765" s="3"/>
      <c r="M765" s="3"/>
      <c r="N765" s="3"/>
      <c r="O765" s="3"/>
      <c r="P765" s="8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3"/>
      <c r="B766" s="4"/>
      <c r="C766" s="4"/>
      <c r="D766" s="3"/>
      <c r="E766" s="3"/>
      <c r="F766" s="3"/>
      <c r="G766" s="6"/>
      <c r="H766" s="3"/>
      <c r="I766" s="3"/>
      <c r="J766" s="7"/>
      <c r="K766" s="3"/>
      <c r="L766" s="3"/>
      <c r="M766" s="3"/>
      <c r="N766" s="3"/>
      <c r="O766" s="3"/>
      <c r="P766" s="8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3"/>
      <c r="B767" s="4"/>
      <c r="C767" s="4"/>
      <c r="D767" s="3"/>
      <c r="E767" s="3"/>
      <c r="F767" s="3"/>
      <c r="G767" s="6"/>
      <c r="H767" s="3"/>
      <c r="I767" s="3"/>
      <c r="J767" s="7"/>
      <c r="K767" s="3"/>
      <c r="L767" s="3"/>
      <c r="M767" s="3"/>
      <c r="N767" s="3"/>
      <c r="O767" s="3"/>
      <c r="P767" s="8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3"/>
      <c r="B768" s="4"/>
      <c r="C768" s="4"/>
      <c r="D768" s="3"/>
      <c r="E768" s="3"/>
      <c r="F768" s="3"/>
      <c r="G768" s="6"/>
      <c r="H768" s="3"/>
      <c r="I768" s="3"/>
      <c r="J768" s="7"/>
      <c r="K768" s="3"/>
      <c r="L768" s="3"/>
      <c r="M768" s="3"/>
      <c r="N768" s="3"/>
      <c r="O768" s="3"/>
      <c r="P768" s="8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3"/>
      <c r="B769" s="4"/>
      <c r="C769" s="4"/>
      <c r="D769" s="3"/>
      <c r="E769" s="3"/>
      <c r="F769" s="3"/>
      <c r="G769" s="6"/>
      <c r="H769" s="3"/>
      <c r="I769" s="3"/>
      <c r="J769" s="7"/>
      <c r="K769" s="3"/>
      <c r="L769" s="3"/>
      <c r="M769" s="3"/>
      <c r="N769" s="3"/>
      <c r="O769" s="3"/>
      <c r="P769" s="8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3"/>
      <c r="B770" s="4"/>
      <c r="C770" s="4"/>
      <c r="D770" s="3"/>
      <c r="E770" s="3"/>
      <c r="F770" s="3"/>
      <c r="G770" s="6"/>
      <c r="H770" s="3"/>
      <c r="I770" s="3"/>
      <c r="J770" s="7"/>
      <c r="K770" s="3"/>
      <c r="L770" s="3"/>
      <c r="M770" s="3"/>
      <c r="N770" s="3"/>
      <c r="O770" s="3"/>
      <c r="P770" s="8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3"/>
      <c r="B771" s="4"/>
      <c r="C771" s="4"/>
      <c r="D771" s="3"/>
      <c r="E771" s="3"/>
      <c r="F771" s="3"/>
      <c r="G771" s="6"/>
      <c r="H771" s="3"/>
      <c r="I771" s="3"/>
      <c r="J771" s="7"/>
      <c r="K771" s="3"/>
      <c r="L771" s="3"/>
      <c r="M771" s="3"/>
      <c r="N771" s="3"/>
      <c r="O771" s="3"/>
      <c r="P771" s="8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3"/>
      <c r="B772" s="4"/>
      <c r="C772" s="4"/>
      <c r="D772" s="3"/>
      <c r="E772" s="3"/>
      <c r="F772" s="3"/>
      <c r="G772" s="6"/>
      <c r="H772" s="3"/>
      <c r="I772" s="3"/>
      <c r="J772" s="7"/>
      <c r="K772" s="3"/>
      <c r="L772" s="3"/>
      <c r="M772" s="3"/>
      <c r="N772" s="3"/>
      <c r="O772" s="3"/>
      <c r="P772" s="8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3"/>
      <c r="B773" s="4"/>
      <c r="C773" s="4"/>
      <c r="D773" s="3"/>
      <c r="E773" s="3"/>
      <c r="F773" s="3"/>
      <c r="G773" s="6"/>
      <c r="H773" s="3"/>
      <c r="I773" s="3"/>
      <c r="J773" s="7"/>
      <c r="K773" s="3"/>
      <c r="L773" s="3"/>
      <c r="M773" s="3"/>
      <c r="N773" s="3"/>
      <c r="O773" s="3"/>
      <c r="P773" s="8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3"/>
      <c r="B774" s="4"/>
      <c r="C774" s="4"/>
      <c r="D774" s="3"/>
      <c r="E774" s="3"/>
      <c r="F774" s="3"/>
      <c r="G774" s="6"/>
      <c r="H774" s="3"/>
      <c r="I774" s="3"/>
      <c r="J774" s="7"/>
      <c r="K774" s="3"/>
      <c r="L774" s="3"/>
      <c r="M774" s="3"/>
      <c r="N774" s="3"/>
      <c r="O774" s="3"/>
      <c r="P774" s="8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3"/>
      <c r="B775" s="4"/>
      <c r="C775" s="4"/>
      <c r="D775" s="3"/>
      <c r="E775" s="3"/>
      <c r="F775" s="3"/>
      <c r="G775" s="6"/>
      <c r="H775" s="3"/>
      <c r="I775" s="3"/>
      <c r="J775" s="7"/>
      <c r="K775" s="3"/>
      <c r="L775" s="3"/>
      <c r="M775" s="3"/>
      <c r="N775" s="3"/>
      <c r="O775" s="3"/>
      <c r="P775" s="8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3"/>
      <c r="B776" s="4"/>
      <c r="C776" s="4"/>
      <c r="D776" s="3"/>
      <c r="E776" s="3"/>
      <c r="F776" s="3"/>
      <c r="G776" s="6"/>
      <c r="H776" s="3"/>
      <c r="I776" s="3"/>
      <c r="J776" s="7"/>
      <c r="K776" s="3"/>
      <c r="L776" s="3"/>
      <c r="M776" s="3"/>
      <c r="N776" s="3"/>
      <c r="O776" s="3"/>
      <c r="P776" s="8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3"/>
      <c r="B777" s="4"/>
      <c r="C777" s="4"/>
      <c r="D777" s="3"/>
      <c r="E777" s="3"/>
      <c r="F777" s="3"/>
      <c r="G777" s="6"/>
      <c r="H777" s="3"/>
      <c r="I777" s="3"/>
      <c r="J777" s="7"/>
      <c r="K777" s="3"/>
      <c r="L777" s="3"/>
      <c r="M777" s="3"/>
      <c r="N777" s="3"/>
      <c r="O777" s="3"/>
      <c r="P777" s="8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3"/>
      <c r="B778" s="4"/>
      <c r="C778" s="4"/>
      <c r="D778" s="3"/>
      <c r="E778" s="3"/>
      <c r="F778" s="3"/>
      <c r="G778" s="6"/>
      <c r="H778" s="3"/>
      <c r="I778" s="3"/>
      <c r="J778" s="7"/>
      <c r="K778" s="3"/>
      <c r="L778" s="3"/>
      <c r="M778" s="3"/>
      <c r="N778" s="3"/>
      <c r="O778" s="3"/>
      <c r="P778" s="8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3"/>
      <c r="B779" s="4"/>
      <c r="C779" s="4"/>
      <c r="D779" s="3"/>
      <c r="E779" s="3"/>
      <c r="F779" s="3"/>
      <c r="G779" s="6"/>
      <c r="H779" s="3"/>
      <c r="I779" s="3"/>
      <c r="J779" s="7"/>
      <c r="K779" s="3"/>
      <c r="L779" s="3"/>
      <c r="M779" s="3"/>
      <c r="N779" s="3"/>
      <c r="O779" s="3"/>
      <c r="P779" s="8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3"/>
      <c r="B780" s="4"/>
      <c r="C780" s="4"/>
      <c r="D780" s="3"/>
      <c r="E780" s="3"/>
      <c r="F780" s="3"/>
      <c r="G780" s="6"/>
      <c r="H780" s="3"/>
      <c r="I780" s="3"/>
      <c r="J780" s="7"/>
      <c r="K780" s="3"/>
      <c r="L780" s="3"/>
      <c r="M780" s="3"/>
      <c r="N780" s="3"/>
      <c r="O780" s="3"/>
      <c r="P780" s="8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3"/>
      <c r="B781" s="4"/>
      <c r="C781" s="4"/>
      <c r="D781" s="3"/>
      <c r="E781" s="3"/>
      <c r="F781" s="3"/>
      <c r="G781" s="6"/>
      <c r="H781" s="3"/>
      <c r="I781" s="3"/>
      <c r="J781" s="7"/>
      <c r="K781" s="3"/>
      <c r="L781" s="3"/>
      <c r="M781" s="3"/>
      <c r="N781" s="3"/>
      <c r="O781" s="3"/>
      <c r="P781" s="8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3"/>
      <c r="B782" s="4"/>
      <c r="C782" s="4"/>
      <c r="D782" s="3"/>
      <c r="E782" s="3"/>
      <c r="F782" s="3"/>
      <c r="G782" s="6"/>
      <c r="H782" s="3"/>
      <c r="I782" s="3"/>
      <c r="J782" s="7"/>
      <c r="K782" s="3"/>
      <c r="L782" s="3"/>
      <c r="M782" s="3"/>
      <c r="N782" s="3"/>
      <c r="O782" s="3"/>
      <c r="P782" s="8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3"/>
      <c r="B783" s="4"/>
      <c r="C783" s="4"/>
      <c r="D783" s="3"/>
      <c r="E783" s="3"/>
      <c r="F783" s="3"/>
      <c r="G783" s="6"/>
      <c r="H783" s="3"/>
      <c r="I783" s="3"/>
      <c r="J783" s="7"/>
      <c r="K783" s="3"/>
      <c r="L783" s="3"/>
      <c r="M783" s="3"/>
      <c r="N783" s="3"/>
      <c r="O783" s="3"/>
      <c r="P783" s="8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3"/>
      <c r="B784" s="4"/>
      <c r="C784" s="4"/>
      <c r="D784" s="3"/>
      <c r="E784" s="3"/>
      <c r="F784" s="3"/>
      <c r="G784" s="6"/>
      <c r="H784" s="3"/>
      <c r="I784" s="3"/>
      <c r="J784" s="7"/>
      <c r="K784" s="3"/>
      <c r="L784" s="3"/>
      <c r="M784" s="3"/>
      <c r="N784" s="3"/>
      <c r="O784" s="3"/>
      <c r="P784" s="8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3"/>
      <c r="B785" s="4"/>
      <c r="C785" s="4"/>
      <c r="D785" s="3"/>
      <c r="E785" s="3"/>
      <c r="F785" s="3"/>
      <c r="G785" s="6"/>
      <c r="H785" s="3"/>
      <c r="I785" s="3"/>
      <c r="J785" s="7"/>
      <c r="K785" s="3"/>
      <c r="L785" s="3"/>
      <c r="M785" s="3"/>
      <c r="N785" s="3"/>
      <c r="O785" s="3"/>
      <c r="P785" s="8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3"/>
      <c r="B786" s="4"/>
      <c r="C786" s="4"/>
      <c r="D786" s="3"/>
      <c r="E786" s="3"/>
      <c r="F786" s="3"/>
      <c r="G786" s="6"/>
      <c r="H786" s="3"/>
      <c r="I786" s="3"/>
      <c r="J786" s="7"/>
      <c r="K786" s="3"/>
      <c r="L786" s="3"/>
      <c r="M786" s="3"/>
      <c r="N786" s="3"/>
      <c r="O786" s="3"/>
      <c r="P786" s="8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3"/>
      <c r="B787" s="4"/>
      <c r="C787" s="4"/>
      <c r="D787" s="3"/>
      <c r="E787" s="3"/>
      <c r="F787" s="3"/>
      <c r="G787" s="6"/>
      <c r="H787" s="3"/>
      <c r="I787" s="3"/>
      <c r="J787" s="7"/>
      <c r="K787" s="3"/>
      <c r="L787" s="3"/>
      <c r="M787" s="3"/>
      <c r="N787" s="3"/>
      <c r="O787" s="3"/>
      <c r="P787" s="8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3"/>
      <c r="B788" s="4"/>
      <c r="C788" s="4"/>
      <c r="D788" s="3"/>
      <c r="E788" s="3"/>
      <c r="F788" s="3"/>
      <c r="G788" s="6"/>
      <c r="H788" s="3"/>
      <c r="I788" s="3"/>
      <c r="J788" s="7"/>
      <c r="K788" s="3"/>
      <c r="L788" s="3"/>
      <c r="M788" s="3"/>
      <c r="N788" s="3"/>
      <c r="O788" s="3"/>
      <c r="P788" s="8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3"/>
      <c r="B789" s="4"/>
      <c r="C789" s="4"/>
      <c r="D789" s="3"/>
      <c r="E789" s="3"/>
      <c r="F789" s="3"/>
      <c r="G789" s="6"/>
      <c r="H789" s="3"/>
      <c r="I789" s="3"/>
      <c r="J789" s="7"/>
      <c r="K789" s="3"/>
      <c r="L789" s="3"/>
      <c r="M789" s="3"/>
      <c r="N789" s="3"/>
      <c r="O789" s="3"/>
      <c r="P789" s="8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3"/>
      <c r="B790" s="4"/>
      <c r="C790" s="4"/>
      <c r="D790" s="3"/>
      <c r="E790" s="3"/>
      <c r="F790" s="3"/>
      <c r="G790" s="6"/>
      <c r="H790" s="3"/>
      <c r="I790" s="3"/>
      <c r="J790" s="7"/>
      <c r="K790" s="3"/>
      <c r="L790" s="3"/>
      <c r="M790" s="3"/>
      <c r="N790" s="3"/>
      <c r="O790" s="3"/>
      <c r="P790" s="8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3"/>
      <c r="B791" s="4"/>
      <c r="C791" s="4"/>
      <c r="D791" s="3"/>
      <c r="E791" s="3"/>
      <c r="F791" s="3"/>
      <c r="G791" s="6"/>
      <c r="H791" s="3"/>
      <c r="I791" s="3"/>
      <c r="J791" s="7"/>
      <c r="K791" s="3"/>
      <c r="L791" s="3"/>
      <c r="M791" s="3"/>
      <c r="N791" s="3"/>
      <c r="O791" s="3"/>
      <c r="P791" s="8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3"/>
      <c r="B792" s="4"/>
      <c r="C792" s="4"/>
      <c r="D792" s="3"/>
      <c r="E792" s="3"/>
      <c r="F792" s="3"/>
      <c r="G792" s="6"/>
      <c r="H792" s="3"/>
      <c r="I792" s="3"/>
      <c r="J792" s="7"/>
      <c r="K792" s="3"/>
      <c r="L792" s="3"/>
      <c r="M792" s="3"/>
      <c r="N792" s="3"/>
      <c r="O792" s="3"/>
      <c r="P792" s="8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3"/>
      <c r="B793" s="4"/>
      <c r="C793" s="4"/>
      <c r="D793" s="3"/>
      <c r="E793" s="3"/>
      <c r="F793" s="3"/>
      <c r="G793" s="6"/>
      <c r="H793" s="3"/>
      <c r="I793" s="3"/>
      <c r="J793" s="7"/>
      <c r="K793" s="3"/>
      <c r="L793" s="3"/>
      <c r="M793" s="3"/>
      <c r="N793" s="3"/>
      <c r="O793" s="3"/>
      <c r="P793" s="8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3"/>
      <c r="B794" s="4"/>
      <c r="C794" s="4"/>
      <c r="D794" s="3"/>
      <c r="E794" s="3"/>
      <c r="F794" s="3"/>
      <c r="G794" s="6"/>
      <c r="H794" s="3"/>
      <c r="I794" s="3"/>
      <c r="J794" s="7"/>
      <c r="K794" s="3"/>
      <c r="L794" s="3"/>
      <c r="M794" s="3"/>
      <c r="N794" s="3"/>
      <c r="O794" s="3"/>
      <c r="P794" s="8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3"/>
      <c r="B795" s="4"/>
      <c r="C795" s="4"/>
      <c r="D795" s="3"/>
      <c r="E795" s="3"/>
      <c r="F795" s="3"/>
      <c r="G795" s="6"/>
      <c r="H795" s="3"/>
      <c r="I795" s="3"/>
      <c r="J795" s="7"/>
      <c r="K795" s="3"/>
      <c r="L795" s="3"/>
      <c r="M795" s="3"/>
      <c r="N795" s="3"/>
      <c r="O795" s="3"/>
      <c r="P795" s="8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3"/>
      <c r="B796" s="4"/>
      <c r="C796" s="4"/>
      <c r="D796" s="3"/>
      <c r="E796" s="3"/>
      <c r="F796" s="3"/>
      <c r="G796" s="6"/>
      <c r="H796" s="3"/>
      <c r="I796" s="3"/>
      <c r="J796" s="7"/>
      <c r="K796" s="3"/>
      <c r="L796" s="3"/>
      <c r="M796" s="3"/>
      <c r="N796" s="3"/>
      <c r="O796" s="3"/>
      <c r="P796" s="8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3"/>
      <c r="B797" s="4"/>
      <c r="C797" s="4"/>
      <c r="D797" s="3"/>
      <c r="E797" s="3"/>
      <c r="F797" s="3"/>
      <c r="G797" s="6"/>
      <c r="H797" s="3"/>
      <c r="I797" s="3"/>
      <c r="J797" s="7"/>
      <c r="K797" s="3"/>
      <c r="L797" s="3"/>
      <c r="M797" s="3"/>
      <c r="N797" s="3"/>
      <c r="O797" s="3"/>
      <c r="P797" s="8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3"/>
      <c r="B798" s="4"/>
      <c r="C798" s="4"/>
      <c r="D798" s="3"/>
      <c r="E798" s="3"/>
      <c r="F798" s="3"/>
      <c r="G798" s="6"/>
      <c r="H798" s="3"/>
      <c r="I798" s="3"/>
      <c r="J798" s="7"/>
      <c r="K798" s="3"/>
      <c r="L798" s="3"/>
      <c r="M798" s="3"/>
      <c r="N798" s="3"/>
      <c r="O798" s="3"/>
      <c r="P798" s="8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3"/>
      <c r="B799" s="4"/>
      <c r="C799" s="4"/>
      <c r="D799" s="3"/>
      <c r="E799" s="3"/>
      <c r="F799" s="3"/>
      <c r="G799" s="6"/>
      <c r="H799" s="3"/>
      <c r="I799" s="3"/>
      <c r="J799" s="7"/>
      <c r="K799" s="3"/>
      <c r="L799" s="3"/>
      <c r="M799" s="3"/>
      <c r="N799" s="3"/>
      <c r="O799" s="3"/>
      <c r="P799" s="8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3"/>
      <c r="B800" s="4"/>
      <c r="C800" s="4"/>
      <c r="D800" s="3"/>
      <c r="E800" s="3"/>
      <c r="F800" s="3"/>
      <c r="G800" s="6"/>
      <c r="H800" s="3"/>
      <c r="I800" s="3"/>
      <c r="J800" s="7"/>
      <c r="K800" s="3"/>
      <c r="L800" s="3"/>
      <c r="M800" s="3"/>
      <c r="N800" s="3"/>
      <c r="O800" s="3"/>
      <c r="P800" s="8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3"/>
      <c r="B801" s="4"/>
      <c r="C801" s="4"/>
      <c r="D801" s="3"/>
      <c r="E801" s="3"/>
      <c r="F801" s="3"/>
      <c r="G801" s="6"/>
      <c r="H801" s="3"/>
      <c r="I801" s="3"/>
      <c r="J801" s="7"/>
      <c r="K801" s="3"/>
      <c r="L801" s="3"/>
      <c r="M801" s="3"/>
      <c r="N801" s="3"/>
      <c r="O801" s="3"/>
      <c r="P801" s="8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3"/>
      <c r="B802" s="4"/>
      <c r="C802" s="4"/>
      <c r="D802" s="3"/>
      <c r="E802" s="3"/>
      <c r="F802" s="3"/>
      <c r="G802" s="6"/>
      <c r="H802" s="3"/>
      <c r="I802" s="3"/>
      <c r="J802" s="7"/>
      <c r="K802" s="3"/>
      <c r="L802" s="3"/>
      <c r="M802" s="3"/>
      <c r="N802" s="3"/>
      <c r="O802" s="3"/>
      <c r="P802" s="8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3"/>
      <c r="B803" s="4"/>
      <c r="C803" s="4"/>
      <c r="D803" s="3"/>
      <c r="E803" s="3"/>
      <c r="F803" s="3"/>
      <c r="G803" s="6"/>
      <c r="H803" s="3"/>
      <c r="I803" s="3"/>
      <c r="J803" s="7"/>
      <c r="K803" s="3"/>
      <c r="L803" s="3"/>
      <c r="M803" s="3"/>
      <c r="N803" s="3"/>
      <c r="O803" s="3"/>
      <c r="P803" s="8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3"/>
      <c r="B804" s="4"/>
      <c r="C804" s="4"/>
      <c r="D804" s="3"/>
      <c r="E804" s="3"/>
      <c r="F804" s="3"/>
      <c r="G804" s="6"/>
      <c r="H804" s="3"/>
      <c r="I804" s="3"/>
      <c r="J804" s="7"/>
      <c r="K804" s="3"/>
      <c r="L804" s="3"/>
      <c r="M804" s="3"/>
      <c r="N804" s="3"/>
      <c r="O804" s="3"/>
      <c r="P804" s="8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3"/>
      <c r="B805" s="4"/>
      <c r="C805" s="4"/>
      <c r="D805" s="3"/>
      <c r="E805" s="3"/>
      <c r="F805" s="3"/>
      <c r="G805" s="6"/>
      <c r="H805" s="3"/>
      <c r="I805" s="3"/>
      <c r="J805" s="7"/>
      <c r="K805" s="3"/>
      <c r="L805" s="3"/>
      <c r="M805" s="3"/>
      <c r="N805" s="3"/>
      <c r="O805" s="3"/>
      <c r="P805" s="8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3"/>
      <c r="B806" s="4"/>
      <c r="C806" s="4"/>
      <c r="D806" s="3"/>
      <c r="E806" s="3"/>
      <c r="F806" s="3"/>
      <c r="G806" s="6"/>
      <c r="H806" s="3"/>
      <c r="I806" s="3"/>
      <c r="J806" s="7"/>
      <c r="K806" s="3"/>
      <c r="L806" s="3"/>
      <c r="M806" s="3"/>
      <c r="N806" s="3"/>
      <c r="O806" s="3"/>
      <c r="P806" s="8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3"/>
      <c r="B807" s="4"/>
      <c r="C807" s="4"/>
      <c r="D807" s="3"/>
      <c r="E807" s="3"/>
      <c r="F807" s="3"/>
      <c r="G807" s="6"/>
      <c r="H807" s="3"/>
      <c r="I807" s="3"/>
      <c r="J807" s="7"/>
      <c r="K807" s="3"/>
      <c r="L807" s="3"/>
      <c r="M807" s="3"/>
      <c r="N807" s="3"/>
      <c r="O807" s="3"/>
      <c r="P807" s="8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3"/>
      <c r="B808" s="4"/>
      <c r="C808" s="4"/>
      <c r="D808" s="3"/>
      <c r="E808" s="3"/>
      <c r="F808" s="3"/>
      <c r="G808" s="6"/>
      <c r="H808" s="3"/>
      <c r="I808" s="3"/>
      <c r="J808" s="7"/>
      <c r="K808" s="3"/>
      <c r="L808" s="3"/>
      <c r="M808" s="3"/>
      <c r="N808" s="3"/>
      <c r="O808" s="3"/>
      <c r="P808" s="8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3"/>
      <c r="B809" s="4"/>
      <c r="C809" s="4"/>
      <c r="D809" s="3"/>
      <c r="E809" s="3"/>
      <c r="F809" s="3"/>
      <c r="G809" s="6"/>
      <c r="H809" s="3"/>
      <c r="I809" s="3"/>
      <c r="J809" s="7"/>
      <c r="K809" s="3"/>
      <c r="L809" s="3"/>
      <c r="M809" s="3"/>
      <c r="N809" s="3"/>
      <c r="O809" s="3"/>
      <c r="P809" s="8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3"/>
      <c r="B810" s="4"/>
      <c r="C810" s="4"/>
      <c r="D810" s="3"/>
      <c r="E810" s="3"/>
      <c r="F810" s="3"/>
      <c r="G810" s="6"/>
      <c r="H810" s="3"/>
      <c r="I810" s="3"/>
      <c r="J810" s="7"/>
      <c r="K810" s="3"/>
      <c r="L810" s="3"/>
      <c r="M810" s="3"/>
      <c r="N810" s="3"/>
      <c r="O810" s="3"/>
      <c r="P810" s="8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3"/>
      <c r="B811" s="4"/>
      <c r="C811" s="4"/>
      <c r="D811" s="3"/>
      <c r="E811" s="3"/>
      <c r="F811" s="3"/>
      <c r="G811" s="6"/>
      <c r="H811" s="3"/>
      <c r="I811" s="3"/>
      <c r="J811" s="7"/>
      <c r="K811" s="3"/>
      <c r="L811" s="3"/>
      <c r="M811" s="3"/>
      <c r="N811" s="3"/>
      <c r="O811" s="3"/>
      <c r="P811" s="8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3"/>
      <c r="B812" s="4"/>
      <c r="C812" s="4"/>
      <c r="D812" s="3"/>
      <c r="E812" s="3"/>
      <c r="F812" s="3"/>
      <c r="G812" s="6"/>
      <c r="H812" s="3"/>
      <c r="I812" s="3"/>
      <c r="J812" s="7"/>
      <c r="K812" s="3"/>
      <c r="L812" s="3"/>
      <c r="M812" s="3"/>
      <c r="N812" s="3"/>
      <c r="O812" s="3"/>
      <c r="P812" s="8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3"/>
      <c r="B813" s="4"/>
      <c r="C813" s="4"/>
      <c r="D813" s="3"/>
      <c r="E813" s="3"/>
      <c r="F813" s="3"/>
      <c r="G813" s="6"/>
      <c r="H813" s="3"/>
      <c r="I813" s="3"/>
      <c r="J813" s="7"/>
      <c r="K813" s="3"/>
      <c r="L813" s="3"/>
      <c r="M813" s="3"/>
      <c r="N813" s="3"/>
      <c r="O813" s="3"/>
      <c r="P813" s="8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3"/>
      <c r="B814" s="4"/>
      <c r="C814" s="4"/>
      <c r="D814" s="3"/>
      <c r="E814" s="3"/>
      <c r="F814" s="3"/>
      <c r="G814" s="6"/>
      <c r="H814" s="3"/>
      <c r="I814" s="3"/>
      <c r="J814" s="7"/>
      <c r="K814" s="3"/>
      <c r="L814" s="3"/>
      <c r="M814" s="3"/>
      <c r="N814" s="3"/>
      <c r="O814" s="3"/>
      <c r="P814" s="8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3"/>
      <c r="B815" s="4"/>
      <c r="C815" s="4"/>
      <c r="D815" s="3"/>
      <c r="E815" s="3"/>
      <c r="F815" s="3"/>
      <c r="G815" s="6"/>
      <c r="H815" s="3"/>
      <c r="I815" s="3"/>
      <c r="J815" s="7"/>
      <c r="K815" s="3"/>
      <c r="L815" s="3"/>
      <c r="M815" s="3"/>
      <c r="N815" s="3"/>
      <c r="O815" s="3"/>
      <c r="P815" s="8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3"/>
      <c r="B816" s="4"/>
      <c r="C816" s="4"/>
      <c r="D816" s="3"/>
      <c r="E816" s="3"/>
      <c r="F816" s="3"/>
      <c r="G816" s="6"/>
      <c r="H816" s="3"/>
      <c r="I816" s="3"/>
      <c r="J816" s="7"/>
      <c r="K816" s="3"/>
      <c r="L816" s="3"/>
      <c r="M816" s="3"/>
      <c r="N816" s="3"/>
      <c r="O816" s="3"/>
      <c r="P816" s="8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3"/>
      <c r="B817" s="4"/>
      <c r="C817" s="4"/>
      <c r="D817" s="3"/>
      <c r="E817" s="3"/>
      <c r="F817" s="3"/>
      <c r="G817" s="6"/>
      <c r="H817" s="3"/>
      <c r="I817" s="3"/>
      <c r="J817" s="7"/>
      <c r="K817" s="3"/>
      <c r="L817" s="3"/>
      <c r="M817" s="3"/>
      <c r="N817" s="3"/>
      <c r="O817" s="3"/>
      <c r="P817" s="8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3"/>
      <c r="B818" s="4"/>
      <c r="C818" s="4"/>
      <c r="D818" s="3"/>
      <c r="E818" s="3"/>
      <c r="F818" s="3"/>
      <c r="G818" s="6"/>
      <c r="H818" s="3"/>
      <c r="I818" s="3"/>
      <c r="J818" s="7"/>
      <c r="K818" s="3"/>
      <c r="L818" s="3"/>
      <c r="M818" s="3"/>
      <c r="N818" s="3"/>
      <c r="O818" s="3"/>
      <c r="P818" s="8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3"/>
      <c r="B819" s="4"/>
      <c r="C819" s="4"/>
      <c r="D819" s="3"/>
      <c r="E819" s="3"/>
      <c r="F819" s="3"/>
      <c r="G819" s="6"/>
      <c r="H819" s="3"/>
      <c r="I819" s="3"/>
      <c r="J819" s="7"/>
      <c r="K819" s="3"/>
      <c r="L819" s="3"/>
      <c r="M819" s="3"/>
      <c r="N819" s="3"/>
      <c r="O819" s="3"/>
      <c r="P819" s="8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3"/>
      <c r="B820" s="4"/>
      <c r="C820" s="4"/>
      <c r="D820" s="3"/>
      <c r="E820" s="3"/>
      <c r="F820" s="3"/>
      <c r="G820" s="6"/>
      <c r="H820" s="3"/>
      <c r="I820" s="3"/>
      <c r="J820" s="7"/>
      <c r="K820" s="3"/>
      <c r="L820" s="3"/>
      <c r="M820" s="3"/>
      <c r="N820" s="3"/>
      <c r="O820" s="3"/>
      <c r="P820" s="8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3"/>
      <c r="B821" s="4"/>
      <c r="C821" s="4"/>
      <c r="D821" s="3"/>
      <c r="E821" s="3"/>
      <c r="F821" s="3"/>
      <c r="G821" s="6"/>
      <c r="H821" s="3"/>
      <c r="I821" s="3"/>
      <c r="J821" s="7"/>
      <c r="K821" s="3"/>
      <c r="L821" s="3"/>
      <c r="M821" s="3"/>
      <c r="N821" s="3"/>
      <c r="O821" s="3"/>
      <c r="P821" s="8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3"/>
      <c r="B822" s="4"/>
      <c r="C822" s="4"/>
      <c r="D822" s="3"/>
      <c r="E822" s="3"/>
      <c r="F822" s="3"/>
      <c r="G822" s="6"/>
      <c r="H822" s="3"/>
      <c r="I822" s="3"/>
      <c r="J822" s="7"/>
      <c r="K822" s="3"/>
      <c r="L822" s="3"/>
      <c r="M822" s="3"/>
      <c r="N822" s="3"/>
      <c r="O822" s="3"/>
      <c r="P822" s="8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3"/>
      <c r="B823" s="4"/>
      <c r="C823" s="4"/>
      <c r="D823" s="3"/>
      <c r="E823" s="3"/>
      <c r="F823" s="3"/>
      <c r="G823" s="6"/>
      <c r="H823" s="3"/>
      <c r="I823" s="3"/>
      <c r="J823" s="7"/>
      <c r="K823" s="3"/>
      <c r="L823" s="3"/>
      <c r="M823" s="3"/>
      <c r="N823" s="3"/>
      <c r="O823" s="3"/>
      <c r="P823" s="8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3"/>
      <c r="B824" s="4"/>
      <c r="C824" s="4"/>
      <c r="D824" s="3"/>
      <c r="E824" s="3"/>
      <c r="F824" s="3"/>
      <c r="G824" s="6"/>
      <c r="H824" s="3"/>
      <c r="I824" s="3"/>
      <c r="J824" s="7"/>
      <c r="K824" s="3"/>
      <c r="L824" s="3"/>
      <c r="M824" s="3"/>
      <c r="N824" s="3"/>
      <c r="O824" s="3"/>
      <c r="P824" s="8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3"/>
      <c r="B825" s="4"/>
      <c r="C825" s="4"/>
      <c r="D825" s="3"/>
      <c r="E825" s="3"/>
      <c r="F825" s="3"/>
      <c r="G825" s="6"/>
      <c r="H825" s="3"/>
      <c r="I825" s="3"/>
      <c r="J825" s="7"/>
      <c r="K825" s="3"/>
      <c r="L825" s="3"/>
      <c r="M825" s="3"/>
      <c r="N825" s="3"/>
      <c r="O825" s="3"/>
      <c r="P825" s="8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3"/>
      <c r="B826" s="4"/>
      <c r="C826" s="4"/>
      <c r="D826" s="3"/>
      <c r="E826" s="3"/>
      <c r="F826" s="3"/>
      <c r="G826" s="6"/>
      <c r="H826" s="3"/>
      <c r="I826" s="3"/>
      <c r="J826" s="7"/>
      <c r="K826" s="3"/>
      <c r="L826" s="3"/>
      <c r="M826" s="3"/>
      <c r="N826" s="3"/>
      <c r="O826" s="3"/>
      <c r="P826" s="8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3"/>
      <c r="B827" s="4"/>
      <c r="C827" s="4"/>
      <c r="D827" s="3"/>
      <c r="E827" s="3"/>
      <c r="F827" s="3"/>
      <c r="G827" s="6"/>
      <c r="H827" s="3"/>
      <c r="I827" s="3"/>
      <c r="J827" s="7"/>
      <c r="K827" s="3"/>
      <c r="L827" s="3"/>
      <c r="M827" s="3"/>
      <c r="N827" s="3"/>
      <c r="O827" s="3"/>
      <c r="P827" s="8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3"/>
      <c r="B828" s="4"/>
      <c r="C828" s="4"/>
      <c r="D828" s="3"/>
      <c r="E828" s="3"/>
      <c r="F828" s="3"/>
      <c r="G828" s="6"/>
      <c r="H828" s="3"/>
      <c r="I828" s="3"/>
      <c r="J828" s="7"/>
      <c r="K828" s="3"/>
      <c r="L828" s="3"/>
      <c r="M828" s="3"/>
      <c r="N828" s="3"/>
      <c r="O828" s="3"/>
      <c r="P828" s="8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3"/>
      <c r="B829" s="4"/>
      <c r="C829" s="4"/>
      <c r="D829" s="3"/>
      <c r="E829" s="3"/>
      <c r="F829" s="3"/>
      <c r="G829" s="6"/>
      <c r="H829" s="3"/>
      <c r="I829" s="3"/>
      <c r="J829" s="7"/>
      <c r="K829" s="3"/>
      <c r="L829" s="3"/>
      <c r="M829" s="3"/>
      <c r="N829" s="3"/>
      <c r="O829" s="3"/>
      <c r="P829" s="8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3"/>
      <c r="B830" s="4"/>
      <c r="C830" s="4"/>
      <c r="D830" s="3"/>
      <c r="E830" s="3"/>
      <c r="F830" s="3"/>
      <c r="G830" s="6"/>
      <c r="H830" s="3"/>
      <c r="I830" s="3"/>
      <c r="J830" s="7"/>
      <c r="K830" s="3"/>
      <c r="L830" s="3"/>
      <c r="M830" s="3"/>
      <c r="N830" s="3"/>
      <c r="O830" s="3"/>
      <c r="P830" s="8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3"/>
      <c r="B831" s="4"/>
      <c r="C831" s="4"/>
      <c r="D831" s="3"/>
      <c r="E831" s="3"/>
      <c r="F831" s="3"/>
      <c r="G831" s="6"/>
      <c r="H831" s="3"/>
      <c r="I831" s="3"/>
      <c r="J831" s="7"/>
      <c r="K831" s="3"/>
      <c r="L831" s="3"/>
      <c r="M831" s="3"/>
      <c r="N831" s="3"/>
      <c r="O831" s="3"/>
      <c r="P831" s="8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3"/>
      <c r="B832" s="4"/>
      <c r="C832" s="4"/>
      <c r="D832" s="3"/>
      <c r="E832" s="3"/>
      <c r="F832" s="3"/>
      <c r="G832" s="6"/>
      <c r="H832" s="3"/>
      <c r="I832" s="3"/>
      <c r="J832" s="7"/>
      <c r="K832" s="3"/>
      <c r="L832" s="3"/>
      <c r="M832" s="3"/>
      <c r="N832" s="3"/>
      <c r="O832" s="3"/>
      <c r="P832" s="8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3"/>
      <c r="B833" s="4"/>
      <c r="C833" s="4"/>
      <c r="D833" s="3"/>
      <c r="E833" s="3"/>
      <c r="F833" s="3"/>
      <c r="G833" s="6"/>
      <c r="H833" s="3"/>
      <c r="I833" s="3"/>
      <c r="J833" s="7"/>
      <c r="K833" s="3"/>
      <c r="L833" s="3"/>
      <c r="M833" s="3"/>
      <c r="N833" s="3"/>
      <c r="O833" s="3"/>
      <c r="P833" s="8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3"/>
      <c r="B834" s="4"/>
      <c r="C834" s="4"/>
      <c r="D834" s="3"/>
      <c r="E834" s="3"/>
      <c r="F834" s="3"/>
      <c r="G834" s="6"/>
      <c r="H834" s="3"/>
      <c r="I834" s="3"/>
      <c r="J834" s="7"/>
      <c r="K834" s="3"/>
      <c r="L834" s="3"/>
      <c r="M834" s="3"/>
      <c r="N834" s="3"/>
      <c r="O834" s="3"/>
      <c r="P834" s="8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3"/>
      <c r="B835" s="4"/>
      <c r="C835" s="4"/>
      <c r="D835" s="3"/>
      <c r="E835" s="3"/>
      <c r="F835" s="3"/>
      <c r="G835" s="6"/>
      <c r="H835" s="3"/>
      <c r="I835" s="3"/>
      <c r="J835" s="7"/>
      <c r="K835" s="3"/>
      <c r="L835" s="3"/>
      <c r="M835" s="3"/>
      <c r="N835" s="3"/>
      <c r="O835" s="3"/>
      <c r="P835" s="8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3"/>
      <c r="B836" s="4"/>
      <c r="C836" s="4"/>
      <c r="D836" s="3"/>
      <c r="E836" s="3"/>
      <c r="F836" s="3"/>
      <c r="G836" s="6"/>
      <c r="H836" s="3"/>
      <c r="I836" s="3"/>
      <c r="J836" s="7"/>
      <c r="K836" s="3"/>
      <c r="L836" s="3"/>
      <c r="M836" s="3"/>
      <c r="N836" s="3"/>
      <c r="O836" s="3"/>
      <c r="P836" s="8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3"/>
      <c r="B837" s="4"/>
      <c r="C837" s="4"/>
      <c r="D837" s="3"/>
      <c r="E837" s="3"/>
      <c r="F837" s="3"/>
      <c r="G837" s="6"/>
      <c r="H837" s="3"/>
      <c r="I837" s="3"/>
      <c r="J837" s="7"/>
      <c r="K837" s="3"/>
      <c r="L837" s="3"/>
      <c r="M837" s="3"/>
      <c r="N837" s="3"/>
      <c r="O837" s="3"/>
      <c r="P837" s="8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3"/>
      <c r="B838" s="4"/>
      <c r="C838" s="4"/>
      <c r="D838" s="3"/>
      <c r="E838" s="3"/>
      <c r="F838" s="3"/>
      <c r="G838" s="6"/>
      <c r="H838" s="3"/>
      <c r="I838" s="3"/>
      <c r="J838" s="7"/>
      <c r="K838" s="3"/>
      <c r="L838" s="3"/>
      <c r="M838" s="3"/>
      <c r="N838" s="3"/>
      <c r="O838" s="3"/>
      <c r="P838" s="8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3"/>
      <c r="B839" s="4"/>
      <c r="C839" s="4"/>
      <c r="D839" s="3"/>
      <c r="E839" s="3"/>
      <c r="F839" s="3"/>
      <c r="G839" s="6"/>
      <c r="H839" s="3"/>
      <c r="I839" s="3"/>
      <c r="J839" s="7"/>
      <c r="K839" s="3"/>
      <c r="L839" s="3"/>
      <c r="M839" s="3"/>
      <c r="N839" s="3"/>
      <c r="O839" s="3"/>
      <c r="P839" s="8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3"/>
      <c r="B840" s="4"/>
      <c r="C840" s="4"/>
      <c r="D840" s="3"/>
      <c r="E840" s="3"/>
      <c r="F840" s="3"/>
      <c r="G840" s="6"/>
      <c r="H840" s="3"/>
      <c r="I840" s="3"/>
      <c r="J840" s="7"/>
      <c r="K840" s="3"/>
      <c r="L840" s="3"/>
      <c r="M840" s="3"/>
      <c r="N840" s="3"/>
      <c r="O840" s="3"/>
      <c r="P840" s="8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3"/>
      <c r="B841" s="4"/>
      <c r="C841" s="4"/>
      <c r="D841" s="3"/>
      <c r="E841" s="3"/>
      <c r="F841" s="3"/>
      <c r="G841" s="6"/>
      <c r="H841" s="3"/>
      <c r="I841" s="3"/>
      <c r="J841" s="7"/>
      <c r="K841" s="3"/>
      <c r="L841" s="3"/>
      <c r="M841" s="3"/>
      <c r="N841" s="3"/>
      <c r="O841" s="3"/>
      <c r="P841" s="8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3"/>
      <c r="B842" s="4"/>
      <c r="C842" s="4"/>
      <c r="D842" s="3"/>
      <c r="E842" s="3"/>
      <c r="F842" s="3"/>
      <c r="G842" s="6"/>
      <c r="H842" s="3"/>
      <c r="I842" s="3"/>
      <c r="J842" s="7"/>
      <c r="K842" s="3"/>
      <c r="L842" s="3"/>
      <c r="M842" s="3"/>
      <c r="N842" s="3"/>
      <c r="O842" s="3"/>
      <c r="P842" s="8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3"/>
      <c r="B843" s="4"/>
      <c r="C843" s="4"/>
      <c r="D843" s="3"/>
      <c r="E843" s="3"/>
      <c r="F843" s="3"/>
      <c r="G843" s="6"/>
      <c r="H843" s="3"/>
      <c r="I843" s="3"/>
      <c r="J843" s="7"/>
      <c r="K843" s="3"/>
      <c r="L843" s="3"/>
      <c r="M843" s="3"/>
      <c r="N843" s="3"/>
      <c r="O843" s="3"/>
      <c r="P843" s="8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3"/>
      <c r="B844" s="4"/>
      <c r="C844" s="4"/>
      <c r="D844" s="3"/>
      <c r="E844" s="3"/>
      <c r="F844" s="3"/>
      <c r="G844" s="6"/>
      <c r="H844" s="3"/>
      <c r="I844" s="3"/>
      <c r="J844" s="7"/>
      <c r="K844" s="3"/>
      <c r="L844" s="3"/>
      <c r="M844" s="3"/>
      <c r="N844" s="3"/>
      <c r="O844" s="3"/>
      <c r="P844" s="8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3"/>
      <c r="B845" s="4"/>
      <c r="C845" s="4"/>
      <c r="D845" s="3"/>
      <c r="E845" s="3"/>
      <c r="F845" s="3"/>
      <c r="G845" s="6"/>
      <c r="H845" s="3"/>
      <c r="I845" s="3"/>
      <c r="J845" s="7"/>
      <c r="K845" s="3"/>
      <c r="L845" s="3"/>
      <c r="M845" s="3"/>
      <c r="N845" s="3"/>
      <c r="O845" s="3"/>
      <c r="P845" s="8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3"/>
      <c r="B846" s="4"/>
      <c r="C846" s="4"/>
      <c r="D846" s="3"/>
      <c r="E846" s="3"/>
      <c r="F846" s="3"/>
      <c r="G846" s="6"/>
      <c r="H846" s="3"/>
      <c r="I846" s="3"/>
      <c r="J846" s="7"/>
      <c r="K846" s="3"/>
      <c r="L846" s="3"/>
      <c r="M846" s="3"/>
      <c r="N846" s="3"/>
      <c r="O846" s="3"/>
      <c r="P846" s="8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3"/>
      <c r="B847" s="4"/>
      <c r="C847" s="4"/>
      <c r="D847" s="3"/>
      <c r="E847" s="3"/>
      <c r="F847" s="3"/>
      <c r="G847" s="6"/>
      <c r="H847" s="3"/>
      <c r="I847" s="3"/>
      <c r="J847" s="7"/>
      <c r="K847" s="3"/>
      <c r="L847" s="3"/>
      <c r="M847" s="3"/>
      <c r="N847" s="3"/>
      <c r="O847" s="3"/>
      <c r="P847" s="8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3"/>
      <c r="B848" s="4"/>
      <c r="C848" s="4"/>
      <c r="D848" s="3"/>
      <c r="E848" s="3"/>
      <c r="F848" s="3"/>
      <c r="G848" s="6"/>
      <c r="H848" s="3"/>
      <c r="I848" s="3"/>
      <c r="J848" s="7"/>
      <c r="K848" s="3"/>
      <c r="L848" s="3"/>
      <c r="M848" s="3"/>
      <c r="N848" s="3"/>
      <c r="O848" s="3"/>
      <c r="P848" s="8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3"/>
      <c r="B849" s="4"/>
      <c r="C849" s="4"/>
      <c r="D849" s="3"/>
      <c r="E849" s="3"/>
      <c r="F849" s="3"/>
      <c r="G849" s="6"/>
      <c r="H849" s="3"/>
      <c r="I849" s="3"/>
      <c r="J849" s="7"/>
      <c r="K849" s="3"/>
      <c r="L849" s="3"/>
      <c r="M849" s="3"/>
      <c r="N849" s="3"/>
      <c r="O849" s="3"/>
      <c r="P849" s="8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3"/>
      <c r="B850" s="4"/>
      <c r="C850" s="4"/>
      <c r="D850" s="3"/>
      <c r="E850" s="3"/>
      <c r="F850" s="3"/>
      <c r="G850" s="6"/>
      <c r="H850" s="3"/>
      <c r="I850" s="3"/>
      <c r="J850" s="7"/>
      <c r="K850" s="3"/>
      <c r="L850" s="3"/>
      <c r="M850" s="3"/>
      <c r="N850" s="3"/>
      <c r="O850" s="3"/>
      <c r="P850" s="8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3"/>
      <c r="B851" s="4"/>
      <c r="C851" s="4"/>
      <c r="D851" s="3"/>
      <c r="E851" s="3"/>
      <c r="F851" s="3"/>
      <c r="G851" s="6"/>
      <c r="H851" s="3"/>
      <c r="I851" s="3"/>
      <c r="J851" s="7"/>
      <c r="K851" s="3"/>
      <c r="L851" s="3"/>
      <c r="M851" s="3"/>
      <c r="N851" s="3"/>
      <c r="O851" s="3"/>
      <c r="P851" s="8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3"/>
      <c r="B852" s="4"/>
      <c r="C852" s="4"/>
      <c r="D852" s="3"/>
      <c r="E852" s="3"/>
      <c r="F852" s="3"/>
      <c r="G852" s="6"/>
      <c r="H852" s="3"/>
      <c r="I852" s="3"/>
      <c r="J852" s="7"/>
      <c r="K852" s="3"/>
      <c r="L852" s="3"/>
      <c r="M852" s="3"/>
      <c r="N852" s="3"/>
      <c r="O852" s="3"/>
      <c r="P852" s="8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3"/>
      <c r="B853" s="4"/>
      <c r="C853" s="4"/>
      <c r="D853" s="3"/>
      <c r="E853" s="3"/>
      <c r="F853" s="3"/>
      <c r="G853" s="6"/>
      <c r="H853" s="3"/>
      <c r="I853" s="3"/>
      <c r="J853" s="7"/>
      <c r="K853" s="3"/>
      <c r="L853" s="3"/>
      <c r="M853" s="3"/>
      <c r="N853" s="3"/>
      <c r="O853" s="3"/>
      <c r="P853" s="8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3"/>
      <c r="B854" s="4"/>
      <c r="C854" s="4"/>
      <c r="D854" s="3"/>
      <c r="E854" s="3"/>
      <c r="F854" s="3"/>
      <c r="G854" s="6"/>
      <c r="H854" s="3"/>
      <c r="I854" s="3"/>
      <c r="J854" s="7"/>
      <c r="K854" s="3"/>
      <c r="L854" s="3"/>
      <c r="M854" s="3"/>
      <c r="N854" s="3"/>
      <c r="O854" s="3"/>
      <c r="P854" s="8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3"/>
      <c r="B855" s="4"/>
      <c r="C855" s="4"/>
      <c r="D855" s="3"/>
      <c r="E855" s="3"/>
      <c r="F855" s="3"/>
      <c r="G855" s="6"/>
      <c r="H855" s="3"/>
      <c r="I855" s="3"/>
      <c r="J855" s="7"/>
      <c r="K855" s="3"/>
      <c r="L855" s="3"/>
      <c r="M855" s="3"/>
      <c r="N855" s="3"/>
      <c r="O855" s="3"/>
      <c r="P855" s="8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3"/>
      <c r="B856" s="4"/>
      <c r="C856" s="4"/>
      <c r="D856" s="3"/>
      <c r="E856" s="3"/>
      <c r="F856" s="3"/>
      <c r="G856" s="6"/>
      <c r="H856" s="3"/>
      <c r="I856" s="3"/>
      <c r="J856" s="7"/>
      <c r="K856" s="3"/>
      <c r="L856" s="3"/>
      <c r="M856" s="3"/>
      <c r="N856" s="3"/>
      <c r="O856" s="3"/>
      <c r="P856" s="8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3"/>
      <c r="B857" s="4"/>
      <c r="C857" s="4"/>
      <c r="D857" s="3"/>
      <c r="E857" s="3"/>
      <c r="F857" s="3"/>
      <c r="G857" s="6"/>
      <c r="H857" s="3"/>
      <c r="I857" s="3"/>
      <c r="J857" s="7"/>
      <c r="K857" s="3"/>
      <c r="L857" s="3"/>
      <c r="M857" s="3"/>
      <c r="N857" s="3"/>
      <c r="O857" s="3"/>
      <c r="P857" s="8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3"/>
      <c r="B858" s="4"/>
      <c r="C858" s="4"/>
      <c r="D858" s="3"/>
      <c r="E858" s="3"/>
      <c r="F858" s="3"/>
      <c r="G858" s="6"/>
      <c r="H858" s="3"/>
      <c r="I858" s="3"/>
      <c r="J858" s="7"/>
      <c r="K858" s="3"/>
      <c r="L858" s="3"/>
      <c r="M858" s="3"/>
      <c r="N858" s="3"/>
      <c r="O858" s="3"/>
      <c r="P858" s="8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3"/>
      <c r="B859" s="4"/>
      <c r="C859" s="4"/>
      <c r="D859" s="3"/>
      <c r="E859" s="3"/>
      <c r="F859" s="3"/>
      <c r="G859" s="6"/>
      <c r="H859" s="3"/>
      <c r="I859" s="3"/>
      <c r="J859" s="7"/>
      <c r="K859" s="3"/>
      <c r="L859" s="3"/>
      <c r="M859" s="3"/>
      <c r="N859" s="3"/>
      <c r="O859" s="3"/>
      <c r="P859" s="8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3"/>
      <c r="B860" s="4"/>
      <c r="C860" s="4"/>
      <c r="D860" s="3"/>
      <c r="E860" s="3"/>
      <c r="F860" s="3"/>
      <c r="G860" s="6"/>
      <c r="H860" s="3"/>
      <c r="I860" s="3"/>
      <c r="J860" s="7"/>
      <c r="K860" s="3"/>
      <c r="L860" s="3"/>
      <c r="M860" s="3"/>
      <c r="N860" s="3"/>
      <c r="O860" s="3"/>
      <c r="P860" s="8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3"/>
      <c r="B861" s="4"/>
      <c r="C861" s="4"/>
      <c r="D861" s="3"/>
      <c r="E861" s="3"/>
      <c r="F861" s="3"/>
      <c r="G861" s="6"/>
      <c r="H861" s="3"/>
      <c r="I861" s="3"/>
      <c r="J861" s="7"/>
      <c r="K861" s="3"/>
      <c r="L861" s="3"/>
      <c r="M861" s="3"/>
      <c r="N861" s="3"/>
      <c r="O861" s="3"/>
      <c r="P861" s="8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3"/>
      <c r="B862" s="4"/>
      <c r="C862" s="4"/>
      <c r="D862" s="3"/>
      <c r="E862" s="3"/>
      <c r="F862" s="3"/>
      <c r="G862" s="6"/>
      <c r="H862" s="3"/>
      <c r="I862" s="3"/>
      <c r="J862" s="7"/>
      <c r="K862" s="3"/>
      <c r="L862" s="3"/>
      <c r="M862" s="3"/>
      <c r="N862" s="3"/>
      <c r="O862" s="3"/>
      <c r="P862" s="8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3"/>
      <c r="B863" s="4"/>
      <c r="C863" s="4"/>
      <c r="D863" s="3"/>
      <c r="E863" s="3"/>
      <c r="F863" s="3"/>
      <c r="G863" s="6"/>
      <c r="H863" s="3"/>
      <c r="I863" s="3"/>
      <c r="J863" s="7"/>
      <c r="K863" s="3"/>
      <c r="L863" s="3"/>
      <c r="M863" s="3"/>
      <c r="N863" s="3"/>
      <c r="O863" s="3"/>
      <c r="P863" s="8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3"/>
      <c r="B864" s="4"/>
      <c r="C864" s="4"/>
      <c r="D864" s="3"/>
      <c r="E864" s="3"/>
      <c r="F864" s="3"/>
      <c r="G864" s="6"/>
      <c r="H864" s="3"/>
      <c r="I864" s="3"/>
      <c r="J864" s="7"/>
      <c r="K864" s="3"/>
      <c r="L864" s="3"/>
      <c r="M864" s="3"/>
      <c r="N864" s="3"/>
      <c r="O864" s="3"/>
      <c r="P864" s="8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3"/>
      <c r="B865" s="4"/>
      <c r="C865" s="4"/>
      <c r="D865" s="3"/>
      <c r="E865" s="3"/>
      <c r="F865" s="3"/>
      <c r="G865" s="6"/>
      <c r="H865" s="3"/>
      <c r="I865" s="3"/>
      <c r="J865" s="7"/>
      <c r="K865" s="3"/>
      <c r="L865" s="3"/>
      <c r="M865" s="3"/>
      <c r="N865" s="3"/>
      <c r="O865" s="3"/>
      <c r="P865" s="8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3"/>
      <c r="B866" s="4"/>
      <c r="C866" s="4"/>
      <c r="D866" s="3"/>
      <c r="E866" s="3"/>
      <c r="F866" s="3"/>
      <c r="G866" s="6"/>
      <c r="H866" s="3"/>
      <c r="I866" s="3"/>
      <c r="J866" s="7"/>
      <c r="K866" s="3"/>
      <c r="L866" s="3"/>
      <c r="M866" s="3"/>
      <c r="N866" s="3"/>
      <c r="O866" s="3"/>
      <c r="P866" s="8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3"/>
      <c r="B867" s="4"/>
      <c r="C867" s="4"/>
      <c r="D867" s="3"/>
      <c r="E867" s="3"/>
      <c r="F867" s="3"/>
      <c r="G867" s="6"/>
      <c r="H867" s="3"/>
      <c r="I867" s="3"/>
      <c r="J867" s="7"/>
      <c r="K867" s="3"/>
      <c r="L867" s="3"/>
      <c r="M867" s="3"/>
      <c r="N867" s="3"/>
      <c r="O867" s="3"/>
      <c r="P867" s="8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3"/>
      <c r="B868" s="4"/>
      <c r="C868" s="4"/>
      <c r="D868" s="3"/>
      <c r="E868" s="3"/>
      <c r="F868" s="3"/>
      <c r="G868" s="6"/>
      <c r="H868" s="3"/>
      <c r="I868" s="3"/>
      <c r="J868" s="7"/>
      <c r="K868" s="3"/>
      <c r="L868" s="3"/>
      <c r="M868" s="3"/>
      <c r="N868" s="3"/>
      <c r="O868" s="3"/>
      <c r="P868" s="8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3"/>
      <c r="B869" s="4"/>
      <c r="C869" s="4"/>
      <c r="D869" s="3"/>
      <c r="E869" s="3"/>
      <c r="F869" s="3"/>
      <c r="G869" s="6"/>
      <c r="H869" s="3"/>
      <c r="I869" s="3"/>
      <c r="J869" s="7"/>
      <c r="K869" s="3"/>
      <c r="L869" s="3"/>
      <c r="M869" s="3"/>
      <c r="N869" s="3"/>
      <c r="O869" s="3"/>
      <c r="P869" s="8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3"/>
      <c r="B870" s="4"/>
      <c r="C870" s="4"/>
      <c r="D870" s="3"/>
      <c r="E870" s="3"/>
      <c r="F870" s="3"/>
      <c r="G870" s="6"/>
      <c r="H870" s="3"/>
      <c r="I870" s="3"/>
      <c r="J870" s="7"/>
      <c r="K870" s="3"/>
      <c r="L870" s="3"/>
      <c r="M870" s="3"/>
      <c r="N870" s="3"/>
      <c r="O870" s="3"/>
      <c r="P870" s="8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3"/>
      <c r="B871" s="4"/>
      <c r="C871" s="4"/>
      <c r="D871" s="3"/>
      <c r="E871" s="3"/>
      <c r="F871" s="3"/>
      <c r="G871" s="6"/>
      <c r="H871" s="3"/>
      <c r="I871" s="3"/>
      <c r="J871" s="7"/>
      <c r="K871" s="3"/>
      <c r="L871" s="3"/>
      <c r="M871" s="3"/>
      <c r="N871" s="3"/>
      <c r="O871" s="3"/>
      <c r="P871" s="8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3"/>
      <c r="B872" s="4"/>
      <c r="C872" s="4"/>
      <c r="D872" s="3"/>
      <c r="E872" s="3"/>
      <c r="F872" s="3"/>
      <c r="G872" s="6"/>
      <c r="H872" s="3"/>
      <c r="I872" s="3"/>
      <c r="J872" s="7"/>
      <c r="K872" s="3"/>
      <c r="L872" s="3"/>
      <c r="M872" s="3"/>
      <c r="N872" s="3"/>
      <c r="O872" s="3"/>
      <c r="P872" s="8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3"/>
      <c r="B873" s="4"/>
      <c r="C873" s="4"/>
      <c r="D873" s="3"/>
      <c r="E873" s="3"/>
      <c r="F873" s="3"/>
      <c r="G873" s="6"/>
      <c r="H873" s="3"/>
      <c r="I873" s="3"/>
      <c r="J873" s="7"/>
      <c r="K873" s="3"/>
      <c r="L873" s="3"/>
      <c r="M873" s="3"/>
      <c r="N873" s="3"/>
      <c r="O873" s="3"/>
      <c r="P873" s="8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3"/>
      <c r="B874" s="4"/>
      <c r="C874" s="4"/>
      <c r="D874" s="3"/>
      <c r="E874" s="3"/>
      <c r="F874" s="3"/>
      <c r="G874" s="6"/>
      <c r="H874" s="3"/>
      <c r="I874" s="3"/>
      <c r="J874" s="7"/>
      <c r="K874" s="3"/>
      <c r="L874" s="3"/>
      <c r="M874" s="3"/>
      <c r="N874" s="3"/>
      <c r="O874" s="3"/>
      <c r="P874" s="8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3"/>
      <c r="B875" s="4"/>
      <c r="C875" s="4"/>
      <c r="D875" s="3"/>
      <c r="E875" s="3"/>
      <c r="F875" s="3"/>
      <c r="G875" s="6"/>
      <c r="H875" s="3"/>
      <c r="I875" s="3"/>
      <c r="J875" s="7"/>
      <c r="K875" s="3"/>
      <c r="L875" s="3"/>
      <c r="M875" s="3"/>
      <c r="N875" s="3"/>
      <c r="O875" s="3"/>
      <c r="P875" s="8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3"/>
      <c r="B876" s="4"/>
      <c r="C876" s="4"/>
      <c r="D876" s="3"/>
      <c r="E876" s="3"/>
      <c r="F876" s="3"/>
      <c r="G876" s="6"/>
      <c r="H876" s="3"/>
      <c r="I876" s="3"/>
      <c r="J876" s="7"/>
      <c r="K876" s="3"/>
      <c r="L876" s="3"/>
      <c r="M876" s="3"/>
      <c r="N876" s="3"/>
      <c r="O876" s="3"/>
      <c r="P876" s="8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3"/>
      <c r="B877" s="4"/>
      <c r="C877" s="4"/>
      <c r="D877" s="3"/>
      <c r="E877" s="3"/>
      <c r="F877" s="3"/>
      <c r="G877" s="6"/>
      <c r="H877" s="3"/>
      <c r="I877" s="3"/>
      <c r="J877" s="7"/>
      <c r="K877" s="3"/>
      <c r="L877" s="3"/>
      <c r="M877" s="3"/>
      <c r="N877" s="3"/>
      <c r="O877" s="3"/>
      <c r="P877" s="8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3"/>
      <c r="B878" s="4"/>
      <c r="C878" s="4"/>
      <c r="D878" s="3"/>
      <c r="E878" s="3"/>
      <c r="F878" s="3"/>
      <c r="G878" s="6"/>
      <c r="H878" s="3"/>
      <c r="I878" s="3"/>
      <c r="J878" s="7"/>
      <c r="K878" s="3"/>
      <c r="L878" s="3"/>
      <c r="M878" s="3"/>
      <c r="N878" s="3"/>
      <c r="O878" s="3"/>
      <c r="P878" s="8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3"/>
      <c r="B879" s="4"/>
      <c r="C879" s="4"/>
      <c r="D879" s="3"/>
      <c r="E879" s="3"/>
      <c r="F879" s="3"/>
      <c r="G879" s="6"/>
      <c r="H879" s="3"/>
      <c r="I879" s="3"/>
      <c r="J879" s="7"/>
      <c r="K879" s="3"/>
      <c r="L879" s="3"/>
      <c r="M879" s="3"/>
      <c r="N879" s="3"/>
      <c r="O879" s="3"/>
      <c r="P879" s="8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3"/>
      <c r="B880" s="4"/>
      <c r="C880" s="4"/>
      <c r="D880" s="3"/>
      <c r="E880" s="3"/>
      <c r="F880" s="3"/>
      <c r="G880" s="6"/>
      <c r="H880" s="3"/>
      <c r="I880" s="3"/>
      <c r="J880" s="7"/>
      <c r="K880" s="3"/>
      <c r="L880" s="3"/>
      <c r="M880" s="3"/>
      <c r="N880" s="3"/>
      <c r="O880" s="3"/>
      <c r="P880" s="8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3"/>
      <c r="B881" s="4"/>
      <c r="C881" s="4"/>
      <c r="D881" s="3"/>
      <c r="E881" s="3"/>
      <c r="F881" s="3"/>
      <c r="G881" s="6"/>
      <c r="H881" s="3"/>
      <c r="I881" s="3"/>
      <c r="J881" s="7"/>
      <c r="K881" s="3"/>
      <c r="L881" s="3"/>
      <c r="M881" s="3"/>
      <c r="N881" s="3"/>
      <c r="O881" s="3"/>
      <c r="P881" s="8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3"/>
      <c r="B882" s="4"/>
      <c r="C882" s="4"/>
      <c r="D882" s="3"/>
      <c r="E882" s="3"/>
      <c r="F882" s="3"/>
      <c r="G882" s="6"/>
      <c r="H882" s="3"/>
      <c r="I882" s="3"/>
      <c r="J882" s="7"/>
      <c r="K882" s="3"/>
      <c r="L882" s="3"/>
      <c r="M882" s="3"/>
      <c r="N882" s="3"/>
      <c r="O882" s="3"/>
      <c r="P882" s="8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3"/>
      <c r="B883" s="4"/>
      <c r="C883" s="4"/>
      <c r="D883" s="3"/>
      <c r="E883" s="3"/>
      <c r="F883" s="3"/>
      <c r="G883" s="6"/>
      <c r="H883" s="3"/>
      <c r="I883" s="3"/>
      <c r="J883" s="7"/>
      <c r="K883" s="3"/>
      <c r="L883" s="3"/>
      <c r="M883" s="3"/>
      <c r="N883" s="3"/>
      <c r="O883" s="3"/>
      <c r="P883" s="8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3"/>
      <c r="B884" s="4"/>
      <c r="C884" s="4"/>
      <c r="D884" s="3"/>
      <c r="E884" s="3"/>
      <c r="F884" s="3"/>
      <c r="G884" s="6"/>
      <c r="H884" s="3"/>
      <c r="I884" s="3"/>
      <c r="J884" s="7"/>
      <c r="K884" s="3"/>
      <c r="L884" s="3"/>
      <c r="M884" s="3"/>
      <c r="N884" s="3"/>
      <c r="O884" s="3"/>
      <c r="P884" s="8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3"/>
      <c r="B885" s="4"/>
      <c r="C885" s="4"/>
      <c r="D885" s="3"/>
      <c r="E885" s="3"/>
      <c r="F885" s="3"/>
      <c r="G885" s="6"/>
      <c r="H885" s="3"/>
      <c r="I885" s="3"/>
      <c r="J885" s="7"/>
      <c r="K885" s="3"/>
      <c r="L885" s="3"/>
      <c r="M885" s="3"/>
      <c r="N885" s="3"/>
      <c r="O885" s="3"/>
      <c r="P885" s="8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3"/>
      <c r="B886" s="4"/>
      <c r="C886" s="4"/>
      <c r="D886" s="3"/>
      <c r="E886" s="3"/>
      <c r="F886" s="3"/>
      <c r="G886" s="6"/>
      <c r="H886" s="3"/>
      <c r="I886" s="3"/>
      <c r="J886" s="7"/>
      <c r="K886" s="3"/>
      <c r="L886" s="3"/>
      <c r="M886" s="3"/>
      <c r="N886" s="3"/>
      <c r="O886" s="3"/>
      <c r="P886" s="8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3"/>
      <c r="B887" s="4"/>
      <c r="C887" s="4"/>
      <c r="D887" s="3"/>
      <c r="E887" s="3"/>
      <c r="F887" s="3"/>
      <c r="G887" s="6"/>
      <c r="H887" s="3"/>
      <c r="I887" s="3"/>
      <c r="J887" s="7"/>
      <c r="K887" s="3"/>
      <c r="L887" s="3"/>
      <c r="M887" s="3"/>
      <c r="N887" s="3"/>
      <c r="O887" s="3"/>
      <c r="P887" s="8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3"/>
      <c r="B888" s="4"/>
      <c r="C888" s="4"/>
      <c r="D888" s="3"/>
      <c r="E888" s="3"/>
      <c r="F888" s="3"/>
      <c r="G888" s="6"/>
      <c r="H888" s="3"/>
      <c r="I888" s="3"/>
      <c r="J888" s="7"/>
      <c r="K888" s="3"/>
      <c r="L888" s="3"/>
      <c r="M888" s="3"/>
      <c r="N888" s="3"/>
      <c r="O888" s="3"/>
      <c r="P888" s="8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3"/>
      <c r="B889" s="4"/>
      <c r="C889" s="4"/>
      <c r="D889" s="3"/>
      <c r="E889" s="3"/>
      <c r="F889" s="3"/>
      <c r="G889" s="6"/>
      <c r="H889" s="3"/>
      <c r="I889" s="3"/>
      <c r="J889" s="7"/>
      <c r="K889" s="3"/>
      <c r="L889" s="3"/>
      <c r="M889" s="3"/>
      <c r="N889" s="3"/>
      <c r="O889" s="3"/>
      <c r="P889" s="8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3"/>
      <c r="B890" s="4"/>
      <c r="C890" s="4"/>
      <c r="D890" s="3"/>
      <c r="E890" s="3"/>
      <c r="F890" s="3"/>
      <c r="G890" s="6"/>
      <c r="H890" s="3"/>
      <c r="I890" s="3"/>
      <c r="J890" s="7"/>
      <c r="K890" s="3"/>
      <c r="L890" s="3"/>
      <c r="M890" s="3"/>
      <c r="N890" s="3"/>
      <c r="O890" s="3"/>
      <c r="P890" s="8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3"/>
      <c r="B891" s="4"/>
      <c r="C891" s="4"/>
      <c r="D891" s="3"/>
      <c r="E891" s="3"/>
      <c r="F891" s="3"/>
      <c r="G891" s="6"/>
      <c r="H891" s="3"/>
      <c r="I891" s="3"/>
      <c r="J891" s="7"/>
      <c r="K891" s="3"/>
      <c r="L891" s="3"/>
      <c r="M891" s="3"/>
      <c r="N891" s="3"/>
      <c r="O891" s="3"/>
      <c r="P891" s="8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3"/>
      <c r="B892" s="4"/>
      <c r="C892" s="4"/>
      <c r="D892" s="3"/>
      <c r="E892" s="3"/>
      <c r="F892" s="3"/>
      <c r="G892" s="6"/>
      <c r="H892" s="3"/>
      <c r="I892" s="3"/>
      <c r="J892" s="7"/>
      <c r="K892" s="3"/>
      <c r="L892" s="3"/>
      <c r="M892" s="3"/>
      <c r="N892" s="3"/>
      <c r="O892" s="3"/>
      <c r="P892" s="8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3"/>
      <c r="B893" s="4"/>
      <c r="C893" s="4"/>
      <c r="D893" s="3"/>
      <c r="E893" s="3"/>
      <c r="F893" s="3"/>
      <c r="G893" s="6"/>
      <c r="H893" s="3"/>
      <c r="I893" s="3"/>
      <c r="J893" s="7"/>
      <c r="K893" s="3"/>
      <c r="L893" s="3"/>
      <c r="M893" s="3"/>
      <c r="N893" s="3"/>
      <c r="O893" s="3"/>
      <c r="P893" s="8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3"/>
      <c r="B894" s="4"/>
      <c r="C894" s="4"/>
      <c r="D894" s="3"/>
      <c r="E894" s="3"/>
      <c r="F894" s="3"/>
      <c r="G894" s="6"/>
      <c r="H894" s="3"/>
      <c r="I894" s="3"/>
      <c r="J894" s="7"/>
      <c r="K894" s="3"/>
      <c r="L894" s="3"/>
      <c r="M894" s="3"/>
      <c r="N894" s="3"/>
      <c r="O894" s="3"/>
      <c r="P894" s="8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3"/>
      <c r="B895" s="4"/>
      <c r="C895" s="4"/>
      <c r="D895" s="3"/>
      <c r="E895" s="3"/>
      <c r="F895" s="3"/>
      <c r="G895" s="6"/>
      <c r="H895" s="3"/>
      <c r="I895" s="3"/>
      <c r="J895" s="7"/>
      <c r="K895" s="3"/>
      <c r="L895" s="3"/>
      <c r="M895" s="3"/>
      <c r="N895" s="3"/>
      <c r="O895" s="3"/>
      <c r="P895" s="8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3"/>
      <c r="B896" s="4"/>
      <c r="C896" s="4"/>
      <c r="D896" s="3"/>
      <c r="E896" s="3"/>
      <c r="F896" s="3"/>
      <c r="G896" s="6"/>
      <c r="H896" s="3"/>
      <c r="I896" s="3"/>
      <c r="J896" s="7"/>
      <c r="K896" s="3"/>
      <c r="L896" s="3"/>
      <c r="M896" s="3"/>
      <c r="N896" s="3"/>
      <c r="O896" s="3"/>
      <c r="P896" s="8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3"/>
      <c r="B897" s="4"/>
      <c r="C897" s="4"/>
      <c r="D897" s="3"/>
      <c r="E897" s="3"/>
      <c r="F897" s="3"/>
      <c r="G897" s="6"/>
      <c r="H897" s="3"/>
      <c r="I897" s="3"/>
      <c r="J897" s="7"/>
      <c r="K897" s="3"/>
      <c r="L897" s="3"/>
      <c r="M897" s="3"/>
      <c r="N897" s="3"/>
      <c r="O897" s="3"/>
      <c r="P897" s="8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3"/>
      <c r="B898" s="4"/>
      <c r="C898" s="4"/>
      <c r="D898" s="3"/>
      <c r="E898" s="3"/>
      <c r="F898" s="3"/>
      <c r="G898" s="6"/>
      <c r="H898" s="3"/>
      <c r="I898" s="3"/>
      <c r="J898" s="7"/>
      <c r="K898" s="3"/>
      <c r="L898" s="3"/>
      <c r="M898" s="3"/>
      <c r="N898" s="3"/>
      <c r="O898" s="3"/>
      <c r="P898" s="8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3"/>
      <c r="B899" s="4"/>
      <c r="C899" s="4"/>
      <c r="D899" s="3"/>
      <c r="E899" s="3"/>
      <c r="F899" s="3"/>
      <c r="G899" s="6"/>
      <c r="H899" s="3"/>
      <c r="I899" s="3"/>
      <c r="J899" s="7"/>
      <c r="K899" s="3"/>
      <c r="L899" s="3"/>
      <c r="M899" s="3"/>
      <c r="N899" s="3"/>
      <c r="O899" s="3"/>
      <c r="P899" s="8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3"/>
      <c r="B900" s="4"/>
      <c r="C900" s="4"/>
      <c r="D900" s="3"/>
      <c r="E900" s="3"/>
      <c r="F900" s="3"/>
      <c r="G900" s="6"/>
      <c r="H900" s="3"/>
      <c r="I900" s="3"/>
      <c r="J900" s="7"/>
      <c r="K900" s="3"/>
      <c r="L900" s="3"/>
      <c r="M900" s="3"/>
      <c r="N900" s="3"/>
      <c r="O900" s="3"/>
      <c r="P900" s="8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3"/>
      <c r="B901" s="4"/>
      <c r="C901" s="4"/>
      <c r="D901" s="3"/>
      <c r="E901" s="3"/>
      <c r="F901" s="3"/>
      <c r="G901" s="6"/>
      <c r="H901" s="3"/>
      <c r="I901" s="3"/>
      <c r="J901" s="7"/>
      <c r="K901" s="3"/>
      <c r="L901" s="3"/>
      <c r="M901" s="3"/>
      <c r="N901" s="3"/>
      <c r="O901" s="3"/>
      <c r="P901" s="8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3"/>
      <c r="B902" s="4"/>
      <c r="C902" s="4"/>
      <c r="D902" s="3"/>
      <c r="E902" s="3"/>
      <c r="F902" s="3"/>
      <c r="G902" s="6"/>
      <c r="H902" s="3"/>
      <c r="I902" s="3"/>
      <c r="J902" s="7"/>
      <c r="K902" s="3"/>
      <c r="L902" s="3"/>
      <c r="M902" s="3"/>
      <c r="N902" s="3"/>
      <c r="O902" s="3"/>
      <c r="P902" s="8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3"/>
      <c r="B903" s="4"/>
      <c r="C903" s="4"/>
      <c r="D903" s="3"/>
      <c r="E903" s="3"/>
      <c r="F903" s="3"/>
      <c r="G903" s="6"/>
      <c r="H903" s="3"/>
      <c r="I903" s="3"/>
      <c r="J903" s="7"/>
      <c r="K903" s="3"/>
      <c r="L903" s="3"/>
      <c r="M903" s="3"/>
      <c r="N903" s="3"/>
      <c r="O903" s="3"/>
      <c r="P903" s="8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3"/>
      <c r="B904" s="4"/>
      <c r="C904" s="4"/>
      <c r="D904" s="3"/>
      <c r="E904" s="3"/>
      <c r="F904" s="3"/>
      <c r="G904" s="6"/>
      <c r="H904" s="3"/>
      <c r="I904" s="3"/>
      <c r="J904" s="7"/>
      <c r="K904" s="3"/>
      <c r="L904" s="3"/>
      <c r="M904" s="3"/>
      <c r="N904" s="3"/>
      <c r="O904" s="3"/>
      <c r="P904" s="8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3"/>
      <c r="B905" s="4"/>
      <c r="C905" s="4"/>
      <c r="D905" s="3"/>
      <c r="E905" s="3"/>
      <c r="F905" s="3"/>
      <c r="G905" s="6"/>
      <c r="H905" s="3"/>
      <c r="I905" s="3"/>
      <c r="J905" s="7"/>
      <c r="K905" s="3"/>
      <c r="L905" s="3"/>
      <c r="M905" s="3"/>
      <c r="N905" s="3"/>
      <c r="O905" s="3"/>
      <c r="P905" s="8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3"/>
      <c r="B906" s="4"/>
      <c r="C906" s="4"/>
      <c r="D906" s="3"/>
      <c r="E906" s="3"/>
      <c r="F906" s="3"/>
      <c r="G906" s="6"/>
      <c r="H906" s="3"/>
      <c r="I906" s="3"/>
      <c r="J906" s="7"/>
      <c r="K906" s="3"/>
      <c r="L906" s="3"/>
      <c r="M906" s="3"/>
      <c r="N906" s="3"/>
      <c r="O906" s="3"/>
      <c r="P906" s="8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3"/>
      <c r="B907" s="4"/>
      <c r="C907" s="4"/>
      <c r="D907" s="3"/>
      <c r="E907" s="3"/>
      <c r="F907" s="3"/>
      <c r="G907" s="6"/>
      <c r="H907" s="3"/>
      <c r="I907" s="3"/>
      <c r="J907" s="7"/>
      <c r="K907" s="3"/>
      <c r="L907" s="3"/>
      <c r="M907" s="3"/>
      <c r="N907" s="3"/>
      <c r="O907" s="3"/>
      <c r="P907" s="8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3"/>
      <c r="B908" s="4"/>
      <c r="C908" s="4"/>
      <c r="D908" s="3"/>
      <c r="E908" s="3"/>
      <c r="F908" s="3"/>
      <c r="G908" s="6"/>
      <c r="H908" s="3"/>
      <c r="I908" s="3"/>
      <c r="J908" s="7"/>
      <c r="K908" s="3"/>
      <c r="L908" s="3"/>
      <c r="M908" s="3"/>
      <c r="N908" s="3"/>
      <c r="O908" s="3"/>
      <c r="P908" s="8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3"/>
      <c r="B909" s="4"/>
      <c r="C909" s="4"/>
      <c r="D909" s="3"/>
      <c r="E909" s="3"/>
      <c r="F909" s="3"/>
      <c r="G909" s="6"/>
      <c r="H909" s="3"/>
      <c r="I909" s="3"/>
      <c r="J909" s="7"/>
      <c r="K909" s="3"/>
      <c r="L909" s="3"/>
      <c r="M909" s="3"/>
      <c r="N909" s="3"/>
      <c r="O909" s="3"/>
      <c r="P909" s="8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3"/>
      <c r="B910" s="4"/>
      <c r="C910" s="4"/>
      <c r="D910" s="3"/>
      <c r="E910" s="3"/>
      <c r="F910" s="3"/>
      <c r="G910" s="6"/>
      <c r="H910" s="3"/>
      <c r="I910" s="3"/>
      <c r="J910" s="7"/>
      <c r="K910" s="3"/>
      <c r="L910" s="3"/>
      <c r="M910" s="3"/>
      <c r="N910" s="3"/>
      <c r="O910" s="3"/>
      <c r="P910" s="8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3"/>
      <c r="B911" s="4"/>
      <c r="C911" s="4"/>
      <c r="D911" s="3"/>
      <c r="E911" s="3"/>
      <c r="F911" s="3"/>
      <c r="G911" s="6"/>
      <c r="H911" s="3"/>
      <c r="I911" s="3"/>
      <c r="J911" s="7"/>
      <c r="K911" s="3"/>
      <c r="L911" s="3"/>
      <c r="M911" s="3"/>
      <c r="N911" s="3"/>
      <c r="O911" s="3"/>
      <c r="P911" s="8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3"/>
      <c r="B912" s="4"/>
      <c r="C912" s="4"/>
      <c r="D912" s="3"/>
      <c r="E912" s="3"/>
      <c r="F912" s="3"/>
      <c r="G912" s="6"/>
      <c r="H912" s="3"/>
      <c r="I912" s="3"/>
      <c r="J912" s="7"/>
      <c r="K912" s="3"/>
      <c r="L912" s="3"/>
      <c r="M912" s="3"/>
      <c r="N912" s="3"/>
      <c r="O912" s="3"/>
      <c r="P912" s="8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3"/>
      <c r="B913" s="4"/>
      <c r="C913" s="4"/>
      <c r="D913" s="3"/>
      <c r="E913" s="3"/>
      <c r="F913" s="3"/>
      <c r="G913" s="6"/>
      <c r="H913" s="3"/>
      <c r="I913" s="3"/>
      <c r="J913" s="7"/>
      <c r="K913" s="3"/>
      <c r="L913" s="3"/>
      <c r="M913" s="3"/>
      <c r="N913" s="3"/>
      <c r="O913" s="3"/>
      <c r="P913" s="8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3"/>
      <c r="B914" s="4"/>
      <c r="C914" s="4"/>
      <c r="D914" s="3"/>
      <c r="E914" s="3"/>
      <c r="F914" s="3"/>
      <c r="G914" s="6"/>
      <c r="H914" s="3"/>
      <c r="I914" s="3"/>
      <c r="J914" s="7"/>
      <c r="K914" s="3"/>
      <c r="L914" s="3"/>
      <c r="M914" s="3"/>
      <c r="N914" s="3"/>
      <c r="O914" s="3"/>
      <c r="P914" s="8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3"/>
      <c r="B915" s="4"/>
      <c r="C915" s="4"/>
      <c r="D915" s="3"/>
      <c r="E915" s="3"/>
      <c r="F915" s="3"/>
      <c r="G915" s="6"/>
      <c r="H915" s="3"/>
      <c r="I915" s="3"/>
      <c r="J915" s="7"/>
      <c r="K915" s="3"/>
      <c r="L915" s="3"/>
      <c r="M915" s="3"/>
      <c r="N915" s="3"/>
      <c r="O915" s="3"/>
      <c r="P915" s="8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3"/>
      <c r="B916" s="4"/>
      <c r="C916" s="4"/>
      <c r="D916" s="3"/>
      <c r="E916" s="3"/>
      <c r="F916" s="3"/>
      <c r="G916" s="6"/>
      <c r="H916" s="3"/>
      <c r="I916" s="3"/>
      <c r="J916" s="7"/>
      <c r="K916" s="3"/>
      <c r="L916" s="3"/>
      <c r="M916" s="3"/>
      <c r="N916" s="3"/>
      <c r="O916" s="3"/>
      <c r="P916" s="8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3"/>
      <c r="B917" s="4"/>
      <c r="C917" s="4"/>
      <c r="D917" s="3"/>
      <c r="E917" s="3"/>
      <c r="F917" s="3"/>
      <c r="G917" s="6"/>
      <c r="H917" s="3"/>
      <c r="I917" s="3"/>
      <c r="J917" s="7"/>
      <c r="K917" s="3"/>
      <c r="L917" s="3"/>
      <c r="M917" s="3"/>
      <c r="N917" s="3"/>
      <c r="O917" s="3"/>
      <c r="P917" s="8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3"/>
      <c r="B918" s="4"/>
      <c r="C918" s="4"/>
      <c r="D918" s="3"/>
      <c r="E918" s="3"/>
      <c r="F918" s="3"/>
      <c r="G918" s="6"/>
      <c r="H918" s="3"/>
      <c r="I918" s="3"/>
      <c r="J918" s="7"/>
      <c r="K918" s="3"/>
      <c r="L918" s="3"/>
      <c r="M918" s="3"/>
      <c r="N918" s="3"/>
      <c r="O918" s="3"/>
      <c r="P918" s="8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3"/>
      <c r="B919" s="4"/>
      <c r="C919" s="4"/>
      <c r="D919" s="3"/>
      <c r="E919" s="3"/>
      <c r="F919" s="3"/>
      <c r="G919" s="6"/>
      <c r="H919" s="3"/>
      <c r="I919" s="3"/>
      <c r="J919" s="7"/>
      <c r="K919" s="3"/>
      <c r="L919" s="3"/>
      <c r="M919" s="3"/>
      <c r="N919" s="3"/>
      <c r="O919" s="3"/>
      <c r="P919" s="8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3"/>
      <c r="B920" s="4"/>
      <c r="C920" s="4"/>
      <c r="D920" s="3"/>
      <c r="E920" s="3"/>
      <c r="F920" s="3"/>
      <c r="G920" s="6"/>
      <c r="H920" s="3"/>
      <c r="I920" s="3"/>
      <c r="J920" s="7"/>
      <c r="K920" s="3"/>
      <c r="L920" s="3"/>
      <c r="M920" s="3"/>
      <c r="N920" s="3"/>
      <c r="O920" s="3"/>
      <c r="P920" s="8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3"/>
      <c r="B921" s="4"/>
      <c r="C921" s="4"/>
      <c r="D921" s="3"/>
      <c r="E921" s="3"/>
      <c r="F921" s="3"/>
      <c r="G921" s="6"/>
      <c r="H921" s="3"/>
      <c r="I921" s="3"/>
      <c r="J921" s="7"/>
      <c r="K921" s="3"/>
      <c r="L921" s="3"/>
      <c r="M921" s="3"/>
      <c r="N921" s="3"/>
      <c r="O921" s="3"/>
      <c r="P921" s="8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3"/>
      <c r="B922" s="4"/>
      <c r="C922" s="4"/>
      <c r="D922" s="3"/>
      <c r="E922" s="3"/>
      <c r="F922" s="3"/>
      <c r="G922" s="6"/>
      <c r="H922" s="3"/>
      <c r="I922" s="3"/>
      <c r="J922" s="7"/>
      <c r="K922" s="3"/>
      <c r="L922" s="3"/>
      <c r="M922" s="3"/>
      <c r="N922" s="3"/>
      <c r="O922" s="3"/>
      <c r="P922" s="8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3"/>
      <c r="B923" s="4"/>
      <c r="C923" s="4"/>
      <c r="D923" s="3"/>
      <c r="E923" s="3"/>
      <c r="F923" s="3"/>
      <c r="G923" s="6"/>
      <c r="H923" s="3"/>
      <c r="I923" s="3"/>
      <c r="J923" s="7"/>
      <c r="K923" s="3"/>
      <c r="L923" s="3"/>
      <c r="M923" s="3"/>
      <c r="N923" s="3"/>
      <c r="O923" s="3"/>
      <c r="P923" s="8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3"/>
      <c r="B924" s="4"/>
      <c r="C924" s="4"/>
      <c r="D924" s="3"/>
      <c r="E924" s="3"/>
      <c r="F924" s="3"/>
      <c r="G924" s="6"/>
      <c r="H924" s="3"/>
      <c r="I924" s="3"/>
      <c r="J924" s="7"/>
      <c r="K924" s="3"/>
      <c r="L924" s="3"/>
      <c r="M924" s="3"/>
      <c r="N924" s="3"/>
      <c r="O924" s="3"/>
      <c r="P924" s="8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3"/>
      <c r="B925" s="4"/>
      <c r="C925" s="4"/>
      <c r="D925" s="3"/>
      <c r="E925" s="3"/>
      <c r="F925" s="3"/>
      <c r="G925" s="6"/>
      <c r="H925" s="3"/>
      <c r="I925" s="3"/>
      <c r="J925" s="7"/>
      <c r="K925" s="3"/>
      <c r="L925" s="3"/>
      <c r="M925" s="3"/>
      <c r="N925" s="3"/>
      <c r="O925" s="3"/>
      <c r="P925" s="8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3"/>
      <c r="B926" s="4"/>
      <c r="C926" s="4"/>
      <c r="D926" s="3"/>
      <c r="E926" s="3"/>
      <c r="F926" s="3"/>
      <c r="G926" s="6"/>
      <c r="H926" s="3"/>
      <c r="I926" s="3"/>
      <c r="J926" s="7"/>
      <c r="K926" s="3"/>
      <c r="L926" s="3"/>
      <c r="M926" s="3"/>
      <c r="N926" s="3"/>
      <c r="O926" s="3"/>
      <c r="P926" s="8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3"/>
      <c r="B927" s="4"/>
      <c r="C927" s="4"/>
      <c r="D927" s="3"/>
      <c r="E927" s="3"/>
      <c r="F927" s="3"/>
      <c r="G927" s="6"/>
      <c r="H927" s="3"/>
      <c r="I927" s="3"/>
      <c r="J927" s="7"/>
      <c r="K927" s="3"/>
      <c r="L927" s="3"/>
      <c r="M927" s="3"/>
      <c r="N927" s="3"/>
      <c r="O927" s="3"/>
      <c r="P927" s="8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3"/>
      <c r="B928" s="4"/>
      <c r="C928" s="4"/>
      <c r="D928" s="3"/>
      <c r="E928" s="3"/>
      <c r="F928" s="3"/>
      <c r="G928" s="6"/>
      <c r="H928" s="3"/>
      <c r="I928" s="3"/>
      <c r="J928" s="7"/>
      <c r="K928" s="3"/>
      <c r="L928" s="3"/>
      <c r="M928" s="3"/>
      <c r="N928" s="3"/>
      <c r="O928" s="3"/>
      <c r="P928" s="8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3"/>
      <c r="B929" s="4"/>
      <c r="C929" s="4"/>
      <c r="D929" s="3"/>
      <c r="E929" s="3"/>
      <c r="F929" s="3"/>
      <c r="G929" s="6"/>
      <c r="H929" s="3"/>
      <c r="I929" s="3"/>
      <c r="J929" s="7"/>
      <c r="K929" s="3"/>
      <c r="L929" s="3"/>
      <c r="M929" s="3"/>
      <c r="N929" s="3"/>
      <c r="O929" s="3"/>
      <c r="P929" s="8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3"/>
      <c r="B930" s="4"/>
      <c r="C930" s="4"/>
      <c r="D930" s="3"/>
      <c r="E930" s="3"/>
      <c r="F930" s="3"/>
      <c r="G930" s="6"/>
      <c r="H930" s="3"/>
      <c r="I930" s="3"/>
      <c r="J930" s="7"/>
      <c r="K930" s="3"/>
      <c r="L930" s="3"/>
      <c r="M930" s="3"/>
      <c r="N930" s="3"/>
      <c r="O930" s="3"/>
      <c r="P930" s="8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3"/>
      <c r="B931" s="4"/>
      <c r="C931" s="4"/>
      <c r="D931" s="3"/>
      <c r="E931" s="3"/>
      <c r="F931" s="3"/>
      <c r="G931" s="6"/>
      <c r="H931" s="3"/>
      <c r="I931" s="3"/>
      <c r="J931" s="7"/>
      <c r="K931" s="3"/>
      <c r="L931" s="3"/>
      <c r="M931" s="3"/>
      <c r="N931" s="3"/>
      <c r="O931" s="3"/>
      <c r="P931" s="8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3"/>
      <c r="B932" s="4"/>
      <c r="C932" s="4"/>
      <c r="D932" s="3"/>
      <c r="E932" s="3"/>
      <c r="F932" s="3"/>
      <c r="G932" s="6"/>
      <c r="H932" s="3"/>
      <c r="I932" s="3"/>
      <c r="J932" s="7"/>
      <c r="K932" s="3"/>
      <c r="L932" s="3"/>
      <c r="M932" s="3"/>
      <c r="N932" s="3"/>
      <c r="O932" s="3"/>
      <c r="P932" s="8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3"/>
      <c r="B933" s="4"/>
      <c r="C933" s="4"/>
      <c r="D933" s="3"/>
      <c r="E933" s="3"/>
      <c r="F933" s="3"/>
      <c r="G933" s="6"/>
      <c r="H933" s="3"/>
      <c r="I933" s="3"/>
      <c r="J933" s="7"/>
      <c r="K933" s="3"/>
      <c r="L933" s="3"/>
      <c r="M933" s="3"/>
      <c r="N933" s="3"/>
      <c r="O933" s="3"/>
      <c r="P933" s="8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3"/>
      <c r="B934" s="4"/>
      <c r="C934" s="4"/>
      <c r="D934" s="3"/>
      <c r="E934" s="3"/>
      <c r="F934" s="3"/>
      <c r="G934" s="6"/>
      <c r="H934" s="3"/>
      <c r="I934" s="3"/>
      <c r="J934" s="7"/>
      <c r="K934" s="3"/>
      <c r="L934" s="3"/>
      <c r="M934" s="3"/>
      <c r="N934" s="3"/>
      <c r="O934" s="3"/>
      <c r="P934" s="8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3"/>
      <c r="B935" s="4"/>
      <c r="C935" s="4"/>
      <c r="D935" s="3"/>
      <c r="E935" s="3"/>
      <c r="F935" s="3"/>
      <c r="G935" s="6"/>
      <c r="H935" s="3"/>
      <c r="I935" s="3"/>
      <c r="J935" s="7"/>
      <c r="K935" s="3"/>
      <c r="L935" s="3"/>
      <c r="M935" s="3"/>
      <c r="N935" s="3"/>
      <c r="O935" s="3"/>
      <c r="P935" s="8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3"/>
      <c r="B936" s="4"/>
      <c r="C936" s="4"/>
      <c r="D936" s="3"/>
      <c r="E936" s="3"/>
      <c r="F936" s="3"/>
      <c r="G936" s="6"/>
      <c r="H936" s="3"/>
      <c r="I936" s="3"/>
      <c r="J936" s="7"/>
      <c r="K936" s="3"/>
      <c r="L936" s="3"/>
      <c r="M936" s="3"/>
      <c r="N936" s="3"/>
      <c r="O936" s="3"/>
      <c r="P936" s="8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3"/>
      <c r="B937" s="4"/>
      <c r="C937" s="4"/>
      <c r="D937" s="3"/>
      <c r="E937" s="3"/>
      <c r="F937" s="3"/>
      <c r="G937" s="6"/>
      <c r="H937" s="3"/>
      <c r="I937" s="3"/>
      <c r="J937" s="7"/>
      <c r="K937" s="3"/>
      <c r="L937" s="3"/>
      <c r="M937" s="3"/>
      <c r="N937" s="3"/>
      <c r="O937" s="3"/>
      <c r="P937" s="8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3"/>
      <c r="B938" s="4"/>
      <c r="C938" s="4"/>
      <c r="D938" s="3"/>
      <c r="E938" s="3"/>
      <c r="F938" s="3"/>
      <c r="G938" s="6"/>
      <c r="H938" s="3"/>
      <c r="I938" s="3"/>
      <c r="J938" s="7"/>
      <c r="K938" s="3"/>
      <c r="L938" s="3"/>
      <c r="M938" s="3"/>
      <c r="N938" s="3"/>
      <c r="O938" s="3"/>
      <c r="P938" s="8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3"/>
      <c r="B939" s="4"/>
      <c r="C939" s="4"/>
      <c r="D939" s="3"/>
      <c r="E939" s="3"/>
      <c r="F939" s="3"/>
      <c r="G939" s="6"/>
      <c r="H939" s="3"/>
      <c r="I939" s="3"/>
      <c r="J939" s="7"/>
      <c r="K939" s="3"/>
      <c r="L939" s="3"/>
      <c r="M939" s="3"/>
      <c r="N939" s="3"/>
      <c r="O939" s="3"/>
      <c r="P939" s="8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3"/>
      <c r="B940" s="4"/>
      <c r="C940" s="4"/>
      <c r="D940" s="3"/>
      <c r="E940" s="3"/>
      <c r="F940" s="3"/>
      <c r="G940" s="6"/>
      <c r="H940" s="3"/>
      <c r="I940" s="3"/>
      <c r="J940" s="7"/>
      <c r="K940" s="3"/>
      <c r="L940" s="3"/>
      <c r="M940" s="3"/>
      <c r="N940" s="3"/>
      <c r="O940" s="3"/>
      <c r="P940" s="8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3"/>
      <c r="B941" s="4"/>
      <c r="C941" s="4"/>
      <c r="D941" s="3"/>
      <c r="E941" s="3"/>
      <c r="F941" s="3"/>
      <c r="G941" s="6"/>
      <c r="H941" s="3"/>
      <c r="I941" s="3"/>
      <c r="J941" s="7"/>
      <c r="K941" s="3"/>
      <c r="L941" s="3"/>
      <c r="M941" s="3"/>
      <c r="N941" s="3"/>
      <c r="O941" s="3"/>
      <c r="P941" s="8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3"/>
      <c r="B942" s="4"/>
      <c r="C942" s="4"/>
      <c r="D942" s="3"/>
      <c r="E942" s="3"/>
      <c r="F942" s="3"/>
      <c r="G942" s="6"/>
      <c r="H942" s="3"/>
      <c r="I942" s="3"/>
      <c r="J942" s="7"/>
      <c r="K942" s="3"/>
      <c r="L942" s="3"/>
      <c r="M942" s="3"/>
      <c r="N942" s="3"/>
      <c r="O942" s="3"/>
      <c r="P942" s="8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3"/>
      <c r="B943" s="4"/>
      <c r="C943" s="4"/>
      <c r="D943" s="3"/>
      <c r="E943" s="3"/>
      <c r="F943" s="3"/>
      <c r="G943" s="6"/>
      <c r="H943" s="3"/>
      <c r="I943" s="3"/>
      <c r="J943" s="7"/>
      <c r="K943" s="3"/>
      <c r="L943" s="3"/>
      <c r="M943" s="3"/>
      <c r="N943" s="3"/>
      <c r="O943" s="3"/>
      <c r="P943" s="8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3"/>
      <c r="B944" s="4"/>
      <c r="C944" s="4"/>
      <c r="D944" s="3"/>
      <c r="E944" s="3"/>
      <c r="F944" s="3"/>
      <c r="G944" s="6"/>
      <c r="H944" s="3"/>
      <c r="I944" s="3"/>
      <c r="J944" s="7"/>
      <c r="K944" s="3"/>
      <c r="L944" s="3"/>
      <c r="M944" s="3"/>
      <c r="N944" s="3"/>
      <c r="O944" s="3"/>
      <c r="P944" s="8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3"/>
      <c r="B945" s="4"/>
      <c r="C945" s="4"/>
      <c r="D945" s="3"/>
      <c r="E945" s="3"/>
      <c r="F945" s="3"/>
      <c r="G945" s="6"/>
      <c r="H945" s="3"/>
      <c r="I945" s="3"/>
      <c r="J945" s="7"/>
      <c r="K945" s="3"/>
      <c r="L945" s="3"/>
      <c r="M945" s="3"/>
      <c r="N945" s="3"/>
      <c r="O945" s="3"/>
      <c r="P945" s="8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3"/>
      <c r="B946" s="4"/>
      <c r="C946" s="4"/>
      <c r="D946" s="3"/>
      <c r="E946" s="3"/>
      <c r="F946" s="3"/>
      <c r="G946" s="6"/>
      <c r="H946" s="3"/>
      <c r="I946" s="3"/>
      <c r="J946" s="7"/>
      <c r="K946" s="3"/>
      <c r="L946" s="3"/>
      <c r="M946" s="3"/>
      <c r="N946" s="3"/>
      <c r="O946" s="3"/>
      <c r="P946" s="8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3"/>
      <c r="B947" s="4"/>
      <c r="C947" s="4"/>
      <c r="D947" s="3"/>
      <c r="E947" s="3"/>
      <c r="F947" s="3"/>
      <c r="G947" s="6"/>
      <c r="H947" s="3"/>
      <c r="I947" s="3"/>
      <c r="J947" s="7"/>
      <c r="K947" s="3"/>
      <c r="L947" s="3"/>
      <c r="M947" s="3"/>
      <c r="N947" s="3"/>
      <c r="O947" s="3"/>
      <c r="P947" s="8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3"/>
      <c r="B948" s="4"/>
      <c r="C948" s="4"/>
      <c r="D948" s="3"/>
      <c r="E948" s="3"/>
      <c r="F948" s="3"/>
      <c r="G948" s="6"/>
      <c r="H948" s="3"/>
      <c r="I948" s="3"/>
      <c r="J948" s="7"/>
      <c r="K948" s="3"/>
      <c r="L948" s="3"/>
      <c r="M948" s="3"/>
      <c r="N948" s="3"/>
      <c r="O948" s="3"/>
      <c r="P948" s="8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3"/>
      <c r="B949" s="4"/>
      <c r="C949" s="4"/>
      <c r="D949" s="3"/>
      <c r="E949" s="3"/>
      <c r="F949" s="3"/>
      <c r="G949" s="6"/>
      <c r="H949" s="3"/>
      <c r="I949" s="3"/>
      <c r="J949" s="7"/>
      <c r="K949" s="3"/>
      <c r="L949" s="3"/>
      <c r="M949" s="3"/>
      <c r="N949" s="3"/>
      <c r="O949" s="3"/>
      <c r="P949" s="8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3"/>
      <c r="B950" s="4"/>
      <c r="C950" s="4"/>
      <c r="D950" s="3"/>
      <c r="E950" s="3"/>
      <c r="F950" s="3"/>
      <c r="G950" s="6"/>
      <c r="H950" s="3"/>
      <c r="I950" s="3"/>
      <c r="J950" s="7"/>
      <c r="K950" s="3"/>
      <c r="L950" s="3"/>
      <c r="M950" s="3"/>
      <c r="N950" s="3"/>
      <c r="O950" s="3"/>
      <c r="P950" s="8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3"/>
      <c r="B951" s="4"/>
      <c r="C951" s="4"/>
      <c r="D951" s="3"/>
      <c r="E951" s="3"/>
      <c r="F951" s="3"/>
      <c r="G951" s="6"/>
      <c r="H951" s="3"/>
      <c r="I951" s="3"/>
      <c r="J951" s="7"/>
      <c r="K951" s="3"/>
      <c r="L951" s="3"/>
      <c r="M951" s="3"/>
      <c r="N951" s="3"/>
      <c r="O951" s="3"/>
      <c r="P951" s="8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3"/>
      <c r="B952" s="4"/>
      <c r="C952" s="4"/>
      <c r="D952" s="3"/>
      <c r="E952" s="3"/>
      <c r="F952" s="3"/>
      <c r="G952" s="6"/>
      <c r="H952" s="3"/>
      <c r="I952" s="3"/>
      <c r="J952" s="7"/>
      <c r="K952" s="3"/>
      <c r="L952" s="3"/>
      <c r="M952" s="3"/>
      <c r="N952" s="3"/>
      <c r="O952" s="3"/>
      <c r="P952" s="8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3"/>
      <c r="B953" s="4"/>
      <c r="C953" s="4"/>
      <c r="D953" s="3"/>
      <c r="E953" s="3"/>
      <c r="F953" s="3"/>
      <c r="G953" s="6"/>
      <c r="H953" s="3"/>
      <c r="I953" s="3"/>
      <c r="J953" s="7"/>
      <c r="K953" s="3"/>
      <c r="L953" s="3"/>
      <c r="M953" s="3"/>
      <c r="N953" s="3"/>
      <c r="O953" s="3"/>
      <c r="P953" s="8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3"/>
      <c r="B954" s="4"/>
      <c r="C954" s="4"/>
      <c r="D954" s="3"/>
      <c r="E954" s="3"/>
      <c r="F954" s="3"/>
      <c r="G954" s="6"/>
      <c r="H954" s="3"/>
      <c r="I954" s="3"/>
      <c r="J954" s="7"/>
      <c r="K954" s="3"/>
      <c r="L954" s="3"/>
      <c r="M954" s="3"/>
      <c r="N954" s="3"/>
      <c r="O954" s="3"/>
      <c r="P954" s="8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3"/>
      <c r="B955" s="4"/>
      <c r="C955" s="4"/>
      <c r="D955" s="3"/>
      <c r="E955" s="3"/>
      <c r="F955" s="3"/>
      <c r="G955" s="6"/>
      <c r="H955" s="3"/>
      <c r="I955" s="3"/>
      <c r="J955" s="7"/>
      <c r="K955" s="3"/>
      <c r="L955" s="3"/>
      <c r="M955" s="3"/>
      <c r="N955" s="3"/>
      <c r="O955" s="3"/>
      <c r="P955" s="8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3"/>
      <c r="B956" s="4"/>
      <c r="C956" s="4"/>
      <c r="D956" s="3"/>
      <c r="E956" s="3"/>
      <c r="F956" s="3"/>
      <c r="G956" s="6"/>
      <c r="H956" s="3"/>
      <c r="I956" s="3"/>
      <c r="J956" s="7"/>
      <c r="K956" s="3"/>
      <c r="L956" s="3"/>
      <c r="M956" s="3"/>
      <c r="N956" s="3"/>
      <c r="O956" s="3"/>
      <c r="P956" s="8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3"/>
      <c r="B957" s="4"/>
      <c r="C957" s="4"/>
      <c r="D957" s="3"/>
      <c r="E957" s="3"/>
      <c r="F957" s="3"/>
      <c r="G957" s="6"/>
      <c r="H957" s="3"/>
      <c r="I957" s="3"/>
      <c r="J957" s="7"/>
      <c r="K957" s="3"/>
      <c r="L957" s="3"/>
      <c r="M957" s="3"/>
      <c r="N957" s="3"/>
      <c r="O957" s="3"/>
      <c r="P957" s="8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3"/>
      <c r="B958" s="4"/>
      <c r="C958" s="4"/>
      <c r="D958" s="3"/>
      <c r="E958" s="3"/>
      <c r="F958" s="3"/>
      <c r="G958" s="6"/>
      <c r="H958" s="3"/>
      <c r="I958" s="3"/>
      <c r="J958" s="7"/>
      <c r="K958" s="3"/>
      <c r="L958" s="3"/>
      <c r="M958" s="3"/>
      <c r="N958" s="3"/>
      <c r="O958" s="3"/>
      <c r="P958" s="8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3"/>
      <c r="B959" s="4"/>
      <c r="C959" s="4"/>
      <c r="D959" s="3"/>
      <c r="E959" s="3"/>
      <c r="F959" s="3"/>
      <c r="G959" s="6"/>
      <c r="H959" s="3"/>
      <c r="I959" s="3"/>
      <c r="J959" s="7"/>
      <c r="K959" s="3"/>
      <c r="L959" s="3"/>
      <c r="M959" s="3"/>
      <c r="N959" s="3"/>
      <c r="O959" s="3"/>
      <c r="P959" s="8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3"/>
      <c r="B960" s="4"/>
      <c r="C960" s="4"/>
      <c r="D960" s="3"/>
      <c r="E960" s="3"/>
      <c r="F960" s="3"/>
      <c r="G960" s="6"/>
      <c r="H960" s="3"/>
      <c r="I960" s="3"/>
      <c r="J960" s="7"/>
      <c r="K960" s="3"/>
      <c r="L960" s="3"/>
      <c r="M960" s="3"/>
      <c r="N960" s="3"/>
      <c r="O960" s="3"/>
      <c r="P960" s="8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3"/>
      <c r="B961" s="4"/>
      <c r="C961" s="4"/>
      <c r="D961" s="3"/>
      <c r="E961" s="3"/>
      <c r="F961" s="3"/>
      <c r="G961" s="6"/>
      <c r="H961" s="3"/>
      <c r="I961" s="3"/>
      <c r="J961" s="7"/>
      <c r="K961" s="3"/>
      <c r="L961" s="3"/>
      <c r="M961" s="3"/>
      <c r="N961" s="3"/>
      <c r="O961" s="3"/>
      <c r="P961" s="8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3"/>
      <c r="B962" s="4"/>
      <c r="C962" s="4"/>
      <c r="D962" s="3"/>
      <c r="E962" s="3"/>
      <c r="F962" s="3"/>
      <c r="G962" s="6"/>
      <c r="H962" s="3"/>
      <c r="I962" s="3"/>
      <c r="J962" s="7"/>
      <c r="K962" s="3"/>
      <c r="L962" s="3"/>
      <c r="M962" s="3"/>
      <c r="N962" s="3"/>
      <c r="O962" s="3"/>
      <c r="P962" s="8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3"/>
      <c r="B963" s="4"/>
      <c r="C963" s="4"/>
      <c r="D963" s="3"/>
      <c r="E963" s="3"/>
      <c r="F963" s="3"/>
      <c r="G963" s="6"/>
      <c r="H963" s="3"/>
      <c r="I963" s="3"/>
      <c r="J963" s="7"/>
      <c r="K963" s="3"/>
      <c r="L963" s="3"/>
      <c r="M963" s="3"/>
      <c r="N963" s="3"/>
      <c r="O963" s="3"/>
      <c r="P963" s="8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3"/>
      <c r="B964" s="4"/>
      <c r="C964" s="4"/>
      <c r="D964" s="3"/>
      <c r="E964" s="3"/>
      <c r="F964" s="3"/>
      <c r="G964" s="6"/>
      <c r="H964" s="3"/>
      <c r="I964" s="3"/>
      <c r="J964" s="7"/>
      <c r="K964" s="3"/>
      <c r="L964" s="3"/>
      <c r="M964" s="3"/>
      <c r="N964" s="3"/>
      <c r="O964" s="3"/>
      <c r="P964" s="8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3"/>
      <c r="B965" s="4"/>
      <c r="C965" s="4"/>
      <c r="D965" s="3"/>
      <c r="E965" s="3"/>
      <c r="F965" s="3"/>
      <c r="G965" s="6"/>
      <c r="H965" s="3"/>
      <c r="I965" s="3"/>
      <c r="J965" s="7"/>
      <c r="K965" s="3"/>
      <c r="L965" s="3"/>
      <c r="M965" s="3"/>
      <c r="N965" s="3"/>
      <c r="O965" s="3"/>
      <c r="P965" s="8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3"/>
      <c r="B966" s="4"/>
      <c r="C966" s="4"/>
      <c r="D966" s="3"/>
      <c r="E966" s="3"/>
      <c r="F966" s="3"/>
      <c r="G966" s="6"/>
      <c r="H966" s="3"/>
      <c r="I966" s="3"/>
      <c r="J966" s="7"/>
      <c r="K966" s="3"/>
      <c r="L966" s="3"/>
      <c r="M966" s="3"/>
      <c r="N966" s="3"/>
      <c r="O966" s="3"/>
      <c r="P966" s="8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3"/>
      <c r="B967" s="4"/>
      <c r="C967" s="4"/>
      <c r="D967" s="3"/>
      <c r="E967" s="3"/>
      <c r="F967" s="3"/>
      <c r="G967" s="6"/>
      <c r="H967" s="3"/>
      <c r="I967" s="3"/>
      <c r="J967" s="7"/>
      <c r="K967" s="3"/>
      <c r="L967" s="3"/>
      <c r="M967" s="3"/>
      <c r="N967" s="3"/>
      <c r="O967" s="3"/>
      <c r="P967" s="8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3"/>
      <c r="B968" s="4"/>
      <c r="C968" s="4"/>
      <c r="D968" s="3"/>
      <c r="E968" s="3"/>
      <c r="F968" s="3"/>
      <c r="G968" s="6"/>
      <c r="H968" s="3"/>
      <c r="I968" s="3"/>
      <c r="J968" s="7"/>
      <c r="K968" s="3"/>
      <c r="L968" s="3"/>
      <c r="M968" s="3"/>
      <c r="N968" s="3"/>
      <c r="O968" s="3"/>
      <c r="P968" s="8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3"/>
      <c r="B969" s="4"/>
      <c r="C969" s="4"/>
      <c r="D969" s="3"/>
      <c r="E969" s="3"/>
      <c r="F969" s="3"/>
      <c r="G969" s="6"/>
      <c r="H969" s="3"/>
      <c r="I969" s="3"/>
      <c r="J969" s="7"/>
      <c r="K969" s="3"/>
      <c r="L969" s="3"/>
      <c r="M969" s="3"/>
      <c r="N969" s="3"/>
      <c r="O969" s="3"/>
      <c r="P969" s="8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3"/>
      <c r="B970" s="4"/>
      <c r="C970" s="4"/>
      <c r="D970" s="3"/>
      <c r="E970" s="3"/>
      <c r="F970" s="3"/>
      <c r="G970" s="6"/>
      <c r="H970" s="3"/>
      <c r="I970" s="3"/>
      <c r="J970" s="7"/>
      <c r="K970" s="3"/>
      <c r="L970" s="3"/>
      <c r="M970" s="3"/>
      <c r="N970" s="3"/>
      <c r="O970" s="3"/>
      <c r="P970" s="8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3"/>
      <c r="B971" s="4"/>
      <c r="C971" s="4"/>
      <c r="D971" s="3"/>
      <c r="E971" s="3"/>
      <c r="F971" s="3"/>
      <c r="G971" s="6"/>
      <c r="H971" s="3"/>
      <c r="I971" s="3"/>
      <c r="J971" s="7"/>
      <c r="K971" s="3"/>
      <c r="L971" s="3"/>
      <c r="M971" s="3"/>
      <c r="N971" s="3"/>
      <c r="O971" s="3"/>
      <c r="P971" s="8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3"/>
      <c r="B972" s="4"/>
      <c r="C972" s="4"/>
      <c r="D972" s="3"/>
      <c r="E972" s="3"/>
      <c r="F972" s="3"/>
      <c r="G972" s="6"/>
      <c r="H972" s="3"/>
      <c r="I972" s="3"/>
      <c r="J972" s="7"/>
      <c r="K972" s="3"/>
      <c r="L972" s="3"/>
      <c r="M972" s="3"/>
      <c r="N972" s="3"/>
      <c r="O972" s="3"/>
      <c r="P972" s="8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3"/>
      <c r="B973" s="4"/>
      <c r="C973" s="4"/>
      <c r="D973" s="3"/>
      <c r="E973" s="3"/>
      <c r="F973" s="3"/>
      <c r="G973" s="6"/>
      <c r="H973" s="3"/>
      <c r="I973" s="3"/>
      <c r="J973" s="7"/>
      <c r="K973" s="3"/>
      <c r="L973" s="3"/>
      <c r="M973" s="3"/>
      <c r="N973" s="3"/>
      <c r="O973" s="3"/>
      <c r="P973" s="8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3"/>
      <c r="B974" s="4"/>
      <c r="C974" s="4"/>
      <c r="D974" s="3"/>
      <c r="E974" s="3"/>
      <c r="F974" s="3"/>
      <c r="G974" s="6"/>
      <c r="H974" s="3"/>
      <c r="I974" s="3"/>
      <c r="J974" s="7"/>
      <c r="K974" s="3"/>
      <c r="L974" s="3"/>
      <c r="M974" s="3"/>
      <c r="N974" s="3"/>
      <c r="O974" s="3"/>
      <c r="P974" s="8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3"/>
      <c r="B975" s="4"/>
      <c r="C975" s="4"/>
      <c r="D975" s="3"/>
      <c r="E975" s="3"/>
      <c r="F975" s="3"/>
      <c r="G975" s="6"/>
      <c r="H975" s="3"/>
      <c r="I975" s="3"/>
      <c r="J975" s="7"/>
      <c r="K975" s="3"/>
      <c r="L975" s="3"/>
      <c r="M975" s="3"/>
      <c r="N975" s="3"/>
      <c r="O975" s="3"/>
      <c r="P975" s="8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3"/>
      <c r="B976" s="4"/>
      <c r="C976" s="4"/>
      <c r="D976" s="3"/>
      <c r="E976" s="3"/>
      <c r="F976" s="3"/>
      <c r="G976" s="6"/>
      <c r="H976" s="3"/>
      <c r="I976" s="3"/>
      <c r="J976" s="7"/>
      <c r="K976" s="3"/>
      <c r="L976" s="3"/>
      <c r="M976" s="3"/>
      <c r="N976" s="3"/>
      <c r="O976" s="3"/>
      <c r="P976" s="8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3"/>
      <c r="B977" s="4"/>
      <c r="C977" s="4"/>
      <c r="D977" s="3"/>
      <c r="E977" s="3"/>
      <c r="F977" s="3"/>
      <c r="G977" s="6"/>
      <c r="H977" s="3"/>
      <c r="I977" s="3"/>
      <c r="J977" s="7"/>
      <c r="K977" s="3"/>
      <c r="L977" s="3"/>
      <c r="M977" s="3"/>
      <c r="N977" s="3"/>
      <c r="O977" s="3"/>
      <c r="P977" s="8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3"/>
      <c r="B978" s="4"/>
      <c r="C978" s="4"/>
      <c r="D978" s="3"/>
      <c r="E978" s="3"/>
      <c r="F978" s="3"/>
      <c r="G978" s="6"/>
      <c r="H978" s="3"/>
      <c r="I978" s="3"/>
      <c r="J978" s="7"/>
      <c r="K978" s="3"/>
      <c r="L978" s="3"/>
      <c r="M978" s="3"/>
      <c r="N978" s="3"/>
      <c r="O978" s="3"/>
      <c r="P978" s="8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3"/>
      <c r="B979" s="4"/>
      <c r="C979" s="4"/>
      <c r="D979" s="3"/>
      <c r="E979" s="3"/>
      <c r="F979" s="3"/>
      <c r="G979" s="6"/>
      <c r="H979" s="3"/>
      <c r="I979" s="3"/>
      <c r="J979" s="7"/>
      <c r="K979" s="3"/>
      <c r="L979" s="3"/>
      <c r="M979" s="3"/>
      <c r="N979" s="3"/>
      <c r="O979" s="3"/>
      <c r="P979" s="8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3"/>
      <c r="B980" s="4"/>
      <c r="C980" s="4"/>
      <c r="D980" s="3"/>
      <c r="E980" s="3"/>
      <c r="F980" s="3"/>
      <c r="G980" s="6"/>
      <c r="H980" s="3"/>
      <c r="I980" s="3"/>
      <c r="J980" s="7"/>
      <c r="K980" s="3"/>
      <c r="L980" s="3"/>
      <c r="M980" s="3"/>
      <c r="N980" s="3"/>
      <c r="O980" s="3"/>
      <c r="P980" s="8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3"/>
      <c r="B981" s="4"/>
      <c r="C981" s="4"/>
      <c r="D981" s="3"/>
      <c r="E981" s="3"/>
      <c r="F981" s="3"/>
      <c r="G981" s="6"/>
      <c r="H981" s="3"/>
      <c r="I981" s="3"/>
      <c r="J981" s="7"/>
      <c r="K981" s="3"/>
      <c r="L981" s="3"/>
      <c r="M981" s="3"/>
      <c r="N981" s="3"/>
      <c r="O981" s="3"/>
      <c r="P981" s="8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3"/>
      <c r="B982" s="4"/>
      <c r="C982" s="4"/>
      <c r="D982" s="3"/>
      <c r="E982" s="3"/>
      <c r="F982" s="3"/>
      <c r="G982" s="6"/>
      <c r="H982" s="3"/>
      <c r="I982" s="3"/>
      <c r="J982" s="7"/>
      <c r="K982" s="3"/>
      <c r="L982" s="3"/>
      <c r="M982" s="3"/>
      <c r="N982" s="3"/>
      <c r="O982" s="3"/>
      <c r="P982" s="8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3"/>
      <c r="B983" s="4"/>
      <c r="C983" s="4"/>
      <c r="D983" s="3"/>
      <c r="E983" s="3"/>
      <c r="F983" s="3"/>
      <c r="G983" s="6"/>
      <c r="H983" s="3"/>
      <c r="I983" s="3"/>
      <c r="J983" s="7"/>
      <c r="K983" s="3"/>
      <c r="L983" s="3"/>
      <c r="M983" s="3"/>
      <c r="N983" s="3"/>
      <c r="O983" s="3"/>
      <c r="P983" s="8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3"/>
      <c r="B984" s="4"/>
      <c r="C984" s="4"/>
      <c r="D984" s="3"/>
      <c r="E984" s="3"/>
      <c r="F984" s="3"/>
      <c r="G984" s="6"/>
      <c r="H984" s="3"/>
      <c r="I984" s="3"/>
      <c r="J984" s="7"/>
      <c r="K984" s="3"/>
      <c r="L984" s="3"/>
      <c r="M984" s="3"/>
      <c r="N984" s="3"/>
      <c r="O984" s="3"/>
      <c r="P984" s="8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3"/>
      <c r="B985" s="4"/>
      <c r="C985" s="4"/>
      <c r="D985" s="3"/>
      <c r="E985" s="3"/>
      <c r="F985" s="3"/>
      <c r="G985" s="6"/>
      <c r="H985" s="3"/>
      <c r="I985" s="3"/>
      <c r="J985" s="7"/>
      <c r="K985" s="3"/>
      <c r="L985" s="3"/>
      <c r="M985" s="3"/>
      <c r="N985" s="3"/>
      <c r="O985" s="3"/>
      <c r="P985" s="8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3"/>
      <c r="B986" s="4"/>
      <c r="C986" s="4"/>
      <c r="D986" s="3"/>
      <c r="E986" s="3"/>
      <c r="F986" s="3"/>
      <c r="G986" s="6"/>
      <c r="H986" s="3"/>
      <c r="I986" s="3"/>
      <c r="J986" s="7"/>
      <c r="K986" s="3"/>
      <c r="L986" s="3"/>
      <c r="M986" s="3"/>
      <c r="N986" s="3"/>
      <c r="O986" s="3"/>
      <c r="P986" s="8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3"/>
      <c r="B987" s="4"/>
      <c r="C987" s="4"/>
      <c r="D987" s="3"/>
      <c r="E987" s="3"/>
      <c r="F987" s="3"/>
      <c r="G987" s="6"/>
      <c r="H987" s="3"/>
      <c r="I987" s="3"/>
      <c r="J987" s="7"/>
      <c r="K987" s="3"/>
      <c r="L987" s="3"/>
      <c r="M987" s="3"/>
      <c r="N987" s="3"/>
      <c r="O987" s="3"/>
      <c r="P987" s="8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3"/>
      <c r="B988" s="4"/>
      <c r="C988" s="4"/>
      <c r="D988" s="3"/>
      <c r="E988" s="3"/>
      <c r="F988" s="3"/>
      <c r="G988" s="6"/>
      <c r="H988" s="3"/>
      <c r="I988" s="3"/>
      <c r="J988" s="7"/>
      <c r="K988" s="3"/>
      <c r="L988" s="3"/>
      <c r="M988" s="3"/>
      <c r="N988" s="3"/>
      <c r="O988" s="3"/>
      <c r="P988" s="8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3"/>
      <c r="B989" s="4"/>
      <c r="C989" s="4"/>
      <c r="D989" s="3"/>
      <c r="E989" s="3"/>
      <c r="F989" s="3"/>
      <c r="G989" s="6"/>
      <c r="H989" s="3"/>
      <c r="I989" s="3"/>
      <c r="J989" s="7"/>
      <c r="K989" s="3"/>
      <c r="L989" s="3"/>
      <c r="M989" s="3"/>
      <c r="N989" s="3"/>
      <c r="O989" s="3"/>
      <c r="P989" s="8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3"/>
      <c r="B990" s="4"/>
      <c r="C990" s="4"/>
      <c r="D990" s="3"/>
      <c r="E990" s="3"/>
      <c r="F990" s="3"/>
      <c r="G990" s="6"/>
      <c r="H990" s="3"/>
      <c r="I990" s="3"/>
      <c r="J990" s="7"/>
      <c r="K990" s="3"/>
      <c r="L990" s="3"/>
      <c r="M990" s="3"/>
      <c r="N990" s="3"/>
      <c r="O990" s="3"/>
      <c r="P990" s="8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3"/>
      <c r="B991" s="4"/>
      <c r="C991" s="4"/>
      <c r="D991" s="3"/>
      <c r="E991" s="3"/>
      <c r="F991" s="3"/>
      <c r="G991" s="6"/>
      <c r="H991" s="3"/>
      <c r="I991" s="3"/>
      <c r="J991" s="7"/>
      <c r="K991" s="3"/>
      <c r="L991" s="3"/>
      <c r="M991" s="3"/>
      <c r="N991" s="3"/>
      <c r="O991" s="3"/>
      <c r="P991" s="8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3"/>
      <c r="B992" s="4"/>
      <c r="C992" s="4"/>
      <c r="D992" s="3"/>
      <c r="E992" s="3"/>
      <c r="F992" s="3"/>
      <c r="G992" s="6"/>
      <c r="H992" s="3"/>
      <c r="I992" s="3"/>
      <c r="J992" s="7"/>
      <c r="K992" s="3"/>
      <c r="L992" s="3"/>
      <c r="M992" s="3"/>
      <c r="N992" s="3"/>
      <c r="O992" s="3"/>
      <c r="P992" s="8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3"/>
      <c r="B993" s="4"/>
      <c r="C993" s="4"/>
      <c r="D993" s="3"/>
      <c r="E993" s="3"/>
      <c r="F993" s="3"/>
      <c r="G993" s="6"/>
      <c r="H993" s="3"/>
      <c r="I993" s="3"/>
      <c r="J993" s="7"/>
      <c r="K993" s="3"/>
      <c r="L993" s="3"/>
      <c r="M993" s="3"/>
      <c r="N993" s="3"/>
      <c r="O993" s="3"/>
      <c r="P993" s="8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3"/>
      <c r="B994" s="4"/>
      <c r="C994" s="4"/>
      <c r="D994" s="3"/>
      <c r="E994" s="3"/>
      <c r="F994" s="3"/>
      <c r="G994" s="6"/>
      <c r="H994" s="3"/>
      <c r="I994" s="3"/>
      <c r="J994" s="7"/>
      <c r="K994" s="3"/>
      <c r="L994" s="3"/>
      <c r="M994" s="3"/>
      <c r="N994" s="3"/>
      <c r="O994" s="3"/>
      <c r="P994" s="8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3"/>
      <c r="B995" s="4"/>
      <c r="C995" s="4"/>
      <c r="D995" s="3"/>
      <c r="E995" s="3"/>
      <c r="F995" s="3"/>
      <c r="G995" s="6"/>
      <c r="H995" s="3"/>
      <c r="I995" s="3"/>
      <c r="J995" s="7"/>
      <c r="K995" s="3"/>
      <c r="L995" s="3"/>
      <c r="M995" s="3"/>
      <c r="N995" s="3"/>
      <c r="O995" s="3"/>
      <c r="P995" s="8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3"/>
      <c r="B996" s="4"/>
      <c r="C996" s="4"/>
      <c r="D996" s="3"/>
      <c r="E996" s="3"/>
      <c r="F996" s="3"/>
      <c r="G996" s="6"/>
      <c r="H996" s="3"/>
      <c r="I996" s="3"/>
      <c r="J996" s="7"/>
      <c r="K996" s="3"/>
      <c r="L996" s="3"/>
      <c r="M996" s="3"/>
      <c r="N996" s="3"/>
      <c r="O996" s="3"/>
      <c r="P996" s="8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3"/>
      <c r="B997" s="4"/>
      <c r="C997" s="4"/>
      <c r="D997" s="3"/>
      <c r="E997" s="3"/>
      <c r="F997" s="3"/>
      <c r="G997" s="6"/>
      <c r="H997" s="3"/>
      <c r="I997" s="3"/>
      <c r="J997" s="7"/>
      <c r="K997" s="3"/>
      <c r="L997" s="3"/>
      <c r="M997" s="3"/>
      <c r="N997" s="3"/>
      <c r="O997" s="3"/>
      <c r="P997" s="8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3"/>
      <c r="B998" s="4"/>
      <c r="C998" s="4"/>
      <c r="D998" s="3"/>
      <c r="E998" s="3"/>
      <c r="F998" s="3"/>
      <c r="G998" s="6"/>
      <c r="H998" s="3"/>
      <c r="I998" s="3"/>
      <c r="J998" s="7"/>
      <c r="K998" s="3"/>
      <c r="L998" s="3"/>
      <c r="M998" s="3"/>
      <c r="N998" s="3"/>
      <c r="O998" s="3"/>
      <c r="P998" s="8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3"/>
      <c r="B999" s="4"/>
      <c r="C999" s="4"/>
      <c r="D999" s="3"/>
      <c r="E999" s="3"/>
      <c r="F999" s="3"/>
      <c r="G999" s="6"/>
      <c r="H999" s="3"/>
      <c r="I999" s="3"/>
      <c r="J999" s="7"/>
      <c r="K999" s="3"/>
      <c r="L999" s="3"/>
      <c r="M999" s="3"/>
      <c r="N999" s="3"/>
      <c r="O999" s="3"/>
      <c r="P999" s="8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3"/>
      <c r="B1000" s="4"/>
      <c r="C1000" s="4"/>
      <c r="D1000" s="3"/>
      <c r="E1000" s="3"/>
      <c r="F1000" s="3"/>
      <c r="G1000" s="6"/>
      <c r="H1000" s="3"/>
      <c r="I1000" s="3"/>
      <c r="J1000" s="7"/>
      <c r="K1000" s="3"/>
      <c r="L1000" s="3"/>
      <c r="M1000" s="3"/>
      <c r="N1000" s="3"/>
      <c r="O1000" s="3"/>
      <c r="P1000" s="8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3"/>
      <c r="B1001" s="4"/>
      <c r="C1001" s="4"/>
      <c r="D1001" s="3"/>
      <c r="E1001" s="3"/>
      <c r="F1001" s="3"/>
      <c r="G1001" s="6"/>
      <c r="H1001" s="3"/>
      <c r="I1001" s="3"/>
      <c r="J1001" s="7"/>
      <c r="K1001" s="3"/>
      <c r="L1001" s="3"/>
      <c r="M1001" s="3"/>
      <c r="N1001" s="3"/>
      <c r="O1001" s="3"/>
      <c r="P1001" s="8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3"/>
      <c r="B1002" s="4"/>
      <c r="C1002" s="4"/>
      <c r="D1002" s="3"/>
      <c r="E1002" s="3"/>
      <c r="F1002" s="3"/>
      <c r="G1002" s="6"/>
      <c r="H1002" s="3"/>
      <c r="I1002" s="3"/>
      <c r="J1002" s="7"/>
      <c r="K1002" s="3"/>
      <c r="L1002" s="3"/>
      <c r="M1002" s="3"/>
      <c r="N1002" s="3"/>
      <c r="O1002" s="3"/>
      <c r="P1002" s="8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ht="15.75" customHeight="1">
      <c r="A1003" s="3"/>
      <c r="B1003" s="4"/>
      <c r="C1003" s="4"/>
      <c r="D1003" s="3"/>
      <c r="E1003" s="3"/>
      <c r="F1003" s="3"/>
      <c r="G1003" s="6"/>
      <c r="H1003" s="3"/>
      <c r="I1003" s="3"/>
      <c r="J1003" s="7"/>
      <c r="K1003" s="3"/>
      <c r="L1003" s="3"/>
      <c r="M1003" s="3"/>
      <c r="N1003" s="3"/>
      <c r="O1003" s="3"/>
      <c r="P1003" s="8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ht="15.75" customHeight="1">
      <c r="A1004" s="3"/>
      <c r="B1004" s="4"/>
      <c r="C1004" s="4"/>
      <c r="D1004" s="3"/>
      <c r="E1004" s="3"/>
      <c r="F1004" s="3"/>
      <c r="G1004" s="6"/>
      <c r="H1004" s="3"/>
      <c r="I1004" s="3"/>
      <c r="J1004" s="7"/>
      <c r="K1004" s="3"/>
      <c r="L1004" s="3"/>
      <c r="M1004" s="3"/>
      <c r="N1004" s="3"/>
      <c r="O1004" s="3"/>
      <c r="P1004" s="8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ht="15.75" customHeight="1">
      <c r="A1005" s="3"/>
      <c r="B1005" s="4"/>
      <c r="C1005" s="4"/>
      <c r="D1005" s="3"/>
      <c r="E1005" s="3"/>
      <c r="F1005" s="3"/>
      <c r="G1005" s="6"/>
      <c r="H1005" s="3"/>
      <c r="I1005" s="3"/>
      <c r="J1005" s="7"/>
      <c r="K1005" s="3"/>
      <c r="L1005" s="3"/>
      <c r="M1005" s="3"/>
      <c r="N1005" s="3"/>
      <c r="O1005" s="3"/>
      <c r="P1005" s="8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ht="15.75" customHeight="1">
      <c r="A1006" s="3"/>
      <c r="B1006" s="4"/>
      <c r="C1006" s="4"/>
      <c r="D1006" s="3"/>
      <c r="E1006" s="3"/>
      <c r="F1006" s="3"/>
      <c r="G1006" s="6"/>
      <c r="H1006" s="3"/>
      <c r="I1006" s="3"/>
      <c r="J1006" s="7"/>
      <c r="K1006" s="3"/>
      <c r="L1006" s="3"/>
      <c r="M1006" s="3"/>
      <c r="N1006" s="3"/>
      <c r="O1006" s="3"/>
      <c r="P1006" s="8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ht="15.75" customHeight="1">
      <c r="A1007" s="3"/>
      <c r="B1007" s="4"/>
      <c r="C1007" s="4"/>
      <c r="D1007" s="3"/>
      <c r="E1007" s="3"/>
      <c r="F1007" s="3"/>
      <c r="G1007" s="6"/>
      <c r="H1007" s="3"/>
      <c r="I1007" s="3"/>
      <c r="J1007" s="7"/>
      <c r="K1007" s="3"/>
      <c r="L1007" s="3"/>
      <c r="M1007" s="3"/>
      <c r="N1007" s="3"/>
      <c r="O1007" s="3"/>
      <c r="P1007" s="8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ht="15.75" customHeight="1">
      <c r="A1008" s="3"/>
      <c r="B1008" s="4"/>
      <c r="C1008" s="4"/>
      <c r="D1008" s="3"/>
      <c r="E1008" s="3"/>
      <c r="F1008" s="3"/>
      <c r="G1008" s="6"/>
      <c r="H1008" s="3"/>
      <c r="I1008" s="3"/>
      <c r="J1008" s="7"/>
      <c r="K1008" s="3"/>
      <c r="L1008" s="3"/>
      <c r="M1008" s="3"/>
      <c r="N1008" s="3"/>
      <c r="O1008" s="3"/>
      <c r="P1008" s="8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ht="15.75" customHeight="1">
      <c r="A1009" s="3"/>
      <c r="B1009" s="4"/>
      <c r="C1009" s="4"/>
      <c r="D1009" s="3"/>
      <c r="E1009" s="3"/>
      <c r="F1009" s="3"/>
      <c r="G1009" s="6"/>
      <c r="H1009" s="3"/>
      <c r="I1009" s="3"/>
      <c r="J1009" s="7"/>
      <c r="K1009" s="3"/>
      <c r="L1009" s="3"/>
      <c r="M1009" s="3"/>
      <c r="N1009" s="3"/>
      <c r="O1009" s="3"/>
      <c r="P1009" s="8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ht="15.75" customHeight="1">
      <c r="A1010" s="3"/>
      <c r="B1010" s="4"/>
      <c r="C1010" s="4"/>
      <c r="D1010" s="3"/>
      <c r="E1010" s="3"/>
      <c r="F1010" s="3"/>
      <c r="G1010" s="6"/>
      <c r="H1010" s="3"/>
      <c r="I1010" s="3"/>
      <c r="J1010" s="7"/>
      <c r="K1010" s="3"/>
      <c r="L1010" s="3"/>
      <c r="M1010" s="3"/>
      <c r="N1010" s="3"/>
      <c r="O1010" s="3"/>
      <c r="P1010" s="8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ht="15.75" customHeight="1">
      <c r="A1011" s="3"/>
      <c r="B1011" s="4"/>
      <c r="C1011" s="4"/>
      <c r="D1011" s="3"/>
      <c r="E1011" s="3"/>
      <c r="F1011" s="3"/>
      <c r="G1011" s="6"/>
      <c r="H1011" s="3"/>
      <c r="I1011" s="3"/>
      <c r="J1011" s="7"/>
      <c r="K1011" s="3"/>
      <c r="L1011" s="3"/>
      <c r="M1011" s="3"/>
      <c r="N1011" s="3"/>
      <c r="O1011" s="3"/>
      <c r="P1011" s="8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ht="15.75" customHeight="1">
      <c r="A1012" s="3"/>
      <c r="B1012" s="4"/>
      <c r="C1012" s="4"/>
      <c r="D1012" s="3"/>
      <c r="E1012" s="3"/>
      <c r="F1012" s="3"/>
      <c r="G1012" s="6"/>
      <c r="H1012" s="3"/>
      <c r="I1012" s="3"/>
      <c r="J1012" s="7"/>
      <c r="K1012" s="3"/>
      <c r="L1012" s="3"/>
      <c r="M1012" s="3"/>
      <c r="N1012" s="3"/>
      <c r="O1012" s="3"/>
      <c r="P1012" s="8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ht="15.75" customHeight="1">
      <c r="A1013" s="3"/>
      <c r="B1013" s="4"/>
      <c r="C1013" s="4"/>
      <c r="D1013" s="3"/>
      <c r="E1013" s="3"/>
      <c r="F1013" s="3"/>
      <c r="G1013" s="6"/>
      <c r="H1013" s="3"/>
      <c r="I1013" s="3"/>
      <c r="J1013" s="7"/>
      <c r="K1013" s="3"/>
      <c r="L1013" s="3"/>
      <c r="M1013" s="3"/>
      <c r="N1013" s="3"/>
      <c r="O1013" s="3"/>
      <c r="P1013" s="8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ht="15.75" customHeight="1">
      <c r="A1014" s="3"/>
      <c r="B1014" s="4"/>
      <c r="C1014" s="4"/>
      <c r="D1014" s="3"/>
      <c r="E1014" s="3"/>
      <c r="F1014" s="3"/>
      <c r="G1014" s="6"/>
      <c r="H1014" s="3"/>
      <c r="I1014" s="3"/>
      <c r="J1014" s="7"/>
      <c r="K1014" s="3"/>
      <c r="L1014" s="3"/>
      <c r="M1014" s="3"/>
      <c r="N1014" s="3"/>
      <c r="O1014" s="3"/>
      <c r="P1014" s="8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ht="15.75" customHeight="1">
      <c r="A1015" s="3"/>
      <c r="B1015" s="4"/>
      <c r="C1015" s="4"/>
      <c r="D1015" s="3"/>
      <c r="E1015" s="3"/>
      <c r="F1015" s="3"/>
      <c r="G1015" s="6"/>
      <c r="H1015" s="3"/>
      <c r="I1015" s="3"/>
      <c r="J1015" s="7"/>
      <c r="K1015" s="3"/>
      <c r="L1015" s="3"/>
      <c r="M1015" s="3"/>
      <c r="N1015" s="3"/>
      <c r="O1015" s="3"/>
      <c r="P1015" s="8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ht="15.75" customHeight="1">
      <c r="A1016" s="3"/>
      <c r="B1016" s="4"/>
      <c r="C1016" s="4"/>
      <c r="D1016" s="3"/>
      <c r="E1016" s="3"/>
      <c r="F1016" s="3"/>
      <c r="G1016" s="6"/>
      <c r="H1016" s="3"/>
      <c r="I1016" s="3"/>
      <c r="J1016" s="7"/>
      <c r="K1016" s="3"/>
      <c r="L1016" s="3"/>
      <c r="M1016" s="3"/>
      <c r="N1016" s="3"/>
      <c r="O1016" s="3"/>
      <c r="P1016" s="8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ht="15.75" customHeight="1">
      <c r="A1017" s="3"/>
      <c r="B1017" s="4"/>
      <c r="C1017" s="4"/>
      <c r="D1017" s="3"/>
      <c r="E1017" s="3"/>
      <c r="F1017" s="3"/>
      <c r="G1017" s="6"/>
      <c r="H1017" s="3"/>
      <c r="I1017" s="3"/>
      <c r="J1017" s="7"/>
      <c r="K1017" s="3"/>
      <c r="L1017" s="3"/>
      <c r="M1017" s="3"/>
      <c r="N1017" s="3"/>
      <c r="O1017" s="3"/>
      <c r="P1017" s="8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ht="15.75" customHeight="1">
      <c r="A1018" s="3"/>
      <c r="B1018" s="4"/>
      <c r="C1018" s="4"/>
      <c r="D1018" s="3"/>
      <c r="E1018" s="3"/>
      <c r="F1018" s="3"/>
      <c r="G1018" s="6"/>
      <c r="H1018" s="3"/>
      <c r="I1018" s="3"/>
      <c r="J1018" s="7"/>
      <c r="K1018" s="3"/>
      <c r="L1018" s="3"/>
      <c r="M1018" s="3"/>
      <c r="N1018" s="3"/>
      <c r="O1018" s="3"/>
      <c r="P1018" s="8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ht="15.75" customHeight="1">
      <c r="A1019" s="3"/>
      <c r="B1019" s="4"/>
      <c r="C1019" s="4"/>
      <c r="D1019" s="3"/>
      <c r="E1019" s="3"/>
      <c r="F1019" s="3"/>
      <c r="G1019" s="6"/>
      <c r="H1019" s="3"/>
      <c r="I1019" s="3"/>
      <c r="J1019" s="7"/>
      <c r="K1019" s="3"/>
      <c r="L1019" s="3"/>
      <c r="M1019" s="3"/>
      <c r="N1019" s="3"/>
      <c r="O1019" s="3"/>
      <c r="P1019" s="8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ht="15.75" customHeight="1">
      <c r="A1020" s="3"/>
      <c r="B1020" s="4"/>
      <c r="C1020" s="4"/>
      <c r="D1020" s="3"/>
      <c r="E1020" s="3"/>
      <c r="F1020" s="3"/>
      <c r="G1020" s="6"/>
      <c r="H1020" s="3"/>
      <c r="I1020" s="3"/>
      <c r="J1020" s="7"/>
      <c r="K1020" s="3"/>
      <c r="L1020" s="3"/>
      <c r="M1020" s="3"/>
      <c r="N1020" s="3"/>
      <c r="O1020" s="3"/>
      <c r="P1020" s="8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ht="15.75" customHeight="1">
      <c r="A1021" s="3"/>
      <c r="B1021" s="4"/>
      <c r="C1021" s="4"/>
      <c r="D1021" s="3"/>
      <c r="E1021" s="3"/>
      <c r="F1021" s="3"/>
      <c r="G1021" s="6"/>
      <c r="H1021" s="3"/>
      <c r="I1021" s="3"/>
      <c r="J1021" s="7"/>
      <c r="K1021" s="3"/>
      <c r="L1021" s="3"/>
      <c r="M1021" s="3"/>
      <c r="N1021" s="3"/>
      <c r="O1021" s="3"/>
      <c r="P1021" s="8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ht="15.75" customHeight="1">
      <c r="A1022" s="3"/>
      <c r="B1022" s="4"/>
      <c r="C1022" s="4"/>
      <c r="D1022" s="3"/>
      <c r="E1022" s="3"/>
      <c r="F1022" s="3"/>
      <c r="G1022" s="6"/>
      <c r="H1022" s="3"/>
      <c r="I1022" s="3"/>
      <c r="J1022" s="7"/>
      <c r="K1022" s="3"/>
      <c r="L1022" s="3"/>
      <c r="M1022" s="3"/>
      <c r="N1022" s="3"/>
      <c r="O1022" s="3"/>
      <c r="P1022" s="8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ht="15.75" customHeight="1">
      <c r="A1023" s="3"/>
      <c r="B1023" s="4"/>
      <c r="C1023" s="4"/>
      <c r="D1023" s="3"/>
      <c r="E1023" s="3"/>
      <c r="F1023" s="3"/>
      <c r="G1023" s="6"/>
      <c r="H1023" s="3"/>
      <c r="I1023" s="3"/>
      <c r="J1023" s="7"/>
      <c r="K1023" s="3"/>
      <c r="L1023" s="3"/>
      <c r="M1023" s="3"/>
      <c r="N1023" s="3"/>
      <c r="O1023" s="3"/>
      <c r="P1023" s="8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ht="15.75" customHeight="1">
      <c r="A1024" s="3"/>
      <c r="B1024" s="4"/>
      <c r="C1024" s="4"/>
      <c r="D1024" s="3"/>
      <c r="E1024" s="3"/>
      <c r="F1024" s="3"/>
      <c r="G1024" s="6"/>
      <c r="H1024" s="3"/>
      <c r="I1024" s="3"/>
      <c r="J1024" s="7"/>
      <c r="K1024" s="3"/>
      <c r="L1024" s="3"/>
      <c r="M1024" s="3"/>
      <c r="N1024" s="3"/>
      <c r="O1024" s="3"/>
      <c r="P1024" s="8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ht="15.75" customHeight="1">
      <c r="A1025" s="3"/>
      <c r="B1025" s="4"/>
      <c r="C1025" s="4"/>
      <c r="D1025" s="3"/>
      <c r="E1025" s="3"/>
      <c r="F1025" s="3"/>
      <c r="G1025" s="6"/>
      <c r="H1025" s="3"/>
      <c r="I1025" s="3"/>
      <c r="J1025" s="7"/>
      <c r="K1025" s="3"/>
      <c r="L1025" s="3"/>
      <c r="M1025" s="3"/>
      <c r="N1025" s="3"/>
      <c r="O1025" s="3"/>
      <c r="P1025" s="8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ht="15.75" customHeight="1">
      <c r="A1026" s="3"/>
      <c r="B1026" s="4"/>
      <c r="C1026" s="4"/>
      <c r="D1026" s="3"/>
      <c r="E1026" s="3"/>
      <c r="F1026" s="3"/>
      <c r="G1026" s="6"/>
      <c r="H1026" s="3"/>
      <c r="I1026" s="3"/>
      <c r="J1026" s="7"/>
      <c r="K1026" s="3"/>
      <c r="L1026" s="3"/>
      <c r="M1026" s="3"/>
      <c r="N1026" s="3"/>
      <c r="O1026" s="3"/>
      <c r="P1026" s="8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ht="15.75" customHeight="1">
      <c r="A1027" s="3"/>
      <c r="B1027" s="4"/>
      <c r="C1027" s="4"/>
      <c r="D1027" s="3"/>
      <c r="E1027" s="3"/>
      <c r="F1027" s="3"/>
      <c r="G1027" s="6"/>
      <c r="H1027" s="3"/>
      <c r="I1027" s="3"/>
      <c r="J1027" s="7"/>
      <c r="K1027" s="3"/>
      <c r="L1027" s="3"/>
      <c r="M1027" s="3"/>
      <c r="N1027" s="3"/>
      <c r="O1027" s="3"/>
      <c r="P1027" s="8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 ht="15.75" customHeight="1">
      <c r="A1028" s="3"/>
      <c r="B1028" s="4"/>
      <c r="C1028" s="4"/>
      <c r="D1028" s="3"/>
      <c r="E1028" s="3"/>
      <c r="F1028" s="3"/>
      <c r="G1028" s="6"/>
      <c r="H1028" s="3"/>
      <c r="I1028" s="3"/>
      <c r="J1028" s="7"/>
      <c r="K1028" s="3"/>
      <c r="L1028" s="3"/>
      <c r="M1028" s="3"/>
      <c r="N1028" s="3"/>
      <c r="O1028" s="3"/>
      <c r="P1028" s="8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 ht="15.75" customHeight="1">
      <c r="A1029" s="3"/>
      <c r="B1029" s="4"/>
      <c r="C1029" s="4"/>
      <c r="D1029" s="3"/>
      <c r="E1029" s="3"/>
      <c r="F1029" s="3"/>
      <c r="G1029" s="6"/>
      <c r="H1029" s="3"/>
      <c r="I1029" s="3"/>
      <c r="J1029" s="7"/>
      <c r="K1029" s="3"/>
      <c r="L1029" s="3"/>
      <c r="M1029" s="3"/>
      <c r="N1029" s="3"/>
      <c r="O1029" s="3"/>
      <c r="P1029" s="8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 ht="15.75" customHeight="1">
      <c r="A1030" s="3"/>
      <c r="B1030" s="4"/>
      <c r="C1030" s="4"/>
      <c r="D1030" s="3"/>
      <c r="E1030" s="3"/>
      <c r="F1030" s="3"/>
      <c r="G1030" s="6"/>
      <c r="H1030" s="3"/>
      <c r="I1030" s="3"/>
      <c r="J1030" s="7"/>
      <c r="K1030" s="3"/>
      <c r="L1030" s="3"/>
      <c r="M1030" s="3"/>
      <c r="N1030" s="3"/>
      <c r="O1030" s="3"/>
      <c r="P1030" s="8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 ht="15.75" customHeight="1">
      <c r="A1031" s="3"/>
      <c r="B1031" s="4"/>
      <c r="C1031" s="4"/>
      <c r="D1031" s="3"/>
      <c r="E1031" s="3"/>
      <c r="F1031" s="3"/>
      <c r="G1031" s="6"/>
      <c r="H1031" s="3"/>
      <c r="I1031" s="3"/>
      <c r="J1031" s="7"/>
      <c r="K1031" s="3"/>
      <c r="L1031" s="3"/>
      <c r="M1031" s="3"/>
      <c r="N1031" s="3"/>
      <c r="O1031" s="3"/>
      <c r="P1031" s="8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 ht="15.75" customHeight="1">
      <c r="A1032" s="3"/>
      <c r="B1032" s="4"/>
      <c r="C1032" s="4"/>
      <c r="D1032" s="3"/>
      <c r="E1032" s="3"/>
      <c r="F1032" s="3"/>
      <c r="G1032" s="6"/>
      <c r="H1032" s="3"/>
      <c r="I1032" s="3"/>
      <c r="J1032" s="7"/>
      <c r="K1032" s="3"/>
      <c r="L1032" s="3"/>
      <c r="M1032" s="3"/>
      <c r="N1032" s="3"/>
      <c r="O1032" s="3"/>
      <c r="P1032" s="8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 ht="15.75" customHeight="1">
      <c r="A1033" s="3"/>
      <c r="B1033" s="4"/>
      <c r="C1033" s="4"/>
      <c r="D1033" s="3"/>
      <c r="E1033" s="3"/>
      <c r="F1033" s="3"/>
      <c r="G1033" s="6"/>
      <c r="H1033" s="3"/>
      <c r="I1033" s="3"/>
      <c r="J1033" s="7"/>
      <c r="K1033" s="3"/>
      <c r="L1033" s="3"/>
      <c r="M1033" s="3"/>
      <c r="N1033" s="3"/>
      <c r="O1033" s="3"/>
      <c r="P1033" s="8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 ht="15.75" customHeight="1">
      <c r="A1034" s="3"/>
      <c r="B1034" s="4"/>
      <c r="C1034" s="4"/>
      <c r="D1034" s="3"/>
      <c r="E1034" s="3"/>
      <c r="F1034" s="3"/>
      <c r="G1034" s="6"/>
      <c r="H1034" s="3"/>
      <c r="I1034" s="3"/>
      <c r="J1034" s="7"/>
      <c r="K1034" s="3"/>
      <c r="L1034" s="3"/>
      <c r="M1034" s="3"/>
      <c r="N1034" s="3"/>
      <c r="O1034" s="3"/>
      <c r="P1034" s="8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 ht="15.75" customHeight="1">
      <c r="A1035" s="3"/>
      <c r="B1035" s="4"/>
      <c r="C1035" s="4"/>
      <c r="D1035" s="3"/>
      <c r="E1035" s="3"/>
      <c r="F1035" s="3"/>
      <c r="G1035" s="6"/>
      <c r="H1035" s="3"/>
      <c r="I1035" s="3"/>
      <c r="J1035" s="7"/>
      <c r="K1035" s="3"/>
      <c r="L1035" s="3"/>
      <c r="M1035" s="3"/>
      <c r="N1035" s="3"/>
      <c r="O1035" s="3"/>
      <c r="P1035" s="8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 ht="15.75" customHeight="1">
      <c r="A1036" s="3"/>
      <c r="B1036" s="4"/>
      <c r="C1036" s="4"/>
      <c r="D1036" s="3"/>
      <c r="E1036" s="3"/>
      <c r="F1036" s="3"/>
      <c r="G1036" s="6"/>
      <c r="H1036" s="3"/>
      <c r="I1036" s="3"/>
      <c r="J1036" s="7"/>
      <c r="K1036" s="3"/>
      <c r="L1036" s="3"/>
      <c r="M1036" s="3"/>
      <c r="N1036" s="3"/>
      <c r="O1036" s="3"/>
      <c r="P1036" s="8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 ht="15.75" customHeight="1">
      <c r="A1037" s="3"/>
      <c r="B1037" s="4"/>
      <c r="C1037" s="4"/>
      <c r="D1037" s="3"/>
      <c r="E1037" s="3"/>
      <c r="F1037" s="3"/>
      <c r="G1037" s="6"/>
      <c r="H1037" s="3"/>
      <c r="I1037" s="3"/>
      <c r="J1037" s="7"/>
      <c r="K1037" s="3"/>
      <c r="L1037" s="3"/>
      <c r="M1037" s="3"/>
      <c r="N1037" s="3"/>
      <c r="O1037" s="3"/>
      <c r="P1037" s="8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 ht="15.75" customHeight="1">
      <c r="A1038" s="3"/>
      <c r="B1038" s="4"/>
      <c r="C1038" s="4"/>
      <c r="D1038" s="3"/>
      <c r="E1038" s="3"/>
      <c r="F1038" s="3"/>
      <c r="G1038" s="6"/>
      <c r="H1038" s="3"/>
      <c r="I1038" s="3"/>
      <c r="J1038" s="7"/>
      <c r="K1038" s="3"/>
      <c r="L1038" s="3"/>
      <c r="M1038" s="3"/>
      <c r="N1038" s="3"/>
      <c r="O1038" s="3"/>
      <c r="P1038" s="8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 ht="15.75" customHeight="1">
      <c r="A1039" s="3"/>
      <c r="B1039" s="4"/>
      <c r="C1039" s="4"/>
      <c r="D1039" s="3"/>
      <c r="E1039" s="3"/>
      <c r="F1039" s="3"/>
      <c r="G1039" s="6"/>
      <c r="H1039" s="3"/>
      <c r="I1039" s="3"/>
      <c r="J1039" s="7"/>
      <c r="K1039" s="3"/>
      <c r="L1039" s="3"/>
      <c r="M1039" s="3"/>
      <c r="N1039" s="3"/>
      <c r="O1039" s="3"/>
      <c r="P1039" s="8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 ht="15.75" customHeight="1">
      <c r="A1040" s="3"/>
      <c r="B1040" s="4"/>
      <c r="C1040" s="4"/>
      <c r="D1040" s="3"/>
      <c r="E1040" s="3"/>
      <c r="F1040" s="3"/>
      <c r="G1040" s="6"/>
      <c r="H1040" s="3"/>
      <c r="I1040" s="3"/>
      <c r="J1040" s="7"/>
      <c r="K1040" s="3"/>
      <c r="L1040" s="3"/>
      <c r="M1040" s="3"/>
      <c r="N1040" s="3"/>
      <c r="O1040" s="3"/>
      <c r="P1040" s="8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 ht="15.75" customHeight="1">
      <c r="A1041" s="3"/>
      <c r="B1041" s="4"/>
      <c r="C1041" s="4"/>
      <c r="D1041" s="3"/>
      <c r="E1041" s="3"/>
      <c r="F1041" s="3"/>
      <c r="G1041" s="6"/>
      <c r="H1041" s="3"/>
      <c r="I1041" s="3"/>
      <c r="J1041" s="7"/>
      <c r="K1041" s="3"/>
      <c r="L1041" s="3"/>
      <c r="M1041" s="3"/>
      <c r="N1041" s="3"/>
      <c r="O1041" s="3"/>
      <c r="P1041" s="8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 ht="15.75" customHeight="1">
      <c r="A1042" s="3"/>
      <c r="B1042" s="4"/>
      <c r="C1042" s="4"/>
      <c r="D1042" s="3"/>
      <c r="E1042" s="3"/>
      <c r="F1042" s="3"/>
      <c r="G1042" s="6"/>
      <c r="H1042" s="3"/>
      <c r="I1042" s="3"/>
      <c r="J1042" s="7"/>
      <c r="K1042" s="3"/>
      <c r="L1042" s="3"/>
      <c r="M1042" s="3"/>
      <c r="N1042" s="3"/>
      <c r="O1042" s="3"/>
      <c r="P1042" s="8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 ht="15.75" customHeight="1">
      <c r="A1043" s="3"/>
      <c r="B1043" s="4"/>
      <c r="C1043" s="4"/>
      <c r="D1043" s="3"/>
      <c r="E1043" s="3"/>
      <c r="F1043" s="3"/>
      <c r="G1043" s="6"/>
      <c r="H1043" s="3"/>
      <c r="I1043" s="3"/>
      <c r="J1043" s="7"/>
      <c r="K1043" s="3"/>
      <c r="L1043" s="3"/>
      <c r="M1043" s="3"/>
      <c r="N1043" s="3"/>
      <c r="O1043" s="3"/>
      <c r="P1043" s="8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 ht="15.75" customHeight="1">
      <c r="A1044" s="3"/>
      <c r="B1044" s="4"/>
      <c r="C1044" s="4"/>
      <c r="D1044" s="3"/>
      <c r="E1044" s="3"/>
      <c r="F1044" s="3"/>
      <c r="G1044" s="6"/>
      <c r="H1044" s="3"/>
      <c r="I1044" s="3"/>
      <c r="J1044" s="7"/>
      <c r="K1044" s="3"/>
      <c r="L1044" s="3"/>
      <c r="M1044" s="3"/>
      <c r="N1044" s="3"/>
      <c r="O1044" s="3"/>
      <c r="P1044" s="8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 ht="15.75" customHeight="1">
      <c r="A1045" s="3"/>
      <c r="B1045" s="4"/>
      <c r="C1045" s="4"/>
      <c r="D1045" s="3"/>
      <c r="E1045" s="3"/>
      <c r="F1045" s="3"/>
      <c r="G1045" s="6"/>
      <c r="H1045" s="3"/>
      <c r="I1045" s="3"/>
      <c r="J1045" s="7"/>
      <c r="K1045" s="3"/>
      <c r="L1045" s="3"/>
      <c r="M1045" s="3"/>
      <c r="N1045" s="3"/>
      <c r="O1045" s="3"/>
      <c r="P1045" s="8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 ht="15.75" customHeight="1">
      <c r="A1046" s="3"/>
      <c r="B1046" s="4"/>
      <c r="C1046" s="4"/>
      <c r="D1046" s="3"/>
      <c r="E1046" s="3"/>
      <c r="F1046" s="3"/>
      <c r="G1046" s="6"/>
      <c r="H1046" s="3"/>
      <c r="I1046" s="3"/>
      <c r="J1046" s="7"/>
      <c r="K1046" s="3"/>
      <c r="L1046" s="3"/>
      <c r="M1046" s="3"/>
      <c r="N1046" s="3"/>
      <c r="O1046" s="3"/>
      <c r="P1046" s="8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 ht="15.75" customHeight="1">
      <c r="A1047" s="3"/>
      <c r="B1047" s="4"/>
      <c r="C1047" s="4"/>
      <c r="D1047" s="3"/>
      <c r="E1047" s="3"/>
      <c r="F1047" s="3"/>
      <c r="G1047" s="6"/>
      <c r="H1047" s="3"/>
      <c r="I1047" s="3"/>
      <c r="J1047" s="7"/>
      <c r="K1047" s="3"/>
      <c r="L1047" s="3"/>
      <c r="M1047" s="3"/>
      <c r="N1047" s="3"/>
      <c r="O1047" s="3"/>
      <c r="P1047" s="8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 ht="15.75" customHeight="1">
      <c r="A1048" s="3"/>
      <c r="B1048" s="4"/>
      <c r="C1048" s="4"/>
      <c r="D1048" s="3"/>
      <c r="E1048" s="3"/>
      <c r="F1048" s="3"/>
      <c r="G1048" s="6"/>
      <c r="H1048" s="3"/>
      <c r="I1048" s="3"/>
      <c r="J1048" s="7"/>
      <c r="K1048" s="3"/>
      <c r="L1048" s="3"/>
      <c r="M1048" s="3"/>
      <c r="N1048" s="3"/>
      <c r="O1048" s="3"/>
      <c r="P1048" s="8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 ht="15.75" customHeight="1">
      <c r="A1049" s="3"/>
      <c r="B1049" s="4"/>
      <c r="C1049" s="4"/>
      <c r="D1049" s="3"/>
      <c r="E1049" s="3"/>
      <c r="F1049" s="3"/>
      <c r="G1049" s="6"/>
      <c r="H1049" s="3"/>
      <c r="I1049" s="3"/>
      <c r="J1049" s="7"/>
      <c r="K1049" s="3"/>
      <c r="L1049" s="3"/>
      <c r="M1049" s="3"/>
      <c r="N1049" s="3"/>
      <c r="O1049" s="3"/>
      <c r="P1049" s="8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 ht="15.75" customHeight="1">
      <c r="A1050" s="3"/>
      <c r="B1050" s="4"/>
      <c r="C1050" s="4"/>
      <c r="D1050" s="3"/>
      <c r="E1050" s="3"/>
      <c r="F1050" s="3"/>
      <c r="G1050" s="6"/>
      <c r="H1050" s="3"/>
      <c r="I1050" s="3"/>
      <c r="J1050" s="7"/>
      <c r="K1050" s="3"/>
      <c r="L1050" s="3"/>
      <c r="M1050" s="3"/>
      <c r="N1050" s="3"/>
      <c r="O1050" s="3"/>
      <c r="P1050" s="8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 ht="15.75" customHeight="1">
      <c r="A1051" s="3"/>
      <c r="B1051" s="4"/>
      <c r="C1051" s="4"/>
      <c r="D1051" s="3"/>
      <c r="E1051" s="3"/>
      <c r="F1051" s="3"/>
      <c r="G1051" s="6"/>
      <c r="H1051" s="3"/>
      <c r="I1051" s="3"/>
      <c r="J1051" s="7"/>
      <c r="K1051" s="3"/>
      <c r="L1051" s="3"/>
      <c r="M1051" s="3"/>
      <c r="N1051" s="3"/>
      <c r="O1051" s="3"/>
      <c r="P1051" s="8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 ht="15.75" customHeight="1">
      <c r="A1052" s="3"/>
      <c r="B1052" s="4"/>
      <c r="C1052" s="4"/>
      <c r="D1052" s="3"/>
      <c r="E1052" s="3"/>
      <c r="F1052" s="3"/>
      <c r="G1052" s="6"/>
      <c r="H1052" s="3"/>
      <c r="I1052" s="3"/>
      <c r="J1052" s="7"/>
      <c r="K1052" s="3"/>
      <c r="L1052" s="3"/>
      <c r="M1052" s="3"/>
      <c r="N1052" s="3"/>
      <c r="O1052" s="3"/>
      <c r="P1052" s="8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 ht="15.75" customHeight="1">
      <c r="A1053" s="3"/>
      <c r="B1053" s="4"/>
      <c r="C1053" s="4"/>
      <c r="D1053" s="3"/>
      <c r="E1053" s="3"/>
      <c r="F1053" s="3"/>
      <c r="G1053" s="6"/>
      <c r="H1053" s="3"/>
      <c r="I1053" s="3"/>
      <c r="J1053" s="7"/>
      <c r="K1053" s="3"/>
      <c r="L1053" s="3"/>
      <c r="M1053" s="3"/>
      <c r="N1053" s="3"/>
      <c r="O1053" s="3"/>
      <c r="P1053" s="8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 ht="15.75" customHeight="1">
      <c r="A1054" s="3"/>
      <c r="B1054" s="4"/>
      <c r="C1054" s="4"/>
      <c r="D1054" s="3"/>
      <c r="E1054" s="3"/>
      <c r="F1054" s="3"/>
      <c r="G1054" s="6"/>
      <c r="H1054" s="3"/>
      <c r="I1054" s="3"/>
      <c r="J1054" s="7"/>
      <c r="K1054" s="3"/>
      <c r="L1054" s="3"/>
      <c r="M1054" s="3"/>
      <c r="N1054" s="3"/>
      <c r="O1054" s="3"/>
      <c r="P1054" s="8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 ht="15.75" customHeight="1">
      <c r="A1055" s="3"/>
      <c r="B1055" s="4"/>
      <c r="C1055" s="4"/>
      <c r="D1055" s="3"/>
      <c r="E1055" s="3"/>
      <c r="F1055" s="3"/>
      <c r="G1055" s="6"/>
      <c r="H1055" s="3"/>
      <c r="I1055" s="3"/>
      <c r="J1055" s="7"/>
      <c r="K1055" s="3"/>
      <c r="L1055" s="3"/>
      <c r="M1055" s="3"/>
      <c r="N1055" s="3"/>
      <c r="O1055" s="3"/>
      <c r="P1055" s="8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 ht="15.75" customHeight="1">
      <c r="A1056" s="3"/>
      <c r="B1056" s="4"/>
      <c r="C1056" s="4"/>
      <c r="D1056" s="3"/>
      <c r="E1056" s="3"/>
      <c r="F1056" s="3"/>
      <c r="G1056" s="6"/>
      <c r="H1056" s="3"/>
      <c r="I1056" s="3"/>
      <c r="J1056" s="7"/>
      <c r="K1056" s="3"/>
      <c r="L1056" s="3"/>
      <c r="M1056" s="3"/>
      <c r="N1056" s="3"/>
      <c r="O1056" s="3"/>
      <c r="P1056" s="8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  <row r="1057" ht="15.75" customHeight="1">
      <c r="A1057" s="3"/>
      <c r="B1057" s="4"/>
      <c r="C1057" s="4"/>
      <c r="D1057" s="3"/>
      <c r="E1057" s="3"/>
      <c r="F1057" s="3"/>
      <c r="G1057" s="6"/>
      <c r="H1057" s="3"/>
      <c r="I1057" s="3"/>
      <c r="J1057" s="7"/>
      <c r="K1057" s="3"/>
      <c r="L1057" s="3"/>
      <c r="M1057" s="3"/>
      <c r="N1057" s="3"/>
      <c r="O1057" s="3"/>
      <c r="P1057" s="8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 ht="15.75" customHeight="1">
      <c r="A1058" s="3"/>
      <c r="B1058" s="4"/>
      <c r="C1058" s="4"/>
      <c r="D1058" s="3"/>
      <c r="E1058" s="3"/>
      <c r="F1058" s="3"/>
      <c r="G1058" s="6"/>
      <c r="H1058" s="3"/>
      <c r="I1058" s="3"/>
      <c r="J1058" s="7"/>
      <c r="K1058" s="3"/>
      <c r="L1058" s="3"/>
      <c r="M1058" s="3"/>
      <c r="N1058" s="3"/>
      <c r="O1058" s="3"/>
      <c r="P1058" s="8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</row>
    <row r="1059" ht="15.75" customHeight="1">
      <c r="A1059" s="3"/>
      <c r="B1059" s="4"/>
      <c r="C1059" s="4"/>
      <c r="D1059" s="3"/>
      <c r="E1059" s="3"/>
      <c r="F1059" s="3"/>
      <c r="G1059" s="6"/>
      <c r="H1059" s="3"/>
      <c r="I1059" s="3"/>
      <c r="J1059" s="7"/>
      <c r="K1059" s="3"/>
      <c r="L1059" s="3"/>
      <c r="M1059" s="3"/>
      <c r="N1059" s="3"/>
      <c r="O1059" s="3"/>
      <c r="P1059" s="8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</row>
    <row r="1060" ht="15.75" customHeight="1">
      <c r="A1060" s="3"/>
      <c r="B1060" s="4"/>
      <c r="C1060" s="4"/>
      <c r="D1060" s="3"/>
      <c r="E1060" s="3"/>
      <c r="F1060" s="3"/>
      <c r="G1060" s="6"/>
      <c r="H1060" s="3"/>
      <c r="I1060" s="3"/>
      <c r="J1060" s="7"/>
      <c r="K1060" s="3"/>
      <c r="L1060" s="3"/>
      <c r="M1060" s="3"/>
      <c r="N1060" s="3"/>
      <c r="O1060" s="3"/>
      <c r="P1060" s="8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</row>
    <row r="1061" ht="15.75" customHeight="1">
      <c r="A1061" s="3"/>
      <c r="B1061" s="4"/>
      <c r="C1061" s="4"/>
      <c r="D1061" s="3"/>
      <c r="E1061" s="3"/>
      <c r="F1061" s="3"/>
      <c r="G1061" s="6"/>
      <c r="H1061" s="3"/>
      <c r="I1061" s="3"/>
      <c r="J1061" s="7"/>
      <c r="K1061" s="3"/>
      <c r="L1061" s="3"/>
      <c r="M1061" s="3"/>
      <c r="N1061" s="3"/>
      <c r="O1061" s="3"/>
      <c r="P1061" s="8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 ht="15.75" customHeight="1">
      <c r="A1062" s="3"/>
      <c r="B1062" s="4"/>
      <c r="C1062" s="4"/>
      <c r="D1062" s="3"/>
      <c r="E1062" s="3"/>
      <c r="F1062" s="3"/>
      <c r="G1062" s="6"/>
      <c r="H1062" s="3"/>
      <c r="I1062" s="3"/>
      <c r="J1062" s="7"/>
      <c r="K1062" s="3"/>
      <c r="L1062" s="3"/>
      <c r="M1062" s="3"/>
      <c r="N1062" s="3"/>
      <c r="O1062" s="3"/>
      <c r="P1062" s="8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</row>
    <row r="1063" ht="15.75" customHeight="1">
      <c r="A1063" s="3"/>
      <c r="B1063" s="4"/>
      <c r="C1063" s="4"/>
      <c r="D1063" s="3"/>
      <c r="E1063" s="3"/>
      <c r="F1063" s="3"/>
      <c r="G1063" s="6"/>
      <c r="H1063" s="3"/>
      <c r="I1063" s="3"/>
      <c r="J1063" s="7"/>
      <c r="K1063" s="3"/>
      <c r="L1063" s="3"/>
      <c r="M1063" s="3"/>
      <c r="N1063" s="3"/>
      <c r="O1063" s="3"/>
      <c r="P1063" s="8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</row>
    <row r="1064" ht="15.75" customHeight="1">
      <c r="A1064" s="3"/>
      <c r="B1064" s="4"/>
      <c r="C1064" s="4"/>
      <c r="D1064" s="3"/>
      <c r="E1064" s="3"/>
      <c r="F1064" s="3"/>
      <c r="G1064" s="6"/>
      <c r="H1064" s="3"/>
      <c r="I1064" s="3"/>
      <c r="J1064" s="7"/>
      <c r="K1064" s="3"/>
      <c r="L1064" s="3"/>
      <c r="M1064" s="3"/>
      <c r="N1064" s="3"/>
      <c r="O1064" s="3"/>
      <c r="P1064" s="8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</row>
    <row r="1065" ht="15.75" customHeight="1">
      <c r="A1065" s="3"/>
      <c r="B1065" s="4"/>
      <c r="C1065" s="4"/>
      <c r="D1065" s="3"/>
      <c r="E1065" s="3"/>
      <c r="F1065" s="3"/>
      <c r="G1065" s="6"/>
      <c r="H1065" s="3"/>
      <c r="I1065" s="3"/>
      <c r="J1065" s="7"/>
      <c r="K1065" s="3"/>
      <c r="L1065" s="3"/>
      <c r="M1065" s="3"/>
      <c r="N1065" s="3"/>
      <c r="O1065" s="3"/>
      <c r="P1065" s="8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</row>
    <row r="1066" ht="15.75" customHeight="1">
      <c r="A1066" s="3"/>
      <c r="B1066" s="4"/>
      <c r="C1066" s="4"/>
      <c r="D1066" s="3"/>
      <c r="E1066" s="3"/>
      <c r="F1066" s="3"/>
      <c r="G1066" s="6"/>
      <c r="H1066" s="3"/>
      <c r="I1066" s="3"/>
      <c r="J1066" s="7"/>
      <c r="K1066" s="3"/>
      <c r="L1066" s="3"/>
      <c r="M1066" s="3"/>
      <c r="N1066" s="3"/>
      <c r="O1066" s="3"/>
      <c r="P1066" s="8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</row>
    <row r="1067" ht="15.75" customHeight="1">
      <c r="A1067" s="3"/>
      <c r="B1067" s="4"/>
      <c r="C1067" s="4"/>
      <c r="D1067" s="3"/>
      <c r="E1067" s="3"/>
      <c r="F1067" s="3"/>
      <c r="G1067" s="6"/>
      <c r="H1067" s="3"/>
      <c r="I1067" s="3"/>
      <c r="J1067" s="7"/>
      <c r="K1067" s="3"/>
      <c r="L1067" s="3"/>
      <c r="M1067" s="3"/>
      <c r="N1067" s="3"/>
      <c r="O1067" s="3"/>
      <c r="P1067" s="8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</row>
    <row r="1068" ht="15.75" customHeight="1">
      <c r="A1068" s="3"/>
      <c r="B1068" s="4"/>
      <c r="C1068" s="4"/>
      <c r="D1068" s="3"/>
      <c r="E1068" s="3"/>
      <c r="F1068" s="3"/>
      <c r="G1068" s="6"/>
      <c r="H1068" s="3"/>
      <c r="I1068" s="3"/>
      <c r="J1068" s="7"/>
      <c r="K1068" s="3"/>
      <c r="L1068" s="3"/>
      <c r="M1068" s="3"/>
      <c r="N1068" s="3"/>
      <c r="O1068" s="3"/>
      <c r="P1068" s="8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</row>
    <row r="1069" ht="15.75" customHeight="1">
      <c r="A1069" s="3"/>
      <c r="B1069" s="4"/>
      <c r="C1069" s="4"/>
      <c r="D1069" s="3"/>
      <c r="E1069" s="3"/>
      <c r="F1069" s="3"/>
      <c r="G1069" s="6"/>
      <c r="H1069" s="3"/>
      <c r="I1069" s="3"/>
      <c r="J1069" s="7"/>
      <c r="K1069" s="3"/>
      <c r="L1069" s="3"/>
      <c r="M1069" s="3"/>
      <c r="N1069" s="3"/>
      <c r="O1069" s="3"/>
      <c r="P1069" s="8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</row>
    <row r="1070" ht="15.75" customHeight="1">
      <c r="A1070" s="3"/>
      <c r="B1070" s="4"/>
      <c r="C1070" s="4"/>
      <c r="D1070" s="3"/>
      <c r="E1070" s="3"/>
      <c r="F1070" s="3"/>
      <c r="G1070" s="6"/>
      <c r="H1070" s="3"/>
      <c r="I1070" s="3"/>
      <c r="J1070" s="7"/>
      <c r="K1070" s="3"/>
      <c r="L1070" s="3"/>
      <c r="M1070" s="3"/>
      <c r="N1070" s="3"/>
      <c r="O1070" s="3"/>
      <c r="P1070" s="8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</row>
    <row r="1071" ht="15.75" customHeight="1">
      <c r="A1071" s="3"/>
      <c r="B1071" s="4"/>
      <c r="C1071" s="4"/>
      <c r="D1071" s="3"/>
      <c r="E1071" s="3"/>
      <c r="F1071" s="3"/>
      <c r="G1071" s="6"/>
      <c r="H1071" s="3"/>
      <c r="I1071" s="3"/>
      <c r="J1071" s="7"/>
      <c r="K1071" s="3"/>
      <c r="L1071" s="3"/>
      <c r="M1071" s="3"/>
      <c r="N1071" s="3"/>
      <c r="O1071" s="3"/>
      <c r="P1071" s="8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</row>
    <row r="1072" ht="15.75" customHeight="1">
      <c r="A1072" s="3"/>
      <c r="B1072" s="4"/>
      <c r="C1072" s="4"/>
      <c r="D1072" s="3"/>
      <c r="E1072" s="3"/>
      <c r="F1072" s="3"/>
      <c r="G1072" s="6"/>
      <c r="H1072" s="3"/>
      <c r="I1072" s="3"/>
      <c r="J1072" s="7"/>
      <c r="K1072" s="3"/>
      <c r="L1072" s="3"/>
      <c r="M1072" s="3"/>
      <c r="N1072" s="3"/>
      <c r="O1072" s="3"/>
      <c r="P1072" s="8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</row>
    <row r="1073" ht="15.75" customHeight="1">
      <c r="A1073" s="3"/>
      <c r="B1073" s="4"/>
      <c r="C1073" s="4"/>
      <c r="D1073" s="3"/>
      <c r="E1073" s="3"/>
      <c r="F1073" s="3"/>
      <c r="G1073" s="6"/>
      <c r="H1073" s="3"/>
      <c r="I1073" s="3"/>
      <c r="J1073" s="7"/>
      <c r="K1073" s="3"/>
      <c r="L1073" s="3"/>
      <c r="M1073" s="3"/>
      <c r="N1073" s="3"/>
      <c r="O1073" s="3"/>
      <c r="P1073" s="8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</row>
    <row r="1074" ht="15.75" customHeight="1">
      <c r="A1074" s="3"/>
      <c r="B1074" s="4"/>
      <c r="C1074" s="4"/>
      <c r="D1074" s="3"/>
      <c r="E1074" s="3"/>
      <c r="F1074" s="3"/>
      <c r="G1074" s="6"/>
      <c r="H1074" s="3"/>
      <c r="I1074" s="3"/>
      <c r="J1074" s="7"/>
      <c r="K1074" s="3"/>
      <c r="L1074" s="3"/>
      <c r="M1074" s="3"/>
      <c r="N1074" s="3"/>
      <c r="O1074" s="3"/>
      <c r="P1074" s="8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</row>
    <row r="1075" ht="15.75" customHeight="1">
      <c r="A1075" s="3"/>
      <c r="B1075" s="4"/>
      <c r="C1075" s="4"/>
      <c r="D1075" s="3"/>
      <c r="E1075" s="3"/>
      <c r="F1075" s="3"/>
      <c r="G1075" s="6"/>
      <c r="H1075" s="3"/>
      <c r="I1075" s="3"/>
      <c r="J1075" s="7"/>
      <c r="K1075" s="3"/>
      <c r="L1075" s="3"/>
      <c r="M1075" s="3"/>
      <c r="N1075" s="3"/>
      <c r="O1075" s="3"/>
      <c r="P1075" s="8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</row>
  </sheetData>
  <mergeCells count="143">
    <mergeCell ref="D5:D6"/>
    <mergeCell ref="A94:A95"/>
    <mergeCell ref="E94:E95"/>
    <mergeCell ref="F94:F95"/>
    <mergeCell ref="G94:G95"/>
    <mergeCell ref="H94:H95"/>
    <mergeCell ref="B97:B98"/>
    <mergeCell ref="J99:J100"/>
    <mergeCell ref="K99:K100"/>
    <mergeCell ref="I110:I111"/>
    <mergeCell ref="H115:H116"/>
    <mergeCell ref="I115:I116"/>
    <mergeCell ref="K126:K127"/>
    <mergeCell ref="L126:L127"/>
    <mergeCell ref="I94:I95"/>
    <mergeCell ref="J94:J95"/>
    <mergeCell ref="I97:I98"/>
    <mergeCell ref="K97:K98"/>
    <mergeCell ref="L97:L98"/>
    <mergeCell ref="H99:H100"/>
    <mergeCell ref="I99:I100"/>
    <mergeCell ref="C130:C131"/>
    <mergeCell ref="D130:D131"/>
    <mergeCell ref="E130:E131"/>
    <mergeCell ref="F130:F131"/>
    <mergeCell ref="G130:G131"/>
    <mergeCell ref="H130:H131"/>
    <mergeCell ref="I130:I131"/>
    <mergeCell ref="J130:J131"/>
    <mergeCell ref="D94:D95"/>
    <mergeCell ref="D99:D100"/>
    <mergeCell ref="A110:A111"/>
    <mergeCell ref="B110:B111"/>
    <mergeCell ref="A126:A127"/>
    <mergeCell ref="B126:B127"/>
    <mergeCell ref="C128:C129"/>
    <mergeCell ref="G227:G231"/>
    <mergeCell ref="M227:M231"/>
    <mergeCell ref="N227:N231"/>
    <mergeCell ref="O227:O231"/>
    <mergeCell ref="C247:C248"/>
    <mergeCell ref="C251:C252"/>
    <mergeCell ref="B153:B154"/>
    <mergeCell ref="E186:E187"/>
    <mergeCell ref="F186:F187"/>
    <mergeCell ref="G186:G187"/>
    <mergeCell ref="B194:B195"/>
    <mergeCell ref="B203:B204"/>
    <mergeCell ref="E210:E217"/>
    <mergeCell ref="F210:F217"/>
    <mergeCell ref="G210:G217"/>
    <mergeCell ref="E218:E224"/>
    <mergeCell ref="F218:F224"/>
    <mergeCell ref="G218:G224"/>
    <mergeCell ref="E227:E231"/>
    <mergeCell ref="F227:F231"/>
    <mergeCell ref="E264:E268"/>
    <mergeCell ref="F264:F268"/>
    <mergeCell ref="G264:G268"/>
    <mergeCell ref="E277:E278"/>
    <mergeCell ref="F277:F278"/>
    <mergeCell ref="G277:G278"/>
    <mergeCell ref="G280:G283"/>
    <mergeCell ref="H306:H308"/>
    <mergeCell ref="I306:I308"/>
    <mergeCell ref="J306:J308"/>
    <mergeCell ref="E280:E283"/>
    <mergeCell ref="C295:C296"/>
    <mergeCell ref="C297:C301"/>
    <mergeCell ref="D306:D308"/>
    <mergeCell ref="E306:E308"/>
    <mergeCell ref="F306:F308"/>
    <mergeCell ref="G306:G308"/>
    <mergeCell ref="E317:E324"/>
    <mergeCell ref="F317:F324"/>
    <mergeCell ref="G317:G324"/>
    <mergeCell ref="E325:E330"/>
    <mergeCell ref="F325:F330"/>
    <mergeCell ref="G325:G330"/>
    <mergeCell ref="C347:C348"/>
    <mergeCell ref="E370:E372"/>
    <mergeCell ref="F370:F372"/>
    <mergeCell ref="H478:H481"/>
    <mergeCell ref="I478:I482"/>
    <mergeCell ref="D483:D487"/>
    <mergeCell ref="I483:I487"/>
    <mergeCell ref="D493:D494"/>
    <mergeCell ref="A496:A497"/>
    <mergeCell ref="A498:A499"/>
    <mergeCell ref="A500:A501"/>
    <mergeCell ref="A502:A503"/>
    <mergeCell ref="I505:I509"/>
    <mergeCell ref="I515:I518"/>
    <mergeCell ref="H519:H522"/>
    <mergeCell ref="I519:I522"/>
    <mergeCell ref="I523:I527"/>
    <mergeCell ref="I370:I372"/>
    <mergeCell ref="J370:J372"/>
    <mergeCell ref="I375:I379"/>
    <mergeCell ref="I382:I385"/>
    <mergeCell ref="I392:I395"/>
    <mergeCell ref="B347:B348"/>
    <mergeCell ref="B363:B365"/>
    <mergeCell ref="J363:J364"/>
    <mergeCell ref="B366:B367"/>
    <mergeCell ref="J366:J367"/>
    <mergeCell ref="K366:K367"/>
    <mergeCell ref="D370:D373"/>
    <mergeCell ref="G370:G372"/>
    <mergeCell ref="H370:H373"/>
    <mergeCell ref="H382:H385"/>
    <mergeCell ref="B388:B389"/>
    <mergeCell ref="B390:B391"/>
    <mergeCell ref="D396:D400"/>
    <mergeCell ref="D401:D405"/>
    <mergeCell ref="D419:D423"/>
    <mergeCell ref="H392:H395"/>
    <mergeCell ref="H406:H409"/>
    <mergeCell ref="I406:I409"/>
    <mergeCell ref="H410:H413"/>
    <mergeCell ref="H414:H417"/>
    <mergeCell ref="I414:I417"/>
    <mergeCell ref="I426:I430"/>
    <mergeCell ref="H461:H462"/>
    <mergeCell ref="I461:I462"/>
    <mergeCell ref="D463:D467"/>
    <mergeCell ref="I463:I467"/>
    <mergeCell ref="D468:D472"/>
    <mergeCell ref="I468:I472"/>
    <mergeCell ref="H426:H430"/>
    <mergeCell ref="H441:H444"/>
    <mergeCell ref="I441:I444"/>
    <mergeCell ref="I445:I449"/>
    <mergeCell ref="H450:H453"/>
    <mergeCell ref="I450:I453"/>
    <mergeCell ref="I454:I458"/>
    <mergeCell ref="H523:H527"/>
    <mergeCell ref="H533:H537"/>
    <mergeCell ref="I533:I537"/>
    <mergeCell ref="D549:D550"/>
    <mergeCell ref="I560:I564"/>
    <mergeCell ref="I565:I569"/>
    <mergeCell ref="I570:I574"/>
  </mergeCells>
  <hyperlinks>
    <hyperlink r:id="rId2" ref="L317"/>
    <hyperlink r:id="rId3" ref="J357"/>
  </hyperlinks>
  <printOptions/>
  <pageMargins bottom="0.75" footer="0.0" header="0.0" left="0.7" right="0.7" top="0.75"/>
  <pageSetup orientation="portrait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17.14"/>
    <col customWidth="1" min="3" max="3" width="11.14"/>
    <col customWidth="1" min="4" max="4" width="17.14"/>
    <col customWidth="1" min="5" max="5" width="19.29"/>
    <col customWidth="1" min="8" max="8" width="23.14"/>
    <col customWidth="1" min="9" max="9" width="19.43"/>
    <col customWidth="1" min="10" max="11" width="17.71"/>
  </cols>
  <sheetData>
    <row r="1">
      <c r="A1" s="94" t="s">
        <v>2401</v>
      </c>
      <c r="B1" s="94" t="s">
        <v>1</v>
      </c>
      <c r="C1" s="94" t="s">
        <v>8</v>
      </c>
      <c r="D1" s="94" t="s">
        <v>2402</v>
      </c>
      <c r="E1" s="94" t="s">
        <v>2403</v>
      </c>
      <c r="F1" s="94" t="s">
        <v>2404</v>
      </c>
      <c r="G1" s="94" t="s">
        <v>2405</v>
      </c>
      <c r="H1" s="94" t="s">
        <v>2406</v>
      </c>
      <c r="I1" s="42" t="s">
        <v>2407</v>
      </c>
      <c r="J1" s="94" t="s">
        <v>2408</v>
      </c>
      <c r="K1" s="94" t="s">
        <v>2409</v>
      </c>
      <c r="L1" s="94" t="s">
        <v>10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</row>
    <row r="2">
      <c r="A2" s="39"/>
      <c r="B2" s="39"/>
      <c r="C2" s="39"/>
      <c r="D2" s="39"/>
      <c r="E2" s="20"/>
      <c r="F2" s="39"/>
      <c r="G2" s="39"/>
      <c r="H2" s="39"/>
      <c r="I2" s="32"/>
      <c r="J2" s="39"/>
      <c r="K2" s="39"/>
      <c r="L2" s="94"/>
      <c r="M2" s="4"/>
    </row>
    <row r="3">
      <c r="A3" s="39"/>
      <c r="B3" s="39"/>
      <c r="C3" s="39"/>
      <c r="D3" s="39"/>
      <c r="E3" s="20"/>
      <c r="F3" s="39"/>
      <c r="G3" s="39"/>
      <c r="H3" s="39"/>
      <c r="I3" s="32"/>
      <c r="J3" s="39"/>
      <c r="K3" s="39"/>
      <c r="L3" s="94"/>
      <c r="M3" s="4"/>
    </row>
    <row r="4">
      <c r="A4" s="39"/>
      <c r="B4" s="39"/>
      <c r="C4" s="39"/>
      <c r="D4" s="39"/>
      <c r="E4" s="20"/>
      <c r="F4" s="39"/>
      <c r="G4" s="39"/>
      <c r="H4" s="39"/>
      <c r="I4" s="32"/>
      <c r="J4" s="39"/>
      <c r="K4" s="39"/>
      <c r="L4" s="94"/>
      <c r="M4" s="4"/>
    </row>
    <row r="5">
      <c r="A5" s="39"/>
      <c r="B5" s="39"/>
      <c r="C5" s="39"/>
      <c r="D5" s="39"/>
      <c r="E5" s="20"/>
      <c r="F5" s="39"/>
      <c r="G5" s="39"/>
      <c r="H5" s="39"/>
      <c r="I5" s="32"/>
      <c r="J5" s="39"/>
      <c r="K5" s="39"/>
      <c r="L5" s="94"/>
      <c r="M5" s="4"/>
    </row>
    <row r="6">
      <c r="A6" s="39"/>
      <c r="B6" s="39"/>
      <c r="C6" s="39"/>
      <c r="D6" s="39"/>
      <c r="E6" s="20"/>
      <c r="F6" s="39"/>
      <c r="G6" s="39"/>
      <c r="H6" s="39"/>
      <c r="I6" s="32"/>
      <c r="J6" s="39"/>
      <c r="K6" s="39"/>
      <c r="L6" s="94"/>
      <c r="M6" s="4"/>
    </row>
    <row r="7">
      <c r="A7" s="39"/>
      <c r="B7" s="39"/>
      <c r="C7" s="39"/>
      <c r="D7" s="39"/>
      <c r="E7" s="20"/>
      <c r="F7" s="39"/>
      <c r="G7" s="39"/>
      <c r="H7" s="39"/>
      <c r="I7" s="32"/>
      <c r="J7" s="39"/>
      <c r="K7" s="39"/>
      <c r="L7" s="94"/>
      <c r="M7" s="4"/>
    </row>
    <row r="8">
      <c r="A8" s="39"/>
      <c r="B8" s="39"/>
      <c r="C8" s="39"/>
      <c r="D8" s="39"/>
      <c r="E8" s="20"/>
      <c r="F8" s="39"/>
      <c r="G8" s="39"/>
      <c r="H8" s="39"/>
      <c r="I8" s="32"/>
      <c r="J8" s="39"/>
      <c r="K8" s="39"/>
      <c r="L8" s="94"/>
      <c r="M8" s="4"/>
    </row>
    <row r="9">
      <c r="A9" s="39"/>
      <c r="B9" s="39"/>
      <c r="C9" s="39"/>
      <c r="D9" s="39"/>
      <c r="E9" s="20"/>
      <c r="F9" s="39"/>
      <c r="G9" s="39"/>
      <c r="H9" s="39"/>
      <c r="I9" s="32"/>
      <c r="J9" s="39"/>
      <c r="K9" s="39"/>
      <c r="L9" s="94"/>
      <c r="M9" s="4"/>
    </row>
    <row r="10">
      <c r="A10" s="39"/>
      <c r="B10" s="39"/>
      <c r="C10" s="39"/>
      <c r="D10" s="39"/>
      <c r="E10" s="20"/>
      <c r="F10" s="39"/>
      <c r="G10" s="39"/>
      <c r="H10" s="39"/>
      <c r="I10" s="32"/>
      <c r="J10" s="39"/>
      <c r="K10" s="39"/>
      <c r="L10" s="94"/>
      <c r="M10" s="4"/>
    </row>
    <row r="11">
      <c r="A11" s="39"/>
      <c r="B11" s="39"/>
      <c r="C11" s="39"/>
      <c r="D11" s="39"/>
      <c r="E11" s="20"/>
      <c r="F11" s="39"/>
      <c r="G11" s="39"/>
      <c r="H11" s="39"/>
      <c r="I11" s="32"/>
      <c r="J11" s="39"/>
      <c r="K11" s="39"/>
      <c r="L11" s="94"/>
      <c r="M11" s="4"/>
    </row>
    <row r="12">
      <c r="A12" s="39"/>
      <c r="B12" s="39"/>
      <c r="C12" s="39"/>
      <c r="D12" s="39"/>
      <c r="E12" s="20"/>
      <c r="F12" s="39"/>
      <c r="G12" s="39"/>
      <c r="H12" s="39"/>
      <c r="I12" s="32"/>
      <c r="J12" s="39"/>
      <c r="K12" s="39"/>
      <c r="L12" s="94"/>
      <c r="M12" s="4"/>
    </row>
    <row r="13">
      <c r="A13" s="39"/>
      <c r="B13" s="39"/>
      <c r="C13" s="39"/>
      <c r="D13" s="39"/>
      <c r="E13" s="20"/>
      <c r="F13" s="39"/>
      <c r="G13" s="39"/>
      <c r="H13" s="39"/>
      <c r="I13" s="32"/>
      <c r="J13" s="39"/>
      <c r="K13" s="39"/>
      <c r="L13" s="94"/>
      <c r="M13" s="4"/>
    </row>
    <row r="14">
      <c r="A14" s="39"/>
      <c r="B14" s="39"/>
      <c r="C14" s="39"/>
      <c r="D14" s="39"/>
      <c r="E14" s="20"/>
      <c r="F14" s="39"/>
      <c r="G14" s="39"/>
      <c r="H14" s="39"/>
      <c r="I14" s="32"/>
      <c r="J14" s="39"/>
      <c r="K14" s="39"/>
      <c r="L14" s="94"/>
      <c r="M14" s="4"/>
    </row>
    <row r="15">
      <c r="A15" s="39">
        <v>5.0</v>
      </c>
      <c r="B15" s="39"/>
      <c r="C15" s="39"/>
      <c r="D15" s="39"/>
      <c r="E15" s="20"/>
      <c r="F15" s="39"/>
      <c r="G15" s="39"/>
      <c r="H15" s="39"/>
      <c r="I15" s="32"/>
      <c r="J15" s="39"/>
      <c r="K15" s="39"/>
      <c r="L15" s="94"/>
      <c r="M15" s="4"/>
    </row>
    <row r="16">
      <c r="A16" s="39">
        <v>4.0</v>
      </c>
      <c r="B16" s="39" t="s">
        <v>1900</v>
      </c>
      <c r="C16" s="39"/>
      <c r="D16" s="39" t="s">
        <v>2410</v>
      </c>
      <c r="E16" s="39" t="s">
        <v>2411</v>
      </c>
      <c r="F16" s="39" t="s">
        <v>2412</v>
      </c>
      <c r="G16" s="39" t="s">
        <v>2413</v>
      </c>
      <c r="H16" s="39" t="s">
        <v>1691</v>
      </c>
      <c r="I16" s="32"/>
      <c r="J16" s="43">
        <v>45327.0</v>
      </c>
      <c r="K16" s="39" t="s">
        <v>2414</v>
      </c>
      <c r="L16" s="94" t="s">
        <v>2415</v>
      </c>
      <c r="M16" s="4"/>
    </row>
    <row r="17">
      <c r="A17" s="39">
        <v>3.0</v>
      </c>
      <c r="B17" s="39" t="s">
        <v>1863</v>
      </c>
      <c r="C17" s="39"/>
      <c r="D17" s="39" t="s">
        <v>2410</v>
      </c>
      <c r="E17" s="39" t="s">
        <v>2416</v>
      </c>
      <c r="F17" s="39" t="s">
        <v>2412</v>
      </c>
      <c r="G17" s="39" t="s">
        <v>2413</v>
      </c>
      <c r="H17" s="39" t="s">
        <v>1691</v>
      </c>
      <c r="I17" s="32"/>
      <c r="J17" s="43">
        <v>45327.0</v>
      </c>
      <c r="K17" s="39" t="s">
        <v>2414</v>
      </c>
      <c r="L17" s="94" t="s">
        <v>2415</v>
      </c>
      <c r="M17" s="4"/>
    </row>
    <row r="18">
      <c r="A18" s="39">
        <v>2.0</v>
      </c>
      <c r="B18" s="39"/>
      <c r="C18" s="39" t="s">
        <v>360</v>
      </c>
      <c r="D18" s="39" t="s">
        <v>2417</v>
      </c>
      <c r="E18" s="20" t="s">
        <v>2418</v>
      </c>
      <c r="F18" s="39" t="s">
        <v>2419</v>
      </c>
      <c r="G18" s="39"/>
      <c r="H18" s="54" t="s">
        <v>1688</v>
      </c>
      <c r="I18" s="32"/>
      <c r="J18" s="39" t="s">
        <v>2420</v>
      </c>
      <c r="K18" s="94" t="s">
        <v>2421</v>
      </c>
      <c r="L18" s="94"/>
      <c r="M18" s="4"/>
    </row>
    <row r="19">
      <c r="A19" s="39">
        <v>1.0</v>
      </c>
      <c r="B19" s="86"/>
      <c r="C19" s="39" t="s">
        <v>2422</v>
      </c>
      <c r="D19" s="39" t="s">
        <v>2423</v>
      </c>
      <c r="E19" s="20" t="s">
        <v>2424</v>
      </c>
      <c r="F19" s="39" t="s">
        <v>2419</v>
      </c>
      <c r="G19" s="39"/>
      <c r="H19" s="54" t="s">
        <v>1688</v>
      </c>
      <c r="I19" s="32"/>
      <c r="J19" s="41" t="s">
        <v>2425</v>
      </c>
      <c r="K19" s="94" t="s">
        <v>2421</v>
      </c>
      <c r="L19" s="94" t="s">
        <v>2415</v>
      </c>
    </row>
    <row r="20" ht="15.0" customHeight="1">
      <c r="A20" s="95"/>
      <c r="B20" s="95"/>
      <c r="C20" s="95"/>
      <c r="D20" s="95"/>
      <c r="E20" s="95"/>
      <c r="F20" s="95"/>
      <c r="G20" s="95"/>
      <c r="H20" s="95"/>
      <c r="I20" s="96"/>
      <c r="J20" s="95"/>
      <c r="K20" s="95"/>
      <c r="L20" s="95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>
      <c r="A21" s="39">
        <v>1.0</v>
      </c>
      <c r="B21" s="39" t="s">
        <v>716</v>
      </c>
      <c r="C21" s="39" t="s">
        <v>2422</v>
      </c>
      <c r="D21" s="39" t="s">
        <v>2426</v>
      </c>
      <c r="E21" s="20" t="s">
        <v>2427</v>
      </c>
      <c r="F21" s="39" t="s">
        <v>2419</v>
      </c>
      <c r="G21" s="39" t="s">
        <v>2428</v>
      </c>
      <c r="H21" s="39" t="s">
        <v>2429</v>
      </c>
      <c r="I21" s="32" t="s">
        <v>2430</v>
      </c>
      <c r="J21" s="39"/>
      <c r="K21" s="39" t="s">
        <v>620</v>
      </c>
      <c r="L21" s="94" t="s">
        <v>2415</v>
      </c>
      <c r="M21" s="4" t="s">
        <v>717</v>
      </c>
    </row>
    <row r="22">
      <c r="A22" s="39">
        <v>2.0</v>
      </c>
      <c r="B22" s="39" t="s">
        <v>740</v>
      </c>
      <c r="C22" s="39" t="s">
        <v>2422</v>
      </c>
      <c r="D22" s="39" t="s">
        <v>2090</v>
      </c>
      <c r="E22" s="39" t="s">
        <v>2431</v>
      </c>
      <c r="F22" s="39" t="s">
        <v>2419</v>
      </c>
      <c r="G22" s="39" t="s">
        <v>2428</v>
      </c>
      <c r="H22" s="39" t="s">
        <v>2432</v>
      </c>
      <c r="I22" s="98" t="s">
        <v>2433</v>
      </c>
      <c r="J22" s="39"/>
      <c r="K22" s="39" t="s">
        <v>620</v>
      </c>
      <c r="L22" s="94" t="s">
        <v>2415</v>
      </c>
      <c r="M22" s="86">
        <v>7.81636548822E11</v>
      </c>
    </row>
    <row r="23">
      <c r="A23" s="39">
        <v>3.0</v>
      </c>
      <c r="B23" s="39" t="s">
        <v>783</v>
      </c>
      <c r="C23" s="39" t="s">
        <v>2422</v>
      </c>
      <c r="D23" s="94" t="s">
        <v>2434</v>
      </c>
      <c r="E23" s="20" t="s">
        <v>2435</v>
      </c>
      <c r="F23" s="39" t="s">
        <v>2419</v>
      </c>
      <c r="G23" s="39" t="s">
        <v>2436</v>
      </c>
      <c r="H23" s="39" t="s">
        <v>2437</v>
      </c>
      <c r="I23" s="98" t="s">
        <v>2438</v>
      </c>
      <c r="J23" s="39"/>
      <c r="K23" s="39" t="s">
        <v>2439</v>
      </c>
      <c r="L23" s="94" t="s">
        <v>2415</v>
      </c>
    </row>
    <row r="24">
      <c r="A24" s="39">
        <v>4.0</v>
      </c>
      <c r="B24" s="39" t="s">
        <v>789</v>
      </c>
      <c r="C24" s="39" t="s">
        <v>2422</v>
      </c>
      <c r="D24" s="94" t="s">
        <v>2434</v>
      </c>
      <c r="E24" s="20" t="s">
        <v>2440</v>
      </c>
      <c r="F24" s="39" t="s">
        <v>2419</v>
      </c>
      <c r="G24" s="99" t="s">
        <v>2441</v>
      </c>
      <c r="H24" s="39" t="s">
        <v>2437</v>
      </c>
      <c r="I24" s="98" t="s">
        <v>2442</v>
      </c>
      <c r="J24" s="39"/>
      <c r="K24" s="39" t="s">
        <v>620</v>
      </c>
      <c r="L24" s="94" t="s">
        <v>2415</v>
      </c>
    </row>
    <row r="25">
      <c r="A25" s="39">
        <v>5.0</v>
      </c>
      <c r="B25" s="39" t="s">
        <v>793</v>
      </c>
      <c r="C25" s="39" t="s">
        <v>2422</v>
      </c>
      <c r="D25" s="39" t="s">
        <v>2426</v>
      </c>
      <c r="E25" s="39" t="s">
        <v>2443</v>
      </c>
      <c r="F25" s="39" t="s">
        <v>2419</v>
      </c>
      <c r="G25" s="100" t="s">
        <v>2428</v>
      </c>
      <c r="H25" s="100" t="s">
        <v>2437</v>
      </c>
      <c r="I25" s="98" t="s">
        <v>2442</v>
      </c>
      <c r="J25" s="39"/>
      <c r="K25" s="39" t="s">
        <v>620</v>
      </c>
      <c r="L25" s="94" t="s">
        <v>2415</v>
      </c>
    </row>
    <row r="26">
      <c r="A26" s="39">
        <v>6.0</v>
      </c>
      <c r="B26" s="39" t="s">
        <v>798</v>
      </c>
      <c r="C26" s="39" t="s">
        <v>2422</v>
      </c>
      <c r="D26" s="39" t="s">
        <v>2444</v>
      </c>
      <c r="E26" s="39" t="s">
        <v>2445</v>
      </c>
      <c r="F26" s="39" t="s">
        <v>2419</v>
      </c>
      <c r="I26" s="98" t="s">
        <v>2438</v>
      </c>
      <c r="J26" s="39"/>
      <c r="K26" s="39" t="s">
        <v>620</v>
      </c>
      <c r="L26" s="94" t="s">
        <v>2415</v>
      </c>
    </row>
    <row r="27">
      <c r="A27" s="39">
        <v>7.0</v>
      </c>
      <c r="B27" s="39" t="s">
        <v>800</v>
      </c>
      <c r="C27" s="39" t="s">
        <v>2422</v>
      </c>
      <c r="D27" s="39" t="s">
        <v>2446</v>
      </c>
      <c r="E27" s="39" t="s">
        <v>2445</v>
      </c>
      <c r="F27" s="39" t="s">
        <v>2419</v>
      </c>
      <c r="I27" s="98" t="s">
        <v>2438</v>
      </c>
      <c r="J27" s="39"/>
      <c r="K27" s="39" t="s">
        <v>620</v>
      </c>
      <c r="L27" s="94" t="s">
        <v>2415</v>
      </c>
    </row>
    <row r="28">
      <c r="A28" s="39">
        <v>8.0</v>
      </c>
      <c r="B28" s="39" t="s">
        <v>770</v>
      </c>
      <c r="C28" s="39" t="s">
        <v>2422</v>
      </c>
      <c r="D28" s="39" t="s">
        <v>2447</v>
      </c>
      <c r="E28" s="39" t="s">
        <v>2445</v>
      </c>
      <c r="F28" s="39" t="s">
        <v>2419</v>
      </c>
      <c r="G28" s="39" t="s">
        <v>2428</v>
      </c>
      <c r="H28" s="39" t="s">
        <v>2448</v>
      </c>
      <c r="I28" s="98" t="s">
        <v>2442</v>
      </c>
      <c r="J28" s="39"/>
      <c r="K28" s="39" t="s">
        <v>620</v>
      </c>
      <c r="L28" s="94" t="s">
        <v>2415</v>
      </c>
    </row>
    <row r="29">
      <c r="A29" s="39">
        <v>9.0</v>
      </c>
      <c r="B29" s="39" t="s">
        <v>758</v>
      </c>
      <c r="C29" s="39" t="s">
        <v>360</v>
      </c>
      <c r="D29" s="39" t="s">
        <v>2449</v>
      </c>
      <c r="E29" s="39">
        <v>123.0</v>
      </c>
      <c r="F29" s="39" t="s">
        <v>2419</v>
      </c>
      <c r="G29" s="39" t="s">
        <v>2428</v>
      </c>
      <c r="H29" s="39" t="s">
        <v>2437</v>
      </c>
      <c r="I29" s="101">
        <v>45143.0</v>
      </c>
      <c r="J29" s="39"/>
      <c r="K29" s="39" t="s">
        <v>620</v>
      </c>
      <c r="L29" s="94" t="s">
        <v>2415</v>
      </c>
    </row>
    <row r="30">
      <c r="A30" s="39">
        <v>10.0</v>
      </c>
      <c r="B30" s="61" t="s">
        <v>2450</v>
      </c>
      <c r="C30" s="39"/>
      <c r="D30" s="39" t="s">
        <v>2451</v>
      </c>
      <c r="E30" s="39">
        <v>27.0</v>
      </c>
      <c r="F30" s="39" t="s">
        <v>2419</v>
      </c>
      <c r="G30" s="39" t="s">
        <v>2428</v>
      </c>
      <c r="H30" s="39" t="s">
        <v>2429</v>
      </c>
      <c r="I30" s="32"/>
      <c r="J30" s="39"/>
      <c r="K30" s="39" t="s">
        <v>620</v>
      </c>
      <c r="L30" s="94"/>
    </row>
    <row r="31" ht="15.0" customHeight="1">
      <c r="A31" s="95"/>
      <c r="B31" s="95"/>
      <c r="C31" s="95"/>
      <c r="D31" s="95"/>
      <c r="E31" s="95"/>
      <c r="F31" s="95"/>
      <c r="G31" s="95"/>
      <c r="H31" s="95"/>
      <c r="I31" s="96"/>
      <c r="J31" s="95"/>
      <c r="K31" s="95"/>
      <c r="L31" s="95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>
      <c r="A32" s="39">
        <v>11.0</v>
      </c>
      <c r="B32" s="86" t="s">
        <v>802</v>
      </c>
      <c r="C32" s="102" t="s">
        <v>2422</v>
      </c>
      <c r="D32" s="102" t="s">
        <v>2090</v>
      </c>
      <c r="E32" s="102" t="s">
        <v>2452</v>
      </c>
      <c r="F32" s="102" t="s">
        <v>2428</v>
      </c>
      <c r="G32" s="39" t="s">
        <v>2428</v>
      </c>
      <c r="H32" s="103" t="s">
        <v>2429</v>
      </c>
      <c r="I32" s="98" t="s">
        <v>2453</v>
      </c>
      <c r="J32" s="39"/>
      <c r="K32" s="39" t="s">
        <v>620</v>
      </c>
      <c r="L32" s="94" t="s">
        <v>2415</v>
      </c>
    </row>
    <row r="33">
      <c r="A33" s="39">
        <v>12.0</v>
      </c>
      <c r="B33" s="86" t="s">
        <v>808</v>
      </c>
      <c r="C33" s="39" t="s">
        <v>2422</v>
      </c>
      <c r="D33" s="39" t="s">
        <v>2426</v>
      </c>
      <c r="E33" s="20" t="s">
        <v>2427</v>
      </c>
      <c r="F33" s="39" t="s">
        <v>2419</v>
      </c>
      <c r="G33" s="39" t="s">
        <v>2428</v>
      </c>
      <c r="I33" s="98" t="s">
        <v>2453</v>
      </c>
      <c r="J33" s="39"/>
      <c r="K33" s="39" t="s">
        <v>620</v>
      </c>
      <c r="L33" s="94" t="s">
        <v>2415</v>
      </c>
    </row>
    <row r="34">
      <c r="A34" s="39">
        <v>13.0</v>
      </c>
      <c r="B34" s="86" t="s">
        <v>811</v>
      </c>
      <c r="C34" s="39" t="s">
        <v>2422</v>
      </c>
      <c r="D34" s="39" t="s">
        <v>2426</v>
      </c>
      <c r="E34" s="20" t="s">
        <v>2427</v>
      </c>
      <c r="F34" s="39" t="s">
        <v>2419</v>
      </c>
      <c r="G34" s="39" t="s">
        <v>2428</v>
      </c>
      <c r="H34" s="20" t="s">
        <v>2437</v>
      </c>
      <c r="I34" s="98" t="s">
        <v>2453</v>
      </c>
      <c r="J34" s="39"/>
      <c r="K34" s="39" t="s">
        <v>620</v>
      </c>
      <c r="L34" s="94" t="s">
        <v>2415</v>
      </c>
    </row>
    <row r="35">
      <c r="A35" s="39">
        <v>14.0</v>
      </c>
      <c r="B35" s="86" t="s">
        <v>815</v>
      </c>
      <c r="C35" s="39" t="s">
        <v>2422</v>
      </c>
      <c r="D35" s="39" t="s">
        <v>2426</v>
      </c>
      <c r="E35" s="20" t="s">
        <v>2427</v>
      </c>
      <c r="F35" s="39" t="s">
        <v>2419</v>
      </c>
      <c r="G35" s="39" t="s">
        <v>2428</v>
      </c>
      <c r="I35" s="98" t="s">
        <v>2453</v>
      </c>
      <c r="J35" s="39"/>
      <c r="K35" s="39" t="s">
        <v>620</v>
      </c>
      <c r="L35" s="94" t="s">
        <v>2415</v>
      </c>
    </row>
    <row r="36">
      <c r="A36" s="39">
        <v>15.0</v>
      </c>
      <c r="B36" s="86" t="s">
        <v>817</v>
      </c>
      <c r="C36" s="39" t="s">
        <v>2422</v>
      </c>
      <c r="D36" s="39" t="s">
        <v>2090</v>
      </c>
      <c r="E36" s="20" t="s">
        <v>2454</v>
      </c>
      <c r="F36" s="39" t="s">
        <v>2419</v>
      </c>
      <c r="G36" s="39" t="s">
        <v>2428</v>
      </c>
      <c r="I36" s="98" t="s">
        <v>2453</v>
      </c>
      <c r="J36" s="39"/>
      <c r="K36" s="39" t="s">
        <v>620</v>
      </c>
      <c r="L36" s="94" t="s">
        <v>2415</v>
      </c>
    </row>
    <row r="37">
      <c r="A37" s="39">
        <v>16.0</v>
      </c>
      <c r="B37" s="86" t="s">
        <v>819</v>
      </c>
      <c r="C37" s="39" t="s">
        <v>2422</v>
      </c>
      <c r="D37" s="39" t="s">
        <v>2090</v>
      </c>
      <c r="E37" s="39" t="s">
        <v>2455</v>
      </c>
      <c r="F37" s="39" t="s">
        <v>2419</v>
      </c>
      <c r="G37" s="39" t="s">
        <v>2428</v>
      </c>
      <c r="I37" s="98" t="s">
        <v>2453</v>
      </c>
      <c r="J37" s="39"/>
      <c r="K37" s="39" t="s">
        <v>620</v>
      </c>
      <c r="L37" s="94" t="s">
        <v>2415</v>
      </c>
    </row>
    <row r="38">
      <c r="A38" s="39">
        <v>17.0</v>
      </c>
      <c r="B38" s="86" t="s">
        <v>821</v>
      </c>
      <c r="C38" s="39" t="s">
        <v>2422</v>
      </c>
      <c r="D38" s="39" t="s">
        <v>2423</v>
      </c>
      <c r="E38" s="20" t="s">
        <v>2424</v>
      </c>
      <c r="F38" s="39" t="s">
        <v>2419</v>
      </c>
      <c r="G38" s="39" t="s">
        <v>2428</v>
      </c>
      <c r="I38" s="98" t="s">
        <v>2453</v>
      </c>
      <c r="J38" s="39"/>
      <c r="K38" s="39" t="s">
        <v>620</v>
      </c>
      <c r="L38" s="94" t="s">
        <v>2415</v>
      </c>
    </row>
    <row r="39">
      <c r="A39" s="39">
        <v>18.0</v>
      </c>
      <c r="B39" s="39"/>
      <c r="C39" s="39" t="s">
        <v>360</v>
      </c>
      <c r="D39" s="39" t="s">
        <v>2456</v>
      </c>
      <c r="E39" s="39" t="s">
        <v>2457</v>
      </c>
      <c r="F39" s="39" t="s">
        <v>2412</v>
      </c>
      <c r="G39" s="39"/>
      <c r="H39" s="39" t="s">
        <v>2458</v>
      </c>
      <c r="I39" s="32"/>
      <c r="J39" s="39"/>
      <c r="K39" s="39" t="s">
        <v>2459</v>
      </c>
      <c r="L39" s="94" t="s">
        <v>2415</v>
      </c>
    </row>
    <row r="40">
      <c r="A40" s="39">
        <v>19.0</v>
      </c>
      <c r="B40" s="39"/>
      <c r="C40" s="39" t="s">
        <v>360</v>
      </c>
      <c r="D40" s="39" t="s">
        <v>2456</v>
      </c>
      <c r="E40" s="39" t="s">
        <v>2460</v>
      </c>
      <c r="F40" s="39" t="s">
        <v>2461</v>
      </c>
      <c r="G40" s="39"/>
      <c r="H40" s="39" t="s">
        <v>2462</v>
      </c>
      <c r="I40" s="32"/>
      <c r="J40" s="39"/>
      <c r="K40" s="39" t="s">
        <v>620</v>
      </c>
      <c r="L40" s="94" t="s">
        <v>2415</v>
      </c>
    </row>
    <row r="41" ht="2.25" customHeight="1">
      <c r="A41" s="95"/>
      <c r="B41" s="95"/>
      <c r="C41" s="95"/>
      <c r="D41" s="95"/>
      <c r="E41" s="95"/>
      <c r="F41" s="95"/>
      <c r="G41" s="95"/>
      <c r="H41" s="95"/>
      <c r="I41" s="96"/>
      <c r="J41" s="95"/>
      <c r="K41" s="95"/>
      <c r="L41" s="95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>
      <c r="A42" s="39">
        <v>20.0</v>
      </c>
      <c r="B42" s="7" t="s">
        <v>850</v>
      </c>
      <c r="C42" s="39" t="s">
        <v>2422</v>
      </c>
      <c r="D42" s="39" t="s">
        <v>2090</v>
      </c>
      <c r="E42" s="39" t="s">
        <v>2463</v>
      </c>
      <c r="F42" s="39" t="s">
        <v>2412</v>
      </c>
      <c r="H42" s="54" t="s">
        <v>2464</v>
      </c>
      <c r="I42" s="98" t="s">
        <v>2465</v>
      </c>
      <c r="J42" s="39"/>
      <c r="K42" s="39" t="s">
        <v>2466</v>
      </c>
      <c r="L42" s="94" t="s">
        <v>2415</v>
      </c>
    </row>
    <row r="43">
      <c r="A43" s="39">
        <v>21.0</v>
      </c>
      <c r="B43" s="39" t="s">
        <v>2467</v>
      </c>
      <c r="C43" s="39" t="s">
        <v>2422</v>
      </c>
      <c r="D43" s="39" t="s">
        <v>2468</v>
      </c>
      <c r="E43" s="39" t="s">
        <v>2469</v>
      </c>
      <c r="F43" s="39" t="s">
        <v>2419</v>
      </c>
      <c r="H43" s="54" t="s">
        <v>2437</v>
      </c>
      <c r="I43" s="98" t="s">
        <v>2470</v>
      </c>
      <c r="J43" s="39"/>
      <c r="K43" s="39" t="s">
        <v>620</v>
      </c>
      <c r="L43" s="94" t="s">
        <v>2415</v>
      </c>
    </row>
    <row r="44">
      <c r="A44" s="39">
        <v>22.0</v>
      </c>
      <c r="B44" s="39" t="s">
        <v>2467</v>
      </c>
      <c r="C44" s="39" t="s">
        <v>2422</v>
      </c>
      <c r="D44" s="39" t="s">
        <v>2468</v>
      </c>
      <c r="E44" s="39" t="s">
        <v>2469</v>
      </c>
      <c r="F44" s="39" t="s">
        <v>2419</v>
      </c>
      <c r="H44" s="54" t="s">
        <v>2429</v>
      </c>
      <c r="I44" s="98" t="s">
        <v>2471</v>
      </c>
      <c r="J44" s="39"/>
      <c r="K44" s="39" t="s">
        <v>620</v>
      </c>
      <c r="L44" s="94" t="s">
        <v>2415</v>
      </c>
    </row>
    <row r="45" ht="1.5" customHeight="1">
      <c r="A45" s="95"/>
      <c r="B45" s="95"/>
      <c r="C45" s="95"/>
      <c r="D45" s="95"/>
      <c r="E45" s="95"/>
      <c r="F45" s="95"/>
      <c r="G45" s="95"/>
      <c r="H45" s="95"/>
      <c r="I45" s="96"/>
      <c r="J45" s="95"/>
      <c r="K45" s="95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>
      <c r="A46" s="39">
        <v>23.0</v>
      </c>
      <c r="B46" s="39"/>
      <c r="C46" s="39" t="s">
        <v>263</v>
      </c>
      <c r="D46" s="39" t="s">
        <v>2472</v>
      </c>
      <c r="E46" s="39" t="s">
        <v>2473</v>
      </c>
      <c r="F46" s="39" t="s">
        <v>2474</v>
      </c>
      <c r="G46" s="39"/>
      <c r="H46" s="39"/>
      <c r="I46" s="32">
        <v>50.0</v>
      </c>
      <c r="J46" s="39"/>
      <c r="K46" s="39">
        <v>18.5</v>
      </c>
    </row>
    <row r="47">
      <c r="A47" s="39">
        <v>24.0</v>
      </c>
      <c r="B47" s="39"/>
      <c r="C47" s="39" t="s">
        <v>263</v>
      </c>
      <c r="D47" s="39" t="s">
        <v>2475</v>
      </c>
      <c r="E47" s="39" t="s">
        <v>2476</v>
      </c>
      <c r="F47" s="39" t="s">
        <v>2477</v>
      </c>
      <c r="G47" s="39"/>
      <c r="H47" s="39" t="s">
        <v>2478</v>
      </c>
      <c r="I47" s="32">
        <v>8.0</v>
      </c>
      <c r="J47" s="39"/>
      <c r="K47" s="39">
        <v>19.5</v>
      </c>
    </row>
    <row r="48">
      <c r="A48" s="39">
        <v>25.0</v>
      </c>
      <c r="B48" s="39"/>
      <c r="C48" s="39" t="s">
        <v>263</v>
      </c>
      <c r="D48" s="39" t="s">
        <v>2475</v>
      </c>
      <c r="E48" s="39"/>
      <c r="F48" s="39" t="s">
        <v>2477</v>
      </c>
      <c r="G48" s="39"/>
      <c r="H48" s="39"/>
      <c r="I48" s="32">
        <v>1.0</v>
      </c>
      <c r="J48" s="39"/>
      <c r="K48" s="39">
        <v>12.0</v>
      </c>
      <c r="L48" s="54" t="s">
        <v>2479</v>
      </c>
    </row>
    <row r="49">
      <c r="A49" s="39">
        <v>26.0</v>
      </c>
      <c r="B49" s="39"/>
      <c r="C49" s="39" t="s">
        <v>263</v>
      </c>
      <c r="D49" s="39" t="s">
        <v>2480</v>
      </c>
      <c r="E49" s="39" t="s">
        <v>2481</v>
      </c>
      <c r="F49" s="39" t="s">
        <v>2477</v>
      </c>
      <c r="G49" s="39"/>
      <c r="H49" s="39"/>
      <c r="I49" s="32"/>
    </row>
    <row r="50">
      <c r="A50" s="39">
        <v>27.0</v>
      </c>
      <c r="B50" s="39"/>
      <c r="C50" s="39"/>
      <c r="E50" s="39"/>
      <c r="F50" s="39"/>
      <c r="G50" s="39"/>
      <c r="H50" s="39"/>
      <c r="I50" s="32"/>
    </row>
    <row r="51">
      <c r="A51" s="39">
        <v>28.0</v>
      </c>
      <c r="B51" s="39"/>
      <c r="C51" s="39" t="s">
        <v>263</v>
      </c>
      <c r="D51" s="39" t="s">
        <v>1634</v>
      </c>
      <c r="E51" s="39" t="s">
        <v>2482</v>
      </c>
      <c r="F51" s="39" t="s">
        <v>2483</v>
      </c>
      <c r="G51" s="39"/>
      <c r="H51" s="39" t="s">
        <v>2484</v>
      </c>
      <c r="I51" s="32"/>
    </row>
    <row r="52">
      <c r="A52" s="39">
        <v>29.0</v>
      </c>
      <c r="B52" s="39"/>
      <c r="I52" s="32"/>
    </row>
    <row r="53">
      <c r="A53" s="39">
        <v>30.0</v>
      </c>
      <c r="B53" s="39" t="s">
        <v>869</v>
      </c>
      <c r="C53" s="39" t="s">
        <v>360</v>
      </c>
      <c r="D53" s="39" t="s">
        <v>2485</v>
      </c>
      <c r="E53" s="39" t="s">
        <v>2486</v>
      </c>
      <c r="F53" s="39" t="s">
        <v>2412</v>
      </c>
      <c r="G53" s="39" t="s">
        <v>2487</v>
      </c>
      <c r="H53" s="39" t="s">
        <v>2429</v>
      </c>
      <c r="I53" s="32" t="s">
        <v>2488</v>
      </c>
      <c r="J53" s="39"/>
      <c r="K53" s="39" t="s">
        <v>2489</v>
      </c>
      <c r="L53" s="39" t="s">
        <v>2415</v>
      </c>
    </row>
    <row r="54">
      <c r="A54" s="39">
        <v>31.0</v>
      </c>
      <c r="B54" s="39" t="s">
        <v>877</v>
      </c>
      <c r="C54" s="39" t="s">
        <v>360</v>
      </c>
      <c r="D54" s="39" t="s">
        <v>2490</v>
      </c>
      <c r="E54" s="39" t="s">
        <v>2491</v>
      </c>
      <c r="F54" s="39" t="s">
        <v>2412</v>
      </c>
      <c r="G54" s="39" t="s">
        <v>2436</v>
      </c>
      <c r="H54" s="39" t="s">
        <v>2492</v>
      </c>
      <c r="I54" s="104">
        <v>44967.0</v>
      </c>
      <c r="J54" s="39"/>
      <c r="K54" s="39" t="s">
        <v>2489</v>
      </c>
      <c r="L54" s="39"/>
    </row>
    <row r="55">
      <c r="A55" s="39">
        <v>32.0</v>
      </c>
      <c r="B55" s="39" t="s">
        <v>884</v>
      </c>
      <c r="C55" s="39" t="s">
        <v>360</v>
      </c>
      <c r="D55" s="32" t="s">
        <v>2493</v>
      </c>
      <c r="E55" s="39" t="s">
        <v>2494</v>
      </c>
      <c r="F55" s="39" t="s">
        <v>2412</v>
      </c>
      <c r="G55" s="39" t="s">
        <v>2428</v>
      </c>
      <c r="H55" s="39" t="s">
        <v>2429</v>
      </c>
      <c r="I55" s="32" t="s">
        <v>874</v>
      </c>
      <c r="J55" s="39"/>
      <c r="K55" s="39" t="s">
        <v>2459</v>
      </c>
      <c r="L55" s="39" t="s">
        <v>2415</v>
      </c>
    </row>
    <row r="56">
      <c r="A56" s="39">
        <v>33.0</v>
      </c>
      <c r="B56" s="39"/>
      <c r="C56" s="39" t="s">
        <v>360</v>
      </c>
      <c r="D56" s="32" t="s">
        <v>2495</v>
      </c>
      <c r="E56" s="39" t="s">
        <v>2496</v>
      </c>
      <c r="F56" s="39" t="s">
        <v>2412</v>
      </c>
      <c r="G56" s="39" t="s">
        <v>2428</v>
      </c>
      <c r="H56" s="39" t="s">
        <v>2492</v>
      </c>
      <c r="I56" s="104">
        <v>45056.0</v>
      </c>
      <c r="J56" s="39"/>
      <c r="K56" s="39" t="s">
        <v>2477</v>
      </c>
      <c r="L56" s="39"/>
    </row>
    <row r="57">
      <c r="A57" s="39">
        <v>34.0</v>
      </c>
      <c r="B57" s="39"/>
      <c r="C57" s="39" t="s">
        <v>360</v>
      </c>
      <c r="D57" s="32" t="s">
        <v>2495</v>
      </c>
      <c r="E57" s="39" t="s">
        <v>2497</v>
      </c>
      <c r="F57" s="39" t="s">
        <v>2412</v>
      </c>
      <c r="G57" s="39" t="s">
        <v>2498</v>
      </c>
      <c r="H57" s="39" t="s">
        <v>2499</v>
      </c>
      <c r="I57" s="32"/>
      <c r="J57" s="39"/>
      <c r="K57" s="39" t="s">
        <v>2477</v>
      </c>
      <c r="L57" s="39"/>
    </row>
    <row r="58">
      <c r="A58" s="39">
        <v>35.0</v>
      </c>
      <c r="B58" s="39"/>
      <c r="C58" s="39" t="s">
        <v>360</v>
      </c>
      <c r="D58" s="32" t="s">
        <v>2495</v>
      </c>
      <c r="E58" s="39" t="s">
        <v>2500</v>
      </c>
      <c r="F58" s="39"/>
      <c r="G58" s="39"/>
      <c r="H58" s="39"/>
      <c r="I58" s="32"/>
      <c r="J58" s="39"/>
      <c r="K58" s="39"/>
      <c r="L58" s="39"/>
    </row>
    <row r="59">
      <c r="A59" s="39">
        <v>36.0</v>
      </c>
      <c r="B59" s="39"/>
      <c r="C59" s="39" t="s">
        <v>2422</v>
      </c>
      <c r="D59" s="39" t="s">
        <v>2501</v>
      </c>
      <c r="E59" s="39" t="s">
        <v>2502</v>
      </c>
      <c r="F59" s="39" t="s">
        <v>2419</v>
      </c>
      <c r="G59" s="39"/>
      <c r="H59" s="39" t="s">
        <v>2484</v>
      </c>
      <c r="I59" s="105">
        <v>45240.0</v>
      </c>
      <c r="J59" s="39"/>
      <c r="K59" s="39" t="s">
        <v>2439</v>
      </c>
      <c r="L59" s="106" t="s">
        <v>2415</v>
      </c>
    </row>
    <row r="60">
      <c r="A60" s="39">
        <v>37.0</v>
      </c>
      <c r="B60" s="39"/>
      <c r="C60" s="39" t="s">
        <v>2422</v>
      </c>
      <c r="D60" s="39" t="s">
        <v>2090</v>
      </c>
      <c r="E60" s="39" t="s">
        <v>2503</v>
      </c>
      <c r="F60" s="39" t="s">
        <v>2412</v>
      </c>
      <c r="G60" s="39"/>
      <c r="H60" s="39" t="s">
        <v>2484</v>
      </c>
      <c r="I60" s="105">
        <v>45240.0</v>
      </c>
      <c r="J60" s="39"/>
      <c r="K60" s="39" t="s">
        <v>2459</v>
      </c>
      <c r="L60" s="106" t="s">
        <v>2415</v>
      </c>
    </row>
    <row r="61">
      <c r="A61" s="39">
        <v>38.0</v>
      </c>
      <c r="B61" s="7" t="s">
        <v>1044</v>
      </c>
      <c r="C61" s="39" t="s">
        <v>2422</v>
      </c>
      <c r="D61" s="39" t="s">
        <v>2504</v>
      </c>
      <c r="E61" s="20" t="s">
        <v>2505</v>
      </c>
      <c r="F61" s="39" t="s">
        <v>2419</v>
      </c>
      <c r="G61" s="39" t="s">
        <v>2428</v>
      </c>
      <c r="H61" s="39" t="s">
        <v>2484</v>
      </c>
      <c r="I61" s="104">
        <v>44968.0</v>
      </c>
      <c r="J61" s="39"/>
      <c r="K61" s="39" t="s">
        <v>620</v>
      </c>
      <c r="L61" s="107" t="s">
        <v>2506</v>
      </c>
    </row>
    <row r="62">
      <c r="A62" s="39">
        <v>39.0</v>
      </c>
      <c r="B62" s="7" t="s">
        <v>1040</v>
      </c>
      <c r="C62" s="39" t="s">
        <v>2422</v>
      </c>
      <c r="D62" s="39" t="s">
        <v>2507</v>
      </c>
      <c r="E62" s="39" t="s">
        <v>2508</v>
      </c>
      <c r="F62" s="39" t="s">
        <v>2419</v>
      </c>
      <c r="G62" s="39" t="s">
        <v>2428</v>
      </c>
      <c r="H62" s="39" t="s">
        <v>2484</v>
      </c>
      <c r="I62" s="104">
        <v>44968.0</v>
      </c>
      <c r="J62" s="39"/>
      <c r="K62" s="39" t="s">
        <v>620</v>
      </c>
      <c r="L62" s="107" t="s">
        <v>2506</v>
      </c>
    </row>
    <row r="63">
      <c r="A63" s="39">
        <v>40.0</v>
      </c>
      <c r="B63" s="7" t="s">
        <v>1048</v>
      </c>
      <c r="C63" s="39" t="s">
        <v>2422</v>
      </c>
      <c r="D63" s="39" t="s">
        <v>2507</v>
      </c>
      <c r="E63" s="39" t="s">
        <v>2509</v>
      </c>
      <c r="F63" s="39" t="s">
        <v>2419</v>
      </c>
      <c r="G63" s="39" t="s">
        <v>2436</v>
      </c>
      <c r="H63" s="39" t="s">
        <v>2484</v>
      </c>
      <c r="I63" s="98" t="s">
        <v>2510</v>
      </c>
      <c r="J63" s="39"/>
      <c r="K63" s="39" t="s">
        <v>2483</v>
      </c>
      <c r="L63" s="107" t="s">
        <v>2506</v>
      </c>
    </row>
    <row r="64">
      <c r="A64" s="39">
        <v>41.0</v>
      </c>
      <c r="B64" s="108" t="s">
        <v>2511</v>
      </c>
      <c r="C64" s="109" t="s">
        <v>263</v>
      </c>
      <c r="D64" s="109" t="s">
        <v>1021</v>
      </c>
      <c r="E64" s="39" t="s">
        <v>2512</v>
      </c>
      <c r="F64" s="39" t="s">
        <v>2419</v>
      </c>
      <c r="G64" s="39" t="s">
        <v>2436</v>
      </c>
      <c r="H64" s="39" t="s">
        <v>2484</v>
      </c>
      <c r="I64" s="98" t="s">
        <v>2510</v>
      </c>
      <c r="J64" s="39"/>
      <c r="K64" s="39" t="s">
        <v>2483</v>
      </c>
      <c r="L64" s="107" t="s">
        <v>2513</v>
      </c>
    </row>
    <row r="65">
      <c r="A65" s="39">
        <v>42.0</v>
      </c>
      <c r="B65" s="39" t="s">
        <v>981</v>
      </c>
      <c r="C65" s="39" t="s">
        <v>360</v>
      </c>
      <c r="D65" s="32" t="s">
        <v>2495</v>
      </c>
      <c r="E65" s="39" t="s">
        <v>2514</v>
      </c>
      <c r="F65" s="39" t="s">
        <v>2412</v>
      </c>
      <c r="G65" s="39" t="s">
        <v>2428</v>
      </c>
      <c r="H65" s="39" t="s">
        <v>2492</v>
      </c>
      <c r="I65" s="32" t="s">
        <v>984</v>
      </c>
      <c r="J65" s="39"/>
      <c r="K65" s="39" t="s">
        <v>2459</v>
      </c>
      <c r="L65" s="39" t="s">
        <v>2415</v>
      </c>
    </row>
    <row r="66">
      <c r="A66" s="39">
        <v>43.0</v>
      </c>
      <c r="B66" s="39" t="s">
        <v>1003</v>
      </c>
      <c r="C66" s="39" t="s">
        <v>360</v>
      </c>
      <c r="D66" s="32" t="s">
        <v>2495</v>
      </c>
      <c r="E66" s="39" t="s">
        <v>2515</v>
      </c>
      <c r="F66" s="39" t="s">
        <v>2412</v>
      </c>
      <c r="G66" s="39" t="s">
        <v>2428</v>
      </c>
      <c r="H66" s="39" t="s">
        <v>2492</v>
      </c>
      <c r="I66" s="32" t="s">
        <v>2516</v>
      </c>
      <c r="J66" s="39"/>
      <c r="K66" s="39" t="s">
        <v>2459</v>
      </c>
      <c r="L66" s="39" t="s">
        <v>2415</v>
      </c>
    </row>
    <row r="67">
      <c r="A67" s="39">
        <v>44.0</v>
      </c>
      <c r="B67" s="39" t="s">
        <v>997</v>
      </c>
      <c r="C67" s="39" t="s">
        <v>360</v>
      </c>
      <c r="D67" s="32" t="s">
        <v>2495</v>
      </c>
      <c r="E67" s="39" t="s">
        <v>2515</v>
      </c>
      <c r="F67" s="39" t="s">
        <v>2412</v>
      </c>
      <c r="G67" s="39" t="s">
        <v>2428</v>
      </c>
      <c r="H67" s="39" t="s">
        <v>2484</v>
      </c>
      <c r="I67" s="32" t="s">
        <v>2516</v>
      </c>
      <c r="J67" s="39"/>
      <c r="K67" s="39" t="s">
        <v>2459</v>
      </c>
      <c r="L67" s="39" t="s">
        <v>2415</v>
      </c>
    </row>
    <row r="68">
      <c r="A68" s="39">
        <v>45.0</v>
      </c>
      <c r="B68" s="39" t="s">
        <v>987</v>
      </c>
      <c r="C68" s="39" t="s">
        <v>360</v>
      </c>
      <c r="D68" s="32" t="s">
        <v>2495</v>
      </c>
      <c r="E68" s="39" t="s">
        <v>2515</v>
      </c>
      <c r="F68" s="39" t="s">
        <v>2412</v>
      </c>
      <c r="G68" s="39" t="s">
        <v>2428</v>
      </c>
      <c r="H68" s="39" t="s">
        <v>2492</v>
      </c>
      <c r="I68" s="32" t="s">
        <v>984</v>
      </c>
      <c r="J68" s="39"/>
      <c r="K68" s="39" t="s">
        <v>2459</v>
      </c>
      <c r="L68" s="39" t="s">
        <v>2415</v>
      </c>
    </row>
    <row r="69">
      <c r="A69" s="39">
        <v>46.0</v>
      </c>
      <c r="B69" s="7" t="s">
        <v>2517</v>
      </c>
      <c r="C69" s="39" t="s">
        <v>2422</v>
      </c>
      <c r="D69" s="39" t="s">
        <v>2090</v>
      </c>
      <c r="E69" s="39" t="s">
        <v>2518</v>
      </c>
      <c r="F69" s="39" t="s">
        <v>2412</v>
      </c>
      <c r="G69" s="39" t="s">
        <v>2428</v>
      </c>
      <c r="H69" s="39" t="s">
        <v>2484</v>
      </c>
      <c r="I69" s="98" t="s">
        <v>2519</v>
      </c>
      <c r="J69" s="39"/>
      <c r="K69" s="39" t="s">
        <v>2459</v>
      </c>
      <c r="L69" s="106" t="s">
        <v>2520</v>
      </c>
      <c r="M69" s="86"/>
    </row>
    <row r="70">
      <c r="A70" s="39">
        <v>47.0</v>
      </c>
      <c r="B70" s="7" t="s">
        <v>2521</v>
      </c>
      <c r="C70" s="39" t="s">
        <v>2422</v>
      </c>
      <c r="D70" s="39" t="s">
        <v>2090</v>
      </c>
      <c r="E70" s="39" t="s">
        <v>2522</v>
      </c>
      <c r="F70" s="39" t="s">
        <v>2412</v>
      </c>
      <c r="G70" s="39" t="s">
        <v>2436</v>
      </c>
      <c r="H70" s="39" t="s">
        <v>2484</v>
      </c>
      <c r="I70" s="98" t="s">
        <v>2519</v>
      </c>
      <c r="J70" s="39"/>
      <c r="K70" s="39" t="s">
        <v>2459</v>
      </c>
      <c r="L70" s="106" t="s">
        <v>2520</v>
      </c>
    </row>
    <row r="71">
      <c r="A71" s="39">
        <v>48.0</v>
      </c>
      <c r="B71" s="7" t="s">
        <v>1051</v>
      </c>
      <c r="C71" s="39" t="s">
        <v>2422</v>
      </c>
      <c r="D71" s="39" t="s">
        <v>2090</v>
      </c>
      <c r="E71" s="39" t="s">
        <v>2523</v>
      </c>
      <c r="F71" s="39" t="s">
        <v>2412</v>
      </c>
      <c r="G71" s="39" t="s">
        <v>2498</v>
      </c>
      <c r="H71" s="39" t="s">
        <v>2484</v>
      </c>
      <c r="I71" s="98" t="s">
        <v>2519</v>
      </c>
      <c r="J71" s="39"/>
      <c r="K71" s="39" t="s">
        <v>2459</v>
      </c>
      <c r="L71" s="107" t="s">
        <v>2506</v>
      </c>
    </row>
    <row r="72">
      <c r="A72" s="39">
        <v>49.0</v>
      </c>
      <c r="B72" s="39" t="s">
        <v>2524</v>
      </c>
      <c r="C72" s="39" t="s">
        <v>263</v>
      </c>
      <c r="D72" s="39" t="s">
        <v>1970</v>
      </c>
      <c r="E72" s="39" t="s">
        <v>2525</v>
      </c>
      <c r="F72" s="39" t="s">
        <v>2419</v>
      </c>
      <c r="G72" s="39" t="s">
        <v>2436</v>
      </c>
      <c r="H72" s="39" t="s">
        <v>2437</v>
      </c>
      <c r="I72" s="32"/>
      <c r="J72" s="39"/>
      <c r="K72" s="39" t="s">
        <v>2483</v>
      </c>
      <c r="L72" s="39"/>
    </row>
    <row r="73">
      <c r="A73" s="39">
        <v>51.0</v>
      </c>
      <c r="B73" s="39" t="s">
        <v>2526</v>
      </c>
      <c r="C73" s="39" t="s">
        <v>360</v>
      </c>
      <c r="D73" s="32" t="s">
        <v>2495</v>
      </c>
      <c r="E73" s="39" t="s">
        <v>2527</v>
      </c>
      <c r="F73" s="39" t="s">
        <v>2412</v>
      </c>
      <c r="G73" s="39" t="s">
        <v>2498</v>
      </c>
      <c r="H73" s="39" t="s">
        <v>2484</v>
      </c>
      <c r="I73" s="98" t="s">
        <v>2519</v>
      </c>
      <c r="J73" s="39"/>
      <c r="K73" s="39" t="s">
        <v>2459</v>
      </c>
      <c r="L73" s="39" t="s">
        <v>2415</v>
      </c>
    </row>
    <row r="74">
      <c r="A74" s="39">
        <v>52.0</v>
      </c>
      <c r="B74" s="39" t="s">
        <v>1076</v>
      </c>
      <c r="C74" s="39" t="s">
        <v>360</v>
      </c>
      <c r="D74" s="32" t="s">
        <v>2495</v>
      </c>
      <c r="E74" s="39" t="s">
        <v>2527</v>
      </c>
      <c r="F74" s="39" t="s">
        <v>2412</v>
      </c>
      <c r="G74" s="39" t="s">
        <v>2498</v>
      </c>
      <c r="H74" s="39" t="s">
        <v>2484</v>
      </c>
      <c r="I74" s="98" t="s">
        <v>2519</v>
      </c>
      <c r="J74" s="39"/>
      <c r="K74" s="39" t="s">
        <v>2459</v>
      </c>
      <c r="L74" s="39" t="s">
        <v>2415</v>
      </c>
    </row>
    <row r="75">
      <c r="A75" s="39">
        <v>53.0</v>
      </c>
      <c r="B75" s="39" t="s">
        <v>1073</v>
      </c>
      <c r="C75" s="39" t="s">
        <v>360</v>
      </c>
      <c r="D75" s="32" t="s">
        <v>2495</v>
      </c>
      <c r="E75" s="39" t="s">
        <v>2527</v>
      </c>
      <c r="F75" s="39" t="s">
        <v>2412</v>
      </c>
      <c r="G75" s="39" t="s">
        <v>2498</v>
      </c>
      <c r="H75" s="39" t="s">
        <v>2484</v>
      </c>
      <c r="I75" s="98" t="s">
        <v>2528</v>
      </c>
      <c r="J75" s="39"/>
      <c r="K75" s="39" t="s">
        <v>2459</v>
      </c>
      <c r="L75" s="39" t="s">
        <v>2415</v>
      </c>
    </row>
    <row r="76">
      <c r="A76" s="110">
        <v>54.0</v>
      </c>
      <c r="B76" s="110" t="s">
        <v>1066</v>
      </c>
      <c r="C76" s="110" t="s">
        <v>360</v>
      </c>
      <c r="D76" s="111" t="s">
        <v>2495</v>
      </c>
      <c r="E76" s="110" t="s">
        <v>2527</v>
      </c>
      <c r="F76" s="110" t="s">
        <v>2412</v>
      </c>
      <c r="G76" s="110" t="s">
        <v>2498</v>
      </c>
      <c r="H76" s="110" t="s">
        <v>2484</v>
      </c>
      <c r="I76" s="112" t="s">
        <v>2528</v>
      </c>
      <c r="J76" s="110"/>
      <c r="K76" s="110" t="s">
        <v>2459</v>
      </c>
      <c r="L76" s="110" t="s">
        <v>2415</v>
      </c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</row>
    <row r="77">
      <c r="A77" s="39">
        <v>55.0</v>
      </c>
      <c r="B77" s="39" t="s">
        <v>1061</v>
      </c>
      <c r="C77" s="39" t="s">
        <v>263</v>
      </c>
      <c r="D77" s="39" t="s">
        <v>1970</v>
      </c>
      <c r="E77" s="39" t="s">
        <v>2529</v>
      </c>
      <c r="F77" s="39"/>
      <c r="G77" s="39" t="s">
        <v>2498</v>
      </c>
      <c r="H77" s="39" t="s">
        <v>2499</v>
      </c>
      <c r="I77" s="32"/>
      <c r="J77" s="39"/>
      <c r="K77" s="39" t="s">
        <v>2483</v>
      </c>
      <c r="L77" s="39"/>
    </row>
    <row r="78">
      <c r="A78" s="110">
        <v>56.0</v>
      </c>
      <c r="B78" s="110" t="s">
        <v>1064</v>
      </c>
      <c r="C78" s="110" t="s">
        <v>263</v>
      </c>
      <c r="D78" s="110" t="s">
        <v>1970</v>
      </c>
      <c r="E78" s="110" t="s">
        <v>2530</v>
      </c>
      <c r="F78" s="110"/>
      <c r="G78" s="110" t="s">
        <v>2531</v>
      </c>
      <c r="H78" s="110" t="s">
        <v>2499</v>
      </c>
      <c r="I78" s="111"/>
      <c r="J78" s="110"/>
      <c r="K78" s="110" t="s">
        <v>2483</v>
      </c>
      <c r="L78" s="110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</row>
    <row r="79">
      <c r="A79" s="39">
        <v>57.0</v>
      </c>
      <c r="B79" s="39" t="s">
        <v>1119</v>
      </c>
      <c r="C79" s="20" t="s">
        <v>360</v>
      </c>
      <c r="D79" s="39" t="s">
        <v>2532</v>
      </c>
      <c r="E79" s="39" t="s">
        <v>2533</v>
      </c>
      <c r="F79" s="20" t="s">
        <v>2412</v>
      </c>
      <c r="G79" s="39" t="s">
        <v>2534</v>
      </c>
      <c r="H79" s="39" t="s">
        <v>2499</v>
      </c>
      <c r="I79" s="32" t="s">
        <v>1086</v>
      </c>
      <c r="J79" s="39"/>
      <c r="K79" s="39" t="s">
        <v>2459</v>
      </c>
      <c r="L79" s="110" t="s">
        <v>2415</v>
      </c>
    </row>
    <row r="80">
      <c r="A80" s="110">
        <v>58.0</v>
      </c>
      <c r="B80" s="39" t="s">
        <v>1100</v>
      </c>
      <c r="C80" s="39" t="s">
        <v>360</v>
      </c>
      <c r="D80" s="32" t="s">
        <v>2495</v>
      </c>
      <c r="E80" s="39" t="s">
        <v>2535</v>
      </c>
      <c r="F80" s="39" t="s">
        <v>2412</v>
      </c>
      <c r="G80" s="99" t="s">
        <v>1457</v>
      </c>
      <c r="H80" s="20" t="s">
        <v>1691</v>
      </c>
      <c r="I80" s="32" t="s">
        <v>1086</v>
      </c>
      <c r="J80" s="39"/>
      <c r="K80" s="39" t="s">
        <v>2459</v>
      </c>
      <c r="L80" s="110" t="s">
        <v>2415</v>
      </c>
    </row>
    <row r="81">
      <c r="A81" s="39">
        <v>59.0</v>
      </c>
      <c r="B81" s="39" t="s">
        <v>1104</v>
      </c>
      <c r="C81" s="39" t="s">
        <v>360</v>
      </c>
      <c r="D81" s="32" t="s">
        <v>2495</v>
      </c>
      <c r="E81" s="39" t="s">
        <v>2535</v>
      </c>
      <c r="F81" s="39" t="s">
        <v>2412</v>
      </c>
      <c r="G81" s="99" t="s">
        <v>1457</v>
      </c>
      <c r="H81" s="20" t="s">
        <v>1691</v>
      </c>
      <c r="I81" s="32" t="s">
        <v>1086</v>
      </c>
      <c r="J81" s="39"/>
      <c r="K81" s="39" t="s">
        <v>2459</v>
      </c>
      <c r="L81" s="110" t="s">
        <v>2415</v>
      </c>
    </row>
    <row r="82">
      <c r="A82" s="110">
        <v>60.0</v>
      </c>
      <c r="B82" s="39" t="s">
        <v>1106</v>
      </c>
      <c r="C82" s="39" t="s">
        <v>360</v>
      </c>
      <c r="D82" s="32" t="s">
        <v>2495</v>
      </c>
      <c r="E82" s="39" t="s">
        <v>2535</v>
      </c>
      <c r="F82" s="39" t="s">
        <v>2412</v>
      </c>
      <c r="G82" s="99" t="s">
        <v>1457</v>
      </c>
      <c r="H82" s="20" t="s">
        <v>1691</v>
      </c>
      <c r="I82" s="32" t="s">
        <v>1086</v>
      </c>
      <c r="J82" s="39"/>
      <c r="K82" s="39" t="s">
        <v>2459</v>
      </c>
      <c r="L82" s="110" t="s">
        <v>2415</v>
      </c>
    </row>
    <row r="83">
      <c r="A83" s="39">
        <v>61.0</v>
      </c>
      <c r="B83" s="39" t="s">
        <v>1108</v>
      </c>
      <c r="C83" s="39" t="s">
        <v>360</v>
      </c>
      <c r="D83" s="32" t="s">
        <v>2495</v>
      </c>
      <c r="E83" s="39" t="s">
        <v>2535</v>
      </c>
      <c r="F83" s="39" t="s">
        <v>2412</v>
      </c>
      <c r="G83" s="99" t="s">
        <v>1457</v>
      </c>
      <c r="H83" s="20" t="s">
        <v>1691</v>
      </c>
      <c r="I83" s="32" t="s">
        <v>1086</v>
      </c>
      <c r="J83" s="39"/>
      <c r="K83" s="39" t="s">
        <v>2459</v>
      </c>
      <c r="L83" s="110" t="s">
        <v>2415</v>
      </c>
    </row>
    <row r="84">
      <c r="A84" s="110">
        <v>62.0</v>
      </c>
      <c r="B84" s="39" t="s">
        <v>1110</v>
      </c>
      <c r="C84" s="39" t="s">
        <v>360</v>
      </c>
      <c r="D84" s="32" t="s">
        <v>2495</v>
      </c>
      <c r="E84" s="39" t="s">
        <v>2536</v>
      </c>
      <c r="F84" s="39" t="s">
        <v>2412</v>
      </c>
      <c r="G84" s="99" t="s">
        <v>1457</v>
      </c>
      <c r="H84" s="20" t="s">
        <v>1691</v>
      </c>
      <c r="I84" s="32" t="s">
        <v>1086</v>
      </c>
      <c r="J84" s="39"/>
      <c r="K84" s="39" t="s">
        <v>2459</v>
      </c>
      <c r="L84" s="110" t="s">
        <v>2415</v>
      </c>
    </row>
    <row r="85">
      <c r="A85" s="39">
        <v>63.0</v>
      </c>
      <c r="B85" s="39" t="s">
        <v>1113</v>
      </c>
      <c r="C85" s="39" t="s">
        <v>360</v>
      </c>
      <c r="D85" s="32" t="s">
        <v>2495</v>
      </c>
      <c r="E85" s="39" t="s">
        <v>2537</v>
      </c>
      <c r="F85" s="39" t="s">
        <v>2412</v>
      </c>
      <c r="G85" s="39" t="s">
        <v>2428</v>
      </c>
      <c r="H85" s="20" t="s">
        <v>1691</v>
      </c>
      <c r="I85" s="32" t="s">
        <v>1086</v>
      </c>
      <c r="J85" s="39"/>
      <c r="K85" s="39" t="s">
        <v>2459</v>
      </c>
      <c r="L85" s="110" t="s">
        <v>2415</v>
      </c>
    </row>
    <row r="86">
      <c r="A86" s="110">
        <v>64.0</v>
      </c>
      <c r="B86" s="114" t="s">
        <v>1116</v>
      </c>
      <c r="C86" s="114" t="s">
        <v>360</v>
      </c>
      <c r="D86" s="115" t="s">
        <v>2538</v>
      </c>
      <c r="E86" s="114" t="s">
        <v>2539</v>
      </c>
      <c r="F86" s="114" t="s">
        <v>2412</v>
      </c>
      <c r="G86" s="114" t="s">
        <v>2428</v>
      </c>
      <c r="H86" s="114" t="s">
        <v>1691</v>
      </c>
      <c r="I86" s="115" t="s">
        <v>1086</v>
      </c>
      <c r="J86" s="114"/>
      <c r="K86" s="114" t="s">
        <v>2459</v>
      </c>
      <c r="L86" s="110" t="s">
        <v>2415</v>
      </c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</row>
    <row r="87">
      <c r="A87" s="39">
        <v>65.0</v>
      </c>
      <c r="B87" s="39" t="s">
        <v>1128</v>
      </c>
      <c r="C87" s="39" t="s">
        <v>360</v>
      </c>
      <c r="D87" s="39" t="s">
        <v>2485</v>
      </c>
      <c r="E87" s="39" t="s">
        <v>2540</v>
      </c>
      <c r="F87" s="39" t="s">
        <v>2412</v>
      </c>
      <c r="G87" s="39" t="s">
        <v>2487</v>
      </c>
      <c r="H87" s="39" t="s">
        <v>2499</v>
      </c>
      <c r="I87" s="32"/>
      <c r="J87" s="39"/>
      <c r="K87" s="39" t="s">
        <v>2489</v>
      </c>
      <c r="L87" s="110" t="s">
        <v>2415</v>
      </c>
    </row>
    <row r="88">
      <c r="A88" s="110">
        <v>66.0</v>
      </c>
      <c r="B88" s="110" t="s">
        <v>1134</v>
      </c>
      <c r="C88" s="110" t="s">
        <v>360</v>
      </c>
      <c r="D88" s="110" t="s">
        <v>2485</v>
      </c>
      <c r="E88" s="110" t="s">
        <v>2541</v>
      </c>
      <c r="F88" s="110" t="s">
        <v>2412</v>
      </c>
      <c r="G88" s="110" t="s">
        <v>2534</v>
      </c>
      <c r="H88" s="110" t="s">
        <v>2429</v>
      </c>
      <c r="I88" s="111"/>
      <c r="J88" s="110"/>
      <c r="K88" s="110" t="s">
        <v>2489</v>
      </c>
      <c r="L88" s="110" t="s">
        <v>2415</v>
      </c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</row>
    <row r="89" ht="14.25" customHeight="1">
      <c r="A89" s="39">
        <v>67.0</v>
      </c>
      <c r="B89" s="94" t="s">
        <v>2542</v>
      </c>
      <c r="C89" s="39" t="s">
        <v>360</v>
      </c>
      <c r="D89" s="39" t="s">
        <v>2417</v>
      </c>
      <c r="E89" s="39" t="s">
        <v>2543</v>
      </c>
      <c r="F89" s="39" t="s">
        <v>2419</v>
      </c>
      <c r="G89" s="39" t="s">
        <v>2534</v>
      </c>
      <c r="H89" s="39" t="s">
        <v>2499</v>
      </c>
      <c r="I89" s="117" t="s">
        <v>1086</v>
      </c>
      <c r="J89" s="39"/>
      <c r="K89" s="39" t="s">
        <v>620</v>
      </c>
      <c r="L89" s="110" t="s">
        <v>2415</v>
      </c>
    </row>
    <row r="90">
      <c r="A90" s="110">
        <v>68.0</v>
      </c>
      <c r="B90" s="94" t="s">
        <v>1088</v>
      </c>
      <c r="C90" s="39" t="s">
        <v>2422</v>
      </c>
      <c r="D90" s="39" t="s">
        <v>2544</v>
      </c>
      <c r="E90" s="39" t="s">
        <v>2545</v>
      </c>
      <c r="F90" s="39" t="s">
        <v>2419</v>
      </c>
      <c r="G90" s="39" t="s">
        <v>2534</v>
      </c>
      <c r="H90" s="39" t="s">
        <v>2499</v>
      </c>
      <c r="I90" s="118"/>
      <c r="J90" s="39"/>
      <c r="K90" s="39"/>
      <c r="L90" s="110" t="s">
        <v>2415</v>
      </c>
    </row>
    <row r="91">
      <c r="A91" s="39">
        <v>69.0</v>
      </c>
      <c r="B91" s="39" t="s">
        <v>1098</v>
      </c>
      <c r="C91" s="39" t="s">
        <v>360</v>
      </c>
      <c r="D91" s="39" t="s">
        <v>2417</v>
      </c>
      <c r="E91" s="39" t="s">
        <v>2546</v>
      </c>
      <c r="F91" s="39" t="s">
        <v>2419</v>
      </c>
      <c r="G91" s="39" t="s">
        <v>2436</v>
      </c>
      <c r="H91" s="39" t="s">
        <v>2499</v>
      </c>
      <c r="I91" s="119" t="s">
        <v>1086</v>
      </c>
      <c r="J91" s="39"/>
      <c r="K91" s="39" t="s">
        <v>620</v>
      </c>
      <c r="L91" s="110"/>
    </row>
    <row r="92">
      <c r="A92" s="110">
        <v>70.0</v>
      </c>
      <c r="B92" s="39" t="s">
        <v>1093</v>
      </c>
      <c r="C92" s="39" t="s">
        <v>360</v>
      </c>
      <c r="D92" s="39" t="s">
        <v>2417</v>
      </c>
      <c r="E92" s="39" t="s">
        <v>2546</v>
      </c>
      <c r="F92" s="39" t="s">
        <v>2419</v>
      </c>
      <c r="G92" s="39" t="s">
        <v>2428</v>
      </c>
      <c r="H92" s="39" t="s">
        <v>2499</v>
      </c>
      <c r="I92" s="120" t="s">
        <v>1086</v>
      </c>
      <c r="J92" s="39"/>
      <c r="K92" s="39" t="s">
        <v>620</v>
      </c>
      <c r="L92" s="110"/>
    </row>
    <row r="93">
      <c r="A93" s="121">
        <v>71.0</v>
      </c>
      <c r="B93" s="121" t="s">
        <v>1095</v>
      </c>
      <c r="C93" s="121" t="s">
        <v>2422</v>
      </c>
      <c r="D93" s="121" t="s">
        <v>2544</v>
      </c>
      <c r="E93" s="121" t="s">
        <v>2545</v>
      </c>
      <c r="F93" s="121" t="s">
        <v>2419</v>
      </c>
      <c r="G93" s="121" t="s">
        <v>2428</v>
      </c>
      <c r="H93" s="121" t="s">
        <v>2499</v>
      </c>
      <c r="I93" s="118"/>
      <c r="J93" s="121"/>
      <c r="K93" s="121" t="s">
        <v>620</v>
      </c>
      <c r="L93" s="110" t="s">
        <v>2415</v>
      </c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</row>
    <row r="94">
      <c r="A94" s="110">
        <v>72.0</v>
      </c>
      <c r="B94" s="39" t="s">
        <v>1151</v>
      </c>
      <c r="C94" s="39" t="s">
        <v>360</v>
      </c>
      <c r="D94" s="32" t="s">
        <v>2495</v>
      </c>
      <c r="E94" s="39" t="s">
        <v>2547</v>
      </c>
      <c r="F94" s="39" t="s">
        <v>2412</v>
      </c>
      <c r="G94" s="39" t="s">
        <v>2487</v>
      </c>
      <c r="H94" s="39" t="s">
        <v>2499</v>
      </c>
      <c r="I94" s="32"/>
      <c r="J94" s="39"/>
      <c r="K94" s="39" t="s">
        <v>2459</v>
      </c>
      <c r="L94" s="110" t="s">
        <v>2415</v>
      </c>
    </row>
    <row r="95">
      <c r="A95" s="110">
        <v>73.0</v>
      </c>
      <c r="B95" s="110" t="s">
        <v>1158</v>
      </c>
      <c r="C95" s="110" t="s">
        <v>360</v>
      </c>
      <c r="D95" s="111" t="s">
        <v>2495</v>
      </c>
      <c r="E95" s="110" t="s">
        <v>2545</v>
      </c>
      <c r="F95" s="110" t="s">
        <v>2412</v>
      </c>
      <c r="G95" s="110" t="s">
        <v>2487</v>
      </c>
      <c r="H95" s="110" t="s">
        <v>2499</v>
      </c>
      <c r="I95" s="111"/>
      <c r="J95" s="110"/>
      <c r="K95" s="110" t="s">
        <v>2459</v>
      </c>
      <c r="L95" s="110" t="s">
        <v>2415</v>
      </c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</row>
    <row r="96">
      <c r="A96" s="39">
        <v>78.0</v>
      </c>
      <c r="B96" s="39" t="s">
        <v>1138</v>
      </c>
      <c r="C96" s="39" t="s">
        <v>2422</v>
      </c>
      <c r="D96" s="39" t="s">
        <v>2548</v>
      </c>
      <c r="E96" s="39" t="s">
        <v>2431</v>
      </c>
      <c r="F96" s="39" t="s">
        <v>2419</v>
      </c>
      <c r="G96" s="39" t="s">
        <v>2534</v>
      </c>
      <c r="H96" s="39" t="s">
        <v>2499</v>
      </c>
      <c r="I96" s="32"/>
      <c r="J96" s="39"/>
      <c r="K96" s="39" t="s">
        <v>2421</v>
      </c>
      <c r="L96" s="110" t="s">
        <v>2415</v>
      </c>
    </row>
    <row r="97">
      <c r="A97" s="110">
        <v>74.0</v>
      </c>
      <c r="B97" s="39" t="s">
        <v>1165</v>
      </c>
      <c r="C97" s="39" t="s">
        <v>360</v>
      </c>
      <c r="D97" s="32" t="s">
        <v>2495</v>
      </c>
      <c r="E97" s="39" t="s">
        <v>2535</v>
      </c>
      <c r="F97" s="39" t="s">
        <v>2412</v>
      </c>
      <c r="G97" s="39" t="s">
        <v>2441</v>
      </c>
      <c r="H97" s="39" t="s">
        <v>2499</v>
      </c>
      <c r="I97" s="32"/>
      <c r="J97" s="39"/>
      <c r="K97" s="39" t="s">
        <v>2459</v>
      </c>
      <c r="L97" s="110" t="s">
        <v>2415</v>
      </c>
    </row>
    <row r="98">
      <c r="A98" s="39">
        <v>75.0</v>
      </c>
      <c r="B98" s="39" t="s">
        <v>1170</v>
      </c>
      <c r="C98" s="39" t="s">
        <v>360</v>
      </c>
      <c r="D98" s="32" t="s">
        <v>2495</v>
      </c>
      <c r="E98" s="39" t="s">
        <v>2535</v>
      </c>
      <c r="F98" s="39" t="s">
        <v>2412</v>
      </c>
      <c r="G98" s="39" t="s">
        <v>2441</v>
      </c>
      <c r="H98" s="39" t="s">
        <v>2499</v>
      </c>
      <c r="I98" s="32"/>
      <c r="J98" s="39"/>
      <c r="K98" s="39" t="s">
        <v>2459</v>
      </c>
      <c r="L98" s="110" t="s">
        <v>2415</v>
      </c>
    </row>
    <row r="99">
      <c r="A99" s="110">
        <v>76.0</v>
      </c>
      <c r="B99" s="39" t="s">
        <v>1172</v>
      </c>
      <c r="C99" s="39" t="s">
        <v>360</v>
      </c>
      <c r="D99" s="32" t="s">
        <v>2495</v>
      </c>
      <c r="E99" s="39" t="s">
        <v>2535</v>
      </c>
      <c r="F99" s="39" t="s">
        <v>2412</v>
      </c>
      <c r="G99" s="39" t="s">
        <v>2441</v>
      </c>
      <c r="H99" s="39" t="s">
        <v>2499</v>
      </c>
      <c r="I99" s="32"/>
      <c r="J99" s="39"/>
      <c r="K99" s="39" t="s">
        <v>2459</v>
      </c>
      <c r="L99" s="110" t="s">
        <v>2415</v>
      </c>
    </row>
    <row r="100">
      <c r="A100" s="39">
        <v>77.0</v>
      </c>
      <c r="B100" s="39" t="s">
        <v>1174</v>
      </c>
      <c r="C100" s="39" t="s">
        <v>360</v>
      </c>
      <c r="D100" s="32" t="s">
        <v>2495</v>
      </c>
      <c r="E100" s="39" t="s">
        <v>2535</v>
      </c>
      <c r="F100" s="39" t="s">
        <v>2412</v>
      </c>
      <c r="G100" s="39" t="s">
        <v>2441</v>
      </c>
      <c r="H100" s="39" t="s">
        <v>2499</v>
      </c>
      <c r="I100" s="32"/>
      <c r="J100" s="39"/>
      <c r="K100" s="39" t="s">
        <v>2459</v>
      </c>
      <c r="L100" s="110" t="s">
        <v>2415</v>
      </c>
    </row>
    <row r="101">
      <c r="A101" s="110">
        <v>78.0</v>
      </c>
      <c r="B101" s="39" t="s">
        <v>1176</v>
      </c>
      <c r="C101" s="39" t="s">
        <v>360</v>
      </c>
      <c r="D101" s="39" t="s">
        <v>2549</v>
      </c>
      <c r="E101" s="39" t="s">
        <v>2550</v>
      </c>
      <c r="F101" s="39" t="s">
        <v>2419</v>
      </c>
      <c r="G101" s="110" t="s">
        <v>2487</v>
      </c>
      <c r="H101" s="39" t="s">
        <v>2499</v>
      </c>
      <c r="I101" s="32"/>
      <c r="J101" s="39"/>
      <c r="K101" s="39" t="s">
        <v>2421</v>
      </c>
      <c r="L101" s="39"/>
    </row>
    <row r="102">
      <c r="A102" s="39">
        <v>79.0</v>
      </c>
      <c r="B102" s="39"/>
      <c r="C102" s="39" t="s">
        <v>263</v>
      </c>
      <c r="D102" s="39" t="s">
        <v>2551</v>
      </c>
      <c r="E102" s="39" t="s">
        <v>2552</v>
      </c>
      <c r="F102" s="39"/>
      <c r="G102" s="39" t="s">
        <v>2498</v>
      </c>
      <c r="H102" s="39"/>
      <c r="I102" s="32"/>
      <c r="J102" s="39"/>
      <c r="K102" s="39"/>
      <c r="L102" s="39"/>
    </row>
    <row r="103">
      <c r="A103" s="110">
        <v>80.0</v>
      </c>
      <c r="B103" s="39" t="s">
        <v>1186</v>
      </c>
      <c r="C103" s="39" t="s">
        <v>2422</v>
      </c>
      <c r="D103" s="39" t="s">
        <v>2507</v>
      </c>
      <c r="E103" s="39" t="s">
        <v>2553</v>
      </c>
      <c r="F103" s="39" t="s">
        <v>2419</v>
      </c>
      <c r="G103" s="39" t="s">
        <v>2554</v>
      </c>
      <c r="H103" s="39" t="s">
        <v>2499</v>
      </c>
      <c r="I103" s="32"/>
      <c r="J103" s="39"/>
      <c r="K103" s="39"/>
      <c r="L103" s="110" t="s">
        <v>2415</v>
      </c>
    </row>
    <row r="104">
      <c r="A104" s="123">
        <v>81.1</v>
      </c>
      <c r="B104" s="94" t="s">
        <v>2555</v>
      </c>
      <c r="C104" s="94" t="s">
        <v>2422</v>
      </c>
      <c r="D104" s="94" t="s">
        <v>2548</v>
      </c>
      <c r="E104" s="94" t="s">
        <v>2556</v>
      </c>
      <c r="F104" s="94" t="s">
        <v>2419</v>
      </c>
      <c r="G104" s="94" t="s">
        <v>2498</v>
      </c>
      <c r="H104" s="94" t="s">
        <v>2499</v>
      </c>
      <c r="I104" s="42"/>
      <c r="J104" s="94"/>
      <c r="K104" s="94" t="s">
        <v>2421</v>
      </c>
      <c r="L104" s="107" t="s">
        <v>2557</v>
      </c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</row>
    <row r="105">
      <c r="A105" s="123">
        <v>81.2</v>
      </c>
      <c r="B105" s="39" t="s">
        <v>1231</v>
      </c>
      <c r="C105" s="94" t="s">
        <v>2422</v>
      </c>
      <c r="D105" s="94" t="s">
        <v>2548</v>
      </c>
      <c r="E105" s="94" t="s">
        <v>2556</v>
      </c>
      <c r="F105" s="94" t="s">
        <v>2419</v>
      </c>
      <c r="G105" s="123" t="s">
        <v>2487</v>
      </c>
      <c r="H105" s="94" t="s">
        <v>2499</v>
      </c>
      <c r="I105" s="42"/>
      <c r="J105" s="94"/>
      <c r="K105" s="94" t="s">
        <v>2421</v>
      </c>
      <c r="L105" s="94" t="s">
        <v>2415</v>
      </c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</row>
    <row r="106">
      <c r="A106" s="39">
        <v>82.1</v>
      </c>
      <c r="B106" s="39" t="s">
        <v>2558</v>
      </c>
      <c r="C106" s="94" t="s">
        <v>2422</v>
      </c>
      <c r="D106" s="39" t="s">
        <v>2090</v>
      </c>
      <c r="E106" s="39" t="s">
        <v>2559</v>
      </c>
      <c r="F106" s="39"/>
      <c r="G106" s="39" t="s">
        <v>2498</v>
      </c>
      <c r="H106" s="39"/>
      <c r="I106" s="32"/>
      <c r="J106" s="39"/>
      <c r="K106" s="39"/>
      <c r="L106" s="94" t="s">
        <v>2560</v>
      </c>
    </row>
    <row r="107">
      <c r="A107" s="39">
        <v>82.2</v>
      </c>
      <c r="B107" s="39" t="s">
        <v>2561</v>
      </c>
      <c r="C107" s="39" t="s">
        <v>360</v>
      </c>
      <c r="D107" s="39" t="s">
        <v>2485</v>
      </c>
      <c r="E107" s="39" t="s">
        <v>2562</v>
      </c>
      <c r="F107" s="39" t="s">
        <v>2412</v>
      </c>
      <c r="G107" s="39" t="s">
        <v>2498</v>
      </c>
      <c r="H107" s="39"/>
      <c r="I107" s="32"/>
      <c r="J107" s="39"/>
      <c r="K107" s="39" t="s">
        <v>2477</v>
      </c>
      <c r="L107" s="94" t="s">
        <v>2415</v>
      </c>
    </row>
    <row r="108">
      <c r="A108" s="39">
        <v>83.0</v>
      </c>
      <c r="B108" s="39" t="s">
        <v>1212</v>
      </c>
      <c r="C108" s="39" t="s">
        <v>2422</v>
      </c>
      <c r="D108" s="39" t="s">
        <v>2090</v>
      </c>
      <c r="E108" s="39" t="s">
        <v>2559</v>
      </c>
      <c r="F108" s="94" t="s">
        <v>2412</v>
      </c>
      <c r="G108" s="110" t="s">
        <v>2487</v>
      </c>
      <c r="H108" s="39" t="s">
        <v>2563</v>
      </c>
      <c r="I108" s="105"/>
      <c r="J108" s="39"/>
      <c r="K108" s="39" t="s">
        <v>2477</v>
      </c>
      <c r="L108" s="94" t="s">
        <v>2415</v>
      </c>
    </row>
    <row r="109">
      <c r="A109" s="39">
        <v>84.0</v>
      </c>
      <c r="B109" s="39" t="s">
        <v>2564</v>
      </c>
      <c r="C109" s="39" t="s">
        <v>360</v>
      </c>
      <c r="D109" s="32" t="s">
        <v>2495</v>
      </c>
      <c r="E109" s="39" t="s">
        <v>2565</v>
      </c>
      <c r="F109" s="39" t="s">
        <v>2412</v>
      </c>
      <c r="G109" s="39" t="s">
        <v>1457</v>
      </c>
      <c r="H109" s="39"/>
      <c r="I109" s="32"/>
      <c r="J109" s="39"/>
      <c r="K109" s="39"/>
      <c r="L109" s="39"/>
    </row>
    <row r="110">
      <c r="A110" s="39">
        <v>85.0</v>
      </c>
      <c r="B110" s="39" t="s">
        <v>1241</v>
      </c>
      <c r="C110" s="39" t="s">
        <v>263</v>
      </c>
      <c r="D110" s="39" t="s">
        <v>2566</v>
      </c>
      <c r="E110" s="39"/>
      <c r="F110" s="39"/>
      <c r="G110" s="39" t="s">
        <v>2554</v>
      </c>
      <c r="H110" s="39"/>
      <c r="I110" s="32"/>
      <c r="J110" s="39"/>
      <c r="K110" s="39"/>
      <c r="L110" s="39"/>
    </row>
    <row r="111">
      <c r="A111" s="39">
        <v>86.0</v>
      </c>
      <c r="B111" s="39" t="s">
        <v>1247</v>
      </c>
      <c r="C111" s="39" t="s">
        <v>263</v>
      </c>
      <c r="D111" s="39" t="s">
        <v>2567</v>
      </c>
      <c r="E111" s="39" t="s">
        <v>2568</v>
      </c>
      <c r="F111" s="39"/>
      <c r="G111" s="39" t="s">
        <v>2554</v>
      </c>
      <c r="H111" s="39"/>
      <c r="I111" s="32"/>
      <c r="J111" s="39"/>
      <c r="K111" s="39"/>
      <c r="L111" s="39"/>
    </row>
    <row r="112">
      <c r="A112" s="39">
        <v>87.0</v>
      </c>
      <c r="B112" s="39" t="s">
        <v>1283</v>
      </c>
      <c r="C112" s="39" t="s">
        <v>263</v>
      </c>
      <c r="D112" s="39" t="s">
        <v>1970</v>
      </c>
      <c r="E112" s="39" t="s">
        <v>2569</v>
      </c>
      <c r="F112" s="39" t="s">
        <v>2419</v>
      </c>
      <c r="G112" s="39" t="s">
        <v>2498</v>
      </c>
      <c r="H112" s="39" t="s">
        <v>1688</v>
      </c>
      <c r="I112" s="32"/>
      <c r="J112" s="94"/>
      <c r="K112" s="94" t="s">
        <v>2421</v>
      </c>
      <c r="L112" s="39"/>
    </row>
    <row r="113">
      <c r="A113" s="20">
        <v>88.0</v>
      </c>
      <c r="B113" s="39" t="s">
        <v>1294</v>
      </c>
      <c r="C113" s="20" t="s">
        <v>2422</v>
      </c>
      <c r="D113" s="20" t="s">
        <v>2090</v>
      </c>
      <c r="E113" s="20" t="s">
        <v>2570</v>
      </c>
      <c r="F113" s="39" t="s">
        <v>2419</v>
      </c>
      <c r="G113" s="20" t="s">
        <v>2498</v>
      </c>
      <c r="H113" s="20" t="s">
        <v>1688</v>
      </c>
      <c r="I113" s="105"/>
      <c r="J113" s="125"/>
      <c r="K113" s="125" t="s">
        <v>2421</v>
      </c>
      <c r="L113" s="94" t="s">
        <v>2415</v>
      </c>
    </row>
    <row r="114">
      <c r="B114" s="39" t="s">
        <v>1301</v>
      </c>
      <c r="F114" s="39" t="s">
        <v>2419</v>
      </c>
      <c r="I114" s="32"/>
      <c r="J114" s="125"/>
      <c r="L114" s="94" t="s">
        <v>2415</v>
      </c>
    </row>
    <row r="115">
      <c r="B115" s="39" t="s">
        <v>1303</v>
      </c>
      <c r="F115" s="39" t="s">
        <v>2419</v>
      </c>
      <c r="I115" s="32"/>
      <c r="J115" s="125"/>
      <c r="L115" s="94" t="s">
        <v>2415</v>
      </c>
    </row>
    <row r="116">
      <c r="A116" s="39"/>
      <c r="B116" s="39" t="s">
        <v>1305</v>
      </c>
      <c r="C116" s="39" t="s">
        <v>360</v>
      </c>
      <c r="D116" s="39" t="s">
        <v>2449</v>
      </c>
      <c r="E116" s="39" t="s">
        <v>2571</v>
      </c>
      <c r="F116" s="39" t="s">
        <v>2419</v>
      </c>
      <c r="G116" s="39" t="s">
        <v>2554</v>
      </c>
      <c r="H116" s="39" t="s">
        <v>1688</v>
      </c>
      <c r="I116" s="32"/>
      <c r="J116" s="94"/>
      <c r="K116" s="94" t="s">
        <v>2421</v>
      </c>
      <c r="L116" s="94"/>
    </row>
    <row r="117">
      <c r="A117" s="39">
        <v>89.0</v>
      </c>
      <c r="B117" s="39" t="s">
        <v>1253</v>
      </c>
      <c r="C117" s="39" t="s">
        <v>263</v>
      </c>
      <c r="D117" s="39" t="s">
        <v>1414</v>
      </c>
      <c r="E117" s="39" t="s">
        <v>2572</v>
      </c>
      <c r="F117" s="39" t="s">
        <v>2419</v>
      </c>
      <c r="G117" s="39" t="s">
        <v>2487</v>
      </c>
      <c r="H117" s="39" t="s">
        <v>2573</v>
      </c>
      <c r="I117" s="32"/>
      <c r="J117" s="94"/>
      <c r="K117" s="94" t="s">
        <v>2421</v>
      </c>
      <c r="L117" s="94" t="s">
        <v>2415</v>
      </c>
    </row>
    <row r="118">
      <c r="A118" s="39">
        <v>90.0</v>
      </c>
      <c r="B118" s="39" t="s">
        <v>1258</v>
      </c>
      <c r="C118" s="39" t="s">
        <v>263</v>
      </c>
      <c r="D118" s="39" t="s">
        <v>1414</v>
      </c>
      <c r="E118" s="39" t="s">
        <v>2574</v>
      </c>
      <c r="F118" s="39" t="s">
        <v>2419</v>
      </c>
      <c r="G118" s="39" t="s">
        <v>2487</v>
      </c>
      <c r="H118" s="39" t="s">
        <v>2573</v>
      </c>
      <c r="I118" s="32"/>
      <c r="J118" s="94"/>
      <c r="K118" s="94" t="s">
        <v>2421</v>
      </c>
      <c r="L118" s="94" t="s">
        <v>2415</v>
      </c>
    </row>
    <row r="119">
      <c r="A119" s="39">
        <v>91.0</v>
      </c>
      <c r="B119" s="39" t="s">
        <v>1262</v>
      </c>
      <c r="C119" s="39" t="s">
        <v>263</v>
      </c>
      <c r="D119" s="39" t="s">
        <v>1021</v>
      </c>
      <c r="E119" s="39" t="s">
        <v>2575</v>
      </c>
      <c r="F119" s="39" t="s">
        <v>2419</v>
      </c>
      <c r="G119" s="39" t="s">
        <v>2487</v>
      </c>
      <c r="H119" s="39" t="s">
        <v>2573</v>
      </c>
      <c r="I119" s="32"/>
      <c r="J119" s="94"/>
      <c r="K119" s="94" t="s">
        <v>2421</v>
      </c>
      <c r="L119" s="94" t="s">
        <v>2415</v>
      </c>
    </row>
    <row r="120">
      <c r="A120" s="39">
        <v>92.0</v>
      </c>
      <c r="B120" s="39" t="s">
        <v>1266</v>
      </c>
      <c r="C120" s="39" t="s">
        <v>263</v>
      </c>
      <c r="D120" s="39" t="s">
        <v>1021</v>
      </c>
      <c r="E120" s="39" t="s">
        <v>2572</v>
      </c>
      <c r="F120" s="39" t="s">
        <v>2419</v>
      </c>
      <c r="G120" s="39" t="s">
        <v>2487</v>
      </c>
      <c r="H120" s="39" t="s">
        <v>2573</v>
      </c>
      <c r="I120" s="32"/>
      <c r="J120" s="94"/>
      <c r="K120" s="94" t="s">
        <v>2421</v>
      </c>
      <c r="L120" s="94" t="s">
        <v>2415</v>
      </c>
    </row>
    <row r="121">
      <c r="A121" s="39">
        <v>93.0</v>
      </c>
      <c r="B121" s="39" t="s">
        <v>1269</v>
      </c>
      <c r="C121" s="39" t="s">
        <v>263</v>
      </c>
      <c r="D121" s="39" t="s">
        <v>1634</v>
      </c>
      <c r="E121" s="39" t="s">
        <v>2572</v>
      </c>
      <c r="F121" s="39" t="s">
        <v>2419</v>
      </c>
      <c r="G121" s="39" t="s">
        <v>2487</v>
      </c>
      <c r="H121" s="39" t="s">
        <v>2573</v>
      </c>
      <c r="I121" s="32"/>
      <c r="J121" s="94"/>
      <c r="K121" s="94" t="s">
        <v>2421</v>
      </c>
      <c r="L121" s="94" t="s">
        <v>2415</v>
      </c>
    </row>
    <row r="122">
      <c r="A122" s="39">
        <v>94.0</v>
      </c>
      <c r="B122" s="39" t="s">
        <v>1279</v>
      </c>
      <c r="C122" s="39" t="s">
        <v>263</v>
      </c>
      <c r="D122" s="39" t="s">
        <v>1414</v>
      </c>
      <c r="E122" s="39" t="s">
        <v>2576</v>
      </c>
      <c r="F122" s="39" t="s">
        <v>2419</v>
      </c>
      <c r="G122" s="39" t="s">
        <v>2554</v>
      </c>
      <c r="H122" s="39" t="s">
        <v>2577</v>
      </c>
      <c r="I122" s="32"/>
      <c r="J122" s="94"/>
      <c r="K122" s="94" t="s">
        <v>2421</v>
      </c>
      <c r="L122" s="94" t="s">
        <v>2415</v>
      </c>
    </row>
    <row r="123">
      <c r="A123" s="39">
        <v>95.0</v>
      </c>
      <c r="B123" s="39" t="s">
        <v>1273</v>
      </c>
      <c r="C123" s="39" t="s">
        <v>2422</v>
      </c>
      <c r="D123" s="39" t="s">
        <v>2090</v>
      </c>
      <c r="E123" s="39" t="s">
        <v>2578</v>
      </c>
      <c r="F123" s="39" t="s">
        <v>2419</v>
      </c>
      <c r="G123" s="39" t="s">
        <v>2487</v>
      </c>
      <c r="H123" s="39" t="s">
        <v>2579</v>
      </c>
      <c r="I123" s="32"/>
      <c r="J123" s="94"/>
      <c r="K123" s="94" t="s">
        <v>2421</v>
      </c>
      <c r="L123" s="94" t="s">
        <v>2415</v>
      </c>
    </row>
    <row r="124">
      <c r="A124" s="39">
        <v>96.0</v>
      </c>
      <c r="B124" s="39" t="s">
        <v>1288</v>
      </c>
      <c r="C124" s="39" t="s">
        <v>2422</v>
      </c>
      <c r="D124" s="39" t="s">
        <v>2580</v>
      </c>
      <c r="E124" s="39" t="s">
        <v>2581</v>
      </c>
      <c r="F124" s="39" t="s">
        <v>2419</v>
      </c>
      <c r="G124" s="39" t="s">
        <v>2487</v>
      </c>
      <c r="H124" s="39" t="s">
        <v>2579</v>
      </c>
      <c r="I124" s="32"/>
      <c r="J124" s="94"/>
      <c r="K124" s="94" t="s">
        <v>2421</v>
      </c>
      <c r="L124" s="94" t="s">
        <v>2415</v>
      </c>
    </row>
    <row r="125">
      <c r="A125" s="39">
        <v>97.0</v>
      </c>
      <c r="B125" s="39" t="s">
        <v>1312</v>
      </c>
      <c r="C125" s="39" t="s">
        <v>2422</v>
      </c>
      <c r="D125" s="39" t="s">
        <v>2507</v>
      </c>
      <c r="E125" s="39" t="s">
        <v>2578</v>
      </c>
      <c r="F125" s="39" t="s">
        <v>2419</v>
      </c>
      <c r="G125" s="39" t="s">
        <v>1457</v>
      </c>
      <c r="H125" s="39" t="s">
        <v>1688</v>
      </c>
      <c r="I125" s="32"/>
      <c r="J125" s="94"/>
      <c r="K125" s="94" t="s">
        <v>2421</v>
      </c>
      <c r="L125" s="94" t="s">
        <v>2415</v>
      </c>
      <c r="M125" s="54" t="s">
        <v>2582</v>
      </c>
    </row>
    <row r="126">
      <c r="A126" s="39">
        <v>98.0</v>
      </c>
      <c r="B126" s="39" t="s">
        <v>1317</v>
      </c>
      <c r="C126" s="39" t="s">
        <v>2422</v>
      </c>
      <c r="D126" s="39" t="s">
        <v>2507</v>
      </c>
      <c r="E126" s="39" t="s">
        <v>2578</v>
      </c>
      <c r="F126" s="39" t="s">
        <v>2419</v>
      </c>
      <c r="G126" s="39" t="s">
        <v>1457</v>
      </c>
      <c r="H126" s="39" t="s">
        <v>1688</v>
      </c>
      <c r="I126" s="32"/>
      <c r="J126" s="94"/>
      <c r="K126" s="94" t="s">
        <v>2421</v>
      </c>
      <c r="L126" s="94" t="s">
        <v>2415</v>
      </c>
      <c r="M126" s="54" t="s">
        <v>2582</v>
      </c>
    </row>
    <row r="127">
      <c r="A127" s="39"/>
      <c r="B127" s="39" t="s">
        <v>1309</v>
      </c>
      <c r="C127" s="39" t="s">
        <v>360</v>
      </c>
      <c r="D127" s="94" t="s">
        <v>2449</v>
      </c>
      <c r="E127" s="94" t="s">
        <v>2583</v>
      </c>
      <c r="F127" s="94" t="s">
        <v>2419</v>
      </c>
      <c r="G127" s="39" t="s">
        <v>1457</v>
      </c>
      <c r="H127" s="39" t="s">
        <v>1688</v>
      </c>
      <c r="I127" s="42"/>
      <c r="J127" s="94"/>
      <c r="K127" s="94" t="s">
        <v>2421</v>
      </c>
      <c r="L127" s="94" t="s">
        <v>2415</v>
      </c>
      <c r="M127" s="54"/>
    </row>
    <row r="128">
      <c r="A128" s="39">
        <v>99.0</v>
      </c>
      <c r="B128" s="39" t="s">
        <v>1325</v>
      </c>
      <c r="C128" s="39" t="s">
        <v>2422</v>
      </c>
      <c r="D128" s="94" t="s">
        <v>2548</v>
      </c>
      <c r="E128" s="94" t="s">
        <v>2556</v>
      </c>
      <c r="F128" s="94" t="s">
        <v>2419</v>
      </c>
      <c r="G128" s="123" t="s">
        <v>2487</v>
      </c>
      <c r="H128" s="94" t="s">
        <v>2499</v>
      </c>
      <c r="I128" s="42"/>
      <c r="J128" s="94"/>
      <c r="K128" s="94" t="s">
        <v>2421</v>
      </c>
      <c r="L128" s="94" t="s">
        <v>2415</v>
      </c>
      <c r="M128" s="54" t="s">
        <v>2584</v>
      </c>
    </row>
    <row r="129">
      <c r="A129" s="39"/>
      <c r="B129" s="39" t="s">
        <v>1319</v>
      </c>
      <c r="C129" s="39" t="s">
        <v>360</v>
      </c>
      <c r="D129" s="39" t="s">
        <v>2449</v>
      </c>
      <c r="E129" s="39" t="s">
        <v>2585</v>
      </c>
      <c r="F129" s="94" t="s">
        <v>2419</v>
      </c>
      <c r="G129" s="123" t="s">
        <v>2487</v>
      </c>
      <c r="H129" s="94" t="s">
        <v>2499</v>
      </c>
      <c r="I129" s="32"/>
      <c r="J129" s="94"/>
      <c r="K129" s="94" t="s">
        <v>2421</v>
      </c>
      <c r="L129" s="94" t="s">
        <v>2415</v>
      </c>
    </row>
    <row r="130">
      <c r="A130" s="39">
        <v>100.0</v>
      </c>
      <c r="B130" s="39" t="s">
        <v>1394</v>
      </c>
      <c r="C130" s="39" t="s">
        <v>2422</v>
      </c>
      <c r="D130" s="94" t="s">
        <v>2548</v>
      </c>
      <c r="E130" s="94" t="s">
        <v>2556</v>
      </c>
      <c r="F130" s="94" t="s">
        <v>2419</v>
      </c>
      <c r="G130" s="123" t="s">
        <v>2487</v>
      </c>
      <c r="H130" s="94" t="s">
        <v>2499</v>
      </c>
      <c r="I130" s="42" t="s">
        <v>1387</v>
      </c>
      <c r="J130" s="94"/>
      <c r="K130" s="94" t="s">
        <v>2421</v>
      </c>
      <c r="L130" s="94" t="s">
        <v>2415</v>
      </c>
    </row>
    <row r="131" ht="8.25" customHeight="1">
      <c r="A131" s="126"/>
      <c r="B131" s="126"/>
      <c r="C131" s="126"/>
      <c r="D131" s="126"/>
      <c r="E131" s="126"/>
      <c r="F131" s="127"/>
      <c r="G131" s="126"/>
      <c r="H131" s="126"/>
      <c r="I131" s="128"/>
      <c r="J131" s="127"/>
      <c r="K131" s="127"/>
      <c r="L131" s="126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</row>
    <row r="132">
      <c r="A132" s="39"/>
      <c r="B132" s="39" t="s">
        <v>1399</v>
      </c>
      <c r="C132" s="39" t="s">
        <v>263</v>
      </c>
      <c r="D132" s="39" t="s">
        <v>2586</v>
      </c>
      <c r="E132" s="39" t="s">
        <v>2587</v>
      </c>
      <c r="F132" s="94" t="s">
        <v>2419</v>
      </c>
      <c r="G132" s="39" t="s">
        <v>2487</v>
      </c>
      <c r="H132" s="39" t="s">
        <v>2588</v>
      </c>
      <c r="I132" s="32" t="s">
        <v>2589</v>
      </c>
      <c r="J132" s="94"/>
      <c r="K132" s="94" t="s">
        <v>2421</v>
      </c>
      <c r="L132" s="94" t="s">
        <v>2415</v>
      </c>
    </row>
    <row r="133">
      <c r="A133" s="39"/>
      <c r="B133" s="39" t="s">
        <v>1408</v>
      </c>
      <c r="C133" s="39" t="s">
        <v>263</v>
      </c>
      <c r="D133" s="39" t="s">
        <v>2586</v>
      </c>
      <c r="E133" s="39" t="s">
        <v>2590</v>
      </c>
      <c r="F133" s="39"/>
      <c r="G133" s="39" t="s">
        <v>2554</v>
      </c>
      <c r="H133" s="39" t="s">
        <v>2588</v>
      </c>
      <c r="I133" s="32" t="s">
        <v>2589</v>
      </c>
      <c r="J133" s="94"/>
      <c r="K133" s="94" t="s">
        <v>2421</v>
      </c>
      <c r="L133" s="94" t="s">
        <v>2415</v>
      </c>
    </row>
    <row r="134" ht="8.25" customHeight="1">
      <c r="A134" s="126"/>
      <c r="B134" s="126"/>
      <c r="C134" s="126"/>
      <c r="D134" s="126"/>
      <c r="E134" s="126"/>
      <c r="F134" s="127"/>
      <c r="G134" s="126"/>
      <c r="H134" s="126"/>
      <c r="I134" s="128"/>
      <c r="J134" s="127"/>
      <c r="K134" s="127"/>
      <c r="L134" s="126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</row>
    <row r="135">
      <c r="A135" s="39">
        <v>1.0</v>
      </c>
      <c r="B135" s="39" t="s">
        <v>1412</v>
      </c>
      <c r="C135" s="130" t="s">
        <v>263</v>
      </c>
      <c r="D135" s="39" t="s">
        <v>1414</v>
      </c>
      <c r="E135" s="39" t="s">
        <v>2591</v>
      </c>
      <c r="F135" s="39"/>
      <c r="G135" s="39" t="s">
        <v>2498</v>
      </c>
      <c r="H135" s="39" t="s">
        <v>2484</v>
      </c>
      <c r="I135" s="32" t="s">
        <v>2592</v>
      </c>
      <c r="J135" s="94"/>
      <c r="K135" s="94" t="s">
        <v>2421</v>
      </c>
      <c r="L135" s="94" t="s">
        <v>2415</v>
      </c>
    </row>
    <row r="136">
      <c r="A136" s="39">
        <v>2.0</v>
      </c>
      <c r="B136" s="39" t="s">
        <v>1425</v>
      </c>
      <c r="C136" s="130" t="s">
        <v>263</v>
      </c>
      <c r="D136" s="39" t="s">
        <v>1414</v>
      </c>
      <c r="E136" s="39" t="s">
        <v>2593</v>
      </c>
      <c r="F136" s="39"/>
      <c r="G136" s="39" t="s">
        <v>2531</v>
      </c>
      <c r="H136" s="39" t="s">
        <v>2588</v>
      </c>
      <c r="I136" s="32" t="s">
        <v>2594</v>
      </c>
      <c r="J136" s="94"/>
      <c r="K136" s="94" t="s">
        <v>2421</v>
      </c>
      <c r="L136" s="94" t="s">
        <v>2415</v>
      </c>
    </row>
    <row r="137">
      <c r="A137" s="39">
        <v>3.0</v>
      </c>
      <c r="B137" s="39" t="s">
        <v>1430</v>
      </c>
      <c r="C137" s="130" t="s">
        <v>263</v>
      </c>
      <c r="D137" s="39" t="s">
        <v>1414</v>
      </c>
      <c r="E137" s="39" t="s">
        <v>2595</v>
      </c>
      <c r="F137" s="39"/>
      <c r="G137" s="39" t="s">
        <v>2596</v>
      </c>
      <c r="H137" s="39" t="s">
        <v>1691</v>
      </c>
      <c r="I137" s="32" t="s">
        <v>1506</v>
      </c>
      <c r="J137" s="94"/>
      <c r="K137" s="94" t="s">
        <v>2421</v>
      </c>
      <c r="L137" s="94" t="s">
        <v>2415</v>
      </c>
    </row>
    <row r="138">
      <c r="A138" s="39">
        <v>4.0</v>
      </c>
      <c r="B138" s="32" t="s">
        <v>2597</v>
      </c>
      <c r="C138" s="39" t="s">
        <v>2422</v>
      </c>
      <c r="D138" s="39" t="s">
        <v>2090</v>
      </c>
      <c r="E138" s="39" t="s">
        <v>2598</v>
      </c>
      <c r="F138" s="39" t="s">
        <v>2412</v>
      </c>
      <c r="G138" s="39" t="s">
        <v>2531</v>
      </c>
      <c r="H138" s="39" t="s">
        <v>2484</v>
      </c>
      <c r="I138" s="32" t="s">
        <v>1527</v>
      </c>
      <c r="J138" s="94"/>
      <c r="K138" s="94" t="s">
        <v>2599</v>
      </c>
      <c r="L138" s="94" t="s">
        <v>2415</v>
      </c>
    </row>
    <row r="139" ht="27.0" customHeight="1">
      <c r="A139" s="20">
        <v>5.0</v>
      </c>
      <c r="B139" s="23" t="s">
        <v>2600</v>
      </c>
      <c r="C139" s="20" t="s">
        <v>2422</v>
      </c>
      <c r="D139" s="32" t="s">
        <v>2601</v>
      </c>
      <c r="E139" s="20" t="s">
        <v>2602</v>
      </c>
      <c r="F139" s="20" t="s">
        <v>2412</v>
      </c>
      <c r="G139" s="20" t="s">
        <v>2531</v>
      </c>
      <c r="H139" s="20" t="s">
        <v>1691</v>
      </c>
      <c r="I139" s="20" t="s">
        <v>2603</v>
      </c>
      <c r="J139" s="20"/>
      <c r="K139" s="20" t="s">
        <v>2414</v>
      </c>
      <c r="L139" s="131" t="s">
        <v>2415</v>
      </c>
    </row>
    <row r="140" ht="30.0" customHeight="1">
      <c r="D140" s="39" t="s">
        <v>2604</v>
      </c>
      <c r="J140" s="20"/>
    </row>
    <row r="141">
      <c r="D141" s="39" t="s">
        <v>2605</v>
      </c>
      <c r="J141" s="20"/>
    </row>
    <row r="142" ht="15.75" customHeight="1">
      <c r="D142" s="39" t="s">
        <v>2606</v>
      </c>
      <c r="J142" s="20"/>
    </row>
    <row r="143">
      <c r="A143" s="39">
        <v>6.0</v>
      </c>
      <c r="B143" s="39" t="s">
        <v>1428</v>
      </c>
      <c r="C143" s="39" t="s">
        <v>360</v>
      </c>
      <c r="D143" s="39" t="s">
        <v>2607</v>
      </c>
      <c r="E143" s="39" t="s">
        <v>2608</v>
      </c>
      <c r="F143" s="39"/>
      <c r="G143" s="39" t="s">
        <v>2531</v>
      </c>
      <c r="H143" s="39" t="s">
        <v>2588</v>
      </c>
      <c r="I143" s="32" t="s">
        <v>2594</v>
      </c>
      <c r="J143" s="94"/>
      <c r="K143" s="94" t="s">
        <v>2421</v>
      </c>
      <c r="L143" s="39" t="s">
        <v>2415</v>
      </c>
    </row>
    <row r="144">
      <c r="A144" s="39">
        <v>7.0</v>
      </c>
      <c r="B144" s="39" t="s">
        <v>1419</v>
      </c>
      <c r="C144" s="39" t="s">
        <v>360</v>
      </c>
      <c r="D144" s="39" t="s">
        <v>2607</v>
      </c>
      <c r="E144" s="39" t="s">
        <v>2608</v>
      </c>
      <c r="F144" s="39"/>
      <c r="G144" s="39" t="s">
        <v>2498</v>
      </c>
      <c r="H144" s="39" t="s">
        <v>2484</v>
      </c>
      <c r="I144" s="32" t="s">
        <v>2609</v>
      </c>
      <c r="J144" s="94"/>
      <c r="K144" s="94" t="s">
        <v>2421</v>
      </c>
      <c r="L144" s="39" t="s">
        <v>2415</v>
      </c>
    </row>
    <row r="145">
      <c r="A145" s="39">
        <v>8.0</v>
      </c>
      <c r="B145" s="39" t="s">
        <v>1433</v>
      </c>
      <c r="C145" s="39" t="s">
        <v>360</v>
      </c>
      <c r="D145" s="39" t="s">
        <v>2607</v>
      </c>
      <c r="E145" s="39" t="s">
        <v>2610</v>
      </c>
      <c r="F145" s="39"/>
      <c r="G145" s="39" t="s">
        <v>2596</v>
      </c>
      <c r="H145" s="39" t="s">
        <v>1691</v>
      </c>
      <c r="I145" s="32" t="s">
        <v>1506</v>
      </c>
      <c r="J145" s="94"/>
      <c r="K145" s="94" t="s">
        <v>2421</v>
      </c>
      <c r="L145" s="39" t="s">
        <v>2415</v>
      </c>
    </row>
    <row r="146">
      <c r="A146" s="39">
        <v>9.0</v>
      </c>
      <c r="B146" s="39" t="s">
        <v>1501</v>
      </c>
      <c r="C146" s="39" t="s">
        <v>2422</v>
      </c>
      <c r="D146" s="39" t="s">
        <v>2426</v>
      </c>
      <c r="E146" s="39" t="s">
        <v>2598</v>
      </c>
      <c r="F146" s="39" t="s">
        <v>2419</v>
      </c>
      <c r="G146" s="39" t="s">
        <v>2531</v>
      </c>
      <c r="H146" s="39" t="s">
        <v>1691</v>
      </c>
      <c r="I146" s="32" t="s">
        <v>1506</v>
      </c>
      <c r="J146" s="94"/>
      <c r="K146" s="94" t="s">
        <v>2421</v>
      </c>
      <c r="L146" s="39" t="s">
        <v>2415</v>
      </c>
    </row>
    <row r="147">
      <c r="A147" s="39">
        <v>10.0</v>
      </c>
      <c r="B147" s="39" t="s">
        <v>1509</v>
      </c>
      <c r="C147" s="39" t="s">
        <v>2422</v>
      </c>
      <c r="D147" s="39" t="s">
        <v>2426</v>
      </c>
      <c r="E147" s="39" t="s">
        <v>2598</v>
      </c>
      <c r="F147" s="39" t="s">
        <v>2419</v>
      </c>
      <c r="G147" s="39" t="s">
        <v>2531</v>
      </c>
      <c r="H147" s="39" t="s">
        <v>1691</v>
      </c>
      <c r="I147" s="32" t="s">
        <v>1506</v>
      </c>
      <c r="J147" s="94"/>
      <c r="K147" s="94" t="s">
        <v>2421</v>
      </c>
      <c r="L147" s="39" t="s">
        <v>2415</v>
      </c>
    </row>
    <row r="148">
      <c r="A148" s="39">
        <v>11.0</v>
      </c>
      <c r="B148" s="39" t="s">
        <v>1477</v>
      </c>
      <c r="C148" s="39" t="s">
        <v>2422</v>
      </c>
      <c r="D148" s="39" t="s">
        <v>2611</v>
      </c>
      <c r="E148" s="39" t="s">
        <v>2598</v>
      </c>
      <c r="F148" s="39" t="s">
        <v>2419</v>
      </c>
      <c r="G148" s="39"/>
      <c r="H148" s="39" t="s">
        <v>1481</v>
      </c>
      <c r="I148" s="32"/>
      <c r="J148" s="94"/>
      <c r="K148" s="94" t="s">
        <v>2421</v>
      </c>
      <c r="L148" s="39" t="s">
        <v>2415</v>
      </c>
    </row>
    <row r="149">
      <c r="A149" s="39">
        <v>12.0</v>
      </c>
      <c r="B149" s="39" t="s">
        <v>1484</v>
      </c>
      <c r="C149" s="39" t="s">
        <v>2422</v>
      </c>
      <c r="D149" s="39" t="s">
        <v>2611</v>
      </c>
      <c r="E149" s="39" t="s">
        <v>2598</v>
      </c>
      <c r="F149" s="39" t="s">
        <v>2419</v>
      </c>
      <c r="G149" s="39"/>
      <c r="H149" s="39" t="s">
        <v>2612</v>
      </c>
      <c r="I149" s="32"/>
      <c r="J149" s="39"/>
      <c r="K149" s="39" t="s">
        <v>2613</v>
      </c>
      <c r="L149" s="39" t="s">
        <v>2415</v>
      </c>
    </row>
    <row r="150">
      <c r="A150" s="39">
        <v>14.0</v>
      </c>
      <c r="B150" s="32" t="s">
        <v>2614</v>
      </c>
      <c r="C150" s="39" t="s">
        <v>2422</v>
      </c>
      <c r="D150" s="39" t="s">
        <v>2410</v>
      </c>
      <c r="E150" s="39" t="s">
        <v>2602</v>
      </c>
      <c r="F150" s="39" t="s">
        <v>2412</v>
      </c>
      <c r="G150" s="39" t="s">
        <v>2413</v>
      </c>
      <c r="H150" s="39" t="s">
        <v>1688</v>
      </c>
      <c r="I150" s="32" t="s">
        <v>2615</v>
      </c>
      <c r="J150" s="99"/>
      <c r="K150" s="99" t="s">
        <v>2616</v>
      </c>
      <c r="L150" s="39" t="s">
        <v>2415</v>
      </c>
    </row>
    <row r="151">
      <c r="A151" s="39">
        <v>13.0</v>
      </c>
      <c r="B151" s="39"/>
      <c r="C151" s="39" t="s">
        <v>263</v>
      </c>
      <c r="D151" s="39" t="s">
        <v>2617</v>
      </c>
      <c r="E151" s="39" t="s">
        <v>2618</v>
      </c>
      <c r="F151" s="39" t="s">
        <v>2419</v>
      </c>
      <c r="G151" s="39"/>
      <c r="H151" s="39"/>
      <c r="I151" s="32"/>
      <c r="J151" s="94"/>
      <c r="K151" s="94" t="s">
        <v>2421</v>
      </c>
      <c r="L151" s="39" t="s">
        <v>2415</v>
      </c>
    </row>
    <row r="152">
      <c r="A152" s="39">
        <v>14.0</v>
      </c>
      <c r="B152" s="4" t="s">
        <v>1544</v>
      </c>
      <c r="C152" s="39" t="s">
        <v>2422</v>
      </c>
      <c r="D152" s="39" t="s">
        <v>2426</v>
      </c>
      <c r="E152" s="39" t="s">
        <v>2619</v>
      </c>
      <c r="F152" s="39" t="s">
        <v>2419</v>
      </c>
      <c r="G152" s="39"/>
      <c r="H152" s="39" t="s">
        <v>1691</v>
      </c>
      <c r="I152" s="32" t="s">
        <v>2620</v>
      </c>
      <c r="J152" s="94"/>
      <c r="K152" s="94" t="s">
        <v>2421</v>
      </c>
      <c r="L152" s="39" t="s">
        <v>2415</v>
      </c>
      <c r="M152" s="54" t="s">
        <v>2621</v>
      </c>
    </row>
    <row r="153">
      <c r="A153" s="39">
        <v>15.0</v>
      </c>
      <c r="B153" s="39"/>
      <c r="C153" s="39" t="s">
        <v>263</v>
      </c>
      <c r="D153" s="39" t="s">
        <v>2622</v>
      </c>
      <c r="E153" s="39" t="s">
        <v>2576</v>
      </c>
      <c r="F153" s="39"/>
      <c r="G153" s="39"/>
      <c r="H153" s="39"/>
      <c r="I153" s="32"/>
      <c r="J153" s="94"/>
      <c r="K153" s="94" t="s">
        <v>2421</v>
      </c>
      <c r="L153" s="39" t="s">
        <v>2415</v>
      </c>
    </row>
    <row r="154">
      <c r="A154" s="39">
        <v>16.0</v>
      </c>
      <c r="B154" s="32" t="s">
        <v>1579</v>
      </c>
      <c r="C154" s="39" t="s">
        <v>2422</v>
      </c>
      <c r="D154" s="39" t="s">
        <v>2611</v>
      </c>
      <c r="E154" s="39" t="s">
        <v>2623</v>
      </c>
      <c r="F154" s="39" t="s">
        <v>2419</v>
      </c>
      <c r="G154" s="39" t="s">
        <v>2624</v>
      </c>
      <c r="H154" s="39" t="s">
        <v>1691</v>
      </c>
      <c r="I154" s="32" t="s">
        <v>2620</v>
      </c>
      <c r="J154" s="94"/>
      <c r="K154" s="94" t="s">
        <v>2421</v>
      </c>
      <c r="L154" s="39" t="s">
        <v>2415</v>
      </c>
    </row>
    <row r="155">
      <c r="A155" s="39">
        <v>17.0</v>
      </c>
      <c r="B155" s="39" t="s">
        <v>1565</v>
      </c>
      <c r="C155" s="39" t="s">
        <v>2422</v>
      </c>
      <c r="D155" s="39" t="s">
        <v>2410</v>
      </c>
      <c r="E155" s="39" t="s">
        <v>2625</v>
      </c>
      <c r="F155" s="39" t="s">
        <v>2412</v>
      </c>
      <c r="G155" s="39" t="s">
        <v>2413</v>
      </c>
      <c r="H155" s="39" t="s">
        <v>2626</v>
      </c>
      <c r="I155" s="32" t="s">
        <v>2627</v>
      </c>
      <c r="J155" s="94"/>
      <c r="K155" s="94" t="s">
        <v>2421</v>
      </c>
      <c r="L155" s="39" t="s">
        <v>2415</v>
      </c>
    </row>
    <row r="156">
      <c r="A156" s="39">
        <v>18.0</v>
      </c>
      <c r="B156" s="39" t="s">
        <v>1603</v>
      </c>
      <c r="C156" s="39" t="s">
        <v>360</v>
      </c>
      <c r="D156" s="39" t="s">
        <v>2628</v>
      </c>
      <c r="E156" s="39" t="s">
        <v>2629</v>
      </c>
      <c r="F156" s="39" t="s">
        <v>2412</v>
      </c>
      <c r="G156" s="39" t="s">
        <v>2630</v>
      </c>
      <c r="H156" s="39" t="s">
        <v>1691</v>
      </c>
      <c r="I156" s="32"/>
      <c r="J156" s="39"/>
      <c r="K156" s="39" t="s">
        <v>2414</v>
      </c>
      <c r="L156" s="39"/>
    </row>
    <row r="157">
      <c r="A157" s="39">
        <v>19.0</v>
      </c>
      <c r="B157" s="39" t="s">
        <v>1606</v>
      </c>
      <c r="C157" s="39" t="s">
        <v>360</v>
      </c>
      <c r="D157" s="39" t="s">
        <v>2628</v>
      </c>
      <c r="E157" s="39" t="s">
        <v>2631</v>
      </c>
      <c r="F157" s="39" t="s">
        <v>2412</v>
      </c>
      <c r="G157" s="39" t="s">
        <v>2632</v>
      </c>
      <c r="H157" s="39" t="s">
        <v>1691</v>
      </c>
      <c r="I157" s="32"/>
      <c r="J157" s="39"/>
      <c r="K157" s="39" t="s">
        <v>2414</v>
      </c>
      <c r="L157" s="39"/>
    </row>
    <row r="158">
      <c r="A158" s="39">
        <v>20.0</v>
      </c>
      <c r="B158" s="39" t="s">
        <v>1573</v>
      </c>
      <c r="C158" s="39" t="s">
        <v>360</v>
      </c>
      <c r="D158" s="39" t="s">
        <v>2628</v>
      </c>
      <c r="E158" s="39" t="s">
        <v>2633</v>
      </c>
      <c r="F158" s="39" t="s">
        <v>2412</v>
      </c>
      <c r="G158" s="39" t="s">
        <v>2436</v>
      </c>
      <c r="H158" s="39" t="s">
        <v>1691</v>
      </c>
      <c r="I158" s="32"/>
      <c r="J158" s="39"/>
      <c r="K158" s="39" t="s">
        <v>2414</v>
      </c>
      <c r="L158" s="39"/>
    </row>
    <row r="159">
      <c r="A159" s="39">
        <v>21.0</v>
      </c>
      <c r="B159" s="39" t="s">
        <v>1762</v>
      </c>
      <c r="C159" s="39" t="s">
        <v>360</v>
      </c>
      <c r="D159" s="39" t="s">
        <v>2628</v>
      </c>
      <c r="E159" s="39" t="s">
        <v>2634</v>
      </c>
      <c r="F159" s="39" t="s">
        <v>2412</v>
      </c>
      <c r="G159" s="39" t="s">
        <v>2635</v>
      </c>
      <c r="H159" s="39" t="s">
        <v>1691</v>
      </c>
      <c r="I159" s="32"/>
      <c r="J159" s="39"/>
      <c r="K159" s="39"/>
      <c r="L159" s="39"/>
    </row>
    <row r="160">
      <c r="A160" s="39">
        <v>22.0</v>
      </c>
      <c r="B160" s="39" t="s">
        <v>1719</v>
      </c>
      <c r="C160" s="39" t="s">
        <v>2422</v>
      </c>
      <c r="D160" s="39" t="s">
        <v>2410</v>
      </c>
      <c r="E160" s="39" t="s">
        <v>2636</v>
      </c>
      <c r="F160" s="39" t="s">
        <v>2412</v>
      </c>
      <c r="G160" s="39" t="s">
        <v>2413</v>
      </c>
      <c r="H160" s="39" t="s">
        <v>1691</v>
      </c>
      <c r="I160" s="32" t="s">
        <v>2637</v>
      </c>
      <c r="J160" s="94"/>
      <c r="K160" s="94"/>
      <c r="L160" s="39" t="s">
        <v>2415</v>
      </c>
    </row>
    <row r="161">
      <c r="A161" s="39">
        <v>23.0</v>
      </c>
      <c r="B161" s="32" t="s">
        <v>2638</v>
      </c>
      <c r="C161" s="39" t="s">
        <v>2422</v>
      </c>
      <c r="D161" s="39" t="s">
        <v>2611</v>
      </c>
      <c r="E161" s="39" t="s">
        <v>2639</v>
      </c>
      <c r="F161" s="39" t="s">
        <v>2419</v>
      </c>
      <c r="G161" s="39" t="s">
        <v>2413</v>
      </c>
      <c r="H161" s="39" t="s">
        <v>1691</v>
      </c>
      <c r="I161" s="32" t="s">
        <v>2620</v>
      </c>
      <c r="J161" s="94"/>
      <c r="K161" s="94" t="s">
        <v>2421</v>
      </c>
      <c r="L161" s="39" t="s">
        <v>2415</v>
      </c>
    </row>
    <row r="162">
      <c r="A162" s="39">
        <v>24.0</v>
      </c>
      <c r="B162" s="39" t="s">
        <v>1734</v>
      </c>
      <c r="C162" s="39" t="s">
        <v>360</v>
      </c>
      <c r="D162" s="39" t="s">
        <v>2640</v>
      </c>
      <c r="E162" s="39" t="s">
        <v>2641</v>
      </c>
      <c r="F162" s="39" t="s">
        <v>2412</v>
      </c>
      <c r="G162" s="39" t="s">
        <v>2642</v>
      </c>
      <c r="H162" s="39" t="s">
        <v>1691</v>
      </c>
      <c r="I162" s="32"/>
      <c r="J162" s="39"/>
      <c r="K162" s="39" t="s">
        <v>2414</v>
      </c>
      <c r="L162" s="39" t="s">
        <v>2415</v>
      </c>
    </row>
    <row r="163">
      <c r="A163" s="39">
        <v>25.0</v>
      </c>
      <c r="B163" s="39" t="s">
        <v>1738</v>
      </c>
      <c r="C163" s="39" t="s">
        <v>360</v>
      </c>
      <c r="D163" s="39" t="s">
        <v>2640</v>
      </c>
      <c r="E163" s="39" t="s">
        <v>2643</v>
      </c>
      <c r="F163" s="39" t="s">
        <v>2412</v>
      </c>
      <c r="G163" s="39" t="s">
        <v>2635</v>
      </c>
      <c r="H163" s="39" t="s">
        <v>1691</v>
      </c>
      <c r="I163" s="32"/>
      <c r="J163" s="39"/>
      <c r="K163" s="39" t="s">
        <v>2414</v>
      </c>
      <c r="L163" s="39" t="s">
        <v>2415</v>
      </c>
    </row>
    <row r="164">
      <c r="A164" s="39">
        <v>26.0</v>
      </c>
      <c r="B164" s="39" t="s">
        <v>1740</v>
      </c>
      <c r="C164" s="39" t="s">
        <v>360</v>
      </c>
      <c r="D164" s="39" t="s">
        <v>2640</v>
      </c>
      <c r="E164" s="39" t="s">
        <v>2641</v>
      </c>
      <c r="F164" s="39" t="s">
        <v>2412</v>
      </c>
      <c r="G164" s="39" t="s">
        <v>2436</v>
      </c>
      <c r="H164" s="39" t="s">
        <v>1691</v>
      </c>
      <c r="I164" s="32"/>
      <c r="J164" s="39"/>
      <c r="K164" s="39" t="s">
        <v>2414</v>
      </c>
      <c r="L164" s="39" t="s">
        <v>2415</v>
      </c>
    </row>
    <row r="165">
      <c r="A165" s="39">
        <v>27.0</v>
      </c>
      <c r="B165" s="39" t="s">
        <v>1742</v>
      </c>
      <c r="C165" s="39" t="s">
        <v>360</v>
      </c>
      <c r="D165" s="39" t="s">
        <v>2640</v>
      </c>
      <c r="E165" s="39" t="s">
        <v>2643</v>
      </c>
      <c r="F165" s="39" t="s">
        <v>2412</v>
      </c>
      <c r="G165" s="39" t="s">
        <v>2487</v>
      </c>
      <c r="H165" s="39" t="s">
        <v>1691</v>
      </c>
      <c r="I165" s="32"/>
      <c r="J165" s="39"/>
      <c r="K165" s="39" t="s">
        <v>2414</v>
      </c>
      <c r="L165" s="39" t="s">
        <v>2415</v>
      </c>
    </row>
    <row r="166">
      <c r="A166" s="39">
        <v>28.0</v>
      </c>
      <c r="B166" s="39"/>
      <c r="C166" s="39"/>
      <c r="D166" s="39"/>
      <c r="E166" s="39"/>
      <c r="F166" s="39"/>
      <c r="G166" s="39"/>
      <c r="H166" s="39"/>
      <c r="I166" s="32"/>
      <c r="J166" s="39"/>
      <c r="K166" s="39"/>
      <c r="L166" s="39"/>
    </row>
    <row r="167">
      <c r="A167" s="39">
        <v>29.0</v>
      </c>
      <c r="B167" s="132"/>
      <c r="C167" s="39" t="s">
        <v>263</v>
      </c>
      <c r="D167" s="39" t="s">
        <v>1767</v>
      </c>
      <c r="E167" s="39" t="s">
        <v>2644</v>
      </c>
      <c r="F167" s="39" t="s">
        <v>2645</v>
      </c>
      <c r="G167" s="39"/>
      <c r="H167" s="39" t="s">
        <v>1691</v>
      </c>
      <c r="I167" s="32"/>
      <c r="J167" s="39"/>
      <c r="K167" s="39" t="s">
        <v>2414</v>
      </c>
      <c r="L167" s="39" t="s">
        <v>2415</v>
      </c>
    </row>
    <row r="168">
      <c r="A168" s="39">
        <v>30.0</v>
      </c>
      <c r="B168" s="39" t="s">
        <v>2646</v>
      </c>
      <c r="C168" s="39" t="s">
        <v>263</v>
      </c>
      <c r="D168" s="39" t="s">
        <v>1634</v>
      </c>
      <c r="E168" s="39" t="s">
        <v>2647</v>
      </c>
      <c r="F168" s="39"/>
      <c r="G168" s="39"/>
      <c r="H168" s="39" t="s">
        <v>1691</v>
      </c>
      <c r="I168" s="32"/>
      <c r="J168" s="39"/>
      <c r="K168" s="39" t="s">
        <v>1148</v>
      </c>
      <c r="L168" s="39"/>
    </row>
    <row r="169">
      <c r="A169" s="39">
        <v>31.0</v>
      </c>
      <c r="B169" s="39" t="s">
        <v>1919</v>
      </c>
      <c r="C169" s="39"/>
      <c r="D169" s="39"/>
      <c r="E169" s="39"/>
      <c r="F169" s="39"/>
      <c r="G169" s="39"/>
      <c r="H169" s="39"/>
      <c r="I169" s="32"/>
      <c r="J169" s="39"/>
      <c r="K169" s="39"/>
      <c r="L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2"/>
      <c r="J170" s="39"/>
      <c r="K170" s="39"/>
      <c r="L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2"/>
      <c r="J171" s="39"/>
      <c r="K171" s="39"/>
      <c r="L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2"/>
      <c r="J172" s="39"/>
      <c r="K172" s="39"/>
      <c r="L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2"/>
      <c r="J173" s="39"/>
      <c r="K173" s="39"/>
      <c r="L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2"/>
      <c r="J174" s="39"/>
      <c r="K174" s="39"/>
      <c r="L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2"/>
      <c r="J175" s="39"/>
      <c r="K175" s="39"/>
      <c r="L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2"/>
      <c r="J176" s="39"/>
      <c r="K176" s="39"/>
      <c r="L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2"/>
      <c r="J177" s="39"/>
      <c r="K177" s="39"/>
      <c r="L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2"/>
      <c r="J178" s="39"/>
      <c r="K178" s="39"/>
      <c r="L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2"/>
      <c r="J179" s="39"/>
      <c r="K179" s="39"/>
      <c r="L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2"/>
      <c r="J180" s="39"/>
      <c r="K180" s="39"/>
      <c r="L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2"/>
      <c r="J181" s="39"/>
      <c r="K181" s="39"/>
      <c r="L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2"/>
      <c r="J182" s="39"/>
      <c r="K182" s="39"/>
      <c r="L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2"/>
      <c r="J183" s="39"/>
      <c r="K183" s="39"/>
      <c r="L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2"/>
      <c r="J184" s="39"/>
      <c r="K184" s="39"/>
      <c r="L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2"/>
      <c r="J185" s="39"/>
      <c r="K185" s="39"/>
      <c r="L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2"/>
      <c r="J186" s="39"/>
      <c r="K186" s="39"/>
      <c r="L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2"/>
      <c r="J187" s="39"/>
      <c r="K187" s="39"/>
      <c r="L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2"/>
      <c r="J188" s="39"/>
      <c r="K188" s="39"/>
      <c r="L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2"/>
      <c r="J189" s="39"/>
      <c r="K189" s="39"/>
      <c r="L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2"/>
      <c r="J190" s="39"/>
      <c r="K190" s="39"/>
      <c r="L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2"/>
      <c r="J191" s="39"/>
      <c r="K191" s="39"/>
      <c r="L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2"/>
      <c r="J192" s="39"/>
      <c r="K192" s="39"/>
      <c r="L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2"/>
      <c r="J193" s="39"/>
      <c r="K193" s="39"/>
      <c r="L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2"/>
      <c r="J194" s="39"/>
      <c r="K194" s="39"/>
      <c r="L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2"/>
      <c r="J195" s="39"/>
      <c r="K195" s="39"/>
      <c r="L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2"/>
      <c r="J196" s="39"/>
      <c r="K196" s="39"/>
      <c r="L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2"/>
      <c r="J197" s="39"/>
      <c r="K197" s="39"/>
      <c r="L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2"/>
      <c r="J198" s="39"/>
      <c r="K198" s="39"/>
      <c r="L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2"/>
      <c r="J199" s="39"/>
      <c r="K199" s="39"/>
      <c r="L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2"/>
      <c r="J200" s="39"/>
      <c r="K200" s="39"/>
      <c r="L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2"/>
      <c r="J201" s="39"/>
      <c r="K201" s="39"/>
      <c r="L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2"/>
      <c r="J202" s="39"/>
      <c r="K202" s="39"/>
      <c r="L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2"/>
      <c r="J203" s="39"/>
      <c r="K203" s="39"/>
      <c r="L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2"/>
      <c r="J204" s="39"/>
      <c r="K204" s="39"/>
      <c r="L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2"/>
      <c r="J205" s="39"/>
      <c r="K205" s="39"/>
      <c r="L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2"/>
      <c r="J206" s="39"/>
      <c r="K206" s="39"/>
      <c r="L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2"/>
      <c r="J207" s="39"/>
      <c r="K207" s="39"/>
      <c r="L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2"/>
      <c r="J208" s="39"/>
      <c r="K208" s="39"/>
      <c r="L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2"/>
      <c r="J209" s="39"/>
      <c r="K209" s="39"/>
      <c r="L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2"/>
      <c r="J210" s="39"/>
      <c r="K210" s="39"/>
      <c r="L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2"/>
      <c r="J211" s="39"/>
      <c r="K211" s="39"/>
      <c r="L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2"/>
      <c r="J212" s="39"/>
      <c r="K212" s="39"/>
      <c r="L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2"/>
      <c r="J213" s="39"/>
      <c r="K213" s="39"/>
      <c r="L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2"/>
      <c r="J214" s="39"/>
      <c r="K214" s="39"/>
      <c r="L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2"/>
      <c r="J215" s="39"/>
      <c r="K215" s="39"/>
      <c r="L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2"/>
      <c r="J216" s="39"/>
      <c r="K216" s="39"/>
      <c r="L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2"/>
      <c r="J217" s="39"/>
      <c r="K217" s="39"/>
      <c r="L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2"/>
      <c r="J218" s="39"/>
      <c r="K218" s="39"/>
      <c r="L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2"/>
      <c r="J219" s="39"/>
      <c r="K219" s="39"/>
      <c r="L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2"/>
      <c r="J220" s="39"/>
      <c r="K220" s="39"/>
      <c r="L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2"/>
      <c r="J221" s="39"/>
      <c r="K221" s="39"/>
      <c r="L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2"/>
      <c r="J222" s="39"/>
      <c r="K222" s="39"/>
      <c r="L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2"/>
      <c r="J223" s="39"/>
      <c r="K223" s="39"/>
      <c r="L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2"/>
      <c r="J224" s="39"/>
      <c r="K224" s="39"/>
      <c r="L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2"/>
      <c r="J225" s="39"/>
      <c r="K225" s="39"/>
      <c r="L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2"/>
      <c r="J226" s="39"/>
      <c r="K226" s="39"/>
      <c r="L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2"/>
      <c r="J227" s="39"/>
      <c r="K227" s="39"/>
      <c r="L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2"/>
      <c r="J228" s="39"/>
      <c r="K228" s="39"/>
      <c r="L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2"/>
      <c r="J229" s="39"/>
      <c r="K229" s="39"/>
      <c r="L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2"/>
      <c r="J230" s="39"/>
      <c r="K230" s="39"/>
      <c r="L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2"/>
      <c r="J231" s="39"/>
      <c r="K231" s="39"/>
      <c r="L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2"/>
      <c r="J232" s="39"/>
      <c r="K232" s="39"/>
      <c r="L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2"/>
      <c r="J233" s="39"/>
      <c r="K233" s="39"/>
      <c r="L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2"/>
      <c r="J234" s="39"/>
      <c r="K234" s="39"/>
      <c r="L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2"/>
      <c r="J235" s="39"/>
      <c r="K235" s="39"/>
      <c r="L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2"/>
      <c r="J236" s="39"/>
      <c r="K236" s="39"/>
      <c r="L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2"/>
      <c r="J237" s="39"/>
      <c r="K237" s="39"/>
      <c r="L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2"/>
      <c r="J238" s="39"/>
      <c r="K238" s="39"/>
      <c r="L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2"/>
      <c r="J239" s="39"/>
      <c r="K239" s="39"/>
      <c r="L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2"/>
      <c r="J240" s="39"/>
      <c r="K240" s="39"/>
      <c r="L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2"/>
      <c r="J241" s="39"/>
      <c r="K241" s="39"/>
      <c r="L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2"/>
      <c r="J242" s="39"/>
      <c r="K242" s="39"/>
      <c r="L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2"/>
      <c r="J243" s="39"/>
      <c r="K243" s="39"/>
      <c r="L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2"/>
      <c r="J244" s="39"/>
      <c r="K244" s="39"/>
      <c r="L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2"/>
      <c r="J245" s="39"/>
      <c r="K245" s="39"/>
      <c r="L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2"/>
      <c r="J246" s="39"/>
      <c r="K246" s="39"/>
      <c r="L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2"/>
      <c r="J247" s="39"/>
      <c r="K247" s="39"/>
      <c r="L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2"/>
      <c r="J248" s="39"/>
      <c r="K248" s="39"/>
      <c r="L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2"/>
      <c r="J249" s="39"/>
      <c r="K249" s="39"/>
      <c r="L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2"/>
      <c r="J250" s="39"/>
      <c r="K250" s="39"/>
      <c r="L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2"/>
      <c r="J251" s="39"/>
      <c r="K251" s="39"/>
      <c r="L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2"/>
      <c r="J252" s="39"/>
      <c r="K252" s="39"/>
      <c r="L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2"/>
      <c r="J253" s="39"/>
      <c r="K253" s="39"/>
      <c r="L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2"/>
      <c r="J254" s="39"/>
      <c r="K254" s="39"/>
      <c r="L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2"/>
      <c r="J255" s="39"/>
      <c r="K255" s="39"/>
      <c r="L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2"/>
      <c r="J256" s="39"/>
      <c r="K256" s="39"/>
      <c r="L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2"/>
      <c r="J257" s="39"/>
      <c r="K257" s="39"/>
      <c r="L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2"/>
      <c r="J258" s="39"/>
      <c r="K258" s="39"/>
      <c r="L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2"/>
      <c r="J259" s="39"/>
      <c r="K259" s="39"/>
      <c r="L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2"/>
      <c r="J260" s="39"/>
      <c r="K260" s="39"/>
      <c r="L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2"/>
      <c r="J261" s="39"/>
      <c r="K261" s="39"/>
      <c r="L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2"/>
      <c r="J262" s="39"/>
      <c r="K262" s="39"/>
      <c r="L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2"/>
      <c r="J263" s="39"/>
      <c r="K263" s="39"/>
      <c r="L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2"/>
      <c r="J264" s="39"/>
      <c r="K264" s="39"/>
      <c r="L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2"/>
      <c r="J265" s="39"/>
      <c r="K265" s="39"/>
      <c r="L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2"/>
      <c r="J266" s="39"/>
      <c r="K266" s="39"/>
      <c r="L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2"/>
      <c r="J267" s="39"/>
      <c r="K267" s="39"/>
      <c r="L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2"/>
      <c r="J268" s="39"/>
      <c r="K268" s="39"/>
      <c r="L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2"/>
      <c r="J269" s="39"/>
      <c r="K269" s="39"/>
      <c r="L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2"/>
      <c r="J270" s="39"/>
      <c r="K270" s="39"/>
      <c r="L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2"/>
      <c r="J271" s="39"/>
      <c r="K271" s="39"/>
      <c r="L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2"/>
      <c r="J272" s="39"/>
      <c r="K272" s="39"/>
      <c r="L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2"/>
      <c r="J273" s="39"/>
      <c r="K273" s="39"/>
      <c r="L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2"/>
      <c r="J274" s="39"/>
      <c r="K274" s="39"/>
      <c r="L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2"/>
      <c r="J275" s="39"/>
      <c r="K275" s="39"/>
      <c r="L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2"/>
      <c r="J276" s="39"/>
      <c r="K276" s="39"/>
      <c r="L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2"/>
      <c r="J277" s="39"/>
      <c r="K277" s="39"/>
      <c r="L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2"/>
      <c r="J278" s="39"/>
      <c r="K278" s="39"/>
      <c r="L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2"/>
      <c r="J279" s="39"/>
      <c r="K279" s="39"/>
      <c r="L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2"/>
      <c r="J280" s="39"/>
      <c r="K280" s="39"/>
      <c r="L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2"/>
      <c r="J281" s="39"/>
      <c r="K281" s="39"/>
      <c r="L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2"/>
      <c r="J282" s="39"/>
      <c r="K282" s="39"/>
      <c r="L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2"/>
      <c r="J283" s="39"/>
      <c r="K283" s="39"/>
      <c r="L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2"/>
      <c r="J284" s="39"/>
      <c r="K284" s="39"/>
      <c r="L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2"/>
      <c r="J285" s="39"/>
      <c r="K285" s="39"/>
      <c r="L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2"/>
      <c r="J286" s="39"/>
      <c r="K286" s="39"/>
      <c r="L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2"/>
      <c r="J287" s="39"/>
      <c r="K287" s="39"/>
      <c r="L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2"/>
      <c r="J288" s="39"/>
      <c r="K288" s="39"/>
      <c r="L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2"/>
      <c r="J289" s="39"/>
      <c r="K289" s="39"/>
      <c r="L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2"/>
      <c r="J290" s="39"/>
      <c r="K290" s="39"/>
      <c r="L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2"/>
      <c r="J291" s="39"/>
      <c r="K291" s="39"/>
      <c r="L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2"/>
      <c r="J292" s="39"/>
      <c r="K292" s="39"/>
      <c r="L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2"/>
      <c r="J293" s="39"/>
      <c r="K293" s="39"/>
      <c r="L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2"/>
      <c r="J294" s="39"/>
      <c r="K294" s="39"/>
      <c r="L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2"/>
      <c r="J295" s="39"/>
      <c r="K295" s="39"/>
      <c r="L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2"/>
      <c r="J296" s="39"/>
      <c r="K296" s="39"/>
      <c r="L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2"/>
      <c r="J297" s="39"/>
      <c r="K297" s="39"/>
      <c r="L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2"/>
      <c r="J298" s="39"/>
      <c r="K298" s="39"/>
      <c r="L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2"/>
      <c r="J299" s="39"/>
      <c r="K299" s="39"/>
      <c r="L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2"/>
      <c r="J300" s="39"/>
      <c r="K300" s="39"/>
      <c r="L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2"/>
      <c r="J301" s="39"/>
      <c r="K301" s="39"/>
      <c r="L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2"/>
      <c r="J302" s="39"/>
      <c r="K302" s="39"/>
      <c r="L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2"/>
      <c r="J303" s="39"/>
      <c r="K303" s="39"/>
      <c r="L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2"/>
      <c r="J304" s="39"/>
      <c r="K304" s="39"/>
      <c r="L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2"/>
      <c r="J305" s="39"/>
      <c r="K305" s="39"/>
      <c r="L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2"/>
      <c r="J306" s="39"/>
      <c r="K306" s="39"/>
      <c r="L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2"/>
      <c r="J307" s="39"/>
      <c r="K307" s="39"/>
      <c r="L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2"/>
      <c r="J308" s="39"/>
      <c r="K308" s="39"/>
      <c r="L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2"/>
      <c r="J309" s="39"/>
      <c r="K309" s="39"/>
      <c r="L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2"/>
      <c r="J310" s="39"/>
      <c r="K310" s="39"/>
      <c r="L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2"/>
      <c r="J311" s="39"/>
      <c r="K311" s="39"/>
      <c r="L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2"/>
      <c r="J312" s="39"/>
      <c r="K312" s="39"/>
      <c r="L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2"/>
      <c r="J313" s="39"/>
      <c r="K313" s="39"/>
      <c r="L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2"/>
      <c r="J314" s="39"/>
      <c r="K314" s="39"/>
      <c r="L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2"/>
      <c r="J315" s="39"/>
      <c r="K315" s="39"/>
      <c r="L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2"/>
      <c r="J316" s="39"/>
      <c r="K316" s="39"/>
      <c r="L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2"/>
      <c r="J317" s="39"/>
      <c r="K317" s="39"/>
      <c r="L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2"/>
      <c r="J318" s="39"/>
      <c r="K318" s="39"/>
      <c r="L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2"/>
      <c r="J319" s="39"/>
      <c r="K319" s="39"/>
      <c r="L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2"/>
      <c r="J320" s="39"/>
      <c r="K320" s="39"/>
      <c r="L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2"/>
      <c r="J321" s="39"/>
      <c r="K321" s="39"/>
      <c r="L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2"/>
      <c r="J322" s="39"/>
      <c r="K322" s="39"/>
      <c r="L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2"/>
      <c r="J323" s="39"/>
      <c r="K323" s="39"/>
      <c r="L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2"/>
      <c r="J324" s="39"/>
      <c r="K324" s="39"/>
      <c r="L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2"/>
      <c r="J325" s="39"/>
      <c r="K325" s="39"/>
      <c r="L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2"/>
      <c r="J326" s="39"/>
      <c r="K326" s="39"/>
      <c r="L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2"/>
      <c r="J327" s="39"/>
      <c r="K327" s="39"/>
      <c r="L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2"/>
      <c r="J328" s="39"/>
      <c r="K328" s="39"/>
      <c r="L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2"/>
      <c r="J329" s="39"/>
      <c r="K329" s="39"/>
      <c r="L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2"/>
      <c r="J330" s="39"/>
      <c r="K330" s="39"/>
      <c r="L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2"/>
      <c r="J331" s="39"/>
      <c r="K331" s="39"/>
      <c r="L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2"/>
      <c r="J332" s="39"/>
      <c r="K332" s="39"/>
      <c r="L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2"/>
      <c r="J333" s="39"/>
      <c r="K333" s="39"/>
      <c r="L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2"/>
      <c r="J334" s="39"/>
      <c r="K334" s="39"/>
      <c r="L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2"/>
      <c r="J335" s="39"/>
      <c r="K335" s="39"/>
      <c r="L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2"/>
      <c r="J336" s="39"/>
      <c r="K336" s="39"/>
      <c r="L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2"/>
      <c r="J337" s="39"/>
      <c r="K337" s="39"/>
      <c r="L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2"/>
      <c r="J338" s="39"/>
      <c r="K338" s="39"/>
      <c r="L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2"/>
      <c r="J339" s="39"/>
      <c r="K339" s="39"/>
      <c r="L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2"/>
      <c r="J340" s="39"/>
      <c r="K340" s="39"/>
      <c r="L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2"/>
      <c r="J341" s="39"/>
      <c r="K341" s="39"/>
      <c r="L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2"/>
      <c r="J342" s="39"/>
      <c r="K342" s="39"/>
      <c r="L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2"/>
      <c r="J343" s="39"/>
      <c r="K343" s="39"/>
      <c r="L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2"/>
      <c r="J344" s="39"/>
      <c r="K344" s="39"/>
      <c r="L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2"/>
      <c r="J345" s="39"/>
      <c r="K345" s="39"/>
      <c r="L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2"/>
      <c r="J346" s="39"/>
      <c r="K346" s="39"/>
      <c r="L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2"/>
      <c r="J347" s="39"/>
      <c r="K347" s="39"/>
      <c r="L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2"/>
      <c r="J348" s="39"/>
      <c r="K348" s="39"/>
      <c r="L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2"/>
      <c r="J349" s="39"/>
      <c r="K349" s="39"/>
      <c r="L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2"/>
      <c r="J350" s="39"/>
      <c r="K350" s="39"/>
      <c r="L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2"/>
      <c r="J351" s="39"/>
      <c r="K351" s="39"/>
      <c r="L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2"/>
      <c r="J352" s="39"/>
      <c r="K352" s="39"/>
      <c r="L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2"/>
      <c r="J353" s="39"/>
      <c r="K353" s="39"/>
      <c r="L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2"/>
      <c r="J354" s="39"/>
      <c r="K354" s="39"/>
      <c r="L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2"/>
      <c r="J355" s="39"/>
      <c r="K355" s="39"/>
      <c r="L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2"/>
      <c r="J356" s="39"/>
      <c r="K356" s="39"/>
      <c r="L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2"/>
      <c r="J357" s="39"/>
      <c r="K357" s="39"/>
      <c r="L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2"/>
      <c r="J358" s="39"/>
      <c r="K358" s="39"/>
      <c r="L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2"/>
      <c r="J359" s="39"/>
      <c r="K359" s="39"/>
      <c r="L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2"/>
      <c r="J360" s="39"/>
      <c r="K360" s="39"/>
      <c r="L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2"/>
      <c r="J361" s="39"/>
      <c r="K361" s="39"/>
      <c r="L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2"/>
      <c r="J362" s="39"/>
      <c r="K362" s="39"/>
      <c r="L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2"/>
      <c r="J363" s="39"/>
      <c r="K363" s="39"/>
      <c r="L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2"/>
      <c r="J364" s="39"/>
      <c r="K364" s="39"/>
      <c r="L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2"/>
      <c r="J365" s="39"/>
      <c r="K365" s="39"/>
      <c r="L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2"/>
      <c r="J366" s="39"/>
      <c r="K366" s="39"/>
      <c r="L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2"/>
      <c r="J367" s="39"/>
      <c r="K367" s="39"/>
      <c r="L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2"/>
      <c r="J368" s="39"/>
      <c r="K368" s="39"/>
      <c r="L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2"/>
      <c r="J369" s="39"/>
      <c r="K369" s="39"/>
      <c r="L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2"/>
      <c r="J370" s="39"/>
      <c r="K370" s="39"/>
      <c r="L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2"/>
      <c r="J371" s="39"/>
      <c r="K371" s="39"/>
      <c r="L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2"/>
      <c r="J372" s="39"/>
      <c r="K372" s="39"/>
      <c r="L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2"/>
      <c r="J373" s="39"/>
      <c r="K373" s="39"/>
      <c r="L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2"/>
      <c r="J374" s="39"/>
      <c r="K374" s="39"/>
      <c r="L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2"/>
      <c r="J375" s="39"/>
      <c r="K375" s="39"/>
      <c r="L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2"/>
      <c r="J376" s="39"/>
      <c r="K376" s="39"/>
      <c r="L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2"/>
      <c r="J377" s="39"/>
      <c r="K377" s="39"/>
      <c r="L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2"/>
      <c r="J378" s="39"/>
      <c r="K378" s="39"/>
      <c r="L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2"/>
      <c r="J379" s="39"/>
      <c r="K379" s="39"/>
      <c r="L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2"/>
      <c r="J380" s="39"/>
      <c r="K380" s="39"/>
      <c r="L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2"/>
      <c r="J381" s="39"/>
      <c r="K381" s="39"/>
      <c r="L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2"/>
      <c r="J382" s="39"/>
      <c r="K382" s="39"/>
      <c r="L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2"/>
      <c r="J383" s="39"/>
      <c r="K383" s="39"/>
      <c r="L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2"/>
      <c r="J384" s="39"/>
      <c r="K384" s="39"/>
      <c r="L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2"/>
      <c r="J385" s="39"/>
      <c r="K385" s="39"/>
      <c r="L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2"/>
      <c r="J386" s="39"/>
      <c r="K386" s="39"/>
      <c r="L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2"/>
      <c r="J387" s="39"/>
      <c r="K387" s="39"/>
      <c r="L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2"/>
      <c r="J388" s="39"/>
      <c r="K388" s="39"/>
      <c r="L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2"/>
      <c r="J389" s="39"/>
      <c r="K389" s="39"/>
      <c r="L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2"/>
      <c r="J390" s="39"/>
      <c r="K390" s="39"/>
      <c r="L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2"/>
      <c r="J391" s="39"/>
      <c r="K391" s="39"/>
      <c r="L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2"/>
      <c r="J392" s="39"/>
      <c r="K392" s="39"/>
      <c r="L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2"/>
      <c r="J393" s="39"/>
      <c r="K393" s="39"/>
      <c r="L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2"/>
      <c r="J394" s="39"/>
      <c r="K394" s="39"/>
      <c r="L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2"/>
      <c r="J395" s="39"/>
      <c r="K395" s="39"/>
      <c r="L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2"/>
      <c r="J396" s="39"/>
      <c r="K396" s="39"/>
      <c r="L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2"/>
      <c r="J397" s="39"/>
      <c r="K397" s="39"/>
      <c r="L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2"/>
      <c r="J398" s="39"/>
      <c r="K398" s="39"/>
      <c r="L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2"/>
      <c r="J399" s="39"/>
      <c r="K399" s="39"/>
      <c r="L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2"/>
      <c r="J400" s="39"/>
      <c r="K400" s="39"/>
      <c r="L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2"/>
      <c r="J401" s="39"/>
      <c r="K401" s="39"/>
      <c r="L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2"/>
      <c r="J402" s="39"/>
      <c r="K402" s="39"/>
      <c r="L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2"/>
      <c r="J403" s="39"/>
      <c r="K403" s="39"/>
      <c r="L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2"/>
      <c r="J404" s="39"/>
      <c r="K404" s="39"/>
      <c r="L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2"/>
      <c r="J405" s="39"/>
      <c r="K405" s="39"/>
      <c r="L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2"/>
      <c r="J406" s="39"/>
      <c r="K406" s="39"/>
      <c r="L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2"/>
      <c r="J407" s="39"/>
      <c r="K407" s="39"/>
      <c r="L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2"/>
      <c r="J408" s="39"/>
      <c r="K408" s="39"/>
      <c r="L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2"/>
      <c r="J409" s="39"/>
      <c r="K409" s="39"/>
      <c r="L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2"/>
      <c r="J410" s="39"/>
      <c r="K410" s="39"/>
      <c r="L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2"/>
      <c r="J411" s="39"/>
      <c r="K411" s="39"/>
      <c r="L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2"/>
      <c r="J412" s="39"/>
      <c r="K412" s="39"/>
      <c r="L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2"/>
      <c r="J413" s="39"/>
      <c r="K413" s="39"/>
      <c r="L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2"/>
      <c r="J414" s="39"/>
      <c r="K414" s="39"/>
      <c r="L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2"/>
      <c r="J415" s="39"/>
      <c r="K415" s="39"/>
      <c r="L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2"/>
      <c r="J416" s="39"/>
      <c r="K416" s="39"/>
      <c r="L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2"/>
      <c r="J417" s="39"/>
      <c r="K417" s="39"/>
      <c r="L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2"/>
      <c r="J418" s="39"/>
      <c r="K418" s="39"/>
      <c r="L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2"/>
      <c r="J419" s="39"/>
      <c r="K419" s="39"/>
      <c r="L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2"/>
      <c r="J420" s="39"/>
      <c r="K420" s="39"/>
      <c r="L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2"/>
      <c r="J421" s="39"/>
      <c r="K421" s="39"/>
      <c r="L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2"/>
      <c r="J422" s="39"/>
      <c r="K422" s="39"/>
      <c r="L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2"/>
      <c r="J423" s="39"/>
      <c r="K423" s="39"/>
      <c r="L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2"/>
      <c r="J424" s="39"/>
      <c r="K424" s="39"/>
      <c r="L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2"/>
      <c r="J425" s="39"/>
      <c r="K425" s="39"/>
      <c r="L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2"/>
      <c r="J426" s="39"/>
      <c r="K426" s="39"/>
      <c r="L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2"/>
      <c r="J427" s="39"/>
      <c r="K427" s="39"/>
      <c r="L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2"/>
      <c r="J428" s="39"/>
      <c r="K428" s="39"/>
      <c r="L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2"/>
      <c r="J429" s="39"/>
      <c r="K429" s="39"/>
      <c r="L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2"/>
      <c r="J430" s="39"/>
      <c r="K430" s="39"/>
      <c r="L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2"/>
      <c r="J431" s="39"/>
      <c r="K431" s="39"/>
      <c r="L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2"/>
      <c r="J432" s="39"/>
      <c r="K432" s="39"/>
      <c r="L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2"/>
      <c r="J433" s="39"/>
      <c r="K433" s="39"/>
      <c r="L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2"/>
      <c r="J434" s="39"/>
      <c r="K434" s="39"/>
      <c r="L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2"/>
      <c r="J435" s="39"/>
      <c r="K435" s="39"/>
      <c r="L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2"/>
      <c r="J436" s="39"/>
      <c r="K436" s="39"/>
      <c r="L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2"/>
      <c r="J437" s="39"/>
      <c r="K437" s="39"/>
      <c r="L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2"/>
      <c r="J438" s="39"/>
      <c r="K438" s="39"/>
      <c r="L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2"/>
      <c r="J439" s="39"/>
      <c r="K439" s="39"/>
      <c r="L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2"/>
      <c r="J440" s="39"/>
      <c r="K440" s="39"/>
      <c r="L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2"/>
      <c r="J441" s="39"/>
      <c r="K441" s="39"/>
      <c r="L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2"/>
      <c r="J442" s="39"/>
      <c r="K442" s="39"/>
      <c r="L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2"/>
      <c r="J443" s="39"/>
      <c r="K443" s="39"/>
      <c r="L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2"/>
      <c r="J444" s="39"/>
      <c r="K444" s="39"/>
      <c r="L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2"/>
      <c r="J445" s="39"/>
      <c r="K445" s="39"/>
      <c r="L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2"/>
      <c r="J446" s="39"/>
      <c r="K446" s="39"/>
      <c r="L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2"/>
      <c r="J447" s="39"/>
      <c r="K447" s="39"/>
      <c r="L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2"/>
      <c r="J448" s="39"/>
      <c r="K448" s="39"/>
      <c r="L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2"/>
      <c r="J449" s="39"/>
      <c r="K449" s="39"/>
      <c r="L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2"/>
      <c r="J450" s="39"/>
      <c r="K450" s="39"/>
      <c r="L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2"/>
      <c r="J451" s="39"/>
      <c r="K451" s="39"/>
      <c r="L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2"/>
      <c r="J452" s="39"/>
      <c r="K452" s="39"/>
      <c r="L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2"/>
      <c r="J453" s="39"/>
      <c r="K453" s="39"/>
      <c r="L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2"/>
      <c r="J454" s="39"/>
      <c r="K454" s="39"/>
      <c r="L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2"/>
      <c r="J455" s="39"/>
      <c r="K455" s="39"/>
      <c r="L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2"/>
      <c r="J456" s="39"/>
      <c r="K456" s="39"/>
      <c r="L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2"/>
      <c r="J457" s="39"/>
      <c r="K457" s="39"/>
      <c r="L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2"/>
      <c r="J458" s="39"/>
      <c r="K458" s="39"/>
      <c r="L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2"/>
      <c r="J459" s="39"/>
      <c r="K459" s="39"/>
      <c r="L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2"/>
      <c r="J460" s="39"/>
      <c r="K460" s="39"/>
      <c r="L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2"/>
      <c r="J461" s="39"/>
      <c r="K461" s="39"/>
      <c r="L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2"/>
      <c r="J462" s="39"/>
      <c r="K462" s="39"/>
      <c r="L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2"/>
      <c r="J463" s="39"/>
      <c r="K463" s="39"/>
      <c r="L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2"/>
      <c r="J464" s="39"/>
      <c r="K464" s="39"/>
      <c r="L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2"/>
      <c r="J465" s="39"/>
      <c r="K465" s="39"/>
      <c r="L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2"/>
      <c r="J466" s="39"/>
      <c r="K466" s="39"/>
      <c r="L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2"/>
      <c r="J467" s="39"/>
      <c r="K467" s="39"/>
      <c r="L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2"/>
      <c r="J468" s="39"/>
      <c r="K468" s="39"/>
      <c r="L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2"/>
      <c r="J469" s="39"/>
      <c r="K469" s="39"/>
      <c r="L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2"/>
      <c r="J470" s="39"/>
      <c r="K470" s="39"/>
      <c r="L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2"/>
      <c r="J471" s="39"/>
      <c r="K471" s="39"/>
      <c r="L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2"/>
      <c r="J472" s="39"/>
      <c r="K472" s="39"/>
      <c r="L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2"/>
      <c r="J473" s="39"/>
      <c r="K473" s="39"/>
      <c r="L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2"/>
      <c r="J474" s="39"/>
      <c r="K474" s="39"/>
      <c r="L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2"/>
      <c r="J475" s="39"/>
      <c r="K475" s="39"/>
      <c r="L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2"/>
      <c r="J476" s="39"/>
      <c r="K476" s="39"/>
      <c r="L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2"/>
      <c r="J477" s="39"/>
      <c r="K477" s="39"/>
      <c r="L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2"/>
      <c r="J478" s="39"/>
      <c r="K478" s="39"/>
      <c r="L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2"/>
      <c r="J479" s="39"/>
      <c r="K479" s="39"/>
      <c r="L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2"/>
      <c r="J480" s="39"/>
      <c r="K480" s="39"/>
      <c r="L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2"/>
      <c r="J481" s="39"/>
      <c r="K481" s="39"/>
      <c r="L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2"/>
      <c r="J482" s="39"/>
      <c r="K482" s="39"/>
      <c r="L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2"/>
      <c r="J483" s="39"/>
      <c r="K483" s="39"/>
      <c r="L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2"/>
      <c r="J484" s="39"/>
      <c r="K484" s="39"/>
      <c r="L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2"/>
      <c r="J485" s="39"/>
      <c r="K485" s="39"/>
      <c r="L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2"/>
      <c r="J486" s="39"/>
      <c r="K486" s="39"/>
      <c r="L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2"/>
      <c r="J487" s="39"/>
      <c r="K487" s="39"/>
      <c r="L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2"/>
      <c r="J488" s="39"/>
      <c r="K488" s="39"/>
      <c r="L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2"/>
      <c r="J489" s="39"/>
      <c r="K489" s="39"/>
      <c r="L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2"/>
      <c r="J490" s="39"/>
      <c r="K490" s="39"/>
      <c r="L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2"/>
      <c r="J491" s="39"/>
      <c r="K491" s="39"/>
      <c r="L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2"/>
      <c r="J492" s="39"/>
      <c r="K492" s="39"/>
      <c r="L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2"/>
      <c r="J493" s="39"/>
      <c r="K493" s="39"/>
      <c r="L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2"/>
      <c r="J494" s="39"/>
      <c r="K494" s="39"/>
      <c r="L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2"/>
      <c r="J495" s="39"/>
      <c r="K495" s="39"/>
      <c r="L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2"/>
      <c r="J496" s="39"/>
      <c r="K496" s="39"/>
      <c r="L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2"/>
      <c r="J497" s="39"/>
      <c r="K497" s="39"/>
      <c r="L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2"/>
      <c r="J498" s="39"/>
      <c r="K498" s="39"/>
      <c r="L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2"/>
      <c r="J499" s="39"/>
      <c r="K499" s="39"/>
      <c r="L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2"/>
      <c r="J500" s="39"/>
      <c r="K500" s="39"/>
      <c r="L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2"/>
      <c r="J501" s="39"/>
      <c r="K501" s="39"/>
      <c r="L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2"/>
      <c r="J502" s="39"/>
      <c r="K502" s="39"/>
      <c r="L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2"/>
      <c r="J503" s="39"/>
      <c r="K503" s="39"/>
      <c r="L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2"/>
      <c r="J504" s="39"/>
      <c r="K504" s="39"/>
      <c r="L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2"/>
      <c r="J505" s="39"/>
      <c r="K505" s="39"/>
      <c r="L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2"/>
      <c r="J506" s="39"/>
      <c r="K506" s="39"/>
      <c r="L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2"/>
      <c r="J507" s="39"/>
      <c r="K507" s="39"/>
      <c r="L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2"/>
      <c r="J508" s="39"/>
      <c r="K508" s="39"/>
      <c r="L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2"/>
      <c r="J509" s="39"/>
      <c r="K509" s="39"/>
      <c r="L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2"/>
      <c r="J510" s="39"/>
      <c r="K510" s="39"/>
      <c r="L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2"/>
      <c r="J511" s="39"/>
      <c r="K511" s="39"/>
      <c r="L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2"/>
      <c r="J512" s="39"/>
      <c r="K512" s="39"/>
      <c r="L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2"/>
      <c r="J513" s="39"/>
      <c r="K513" s="39"/>
      <c r="L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2"/>
      <c r="J514" s="39"/>
      <c r="K514" s="39"/>
      <c r="L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2"/>
      <c r="J515" s="39"/>
      <c r="K515" s="39"/>
      <c r="L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2"/>
      <c r="J516" s="39"/>
      <c r="K516" s="39"/>
      <c r="L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2"/>
      <c r="J517" s="39"/>
      <c r="K517" s="39"/>
      <c r="L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2"/>
      <c r="J518" s="39"/>
      <c r="K518" s="39"/>
      <c r="L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2"/>
      <c r="J519" s="39"/>
      <c r="K519" s="39"/>
      <c r="L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2"/>
      <c r="J520" s="39"/>
      <c r="K520" s="39"/>
      <c r="L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2"/>
      <c r="J521" s="39"/>
      <c r="K521" s="39"/>
      <c r="L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2"/>
      <c r="J522" s="39"/>
      <c r="K522" s="39"/>
      <c r="L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2"/>
      <c r="J523" s="39"/>
      <c r="K523" s="39"/>
      <c r="L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2"/>
      <c r="J524" s="39"/>
      <c r="K524" s="39"/>
      <c r="L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2"/>
      <c r="J525" s="39"/>
      <c r="K525" s="39"/>
      <c r="L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2"/>
      <c r="J526" s="39"/>
      <c r="K526" s="39"/>
      <c r="L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2"/>
      <c r="J527" s="39"/>
      <c r="K527" s="39"/>
      <c r="L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2"/>
      <c r="J528" s="39"/>
      <c r="K528" s="39"/>
      <c r="L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2"/>
      <c r="J529" s="39"/>
      <c r="K529" s="39"/>
      <c r="L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2"/>
      <c r="J530" s="39"/>
      <c r="K530" s="39"/>
      <c r="L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2"/>
      <c r="J531" s="39"/>
      <c r="K531" s="39"/>
      <c r="L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2"/>
      <c r="J532" s="39"/>
      <c r="K532" s="39"/>
      <c r="L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2"/>
      <c r="J533" s="39"/>
      <c r="K533" s="39"/>
      <c r="L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2"/>
      <c r="J534" s="39"/>
      <c r="K534" s="39"/>
      <c r="L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2"/>
      <c r="J535" s="39"/>
      <c r="K535" s="39"/>
      <c r="L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2"/>
      <c r="J536" s="39"/>
      <c r="K536" s="39"/>
      <c r="L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2"/>
      <c r="J537" s="39"/>
      <c r="K537" s="39"/>
      <c r="L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2"/>
      <c r="J538" s="39"/>
      <c r="K538" s="39"/>
      <c r="L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2"/>
      <c r="J539" s="39"/>
      <c r="K539" s="39"/>
      <c r="L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2"/>
      <c r="J540" s="39"/>
      <c r="K540" s="39"/>
      <c r="L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2"/>
      <c r="J541" s="39"/>
      <c r="K541" s="39"/>
      <c r="L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2"/>
      <c r="J542" s="39"/>
      <c r="K542" s="39"/>
      <c r="L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2"/>
      <c r="J543" s="39"/>
      <c r="K543" s="39"/>
      <c r="L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2"/>
      <c r="J544" s="39"/>
      <c r="K544" s="39"/>
      <c r="L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2"/>
      <c r="J545" s="39"/>
      <c r="K545" s="39"/>
      <c r="L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2"/>
      <c r="J546" s="39"/>
      <c r="K546" s="39"/>
      <c r="L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2"/>
      <c r="J547" s="39"/>
      <c r="K547" s="39"/>
      <c r="L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2"/>
      <c r="J548" s="39"/>
      <c r="K548" s="39"/>
      <c r="L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2"/>
      <c r="J549" s="39"/>
      <c r="K549" s="39"/>
      <c r="L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2"/>
      <c r="J550" s="39"/>
      <c r="K550" s="39"/>
      <c r="L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2"/>
      <c r="J551" s="39"/>
      <c r="K551" s="39"/>
      <c r="L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2"/>
      <c r="J552" s="39"/>
      <c r="K552" s="39"/>
      <c r="L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2"/>
      <c r="J553" s="39"/>
      <c r="K553" s="39"/>
      <c r="L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2"/>
      <c r="J554" s="39"/>
      <c r="K554" s="39"/>
      <c r="L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2"/>
      <c r="J555" s="39"/>
      <c r="K555" s="39"/>
      <c r="L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2"/>
      <c r="J556" s="39"/>
      <c r="K556" s="39"/>
      <c r="L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2"/>
      <c r="J557" s="39"/>
      <c r="K557" s="39"/>
      <c r="L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2"/>
      <c r="J558" s="39"/>
      <c r="K558" s="39"/>
      <c r="L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2"/>
      <c r="J559" s="39"/>
      <c r="K559" s="39"/>
      <c r="L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2"/>
      <c r="J560" s="39"/>
      <c r="K560" s="39"/>
      <c r="L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2"/>
      <c r="J561" s="39"/>
      <c r="K561" s="39"/>
      <c r="L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2"/>
      <c r="J562" s="39"/>
      <c r="K562" s="39"/>
      <c r="L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2"/>
      <c r="J563" s="39"/>
      <c r="K563" s="39"/>
      <c r="L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2"/>
      <c r="J564" s="39"/>
      <c r="K564" s="39"/>
      <c r="L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2"/>
      <c r="J565" s="39"/>
      <c r="K565" s="39"/>
      <c r="L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2"/>
      <c r="J566" s="39"/>
      <c r="K566" s="39"/>
      <c r="L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2"/>
      <c r="J567" s="39"/>
      <c r="K567" s="39"/>
      <c r="L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2"/>
      <c r="J568" s="39"/>
      <c r="K568" s="39"/>
      <c r="L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2"/>
      <c r="J569" s="39"/>
      <c r="K569" s="39"/>
      <c r="L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2"/>
      <c r="J570" s="39"/>
      <c r="K570" s="39"/>
      <c r="L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2"/>
      <c r="J571" s="39"/>
      <c r="K571" s="39"/>
      <c r="L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2"/>
      <c r="J572" s="39"/>
      <c r="K572" s="39"/>
      <c r="L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2"/>
      <c r="J573" s="39"/>
      <c r="K573" s="39"/>
      <c r="L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2"/>
      <c r="J574" s="39"/>
      <c r="K574" s="39"/>
      <c r="L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2"/>
      <c r="J575" s="39"/>
      <c r="K575" s="39"/>
      <c r="L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2"/>
      <c r="J576" s="39"/>
      <c r="K576" s="39"/>
      <c r="L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2"/>
      <c r="J577" s="39"/>
      <c r="K577" s="39"/>
      <c r="L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2"/>
      <c r="J578" s="39"/>
      <c r="K578" s="39"/>
      <c r="L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2"/>
      <c r="J579" s="39"/>
      <c r="K579" s="39"/>
      <c r="L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2"/>
      <c r="J580" s="39"/>
      <c r="K580" s="39"/>
      <c r="L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2"/>
      <c r="J581" s="39"/>
      <c r="K581" s="39"/>
      <c r="L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2"/>
      <c r="J582" s="39"/>
      <c r="K582" s="39"/>
      <c r="L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2"/>
      <c r="J583" s="39"/>
      <c r="K583" s="39"/>
      <c r="L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2"/>
      <c r="J584" s="39"/>
      <c r="K584" s="39"/>
      <c r="L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2"/>
      <c r="J585" s="39"/>
      <c r="K585" s="39"/>
      <c r="L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2"/>
      <c r="J586" s="39"/>
      <c r="K586" s="39"/>
      <c r="L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2"/>
      <c r="J587" s="39"/>
      <c r="K587" s="39"/>
      <c r="L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2"/>
      <c r="J588" s="39"/>
      <c r="K588" s="39"/>
      <c r="L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2"/>
      <c r="J589" s="39"/>
      <c r="K589" s="39"/>
      <c r="L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2"/>
      <c r="J590" s="39"/>
      <c r="K590" s="39"/>
      <c r="L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2"/>
      <c r="J591" s="39"/>
      <c r="K591" s="39"/>
      <c r="L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2"/>
      <c r="J592" s="39"/>
      <c r="K592" s="39"/>
      <c r="L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2"/>
      <c r="J593" s="39"/>
      <c r="K593" s="39"/>
      <c r="L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2"/>
      <c r="J594" s="39"/>
      <c r="K594" s="39"/>
      <c r="L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2"/>
      <c r="J595" s="39"/>
      <c r="K595" s="39"/>
      <c r="L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2"/>
      <c r="J596" s="39"/>
      <c r="K596" s="39"/>
      <c r="L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2"/>
      <c r="J597" s="39"/>
      <c r="K597" s="39"/>
      <c r="L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2"/>
      <c r="J598" s="39"/>
      <c r="K598" s="39"/>
      <c r="L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2"/>
      <c r="J599" s="39"/>
      <c r="K599" s="39"/>
      <c r="L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2"/>
      <c r="J600" s="39"/>
      <c r="K600" s="39"/>
      <c r="L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2"/>
      <c r="J601" s="39"/>
      <c r="K601" s="39"/>
      <c r="L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2"/>
      <c r="J602" s="39"/>
      <c r="K602" s="39"/>
      <c r="L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2"/>
      <c r="J603" s="39"/>
      <c r="K603" s="39"/>
      <c r="L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2"/>
      <c r="J604" s="39"/>
      <c r="K604" s="39"/>
      <c r="L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2"/>
      <c r="J605" s="39"/>
      <c r="K605" s="39"/>
      <c r="L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2"/>
      <c r="J606" s="39"/>
      <c r="K606" s="39"/>
      <c r="L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2"/>
      <c r="J607" s="39"/>
      <c r="K607" s="39"/>
      <c r="L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2"/>
      <c r="J608" s="39"/>
      <c r="K608" s="39"/>
      <c r="L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2"/>
      <c r="J609" s="39"/>
      <c r="K609" s="39"/>
      <c r="L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2"/>
      <c r="J610" s="39"/>
      <c r="K610" s="39"/>
      <c r="L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2"/>
      <c r="J611" s="39"/>
      <c r="K611" s="39"/>
      <c r="L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2"/>
      <c r="J612" s="39"/>
      <c r="K612" s="39"/>
      <c r="L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2"/>
      <c r="J613" s="39"/>
      <c r="K613" s="39"/>
      <c r="L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2"/>
      <c r="J614" s="39"/>
      <c r="K614" s="39"/>
      <c r="L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2"/>
      <c r="J615" s="39"/>
      <c r="K615" s="39"/>
      <c r="L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2"/>
      <c r="J616" s="39"/>
      <c r="K616" s="39"/>
      <c r="L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2"/>
      <c r="J617" s="39"/>
      <c r="K617" s="39"/>
      <c r="L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2"/>
      <c r="J618" s="39"/>
      <c r="K618" s="39"/>
      <c r="L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2"/>
      <c r="J619" s="39"/>
      <c r="K619" s="39"/>
      <c r="L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2"/>
      <c r="J620" s="39"/>
      <c r="K620" s="39"/>
      <c r="L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2"/>
      <c r="J621" s="39"/>
      <c r="K621" s="39"/>
      <c r="L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2"/>
      <c r="J622" s="39"/>
      <c r="K622" s="39"/>
      <c r="L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2"/>
      <c r="J623" s="39"/>
      <c r="K623" s="39"/>
      <c r="L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2"/>
      <c r="J624" s="39"/>
      <c r="K624" s="39"/>
      <c r="L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2"/>
      <c r="J625" s="39"/>
      <c r="K625" s="39"/>
      <c r="L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2"/>
      <c r="J626" s="39"/>
      <c r="K626" s="39"/>
      <c r="L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2"/>
      <c r="J627" s="39"/>
      <c r="K627" s="39"/>
      <c r="L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2"/>
      <c r="J628" s="39"/>
      <c r="K628" s="39"/>
      <c r="L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2"/>
      <c r="J629" s="39"/>
      <c r="K629" s="39"/>
      <c r="L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2"/>
      <c r="J630" s="39"/>
      <c r="K630" s="39"/>
      <c r="L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2"/>
      <c r="J631" s="39"/>
      <c r="K631" s="39"/>
      <c r="L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2"/>
      <c r="J632" s="39"/>
      <c r="K632" s="39"/>
      <c r="L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2"/>
      <c r="J633" s="39"/>
      <c r="K633" s="39"/>
      <c r="L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2"/>
      <c r="J634" s="39"/>
      <c r="K634" s="39"/>
      <c r="L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2"/>
      <c r="J635" s="39"/>
      <c r="K635" s="39"/>
      <c r="L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2"/>
      <c r="J636" s="39"/>
      <c r="K636" s="39"/>
      <c r="L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2"/>
      <c r="J637" s="39"/>
      <c r="K637" s="39"/>
      <c r="L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2"/>
      <c r="J638" s="39"/>
      <c r="K638" s="39"/>
      <c r="L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2"/>
      <c r="J639" s="39"/>
      <c r="K639" s="39"/>
      <c r="L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2"/>
      <c r="J640" s="39"/>
      <c r="K640" s="39"/>
      <c r="L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2"/>
      <c r="J641" s="39"/>
      <c r="K641" s="39"/>
      <c r="L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2"/>
      <c r="J642" s="39"/>
      <c r="K642" s="39"/>
      <c r="L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2"/>
      <c r="J643" s="39"/>
      <c r="K643" s="39"/>
      <c r="L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2"/>
      <c r="J644" s="39"/>
      <c r="K644" s="39"/>
      <c r="L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2"/>
      <c r="J645" s="39"/>
      <c r="K645" s="39"/>
      <c r="L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2"/>
      <c r="J646" s="39"/>
      <c r="K646" s="39"/>
      <c r="L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2"/>
      <c r="J647" s="39"/>
      <c r="K647" s="39"/>
      <c r="L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2"/>
      <c r="J648" s="39"/>
      <c r="K648" s="39"/>
      <c r="L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2"/>
      <c r="J649" s="39"/>
      <c r="K649" s="39"/>
      <c r="L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2"/>
      <c r="J650" s="39"/>
      <c r="K650" s="39"/>
      <c r="L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2"/>
      <c r="J651" s="39"/>
      <c r="K651" s="39"/>
      <c r="L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2"/>
      <c r="J652" s="39"/>
      <c r="K652" s="39"/>
      <c r="L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2"/>
      <c r="J653" s="39"/>
      <c r="K653" s="39"/>
      <c r="L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2"/>
      <c r="J654" s="39"/>
      <c r="K654" s="39"/>
      <c r="L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2"/>
      <c r="J655" s="39"/>
      <c r="K655" s="39"/>
      <c r="L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2"/>
      <c r="J656" s="39"/>
      <c r="K656" s="39"/>
      <c r="L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2"/>
      <c r="J657" s="39"/>
      <c r="K657" s="39"/>
      <c r="L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2"/>
      <c r="J658" s="39"/>
      <c r="K658" s="39"/>
      <c r="L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2"/>
      <c r="J659" s="39"/>
      <c r="K659" s="39"/>
      <c r="L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2"/>
      <c r="J660" s="39"/>
      <c r="K660" s="39"/>
      <c r="L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2"/>
      <c r="J661" s="39"/>
      <c r="K661" s="39"/>
      <c r="L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2"/>
      <c r="J662" s="39"/>
      <c r="K662" s="39"/>
      <c r="L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2"/>
      <c r="J663" s="39"/>
      <c r="K663" s="39"/>
      <c r="L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2"/>
      <c r="J664" s="39"/>
      <c r="K664" s="39"/>
      <c r="L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2"/>
      <c r="J665" s="39"/>
      <c r="K665" s="39"/>
      <c r="L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2"/>
      <c r="J666" s="39"/>
      <c r="K666" s="39"/>
      <c r="L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2"/>
      <c r="J667" s="39"/>
      <c r="K667" s="39"/>
      <c r="L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2"/>
      <c r="J668" s="39"/>
      <c r="K668" s="39"/>
      <c r="L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2"/>
      <c r="J669" s="39"/>
      <c r="K669" s="39"/>
      <c r="L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2"/>
      <c r="J670" s="39"/>
      <c r="K670" s="39"/>
      <c r="L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2"/>
      <c r="J671" s="39"/>
      <c r="K671" s="39"/>
      <c r="L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2"/>
      <c r="J672" s="39"/>
      <c r="K672" s="39"/>
      <c r="L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2"/>
      <c r="J673" s="39"/>
      <c r="K673" s="39"/>
      <c r="L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2"/>
      <c r="J674" s="39"/>
      <c r="K674" s="39"/>
      <c r="L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2"/>
      <c r="J675" s="39"/>
      <c r="K675" s="39"/>
      <c r="L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2"/>
      <c r="J676" s="39"/>
      <c r="K676" s="39"/>
      <c r="L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2"/>
      <c r="J677" s="39"/>
      <c r="K677" s="39"/>
      <c r="L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2"/>
      <c r="J678" s="39"/>
      <c r="K678" s="39"/>
      <c r="L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2"/>
      <c r="J679" s="39"/>
      <c r="K679" s="39"/>
      <c r="L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2"/>
      <c r="J680" s="39"/>
      <c r="K680" s="39"/>
      <c r="L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2"/>
      <c r="J681" s="39"/>
      <c r="K681" s="39"/>
      <c r="L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2"/>
      <c r="J682" s="39"/>
      <c r="K682" s="39"/>
      <c r="L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2"/>
      <c r="J683" s="39"/>
      <c r="K683" s="39"/>
      <c r="L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2"/>
      <c r="J684" s="39"/>
      <c r="K684" s="39"/>
      <c r="L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2"/>
      <c r="J685" s="39"/>
      <c r="K685" s="39"/>
      <c r="L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2"/>
      <c r="J686" s="39"/>
      <c r="K686" s="39"/>
      <c r="L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2"/>
      <c r="J687" s="39"/>
      <c r="K687" s="39"/>
      <c r="L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2"/>
      <c r="J688" s="39"/>
      <c r="K688" s="39"/>
      <c r="L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2"/>
      <c r="J689" s="39"/>
      <c r="K689" s="39"/>
      <c r="L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2"/>
      <c r="J690" s="39"/>
      <c r="K690" s="39"/>
      <c r="L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2"/>
      <c r="J691" s="39"/>
      <c r="K691" s="39"/>
      <c r="L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2"/>
      <c r="J692" s="39"/>
      <c r="K692" s="39"/>
      <c r="L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2"/>
      <c r="J693" s="39"/>
      <c r="K693" s="39"/>
      <c r="L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2"/>
      <c r="J694" s="39"/>
      <c r="K694" s="39"/>
      <c r="L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2"/>
      <c r="J695" s="39"/>
      <c r="K695" s="39"/>
      <c r="L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2"/>
      <c r="J696" s="39"/>
      <c r="K696" s="39"/>
      <c r="L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2"/>
      <c r="J697" s="39"/>
      <c r="K697" s="39"/>
      <c r="L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2"/>
      <c r="J698" s="39"/>
      <c r="K698" s="39"/>
      <c r="L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2"/>
      <c r="J699" s="39"/>
      <c r="K699" s="39"/>
      <c r="L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2"/>
      <c r="J700" s="39"/>
      <c r="K700" s="39"/>
      <c r="L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2"/>
      <c r="J701" s="39"/>
      <c r="K701" s="39"/>
      <c r="L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2"/>
      <c r="J702" s="39"/>
      <c r="K702" s="39"/>
      <c r="L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2"/>
      <c r="J703" s="39"/>
      <c r="K703" s="39"/>
      <c r="L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2"/>
      <c r="J704" s="39"/>
      <c r="K704" s="39"/>
      <c r="L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2"/>
      <c r="J705" s="39"/>
      <c r="K705" s="39"/>
      <c r="L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2"/>
      <c r="J706" s="39"/>
      <c r="K706" s="39"/>
      <c r="L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2"/>
      <c r="J707" s="39"/>
      <c r="K707" s="39"/>
      <c r="L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2"/>
      <c r="J708" s="39"/>
      <c r="K708" s="39"/>
      <c r="L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2"/>
      <c r="J709" s="39"/>
      <c r="K709" s="39"/>
      <c r="L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2"/>
      <c r="J710" s="39"/>
      <c r="K710" s="39"/>
      <c r="L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2"/>
      <c r="J711" s="39"/>
      <c r="K711" s="39"/>
      <c r="L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2"/>
      <c r="J712" s="39"/>
      <c r="K712" s="39"/>
      <c r="L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2"/>
      <c r="J713" s="39"/>
      <c r="K713" s="39"/>
      <c r="L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2"/>
      <c r="J714" s="39"/>
      <c r="K714" s="39"/>
      <c r="L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2"/>
      <c r="J715" s="39"/>
      <c r="K715" s="39"/>
      <c r="L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2"/>
      <c r="J716" s="39"/>
      <c r="K716" s="39"/>
      <c r="L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2"/>
      <c r="J717" s="39"/>
      <c r="K717" s="39"/>
      <c r="L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2"/>
      <c r="J718" s="39"/>
      <c r="K718" s="39"/>
      <c r="L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2"/>
      <c r="J719" s="39"/>
      <c r="K719" s="39"/>
      <c r="L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2"/>
      <c r="J720" s="39"/>
      <c r="K720" s="39"/>
      <c r="L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2"/>
      <c r="J721" s="39"/>
      <c r="K721" s="39"/>
      <c r="L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2"/>
      <c r="J722" s="39"/>
      <c r="K722" s="39"/>
      <c r="L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2"/>
      <c r="J723" s="39"/>
      <c r="K723" s="39"/>
      <c r="L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2"/>
      <c r="J724" s="39"/>
      <c r="K724" s="39"/>
      <c r="L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2"/>
      <c r="J725" s="39"/>
      <c r="K725" s="39"/>
      <c r="L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2"/>
      <c r="J726" s="39"/>
      <c r="K726" s="39"/>
      <c r="L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2"/>
      <c r="J727" s="39"/>
      <c r="K727" s="39"/>
      <c r="L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2"/>
      <c r="J728" s="39"/>
      <c r="K728" s="39"/>
      <c r="L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2"/>
      <c r="J729" s="39"/>
      <c r="K729" s="39"/>
      <c r="L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2"/>
      <c r="J730" s="39"/>
      <c r="K730" s="39"/>
      <c r="L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2"/>
      <c r="J731" s="39"/>
      <c r="K731" s="39"/>
      <c r="L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2"/>
      <c r="J732" s="39"/>
      <c r="K732" s="39"/>
      <c r="L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2"/>
      <c r="J733" s="39"/>
      <c r="K733" s="39"/>
      <c r="L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2"/>
      <c r="J734" s="39"/>
      <c r="K734" s="39"/>
      <c r="L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2"/>
      <c r="J735" s="39"/>
      <c r="K735" s="39"/>
      <c r="L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2"/>
      <c r="J736" s="39"/>
      <c r="K736" s="39"/>
      <c r="L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2"/>
      <c r="J737" s="39"/>
      <c r="K737" s="39"/>
      <c r="L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2"/>
      <c r="J738" s="39"/>
      <c r="K738" s="39"/>
      <c r="L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2"/>
      <c r="J739" s="39"/>
      <c r="K739" s="39"/>
      <c r="L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2"/>
      <c r="J740" s="39"/>
      <c r="K740" s="39"/>
      <c r="L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2"/>
      <c r="J741" s="39"/>
      <c r="K741" s="39"/>
      <c r="L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2"/>
      <c r="J742" s="39"/>
      <c r="K742" s="39"/>
      <c r="L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2"/>
      <c r="J743" s="39"/>
      <c r="K743" s="39"/>
      <c r="L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2"/>
      <c r="J744" s="39"/>
      <c r="K744" s="39"/>
      <c r="L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2"/>
      <c r="J745" s="39"/>
      <c r="K745" s="39"/>
      <c r="L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2"/>
      <c r="J746" s="39"/>
      <c r="K746" s="39"/>
      <c r="L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2"/>
      <c r="J747" s="39"/>
      <c r="K747" s="39"/>
      <c r="L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2"/>
      <c r="J748" s="39"/>
      <c r="K748" s="39"/>
      <c r="L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2"/>
      <c r="J749" s="39"/>
      <c r="K749" s="39"/>
      <c r="L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2"/>
      <c r="J750" s="39"/>
      <c r="K750" s="39"/>
      <c r="L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2"/>
      <c r="J751" s="39"/>
      <c r="K751" s="39"/>
      <c r="L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2"/>
      <c r="J752" s="39"/>
      <c r="K752" s="39"/>
      <c r="L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2"/>
      <c r="J753" s="39"/>
      <c r="K753" s="39"/>
      <c r="L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2"/>
      <c r="J754" s="39"/>
      <c r="K754" s="39"/>
      <c r="L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2"/>
      <c r="J755" s="39"/>
      <c r="K755" s="39"/>
      <c r="L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2"/>
      <c r="J756" s="39"/>
      <c r="K756" s="39"/>
      <c r="L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2"/>
      <c r="J757" s="39"/>
      <c r="K757" s="39"/>
      <c r="L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2"/>
      <c r="J758" s="39"/>
      <c r="K758" s="39"/>
      <c r="L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2"/>
      <c r="J759" s="39"/>
      <c r="K759" s="39"/>
      <c r="L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2"/>
      <c r="J760" s="39"/>
      <c r="K760" s="39"/>
      <c r="L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2"/>
      <c r="J761" s="39"/>
      <c r="K761" s="39"/>
      <c r="L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2"/>
      <c r="J762" s="39"/>
      <c r="K762" s="39"/>
      <c r="L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2"/>
      <c r="J763" s="39"/>
      <c r="K763" s="39"/>
      <c r="L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2"/>
      <c r="J764" s="39"/>
      <c r="K764" s="39"/>
      <c r="L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2"/>
      <c r="J765" s="39"/>
      <c r="K765" s="39"/>
      <c r="L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2"/>
      <c r="J766" s="39"/>
      <c r="K766" s="39"/>
      <c r="L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2"/>
      <c r="J767" s="39"/>
      <c r="K767" s="39"/>
      <c r="L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2"/>
      <c r="J768" s="39"/>
      <c r="K768" s="39"/>
      <c r="L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2"/>
      <c r="J769" s="39"/>
      <c r="K769" s="39"/>
      <c r="L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2"/>
      <c r="J770" s="39"/>
      <c r="K770" s="39"/>
      <c r="L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2"/>
      <c r="J771" s="39"/>
      <c r="K771" s="39"/>
      <c r="L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2"/>
      <c r="J772" s="39"/>
      <c r="K772" s="39"/>
      <c r="L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2"/>
      <c r="J773" s="39"/>
      <c r="K773" s="39"/>
      <c r="L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2"/>
      <c r="J774" s="39"/>
      <c r="K774" s="39"/>
      <c r="L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2"/>
      <c r="J775" s="39"/>
      <c r="K775" s="39"/>
      <c r="L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2"/>
      <c r="J776" s="39"/>
      <c r="K776" s="39"/>
      <c r="L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2"/>
      <c r="J777" s="39"/>
      <c r="K777" s="39"/>
      <c r="L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2"/>
      <c r="J778" s="39"/>
      <c r="K778" s="39"/>
      <c r="L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2"/>
      <c r="J779" s="39"/>
      <c r="K779" s="39"/>
      <c r="L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2"/>
      <c r="J780" s="39"/>
      <c r="K780" s="39"/>
      <c r="L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2"/>
      <c r="J781" s="39"/>
      <c r="K781" s="39"/>
      <c r="L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2"/>
      <c r="J782" s="39"/>
      <c r="K782" s="39"/>
      <c r="L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2"/>
      <c r="J783" s="39"/>
      <c r="K783" s="39"/>
      <c r="L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2"/>
      <c r="J784" s="39"/>
      <c r="K784" s="39"/>
      <c r="L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2"/>
      <c r="J785" s="39"/>
      <c r="K785" s="39"/>
      <c r="L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2"/>
      <c r="J786" s="39"/>
      <c r="K786" s="39"/>
      <c r="L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2"/>
      <c r="J787" s="39"/>
      <c r="K787" s="39"/>
      <c r="L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2"/>
      <c r="J788" s="39"/>
      <c r="K788" s="39"/>
      <c r="L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2"/>
      <c r="J789" s="39"/>
      <c r="K789" s="39"/>
      <c r="L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2"/>
      <c r="J790" s="39"/>
      <c r="K790" s="39"/>
      <c r="L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2"/>
      <c r="J791" s="39"/>
      <c r="K791" s="39"/>
      <c r="L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2"/>
      <c r="J792" s="39"/>
      <c r="K792" s="39"/>
      <c r="L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2"/>
      <c r="J793" s="39"/>
      <c r="K793" s="39"/>
      <c r="L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2"/>
      <c r="J794" s="39"/>
      <c r="K794" s="39"/>
      <c r="L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2"/>
      <c r="J795" s="39"/>
      <c r="K795" s="39"/>
      <c r="L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2"/>
      <c r="J796" s="39"/>
      <c r="K796" s="39"/>
      <c r="L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2"/>
      <c r="J797" s="39"/>
      <c r="K797" s="39"/>
      <c r="L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2"/>
      <c r="J798" s="39"/>
      <c r="K798" s="39"/>
      <c r="L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2"/>
      <c r="J799" s="39"/>
      <c r="K799" s="39"/>
      <c r="L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2"/>
      <c r="J800" s="39"/>
      <c r="K800" s="39"/>
      <c r="L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2"/>
      <c r="J801" s="39"/>
      <c r="K801" s="39"/>
      <c r="L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2"/>
      <c r="J802" s="39"/>
      <c r="K802" s="39"/>
      <c r="L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2"/>
      <c r="J803" s="39"/>
      <c r="K803" s="39"/>
      <c r="L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2"/>
      <c r="J804" s="39"/>
      <c r="K804" s="39"/>
      <c r="L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2"/>
      <c r="J805" s="39"/>
      <c r="K805" s="39"/>
      <c r="L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2"/>
      <c r="J806" s="39"/>
      <c r="K806" s="39"/>
      <c r="L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2"/>
      <c r="J807" s="39"/>
      <c r="K807" s="39"/>
      <c r="L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2"/>
      <c r="J808" s="39"/>
      <c r="K808" s="39"/>
      <c r="L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2"/>
      <c r="J809" s="39"/>
      <c r="K809" s="39"/>
      <c r="L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2"/>
      <c r="J810" s="39"/>
      <c r="K810" s="39"/>
      <c r="L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2"/>
      <c r="J811" s="39"/>
      <c r="K811" s="39"/>
      <c r="L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2"/>
      <c r="J812" s="39"/>
      <c r="K812" s="39"/>
      <c r="L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2"/>
      <c r="J813" s="39"/>
      <c r="K813" s="39"/>
      <c r="L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2"/>
      <c r="J814" s="39"/>
      <c r="K814" s="39"/>
      <c r="L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2"/>
      <c r="J815" s="39"/>
      <c r="K815" s="39"/>
      <c r="L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2"/>
      <c r="J816" s="39"/>
      <c r="K816" s="39"/>
      <c r="L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2"/>
      <c r="J817" s="39"/>
      <c r="K817" s="39"/>
      <c r="L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2"/>
      <c r="J818" s="39"/>
      <c r="K818" s="39"/>
      <c r="L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2"/>
      <c r="J819" s="39"/>
      <c r="K819" s="39"/>
      <c r="L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2"/>
      <c r="J820" s="39"/>
      <c r="K820" s="39"/>
      <c r="L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2"/>
      <c r="J821" s="39"/>
      <c r="K821" s="39"/>
      <c r="L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2"/>
      <c r="J822" s="39"/>
      <c r="K822" s="39"/>
      <c r="L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2"/>
      <c r="J823" s="39"/>
      <c r="K823" s="39"/>
      <c r="L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2"/>
      <c r="J824" s="39"/>
      <c r="K824" s="39"/>
      <c r="L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2"/>
      <c r="J825" s="39"/>
      <c r="K825" s="39"/>
      <c r="L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2"/>
      <c r="J826" s="39"/>
      <c r="K826" s="39"/>
      <c r="L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2"/>
      <c r="J827" s="39"/>
      <c r="K827" s="39"/>
      <c r="L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2"/>
      <c r="J828" s="39"/>
      <c r="K828" s="39"/>
      <c r="L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2"/>
      <c r="J829" s="39"/>
      <c r="K829" s="39"/>
      <c r="L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2"/>
      <c r="J830" s="39"/>
      <c r="K830" s="39"/>
      <c r="L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2"/>
      <c r="J831" s="39"/>
      <c r="K831" s="39"/>
      <c r="L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2"/>
      <c r="J832" s="39"/>
      <c r="K832" s="39"/>
      <c r="L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2"/>
      <c r="J833" s="39"/>
      <c r="K833" s="39"/>
      <c r="L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2"/>
      <c r="J834" s="39"/>
      <c r="K834" s="39"/>
      <c r="L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2"/>
      <c r="J835" s="39"/>
      <c r="K835" s="39"/>
      <c r="L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2"/>
      <c r="J836" s="39"/>
      <c r="K836" s="39"/>
      <c r="L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2"/>
      <c r="J837" s="39"/>
      <c r="K837" s="39"/>
      <c r="L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2"/>
      <c r="J838" s="39"/>
      <c r="K838" s="39"/>
      <c r="L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2"/>
      <c r="J839" s="39"/>
      <c r="K839" s="39"/>
      <c r="L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2"/>
      <c r="J840" s="39"/>
      <c r="K840" s="39"/>
      <c r="L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2"/>
      <c r="J841" s="39"/>
      <c r="K841" s="39"/>
      <c r="L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2"/>
      <c r="J842" s="39"/>
      <c r="K842" s="39"/>
      <c r="L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2"/>
      <c r="J843" s="39"/>
      <c r="K843" s="39"/>
      <c r="L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2"/>
      <c r="J844" s="39"/>
      <c r="K844" s="39"/>
      <c r="L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2"/>
      <c r="J845" s="39"/>
      <c r="K845" s="39"/>
      <c r="L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2"/>
      <c r="J846" s="39"/>
      <c r="K846" s="39"/>
      <c r="L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2"/>
      <c r="J847" s="39"/>
      <c r="K847" s="39"/>
      <c r="L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2"/>
      <c r="J848" s="39"/>
      <c r="K848" s="39"/>
      <c r="L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2"/>
      <c r="J849" s="39"/>
      <c r="K849" s="39"/>
      <c r="L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2"/>
      <c r="J850" s="39"/>
      <c r="K850" s="39"/>
      <c r="L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2"/>
      <c r="J851" s="39"/>
      <c r="K851" s="39"/>
      <c r="L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2"/>
      <c r="J852" s="39"/>
      <c r="K852" s="39"/>
      <c r="L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2"/>
      <c r="J853" s="39"/>
      <c r="K853" s="39"/>
      <c r="L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2"/>
      <c r="J854" s="39"/>
      <c r="K854" s="39"/>
      <c r="L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2"/>
      <c r="J855" s="39"/>
      <c r="K855" s="39"/>
      <c r="L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2"/>
      <c r="J856" s="39"/>
      <c r="K856" s="39"/>
      <c r="L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2"/>
      <c r="J857" s="39"/>
      <c r="K857" s="39"/>
      <c r="L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2"/>
      <c r="J858" s="39"/>
      <c r="K858" s="39"/>
      <c r="L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2"/>
      <c r="J859" s="39"/>
      <c r="K859" s="39"/>
      <c r="L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2"/>
      <c r="J860" s="39"/>
      <c r="K860" s="39"/>
      <c r="L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2"/>
      <c r="J861" s="39"/>
      <c r="K861" s="39"/>
      <c r="L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2"/>
      <c r="J862" s="39"/>
      <c r="K862" s="39"/>
      <c r="L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2"/>
      <c r="J863" s="39"/>
      <c r="K863" s="39"/>
      <c r="L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2"/>
      <c r="J864" s="39"/>
      <c r="K864" s="39"/>
      <c r="L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2"/>
      <c r="J865" s="39"/>
      <c r="K865" s="39"/>
      <c r="L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2"/>
      <c r="J866" s="39"/>
      <c r="K866" s="39"/>
      <c r="L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2"/>
      <c r="J867" s="39"/>
      <c r="K867" s="39"/>
      <c r="L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2"/>
      <c r="J868" s="39"/>
      <c r="K868" s="39"/>
      <c r="L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2"/>
      <c r="J869" s="39"/>
      <c r="K869" s="39"/>
      <c r="L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2"/>
      <c r="J870" s="39"/>
      <c r="K870" s="39"/>
      <c r="L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2"/>
      <c r="J871" s="39"/>
      <c r="K871" s="39"/>
      <c r="L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2"/>
      <c r="J872" s="39"/>
      <c r="K872" s="39"/>
      <c r="L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2"/>
      <c r="J873" s="39"/>
      <c r="K873" s="39"/>
      <c r="L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2"/>
      <c r="J874" s="39"/>
      <c r="K874" s="39"/>
      <c r="L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2"/>
      <c r="J875" s="39"/>
      <c r="K875" s="39"/>
      <c r="L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2"/>
      <c r="J876" s="39"/>
      <c r="K876" s="39"/>
      <c r="L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2"/>
      <c r="J877" s="39"/>
      <c r="K877" s="39"/>
      <c r="L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2"/>
      <c r="J878" s="39"/>
      <c r="K878" s="39"/>
      <c r="L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2"/>
      <c r="J879" s="39"/>
      <c r="K879" s="39"/>
      <c r="L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2"/>
      <c r="J880" s="39"/>
      <c r="K880" s="39"/>
      <c r="L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2"/>
      <c r="J881" s="39"/>
      <c r="K881" s="39"/>
      <c r="L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2"/>
      <c r="J882" s="39"/>
      <c r="K882" s="39"/>
      <c r="L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2"/>
      <c r="J883" s="39"/>
      <c r="K883" s="39"/>
      <c r="L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2"/>
      <c r="J884" s="39"/>
      <c r="K884" s="39"/>
      <c r="L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2"/>
      <c r="J885" s="39"/>
      <c r="K885" s="39"/>
      <c r="L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2"/>
      <c r="J886" s="39"/>
      <c r="K886" s="39"/>
      <c r="L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2"/>
      <c r="J887" s="39"/>
      <c r="K887" s="39"/>
      <c r="L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2"/>
      <c r="J888" s="39"/>
      <c r="K888" s="39"/>
      <c r="L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2"/>
      <c r="J889" s="39"/>
      <c r="K889" s="39"/>
      <c r="L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2"/>
      <c r="J890" s="39"/>
      <c r="K890" s="39"/>
      <c r="L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2"/>
      <c r="J891" s="39"/>
      <c r="K891" s="39"/>
      <c r="L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2"/>
      <c r="J892" s="39"/>
      <c r="K892" s="39"/>
      <c r="L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2"/>
      <c r="J893" s="39"/>
      <c r="K893" s="39"/>
      <c r="L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2"/>
      <c r="J894" s="39"/>
      <c r="K894" s="39"/>
      <c r="L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2"/>
      <c r="J895" s="39"/>
      <c r="K895" s="39"/>
      <c r="L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2"/>
      <c r="J896" s="39"/>
      <c r="K896" s="39"/>
      <c r="L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2"/>
      <c r="J897" s="39"/>
      <c r="K897" s="39"/>
      <c r="L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2"/>
      <c r="J898" s="39"/>
      <c r="K898" s="39"/>
      <c r="L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2"/>
      <c r="J899" s="39"/>
      <c r="K899" s="39"/>
      <c r="L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2"/>
      <c r="J900" s="39"/>
      <c r="K900" s="39"/>
      <c r="L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2"/>
      <c r="J901" s="39"/>
      <c r="K901" s="39"/>
      <c r="L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2"/>
      <c r="J902" s="39"/>
      <c r="K902" s="39"/>
      <c r="L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2"/>
      <c r="J903" s="39"/>
      <c r="K903" s="39"/>
      <c r="L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2"/>
      <c r="J904" s="39"/>
      <c r="K904" s="39"/>
      <c r="L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2"/>
      <c r="J905" s="39"/>
      <c r="K905" s="39"/>
      <c r="L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2"/>
      <c r="J906" s="39"/>
      <c r="K906" s="39"/>
      <c r="L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2"/>
      <c r="J907" s="39"/>
      <c r="K907" s="39"/>
      <c r="L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2"/>
      <c r="J908" s="39"/>
      <c r="K908" s="39"/>
      <c r="L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2"/>
      <c r="J909" s="39"/>
      <c r="K909" s="39"/>
      <c r="L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2"/>
      <c r="J910" s="39"/>
      <c r="K910" s="39"/>
      <c r="L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2"/>
      <c r="J911" s="39"/>
      <c r="K911" s="39"/>
      <c r="L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2"/>
      <c r="J912" s="39"/>
      <c r="K912" s="39"/>
      <c r="L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2"/>
      <c r="J913" s="39"/>
      <c r="K913" s="39"/>
      <c r="L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2"/>
      <c r="J914" s="39"/>
      <c r="K914" s="39"/>
      <c r="L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2"/>
      <c r="J915" s="39"/>
      <c r="K915" s="39"/>
      <c r="L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2"/>
      <c r="J916" s="39"/>
      <c r="K916" s="39"/>
      <c r="L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2"/>
      <c r="J917" s="39"/>
      <c r="K917" s="39"/>
      <c r="L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2"/>
      <c r="J918" s="39"/>
      <c r="K918" s="39"/>
      <c r="L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2"/>
      <c r="J919" s="39"/>
      <c r="K919" s="39"/>
      <c r="L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2"/>
      <c r="J920" s="39"/>
      <c r="K920" s="39"/>
      <c r="L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2"/>
      <c r="J921" s="39"/>
      <c r="K921" s="39"/>
      <c r="L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2"/>
      <c r="J922" s="39"/>
      <c r="K922" s="39"/>
      <c r="L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2"/>
      <c r="J923" s="39"/>
      <c r="K923" s="39"/>
      <c r="L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2"/>
      <c r="J924" s="39"/>
      <c r="K924" s="39"/>
      <c r="L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2"/>
      <c r="J925" s="39"/>
      <c r="K925" s="39"/>
      <c r="L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2"/>
      <c r="J926" s="39"/>
      <c r="K926" s="39"/>
      <c r="L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2"/>
      <c r="J927" s="39"/>
      <c r="K927" s="39"/>
      <c r="L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2"/>
      <c r="J928" s="39"/>
      <c r="K928" s="39"/>
      <c r="L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2"/>
      <c r="J929" s="39"/>
      <c r="K929" s="39"/>
      <c r="L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2"/>
      <c r="J930" s="39"/>
      <c r="K930" s="39"/>
      <c r="L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2"/>
      <c r="J931" s="39"/>
      <c r="K931" s="39"/>
      <c r="L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2"/>
      <c r="J932" s="39"/>
      <c r="K932" s="39"/>
      <c r="L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2"/>
      <c r="J933" s="39"/>
      <c r="K933" s="39"/>
      <c r="L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2"/>
      <c r="J934" s="39"/>
      <c r="K934" s="39"/>
      <c r="L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2"/>
      <c r="J935" s="39"/>
      <c r="K935" s="39"/>
      <c r="L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2"/>
      <c r="J936" s="39"/>
      <c r="K936" s="39"/>
      <c r="L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2"/>
      <c r="J937" s="39"/>
      <c r="K937" s="39"/>
      <c r="L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2"/>
      <c r="J938" s="39"/>
      <c r="K938" s="39"/>
      <c r="L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2"/>
      <c r="J939" s="39"/>
      <c r="K939" s="39"/>
      <c r="L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2"/>
      <c r="J940" s="39"/>
      <c r="K940" s="39"/>
      <c r="L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2"/>
      <c r="J941" s="39"/>
      <c r="K941" s="39"/>
      <c r="L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2"/>
      <c r="J942" s="39"/>
      <c r="K942" s="39"/>
      <c r="L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2"/>
      <c r="J943" s="39"/>
      <c r="K943" s="39"/>
      <c r="L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2"/>
      <c r="J944" s="39"/>
      <c r="K944" s="39"/>
      <c r="L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2"/>
      <c r="J945" s="39"/>
      <c r="K945" s="39"/>
      <c r="L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2"/>
      <c r="J946" s="39"/>
      <c r="K946" s="39"/>
      <c r="L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2"/>
      <c r="J947" s="39"/>
      <c r="K947" s="39"/>
      <c r="L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2"/>
      <c r="J948" s="39"/>
      <c r="K948" s="39"/>
      <c r="L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2"/>
      <c r="J949" s="39"/>
      <c r="K949" s="39"/>
      <c r="L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2"/>
      <c r="J950" s="39"/>
      <c r="K950" s="39"/>
      <c r="L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2"/>
      <c r="J951" s="39"/>
      <c r="K951" s="39"/>
      <c r="L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2"/>
      <c r="J952" s="39"/>
      <c r="K952" s="39"/>
      <c r="L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2"/>
      <c r="J953" s="39"/>
      <c r="K953" s="39"/>
      <c r="L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2"/>
      <c r="J954" s="39"/>
      <c r="K954" s="39"/>
      <c r="L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2"/>
      <c r="J955" s="39"/>
      <c r="K955" s="39"/>
      <c r="L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2"/>
      <c r="J956" s="39"/>
      <c r="K956" s="39"/>
      <c r="L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2"/>
      <c r="J957" s="39"/>
      <c r="K957" s="39"/>
      <c r="L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2"/>
      <c r="J958" s="39"/>
      <c r="K958" s="39"/>
      <c r="L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2"/>
      <c r="J959" s="39"/>
      <c r="K959" s="39"/>
      <c r="L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2"/>
      <c r="J960" s="39"/>
      <c r="K960" s="39"/>
      <c r="L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2"/>
      <c r="J961" s="39"/>
      <c r="K961" s="39"/>
      <c r="L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2"/>
      <c r="J962" s="39"/>
      <c r="K962" s="39"/>
      <c r="L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2"/>
      <c r="J963" s="39"/>
      <c r="K963" s="39"/>
      <c r="L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2"/>
      <c r="J964" s="39"/>
      <c r="K964" s="39"/>
      <c r="L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2"/>
      <c r="J965" s="39"/>
      <c r="K965" s="39"/>
      <c r="L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2"/>
      <c r="J966" s="39"/>
      <c r="K966" s="39"/>
      <c r="L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2"/>
      <c r="J967" s="39"/>
      <c r="K967" s="39"/>
      <c r="L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2"/>
      <c r="J968" s="39"/>
      <c r="K968" s="39"/>
      <c r="L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2"/>
      <c r="J969" s="39"/>
      <c r="K969" s="39"/>
      <c r="L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2"/>
      <c r="J970" s="39"/>
      <c r="K970" s="39"/>
      <c r="L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2"/>
      <c r="J971" s="39"/>
      <c r="K971" s="39"/>
      <c r="L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2"/>
      <c r="J972" s="39"/>
      <c r="K972" s="39"/>
      <c r="L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2"/>
      <c r="J973" s="39"/>
      <c r="K973" s="39"/>
      <c r="L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2"/>
      <c r="J974" s="39"/>
      <c r="K974" s="39"/>
      <c r="L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2"/>
      <c r="J975" s="39"/>
      <c r="K975" s="39"/>
      <c r="L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2"/>
      <c r="J976" s="39"/>
      <c r="K976" s="39"/>
      <c r="L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2"/>
      <c r="J977" s="39"/>
      <c r="K977" s="39"/>
      <c r="L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2"/>
      <c r="J978" s="39"/>
      <c r="K978" s="39"/>
      <c r="L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2"/>
      <c r="J979" s="39"/>
      <c r="K979" s="39"/>
      <c r="L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2"/>
      <c r="J980" s="39"/>
      <c r="K980" s="39"/>
      <c r="L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2"/>
      <c r="J981" s="39"/>
      <c r="K981" s="39"/>
      <c r="L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2"/>
      <c r="J982" s="39"/>
      <c r="K982" s="39"/>
      <c r="L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2"/>
      <c r="J983" s="39"/>
      <c r="K983" s="39"/>
      <c r="L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2"/>
      <c r="J984" s="39"/>
      <c r="K984" s="39"/>
      <c r="L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2"/>
      <c r="J985" s="39"/>
      <c r="K985" s="39"/>
      <c r="L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2"/>
      <c r="J986" s="39"/>
      <c r="K986" s="39"/>
      <c r="L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2"/>
      <c r="J987" s="39"/>
      <c r="K987" s="39"/>
      <c r="L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2"/>
      <c r="J988" s="39"/>
      <c r="K988" s="39"/>
      <c r="L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2"/>
      <c r="J989" s="39"/>
      <c r="K989" s="39"/>
      <c r="L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2"/>
      <c r="J990" s="39"/>
      <c r="K990" s="39"/>
      <c r="L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2"/>
      <c r="J991" s="39"/>
      <c r="K991" s="39"/>
      <c r="L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2"/>
      <c r="J992" s="39"/>
      <c r="K992" s="39"/>
      <c r="L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2"/>
      <c r="J993" s="39"/>
      <c r="K993" s="39"/>
      <c r="L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2"/>
      <c r="J994" s="39"/>
      <c r="K994" s="39"/>
      <c r="L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2"/>
      <c r="J995" s="39"/>
      <c r="K995" s="39"/>
      <c r="L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2"/>
      <c r="J996" s="39"/>
      <c r="K996" s="39"/>
      <c r="L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2"/>
      <c r="J997" s="39"/>
      <c r="K997" s="39"/>
      <c r="L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2"/>
      <c r="J998" s="39"/>
      <c r="K998" s="39"/>
      <c r="L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2"/>
      <c r="J999" s="39"/>
      <c r="K999" s="39"/>
      <c r="L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2"/>
      <c r="J1000" s="39"/>
      <c r="K1000" s="39"/>
      <c r="L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2"/>
      <c r="J1001" s="39"/>
      <c r="K1001" s="39"/>
      <c r="L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2"/>
      <c r="J1002" s="39"/>
      <c r="K1002" s="39"/>
      <c r="L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2"/>
      <c r="J1003" s="39"/>
      <c r="K1003" s="39"/>
      <c r="L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2"/>
      <c r="J1004" s="39"/>
      <c r="K1004" s="39"/>
      <c r="L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2"/>
      <c r="J1005" s="39"/>
      <c r="K1005" s="39"/>
      <c r="L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2"/>
      <c r="J1006" s="39"/>
      <c r="K1006" s="39"/>
      <c r="L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2"/>
      <c r="J1007" s="39"/>
      <c r="K1007" s="39"/>
      <c r="L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2"/>
      <c r="J1008" s="39"/>
      <c r="K1008" s="39"/>
      <c r="L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2"/>
      <c r="J1009" s="39"/>
      <c r="K1009" s="39"/>
      <c r="L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2"/>
      <c r="J1010" s="39"/>
      <c r="K1010" s="39"/>
      <c r="L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2"/>
      <c r="J1011" s="39"/>
      <c r="K1011" s="39"/>
      <c r="L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2"/>
      <c r="J1012" s="39"/>
      <c r="K1012" s="39"/>
      <c r="L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2"/>
      <c r="J1013" s="39"/>
      <c r="K1013" s="39"/>
      <c r="L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2"/>
      <c r="J1014" s="39"/>
      <c r="K1014" s="39"/>
      <c r="L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2"/>
      <c r="J1015" s="39"/>
      <c r="K1015" s="39"/>
      <c r="L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2"/>
      <c r="J1016" s="39"/>
      <c r="K1016" s="39"/>
      <c r="L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2"/>
      <c r="J1017" s="39"/>
      <c r="K1017" s="39"/>
      <c r="L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2"/>
      <c r="J1018" s="39"/>
      <c r="K1018" s="39"/>
      <c r="L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2"/>
      <c r="J1019" s="39"/>
      <c r="K1019" s="39"/>
      <c r="L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2"/>
      <c r="J1020" s="39"/>
      <c r="K1020" s="39"/>
      <c r="L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2"/>
      <c r="J1021" s="39"/>
      <c r="K1021" s="39"/>
      <c r="L1021" s="39"/>
    </row>
    <row r="1022">
      <c r="A1022" s="39"/>
      <c r="B1022" s="39"/>
      <c r="C1022" s="39"/>
      <c r="D1022" s="39"/>
      <c r="E1022" s="39"/>
      <c r="F1022" s="39"/>
      <c r="G1022" s="39"/>
      <c r="H1022" s="39"/>
      <c r="I1022" s="32"/>
      <c r="J1022" s="39"/>
      <c r="K1022" s="39"/>
      <c r="L1022" s="39"/>
    </row>
    <row r="1023">
      <c r="A1023" s="39"/>
      <c r="B1023" s="39"/>
      <c r="C1023" s="39"/>
      <c r="D1023" s="39"/>
      <c r="E1023" s="39"/>
      <c r="F1023" s="39"/>
      <c r="G1023" s="39"/>
      <c r="H1023" s="39"/>
      <c r="I1023" s="32"/>
      <c r="J1023" s="39"/>
      <c r="K1023" s="39"/>
      <c r="L1023" s="39"/>
    </row>
    <row r="1024">
      <c r="A1024" s="39"/>
      <c r="B1024" s="39"/>
      <c r="C1024" s="39"/>
      <c r="D1024" s="39"/>
      <c r="E1024" s="39"/>
      <c r="F1024" s="39"/>
      <c r="G1024" s="39"/>
      <c r="H1024" s="39"/>
      <c r="I1024" s="32"/>
      <c r="J1024" s="39"/>
      <c r="K1024" s="39"/>
      <c r="L1024" s="39"/>
    </row>
    <row r="1025">
      <c r="A1025" s="39"/>
      <c r="B1025" s="39"/>
      <c r="C1025" s="39"/>
      <c r="D1025" s="39"/>
      <c r="E1025" s="39"/>
      <c r="F1025" s="39"/>
      <c r="G1025" s="39"/>
      <c r="H1025" s="39"/>
      <c r="I1025" s="32"/>
      <c r="J1025" s="39"/>
      <c r="K1025" s="39"/>
      <c r="L1025" s="39"/>
    </row>
    <row r="1026">
      <c r="A1026" s="39"/>
      <c r="B1026" s="39"/>
      <c r="C1026" s="39"/>
      <c r="D1026" s="39"/>
      <c r="E1026" s="39"/>
      <c r="F1026" s="39"/>
      <c r="G1026" s="39"/>
      <c r="H1026" s="39"/>
      <c r="I1026" s="32"/>
      <c r="J1026" s="39"/>
      <c r="K1026" s="39"/>
      <c r="L1026" s="39"/>
    </row>
    <row r="1027">
      <c r="A1027" s="39"/>
      <c r="B1027" s="39"/>
      <c r="C1027" s="39"/>
      <c r="D1027" s="39"/>
      <c r="E1027" s="39"/>
      <c r="F1027" s="39"/>
      <c r="G1027" s="39"/>
      <c r="H1027" s="39"/>
      <c r="I1027" s="32"/>
      <c r="J1027" s="39"/>
      <c r="K1027" s="39"/>
      <c r="L1027" s="39"/>
    </row>
    <row r="1028">
      <c r="A1028" s="39"/>
      <c r="B1028" s="39"/>
      <c r="C1028" s="39"/>
      <c r="D1028" s="39"/>
      <c r="E1028" s="39"/>
      <c r="F1028" s="39"/>
      <c r="G1028" s="39"/>
      <c r="H1028" s="39"/>
      <c r="I1028" s="32"/>
      <c r="J1028" s="39"/>
      <c r="K1028" s="39"/>
      <c r="L1028" s="39"/>
    </row>
    <row r="1029">
      <c r="A1029" s="39"/>
      <c r="B1029" s="39"/>
      <c r="C1029" s="39"/>
      <c r="D1029" s="39"/>
      <c r="E1029" s="39"/>
      <c r="F1029" s="39"/>
      <c r="G1029" s="39"/>
      <c r="H1029" s="39"/>
      <c r="I1029" s="32"/>
      <c r="J1029" s="39"/>
      <c r="K1029" s="39"/>
      <c r="L1029" s="39"/>
    </row>
    <row r="1030">
      <c r="A1030" s="39"/>
      <c r="B1030" s="39"/>
      <c r="C1030" s="39"/>
      <c r="D1030" s="39"/>
      <c r="E1030" s="39"/>
      <c r="F1030" s="39"/>
      <c r="G1030" s="39"/>
      <c r="H1030" s="39"/>
      <c r="I1030" s="32"/>
      <c r="J1030" s="39"/>
      <c r="K1030" s="39"/>
      <c r="L1030" s="39"/>
    </row>
    <row r="1031">
      <c r="A1031" s="39"/>
      <c r="B1031" s="39"/>
      <c r="C1031" s="39"/>
      <c r="D1031" s="39"/>
      <c r="E1031" s="39"/>
      <c r="F1031" s="39"/>
      <c r="G1031" s="39"/>
      <c r="H1031" s="39"/>
      <c r="I1031" s="32"/>
      <c r="J1031" s="39"/>
      <c r="K1031" s="39"/>
      <c r="L1031" s="39"/>
    </row>
    <row r="1032">
      <c r="A1032" s="39"/>
      <c r="B1032" s="39"/>
      <c r="C1032" s="39"/>
      <c r="D1032" s="39"/>
      <c r="E1032" s="39"/>
      <c r="F1032" s="39"/>
      <c r="G1032" s="39"/>
      <c r="H1032" s="39"/>
      <c r="I1032" s="32"/>
      <c r="J1032" s="39"/>
      <c r="K1032" s="39"/>
      <c r="L1032" s="39"/>
    </row>
    <row r="1033">
      <c r="A1033" s="39"/>
      <c r="B1033" s="39"/>
      <c r="C1033" s="39"/>
      <c r="D1033" s="39"/>
      <c r="E1033" s="39"/>
      <c r="F1033" s="39"/>
      <c r="G1033" s="39"/>
      <c r="H1033" s="39"/>
      <c r="I1033" s="32"/>
      <c r="J1033" s="39"/>
      <c r="K1033" s="39"/>
      <c r="L1033" s="39"/>
    </row>
    <row r="1034">
      <c r="A1034" s="39"/>
      <c r="B1034" s="39"/>
      <c r="C1034" s="39"/>
      <c r="D1034" s="39"/>
      <c r="E1034" s="39"/>
      <c r="F1034" s="39"/>
      <c r="G1034" s="39"/>
      <c r="H1034" s="39"/>
      <c r="I1034" s="32"/>
      <c r="J1034" s="39"/>
      <c r="K1034" s="39"/>
      <c r="L1034" s="39"/>
    </row>
    <row r="1035">
      <c r="A1035" s="39"/>
      <c r="B1035" s="39"/>
      <c r="C1035" s="39"/>
      <c r="D1035" s="39"/>
      <c r="E1035" s="39"/>
      <c r="F1035" s="39"/>
      <c r="G1035" s="39"/>
      <c r="H1035" s="39"/>
      <c r="I1035" s="32"/>
      <c r="J1035" s="39"/>
      <c r="K1035" s="39"/>
      <c r="L1035" s="39"/>
    </row>
    <row r="1036">
      <c r="A1036" s="39"/>
      <c r="B1036" s="39"/>
      <c r="C1036" s="39"/>
      <c r="D1036" s="39"/>
      <c r="E1036" s="39"/>
      <c r="F1036" s="39"/>
      <c r="G1036" s="39"/>
      <c r="H1036" s="39"/>
      <c r="I1036" s="32"/>
      <c r="J1036" s="39"/>
      <c r="K1036" s="39"/>
      <c r="L1036" s="39"/>
    </row>
  </sheetData>
  <mergeCells count="23">
    <mergeCell ref="E113:E115"/>
    <mergeCell ref="G113:G115"/>
    <mergeCell ref="K113:K115"/>
    <mergeCell ref="G25:G27"/>
    <mergeCell ref="H25:H27"/>
    <mergeCell ref="H32:H33"/>
    <mergeCell ref="H34:H38"/>
    <mergeCell ref="I89:I90"/>
    <mergeCell ref="I92:I93"/>
    <mergeCell ref="A113:A115"/>
    <mergeCell ref="H113:H115"/>
    <mergeCell ref="G139:G142"/>
    <mergeCell ref="H139:H142"/>
    <mergeCell ref="I139:I142"/>
    <mergeCell ref="K139:K142"/>
    <mergeCell ref="L139:L142"/>
    <mergeCell ref="C113:C115"/>
    <mergeCell ref="D113:D115"/>
    <mergeCell ref="A139:A142"/>
    <mergeCell ref="B139:B142"/>
    <mergeCell ref="C139:C142"/>
    <mergeCell ref="E139:E142"/>
    <mergeCell ref="F139:F1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</cols>
  <sheetData>
    <row r="1">
      <c r="A1" s="133" t="s">
        <v>2648</v>
      </c>
      <c r="B1" s="133" t="s">
        <v>2649</v>
      </c>
      <c r="C1" s="134" t="s">
        <v>2650</v>
      </c>
      <c r="D1" s="135"/>
      <c r="E1" s="134" t="s">
        <v>2429</v>
      </c>
      <c r="F1" s="136"/>
      <c r="G1" s="135"/>
      <c r="H1" s="137" t="s">
        <v>2651</v>
      </c>
      <c r="I1" s="134" t="s">
        <v>2652</v>
      </c>
      <c r="J1" s="136"/>
      <c r="K1" s="135"/>
      <c r="L1" s="134" t="s">
        <v>2653</v>
      </c>
      <c r="M1" s="136"/>
      <c r="N1" s="135"/>
      <c r="O1" s="133" t="s">
        <v>2654</v>
      </c>
      <c r="P1" s="133" t="s">
        <v>9</v>
      </c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</row>
    <row r="2">
      <c r="A2" s="118"/>
      <c r="B2" s="118"/>
      <c r="C2" s="138" t="s">
        <v>2655</v>
      </c>
      <c r="D2" s="138" t="s">
        <v>2656</v>
      </c>
      <c r="E2" s="138" t="s">
        <v>2657</v>
      </c>
      <c r="F2" s="138" t="s">
        <v>2655</v>
      </c>
      <c r="G2" s="138" t="s">
        <v>2656</v>
      </c>
      <c r="H2" s="138" t="s">
        <v>2658</v>
      </c>
      <c r="I2" s="138" t="s">
        <v>2655</v>
      </c>
      <c r="J2" s="138" t="s">
        <v>2658</v>
      </c>
      <c r="K2" s="138" t="s">
        <v>2659</v>
      </c>
      <c r="L2" s="138" t="s">
        <v>2655</v>
      </c>
      <c r="M2" s="138" t="s">
        <v>2658</v>
      </c>
      <c r="N2" s="138" t="s">
        <v>2659</v>
      </c>
      <c r="O2" s="118"/>
      <c r="P2" s="118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</row>
    <row r="3">
      <c r="A3" s="139">
        <v>1.0</v>
      </c>
      <c r="B3" s="140" t="s">
        <v>620</v>
      </c>
      <c r="C3" s="141">
        <v>44.0</v>
      </c>
      <c r="D3" s="142">
        <v>43.0</v>
      </c>
      <c r="E3" s="142">
        <v>40.0</v>
      </c>
      <c r="F3" s="142">
        <v>35.0</v>
      </c>
      <c r="G3" s="142"/>
      <c r="H3" s="142"/>
      <c r="I3" s="142">
        <v>16.0</v>
      </c>
      <c r="J3" s="142" t="s">
        <v>2660</v>
      </c>
      <c r="K3" s="142">
        <v>11.8</v>
      </c>
      <c r="L3" s="142"/>
      <c r="M3" s="142"/>
      <c r="N3" s="142">
        <v>7.4</v>
      </c>
      <c r="O3" s="139" t="s">
        <v>2661</v>
      </c>
      <c r="P3" s="139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>
      <c r="A4" s="139">
        <v>2.0</v>
      </c>
      <c r="B4" s="140" t="s">
        <v>2489</v>
      </c>
      <c r="C4" s="142"/>
      <c r="D4" s="142"/>
      <c r="E4" s="142"/>
      <c r="F4" s="142"/>
      <c r="G4" s="142"/>
      <c r="H4" s="142">
        <v>14.8</v>
      </c>
      <c r="I4" s="142"/>
      <c r="J4" s="142">
        <v>11.5</v>
      </c>
      <c r="K4" s="142">
        <v>10.0</v>
      </c>
      <c r="L4" s="142"/>
      <c r="M4" s="142"/>
      <c r="N4" s="142">
        <v>9.7</v>
      </c>
      <c r="O4" s="139" t="s">
        <v>2662</v>
      </c>
      <c r="P4" s="139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>
      <c r="A5" s="139">
        <v>3.0</v>
      </c>
      <c r="B5" s="140" t="s">
        <v>2477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N5" s="142">
        <v>9.0</v>
      </c>
      <c r="O5" s="139" t="s">
        <v>2662</v>
      </c>
      <c r="P5" s="139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A6" s="139">
        <v>4.0</v>
      </c>
      <c r="B6" s="140" t="s">
        <v>2466</v>
      </c>
      <c r="C6" s="142">
        <v>50.5</v>
      </c>
      <c r="D6" s="142"/>
      <c r="E6" s="142"/>
      <c r="F6" s="142">
        <v>43.5</v>
      </c>
      <c r="G6" s="142"/>
      <c r="H6" s="142"/>
      <c r="I6" s="142" t="s">
        <v>2663</v>
      </c>
      <c r="J6" s="142">
        <v>12.0</v>
      </c>
      <c r="K6" s="142">
        <v>9.0</v>
      </c>
      <c r="L6" s="142"/>
      <c r="M6" s="142"/>
      <c r="N6" s="142"/>
      <c r="O6" s="139" t="s">
        <v>2662</v>
      </c>
      <c r="P6" s="143" t="s">
        <v>2664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>
      <c r="A7" s="139">
        <v>5.0</v>
      </c>
      <c r="B7" s="140" t="s">
        <v>2665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39" t="s">
        <v>2666</v>
      </c>
      <c r="P7" s="139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139"/>
      <c r="B8" s="140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39"/>
      <c r="P8" s="139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>
      <c r="A9" s="20"/>
      <c r="B9" s="16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20"/>
      <c r="P9" s="20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>
      <c r="A10" s="20"/>
      <c r="B10" s="16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20"/>
      <c r="P10" s="20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>
      <c r="A11" s="20"/>
      <c r="B11" s="16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20"/>
      <c r="P11" s="20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>
      <c r="A12" s="20"/>
      <c r="B12" s="16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20"/>
      <c r="P12" s="20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>
      <c r="A13" s="20"/>
      <c r="B13" s="16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20"/>
      <c r="P13" s="20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>
      <c r="A14" s="20"/>
      <c r="B14" s="16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20"/>
      <c r="P14" s="20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20"/>
      <c r="B15" s="16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20"/>
      <c r="P15" s="20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>
      <c r="A16" s="20"/>
      <c r="B16" s="16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20"/>
      <c r="P16" s="20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>
      <c r="A17" s="20"/>
      <c r="B17" s="16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20"/>
      <c r="P17" s="20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A18" s="20"/>
      <c r="B18" s="16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20"/>
      <c r="P18" s="20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>
      <c r="A19" s="20"/>
      <c r="B19" s="16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20"/>
      <c r="P19" s="20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>
      <c r="A20" s="20"/>
      <c r="B20" s="16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20"/>
      <c r="P20" s="20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>
      <c r="A21" s="20"/>
      <c r="B21" s="16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20"/>
      <c r="P21" s="20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>
      <c r="A22" s="20"/>
      <c r="B22" s="16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20"/>
      <c r="P22" s="20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>
      <c r="A23" s="20"/>
      <c r="B23" s="16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>
      <c r="A24" s="20"/>
      <c r="B24" s="16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>
      <c r="A25" s="20"/>
      <c r="B25" s="16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>
      <c r="A26" s="20"/>
      <c r="B26" s="16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A27" s="20"/>
      <c r="B27" s="16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>
      <c r="A28" s="20"/>
      <c r="B28" s="16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>
      <c r="A29" s="20"/>
      <c r="B29" s="16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A30" s="20"/>
      <c r="B30" s="16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A31" s="20"/>
      <c r="B31" s="16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>
      <c r="A32" s="20"/>
      <c r="B32" s="16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>
      <c r="A33" s="20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>
      <c r="A34" s="20"/>
      <c r="B34" s="16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>
      <c r="A35" s="20"/>
      <c r="B35" s="16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>
      <c r="A36" s="20"/>
      <c r="B36" s="16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>
      <c r="A37" s="20"/>
      <c r="B37" s="16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>
      <c r="A38" s="20"/>
      <c r="B38" s="16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>
      <c r="A39" s="20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>
      <c r="A40" s="20"/>
      <c r="B40" s="16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>
      <c r="A41" s="20"/>
      <c r="B41" s="16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>
      <c r="A42" s="20"/>
      <c r="B42" s="16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>
      <c r="A43" s="20"/>
      <c r="B43" s="16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>
      <c r="A44" s="20"/>
      <c r="B44" s="16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>
      <c r="A45" s="20"/>
      <c r="B45" s="1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>
      <c r="A46" s="20"/>
      <c r="B46" s="16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A47" s="20"/>
      <c r="B47" s="16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A48" s="20"/>
      <c r="B48" s="16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A49" s="20"/>
      <c r="B49" s="16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A50" s="20"/>
      <c r="B50" s="16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A51" s="20"/>
      <c r="B51" s="16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A52" s="20"/>
      <c r="B52" s="16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A53" s="20"/>
      <c r="B53" s="16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A54" s="20"/>
      <c r="B54" s="16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A55" s="20"/>
      <c r="B55" s="16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A56" s="20"/>
      <c r="B56" s="16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A57" s="20"/>
      <c r="B57" s="16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A58" s="20"/>
      <c r="B58" s="16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A59" s="20"/>
      <c r="B59" s="16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A60" s="20"/>
      <c r="B60" s="16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A61" s="20"/>
      <c r="B61" s="16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A62" s="20"/>
      <c r="B62" s="16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A63" s="20"/>
      <c r="B63" s="16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A64" s="20"/>
      <c r="B64" s="16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A65" s="20"/>
      <c r="B65" s="16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A66" s="20"/>
      <c r="B66" s="16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A67" s="20"/>
      <c r="B67" s="16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A68" s="20"/>
      <c r="B68" s="16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A69" s="20"/>
      <c r="B69" s="16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A70" s="20"/>
      <c r="B70" s="16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A71" s="20"/>
      <c r="B71" s="16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A72" s="20"/>
      <c r="B72" s="16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A73" s="20"/>
      <c r="B73" s="16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A74" s="20"/>
      <c r="B74" s="16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20"/>
      <c r="B75" s="16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A76" s="20"/>
      <c r="B76" s="1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A77" s="20"/>
      <c r="B77" s="16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A78" s="20"/>
      <c r="B78" s="16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A79" s="20"/>
      <c r="B79" s="16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A80" s="20"/>
      <c r="B80" s="16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A81" s="20"/>
      <c r="B81" s="16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A82" s="20"/>
      <c r="B82" s="16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A83" s="20"/>
      <c r="B83" s="16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A84" s="20"/>
      <c r="B84" s="16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A85" s="20"/>
      <c r="B85" s="16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A86" s="20"/>
      <c r="B86" s="16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A87" s="20"/>
      <c r="B87" s="16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A88" s="20"/>
      <c r="B88" s="16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A89" s="20"/>
      <c r="B89" s="16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A90" s="20"/>
      <c r="B90" s="16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A91" s="20"/>
      <c r="B91" s="16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A92" s="20"/>
      <c r="B92" s="16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A93" s="20"/>
      <c r="B93" s="16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A94" s="20"/>
      <c r="B94" s="16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A95" s="20"/>
      <c r="B95" s="16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A96" s="20"/>
      <c r="B96" s="16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A97" s="20"/>
      <c r="B97" s="16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A98" s="20"/>
      <c r="B98" s="16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A99" s="20"/>
      <c r="B99" s="16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A100" s="20"/>
      <c r="B100" s="16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A101" s="20"/>
      <c r="B101" s="16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A102" s="20"/>
      <c r="B102" s="16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A103" s="20"/>
      <c r="B103" s="16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A104" s="20"/>
      <c r="B104" s="16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A105" s="20"/>
      <c r="B105" s="16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A106" s="20"/>
      <c r="B106" s="16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A107" s="20"/>
      <c r="B107" s="16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A108" s="20"/>
      <c r="B108" s="16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A109" s="20"/>
      <c r="B109" s="16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A110" s="20"/>
      <c r="B110" s="16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A111" s="20"/>
      <c r="B111" s="16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A112" s="20"/>
      <c r="B112" s="16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A113" s="20"/>
      <c r="B113" s="16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A114" s="20"/>
      <c r="B114" s="16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A115" s="20"/>
      <c r="B115" s="16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A116" s="20"/>
      <c r="B116" s="16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A117" s="20"/>
      <c r="B117" s="16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A118" s="20"/>
      <c r="B118" s="16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A119" s="20"/>
      <c r="B119" s="16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A120" s="20"/>
      <c r="B120" s="16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A121" s="20"/>
      <c r="B121" s="16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A122" s="20"/>
      <c r="B122" s="16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A123" s="20"/>
      <c r="B123" s="16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A124" s="20"/>
      <c r="B124" s="16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A125" s="20"/>
      <c r="B125" s="16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A126" s="20"/>
      <c r="B126" s="16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A127" s="20"/>
      <c r="B127" s="16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A128" s="20"/>
      <c r="B128" s="16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A129" s="20"/>
      <c r="B129" s="16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A130" s="20"/>
      <c r="B130" s="16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>
      <c r="A131" s="20"/>
      <c r="B131" s="16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>
      <c r="A132" s="20"/>
      <c r="B132" s="16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>
      <c r="A133" s="20"/>
      <c r="B133" s="16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>
      <c r="A134" s="20"/>
      <c r="B134" s="16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>
      <c r="A135" s="20"/>
      <c r="B135" s="16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>
      <c r="A136" s="20"/>
      <c r="B136" s="16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>
      <c r="A137" s="20"/>
      <c r="B137" s="16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>
      <c r="A138" s="20"/>
      <c r="B138" s="16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>
      <c r="A139" s="20"/>
      <c r="B139" s="16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>
      <c r="A140" s="20"/>
      <c r="B140" s="16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>
      <c r="A141" s="20"/>
      <c r="B141" s="16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>
      <c r="A142" s="20"/>
      <c r="B142" s="16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>
      <c r="A143" s="20"/>
      <c r="B143" s="16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>
      <c r="A144" s="20"/>
      <c r="B144" s="16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>
      <c r="A145" s="20"/>
      <c r="B145" s="16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>
      <c r="A146" s="20"/>
      <c r="B146" s="16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>
      <c r="A147" s="20"/>
      <c r="B147" s="16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>
      <c r="A148" s="20"/>
      <c r="B148" s="16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>
      <c r="A149" s="20"/>
      <c r="B149" s="16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>
      <c r="A150" s="20"/>
      <c r="B150" s="16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>
      <c r="A151" s="20"/>
      <c r="B151" s="16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>
      <c r="A152" s="20"/>
      <c r="B152" s="16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>
      <c r="A153" s="20"/>
      <c r="B153" s="16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>
      <c r="A154" s="20"/>
      <c r="B154" s="16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>
      <c r="A155" s="20"/>
      <c r="B155" s="16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>
      <c r="A156" s="20"/>
      <c r="B156" s="16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>
      <c r="A157" s="20"/>
      <c r="B157" s="16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>
      <c r="A158" s="20"/>
      <c r="B158" s="16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>
      <c r="A159" s="20"/>
      <c r="B159" s="16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>
      <c r="A160" s="20"/>
      <c r="B160" s="16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>
      <c r="A161" s="20"/>
      <c r="B161" s="16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>
      <c r="A162" s="20"/>
      <c r="B162" s="16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>
      <c r="A163" s="20"/>
      <c r="B163" s="16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>
      <c r="A164" s="20"/>
      <c r="B164" s="16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>
      <c r="A165" s="20"/>
      <c r="B165" s="16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>
      <c r="A166" s="20"/>
      <c r="B166" s="16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>
      <c r="A167" s="20"/>
      <c r="B167" s="16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>
      <c r="A168" s="20"/>
      <c r="B168" s="16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>
      <c r="A169" s="20"/>
      <c r="B169" s="16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>
      <c r="A170" s="20"/>
      <c r="B170" s="16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>
      <c r="A171" s="20"/>
      <c r="B171" s="16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>
      <c r="A172" s="20"/>
      <c r="B172" s="16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>
      <c r="A173" s="20"/>
      <c r="B173" s="16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>
      <c r="A174" s="20"/>
      <c r="B174" s="16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>
      <c r="A175" s="20"/>
      <c r="B175" s="16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>
      <c r="A176" s="20"/>
      <c r="B176" s="16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>
      <c r="A177" s="20"/>
      <c r="B177" s="16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>
      <c r="A178" s="20"/>
      <c r="B178" s="16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>
      <c r="A179" s="20"/>
      <c r="B179" s="16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>
      <c r="A180" s="20"/>
      <c r="B180" s="16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>
      <c r="A181" s="20"/>
      <c r="B181" s="16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>
      <c r="A182" s="20"/>
      <c r="B182" s="16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>
      <c r="A183" s="20"/>
      <c r="B183" s="16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>
      <c r="A184" s="20"/>
      <c r="B184" s="16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>
      <c r="A185" s="20"/>
      <c r="B185" s="16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>
      <c r="A186" s="20"/>
      <c r="B186" s="16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>
      <c r="A187" s="20"/>
      <c r="B187" s="16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>
      <c r="A188" s="20"/>
      <c r="B188" s="16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>
      <c r="A189" s="20"/>
      <c r="B189" s="16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>
      <c r="A190" s="20"/>
      <c r="B190" s="16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>
      <c r="A191" s="20"/>
      <c r="B191" s="16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>
      <c r="A192" s="20"/>
      <c r="B192" s="16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>
      <c r="A193" s="20"/>
      <c r="B193" s="16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>
      <c r="A194" s="20"/>
      <c r="B194" s="16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>
      <c r="A195" s="20"/>
      <c r="B195" s="16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>
      <c r="A196" s="20"/>
      <c r="B196" s="16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>
      <c r="A197" s="20"/>
      <c r="B197" s="16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>
      <c r="A198" s="20"/>
      <c r="B198" s="16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>
      <c r="A199" s="20"/>
      <c r="B199" s="16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>
      <c r="A200" s="20"/>
      <c r="B200" s="16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>
      <c r="A201" s="20"/>
      <c r="B201" s="16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>
      <c r="A202" s="20"/>
      <c r="B202" s="16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>
      <c r="A203" s="20"/>
      <c r="B203" s="16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>
      <c r="A204" s="20"/>
      <c r="B204" s="16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>
      <c r="A205" s="20"/>
      <c r="B205" s="16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>
      <c r="A206" s="20"/>
      <c r="B206" s="16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>
      <c r="A207" s="20"/>
      <c r="B207" s="16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>
      <c r="A208" s="20"/>
      <c r="B208" s="16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>
      <c r="A209" s="20"/>
      <c r="B209" s="16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>
      <c r="A210" s="20"/>
      <c r="B210" s="16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>
      <c r="A211" s="20"/>
      <c r="B211" s="16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>
      <c r="A212" s="20"/>
      <c r="B212" s="16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>
      <c r="A213" s="20"/>
      <c r="B213" s="16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>
      <c r="A214" s="20"/>
      <c r="B214" s="16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>
      <c r="A215" s="20"/>
      <c r="B215" s="16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>
      <c r="A216" s="20"/>
      <c r="B216" s="16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>
      <c r="A217" s="20"/>
      <c r="B217" s="16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>
      <c r="A218" s="20"/>
      <c r="B218" s="16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>
      <c r="A219" s="20"/>
      <c r="B219" s="16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>
      <c r="A220" s="20"/>
      <c r="B220" s="16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>
      <c r="A221" s="20"/>
      <c r="B221" s="16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>
      <c r="A222" s="20"/>
      <c r="B222" s="16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>
      <c r="A223" s="20"/>
      <c r="B223" s="16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>
      <c r="A224" s="20"/>
      <c r="B224" s="16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>
      <c r="A225" s="20"/>
      <c r="B225" s="16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>
      <c r="A226" s="20"/>
      <c r="B226" s="16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>
      <c r="A227" s="20"/>
      <c r="B227" s="16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>
      <c r="A228" s="20"/>
      <c r="B228" s="16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>
      <c r="A229" s="20"/>
      <c r="B229" s="16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>
      <c r="A230" s="20"/>
      <c r="B230" s="16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>
      <c r="A231" s="20"/>
      <c r="B231" s="16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>
      <c r="A232" s="20"/>
      <c r="B232" s="16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>
      <c r="A233" s="20"/>
      <c r="B233" s="16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>
      <c r="A234" s="20"/>
      <c r="B234" s="16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>
      <c r="A235" s="20"/>
      <c r="B235" s="16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>
      <c r="A236" s="20"/>
      <c r="B236" s="16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>
      <c r="A237" s="20"/>
      <c r="B237" s="16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>
      <c r="A238" s="20"/>
      <c r="B238" s="16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>
      <c r="A239" s="20"/>
      <c r="B239" s="16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>
      <c r="A240" s="20"/>
      <c r="B240" s="16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>
      <c r="A241" s="20"/>
      <c r="B241" s="16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>
      <c r="A242" s="20"/>
      <c r="B242" s="16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>
      <c r="A243" s="20"/>
      <c r="B243" s="16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>
      <c r="A244" s="20"/>
      <c r="B244" s="16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>
      <c r="A245" s="20"/>
      <c r="B245" s="16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>
      <c r="A246" s="20"/>
      <c r="B246" s="16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>
      <c r="A247" s="20"/>
      <c r="B247" s="16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>
      <c r="A248" s="20"/>
      <c r="B248" s="16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>
      <c r="A249" s="20"/>
      <c r="B249" s="16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>
      <c r="A250" s="20"/>
      <c r="B250" s="16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>
      <c r="A251" s="20"/>
      <c r="B251" s="16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>
      <c r="A252" s="20"/>
      <c r="B252" s="16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>
      <c r="A253" s="20"/>
      <c r="B253" s="16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>
      <c r="A254" s="20"/>
      <c r="B254" s="16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>
      <c r="A255" s="20"/>
      <c r="B255" s="16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>
      <c r="A256" s="20"/>
      <c r="B256" s="16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>
      <c r="A257" s="20"/>
      <c r="B257" s="16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>
      <c r="A258" s="20"/>
      <c r="B258" s="16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>
      <c r="A259" s="20"/>
      <c r="B259" s="16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>
      <c r="A260" s="20"/>
      <c r="B260" s="16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>
      <c r="A261" s="20"/>
      <c r="B261" s="16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>
      <c r="A262" s="20"/>
      <c r="B262" s="16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>
      <c r="A263" s="20"/>
      <c r="B263" s="16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>
      <c r="A264" s="20"/>
      <c r="B264" s="16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>
      <c r="A265" s="20"/>
      <c r="B265" s="16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>
      <c r="A266" s="20"/>
      <c r="B266" s="16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>
      <c r="A267" s="20"/>
      <c r="B267" s="16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>
      <c r="A268" s="20"/>
      <c r="B268" s="16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>
      <c r="A269" s="20"/>
      <c r="B269" s="16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>
      <c r="A270" s="20"/>
      <c r="B270" s="16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>
      <c r="A271" s="20"/>
      <c r="B271" s="16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>
      <c r="A272" s="20"/>
      <c r="B272" s="16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>
      <c r="A273" s="20"/>
      <c r="B273" s="16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>
      <c r="A274" s="20"/>
      <c r="B274" s="16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>
      <c r="A275" s="20"/>
      <c r="B275" s="16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>
      <c r="A276" s="20"/>
      <c r="B276" s="16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>
      <c r="A277" s="20"/>
      <c r="B277" s="16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>
      <c r="A278" s="20"/>
      <c r="B278" s="16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>
      <c r="A279" s="20"/>
      <c r="B279" s="16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>
      <c r="A280" s="20"/>
      <c r="B280" s="16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>
      <c r="A281" s="20"/>
      <c r="B281" s="16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>
      <c r="A282" s="20"/>
      <c r="B282" s="16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>
      <c r="A283" s="20"/>
      <c r="B283" s="16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>
      <c r="A284" s="20"/>
      <c r="B284" s="16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>
      <c r="A285" s="20"/>
      <c r="B285" s="16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>
      <c r="A286" s="20"/>
      <c r="B286" s="16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>
      <c r="A287" s="20"/>
      <c r="B287" s="16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>
      <c r="A288" s="20"/>
      <c r="B288" s="16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>
      <c r="A289" s="20"/>
      <c r="B289" s="16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>
      <c r="A290" s="20"/>
      <c r="B290" s="16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>
      <c r="A291" s="20"/>
      <c r="B291" s="16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>
      <c r="A292" s="20"/>
      <c r="B292" s="16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>
      <c r="A293" s="20"/>
      <c r="B293" s="16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>
      <c r="A294" s="20"/>
      <c r="B294" s="16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>
      <c r="A295" s="20"/>
      <c r="B295" s="16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>
      <c r="A296" s="20"/>
      <c r="B296" s="16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>
      <c r="A297" s="20"/>
      <c r="B297" s="16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20"/>
      <c r="B298" s="16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20"/>
      <c r="B299" s="16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20"/>
      <c r="B300" s="16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>
      <c r="A301" s="20"/>
      <c r="B301" s="16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>
      <c r="A302" s="20"/>
      <c r="B302" s="16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>
      <c r="A303" s="20"/>
      <c r="B303" s="16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20"/>
      <c r="B304" s="16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20"/>
      <c r="B305" s="16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20"/>
      <c r="B306" s="16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A307" s="20"/>
      <c r="B307" s="16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A308" s="20"/>
      <c r="B308" s="16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A309" s="20"/>
      <c r="B309" s="16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A310" s="20"/>
      <c r="B310" s="16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A311" s="20"/>
      <c r="B311" s="16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A312" s="20"/>
      <c r="B312" s="16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A313" s="20"/>
      <c r="B313" s="16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A314" s="20"/>
      <c r="B314" s="16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A315" s="20"/>
      <c r="B315" s="16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A316" s="20"/>
      <c r="B316" s="16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A317" s="20"/>
      <c r="B317" s="16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A318" s="20"/>
      <c r="B318" s="16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A319" s="20"/>
      <c r="B319" s="16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A320" s="20"/>
      <c r="B320" s="16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A321" s="20"/>
      <c r="B321" s="16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A322" s="20"/>
      <c r="B322" s="16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A323" s="20"/>
      <c r="B323" s="16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A324" s="20"/>
      <c r="B324" s="16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A325" s="20"/>
      <c r="B325" s="16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A326" s="20"/>
      <c r="B326" s="16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20"/>
      <c r="B327" s="16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20"/>
      <c r="B328" s="16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>
      <c r="A329" s="20"/>
      <c r="B329" s="16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20"/>
      <c r="B330" s="16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20"/>
      <c r="B331" s="16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20"/>
      <c r="B332" s="16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20"/>
      <c r="B333" s="16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20"/>
      <c r="B334" s="16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20"/>
      <c r="B335" s="16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20"/>
      <c r="B336" s="16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20"/>
      <c r="B337" s="16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20"/>
      <c r="B338" s="16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20"/>
      <c r="B339" s="16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20"/>
      <c r="B340" s="16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20"/>
      <c r="B341" s="16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20"/>
      <c r="B342" s="16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20"/>
      <c r="B343" s="16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20"/>
      <c r="B344" s="16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20"/>
      <c r="B345" s="16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20"/>
      <c r="B346" s="16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20"/>
      <c r="B347" s="16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20"/>
      <c r="B348" s="16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20"/>
      <c r="B349" s="16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20"/>
      <c r="B350" s="16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20"/>
      <c r="B351" s="16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20"/>
      <c r="B352" s="16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20"/>
      <c r="B353" s="16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20"/>
      <c r="B354" s="16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20"/>
      <c r="B355" s="16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20"/>
      <c r="B356" s="16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20"/>
      <c r="B357" s="16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20"/>
      <c r="B358" s="16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20"/>
      <c r="B359" s="16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20"/>
      <c r="B360" s="16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20"/>
      <c r="B361" s="16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20"/>
      <c r="B362" s="16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20"/>
      <c r="B363" s="16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20"/>
      <c r="B364" s="16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20"/>
      <c r="B365" s="16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20"/>
      <c r="B366" s="16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20"/>
      <c r="B367" s="16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20"/>
      <c r="B368" s="16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20"/>
      <c r="B369" s="16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20"/>
      <c r="B370" s="16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20"/>
      <c r="B371" s="16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20"/>
      <c r="B372" s="16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20"/>
      <c r="B373" s="16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20"/>
      <c r="B374" s="16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20"/>
      <c r="B375" s="16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20"/>
      <c r="B376" s="16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20"/>
      <c r="B377" s="16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>
      <c r="A378" s="20"/>
      <c r="B378" s="16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20"/>
      <c r="B379" s="16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20"/>
      <c r="B380" s="16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20"/>
      <c r="B381" s="16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20"/>
      <c r="B382" s="16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20"/>
      <c r="B383" s="16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20"/>
      <c r="B384" s="16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20"/>
      <c r="B385" s="16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20"/>
      <c r="B386" s="16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20"/>
      <c r="B387" s="16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20"/>
      <c r="B388" s="16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20"/>
      <c r="B389" s="16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20"/>
      <c r="B390" s="16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20"/>
      <c r="B391" s="16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20"/>
      <c r="B392" s="16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20"/>
      <c r="B393" s="16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20"/>
      <c r="B394" s="16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20"/>
      <c r="B395" s="16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20"/>
      <c r="B396" s="16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20"/>
      <c r="B397" s="16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20"/>
      <c r="B398" s="16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20"/>
      <c r="B399" s="16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20"/>
      <c r="B400" s="16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20"/>
      <c r="B401" s="16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20"/>
      <c r="B402" s="16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20"/>
      <c r="B403" s="16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20"/>
      <c r="B404" s="16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20"/>
      <c r="B405" s="16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20"/>
      <c r="B406" s="16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20"/>
      <c r="B407" s="16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20"/>
      <c r="B408" s="16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20"/>
      <c r="B409" s="16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20"/>
      <c r="B410" s="16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20"/>
      <c r="B411" s="16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20"/>
      <c r="B412" s="16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20"/>
      <c r="B413" s="16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>
      <c r="A414" s="20"/>
      <c r="B414" s="16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>
      <c r="A415" s="20"/>
      <c r="B415" s="16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>
      <c r="A416" s="20"/>
      <c r="B416" s="16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>
      <c r="A417" s="20"/>
      <c r="B417" s="16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>
      <c r="A418" s="20"/>
      <c r="B418" s="16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>
      <c r="A419" s="20"/>
      <c r="B419" s="16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>
      <c r="A420" s="20"/>
      <c r="B420" s="16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>
      <c r="A421" s="20"/>
      <c r="B421" s="16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>
      <c r="A422" s="20"/>
      <c r="B422" s="16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>
      <c r="A423" s="20"/>
      <c r="B423" s="16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>
      <c r="A424" s="20"/>
      <c r="B424" s="16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>
      <c r="A425" s="20"/>
      <c r="B425" s="16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>
      <c r="A426" s="20"/>
      <c r="B426" s="16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>
      <c r="A427" s="20"/>
      <c r="B427" s="16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>
      <c r="A428" s="20"/>
      <c r="B428" s="16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>
      <c r="A429" s="20"/>
      <c r="B429" s="16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>
      <c r="A430" s="20"/>
      <c r="B430" s="16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>
      <c r="A431" s="20"/>
      <c r="B431" s="16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>
      <c r="A432" s="20"/>
      <c r="B432" s="16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>
      <c r="A433" s="20"/>
      <c r="B433" s="16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>
      <c r="A434" s="20"/>
      <c r="B434" s="16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>
      <c r="A435" s="20"/>
      <c r="B435" s="16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>
      <c r="A436" s="20"/>
      <c r="B436" s="16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>
      <c r="A437" s="20"/>
      <c r="B437" s="16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>
      <c r="A438" s="20"/>
      <c r="B438" s="16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>
      <c r="A439" s="20"/>
      <c r="B439" s="16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>
      <c r="A440" s="20"/>
      <c r="B440" s="16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>
      <c r="A441" s="20"/>
      <c r="B441" s="16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>
      <c r="A442" s="20"/>
      <c r="B442" s="16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>
      <c r="A443" s="20"/>
      <c r="B443" s="16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>
      <c r="A444" s="20"/>
      <c r="B444" s="16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>
      <c r="A445" s="20"/>
      <c r="B445" s="16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>
      <c r="A446" s="20"/>
      <c r="B446" s="16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>
      <c r="A447" s="20"/>
      <c r="B447" s="16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>
      <c r="A448" s="20"/>
      <c r="B448" s="16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>
      <c r="A449" s="20"/>
      <c r="B449" s="16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>
      <c r="A450" s="20"/>
      <c r="B450" s="16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>
      <c r="A451" s="20"/>
      <c r="B451" s="16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>
      <c r="A452" s="20"/>
      <c r="B452" s="16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>
      <c r="A453" s="20"/>
      <c r="B453" s="16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>
      <c r="A454" s="20"/>
      <c r="B454" s="16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>
      <c r="A455" s="20"/>
      <c r="B455" s="16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>
      <c r="A456" s="20"/>
      <c r="B456" s="16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>
      <c r="A457" s="20"/>
      <c r="B457" s="16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>
      <c r="A458" s="20"/>
      <c r="B458" s="16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>
      <c r="A459" s="20"/>
      <c r="B459" s="16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>
      <c r="A460" s="20"/>
      <c r="B460" s="16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>
      <c r="A461" s="20"/>
      <c r="B461" s="16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>
      <c r="A462" s="20"/>
      <c r="B462" s="16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>
      <c r="A463" s="20"/>
      <c r="B463" s="16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>
      <c r="A464" s="20"/>
      <c r="B464" s="16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>
      <c r="A465" s="20"/>
      <c r="B465" s="16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>
      <c r="A466" s="20"/>
      <c r="B466" s="16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>
      <c r="A467" s="20"/>
      <c r="B467" s="16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>
      <c r="A468" s="20"/>
      <c r="B468" s="16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>
      <c r="A469" s="20"/>
      <c r="B469" s="16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>
      <c r="A470" s="20"/>
      <c r="B470" s="16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>
      <c r="A471" s="20"/>
      <c r="B471" s="16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>
      <c r="A472" s="20"/>
      <c r="B472" s="16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>
      <c r="A473" s="20"/>
      <c r="B473" s="16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>
      <c r="A474" s="20"/>
      <c r="B474" s="16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>
      <c r="A475" s="20"/>
      <c r="B475" s="16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>
      <c r="A476" s="20"/>
      <c r="B476" s="16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>
      <c r="A477" s="20"/>
      <c r="B477" s="16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>
      <c r="A478" s="20"/>
      <c r="B478" s="16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>
      <c r="A479" s="20"/>
      <c r="B479" s="16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>
      <c r="A480" s="20"/>
      <c r="B480" s="16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>
      <c r="A481" s="20"/>
      <c r="B481" s="16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>
      <c r="A482" s="20"/>
      <c r="B482" s="16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>
      <c r="A483" s="20"/>
      <c r="B483" s="16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>
      <c r="A484" s="20"/>
      <c r="B484" s="16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>
      <c r="A485" s="20"/>
      <c r="B485" s="16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>
      <c r="A486" s="20"/>
      <c r="B486" s="16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>
      <c r="A487" s="20"/>
      <c r="B487" s="16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>
      <c r="A488" s="20"/>
      <c r="B488" s="16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>
      <c r="A489" s="20"/>
      <c r="B489" s="16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>
      <c r="A490" s="20"/>
      <c r="B490" s="16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>
      <c r="A491" s="20"/>
      <c r="B491" s="16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>
      <c r="A492" s="20"/>
      <c r="B492" s="16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>
      <c r="A493" s="20"/>
      <c r="B493" s="16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>
      <c r="A494" s="20"/>
      <c r="B494" s="16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>
      <c r="A495" s="20"/>
      <c r="B495" s="16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>
      <c r="A496" s="20"/>
      <c r="B496" s="16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>
      <c r="A497" s="20"/>
      <c r="B497" s="16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>
      <c r="A498" s="20"/>
      <c r="B498" s="16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>
      <c r="A499" s="20"/>
      <c r="B499" s="16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>
      <c r="A500" s="20"/>
      <c r="B500" s="16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>
      <c r="A501" s="20"/>
      <c r="B501" s="16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>
      <c r="A502" s="20"/>
      <c r="B502" s="16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>
      <c r="A503" s="20"/>
      <c r="B503" s="16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>
      <c r="A504" s="20"/>
      <c r="B504" s="16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>
      <c r="A505" s="20"/>
      <c r="B505" s="16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>
      <c r="A506" s="20"/>
      <c r="B506" s="16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>
      <c r="A507" s="20"/>
      <c r="B507" s="16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>
      <c r="A508" s="20"/>
      <c r="B508" s="16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>
      <c r="A509" s="20"/>
      <c r="B509" s="16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>
      <c r="A510" s="20"/>
      <c r="B510" s="16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>
      <c r="A511" s="20"/>
      <c r="B511" s="16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>
      <c r="A512" s="20"/>
      <c r="B512" s="16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>
      <c r="A513" s="20"/>
      <c r="B513" s="16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>
      <c r="A514" s="20"/>
      <c r="B514" s="16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>
      <c r="A515" s="20"/>
      <c r="B515" s="16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>
      <c r="A516" s="20"/>
      <c r="B516" s="16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>
      <c r="A517" s="20"/>
      <c r="B517" s="16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>
      <c r="A518" s="20"/>
      <c r="B518" s="16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>
      <c r="A519" s="20"/>
      <c r="B519" s="16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>
      <c r="A520" s="20"/>
      <c r="B520" s="16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>
      <c r="A521" s="20"/>
      <c r="B521" s="16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>
      <c r="A522" s="20"/>
      <c r="B522" s="16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>
      <c r="A523" s="20"/>
      <c r="B523" s="16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>
      <c r="A524" s="20"/>
      <c r="B524" s="16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>
      <c r="A525" s="20"/>
      <c r="B525" s="16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>
      <c r="A526" s="20"/>
      <c r="B526" s="16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>
      <c r="A527" s="20"/>
      <c r="B527" s="16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>
      <c r="A528" s="20"/>
      <c r="B528" s="16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>
      <c r="A529" s="20"/>
      <c r="B529" s="16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>
      <c r="A530" s="20"/>
      <c r="B530" s="16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>
      <c r="A531" s="20"/>
      <c r="B531" s="16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>
      <c r="A532" s="20"/>
      <c r="B532" s="16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>
      <c r="A533" s="20"/>
      <c r="B533" s="16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>
      <c r="A534" s="20"/>
      <c r="B534" s="16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>
      <c r="A535" s="20"/>
      <c r="B535" s="16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>
      <c r="A536" s="20"/>
      <c r="B536" s="16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>
      <c r="A537" s="20"/>
      <c r="B537" s="16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>
      <c r="A538" s="20"/>
      <c r="B538" s="16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>
      <c r="A539" s="20"/>
      <c r="B539" s="16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>
      <c r="A540" s="20"/>
      <c r="B540" s="16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>
      <c r="A541" s="20"/>
      <c r="B541" s="16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>
      <c r="A542" s="20"/>
      <c r="B542" s="16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>
      <c r="A543" s="20"/>
      <c r="B543" s="16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>
      <c r="A544" s="20"/>
      <c r="B544" s="16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>
      <c r="A545" s="20"/>
      <c r="B545" s="16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>
      <c r="A546" s="20"/>
      <c r="B546" s="16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>
      <c r="A547" s="20"/>
      <c r="B547" s="16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>
      <c r="A548" s="20"/>
      <c r="B548" s="16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>
      <c r="A549" s="20"/>
      <c r="B549" s="16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>
      <c r="A550" s="20"/>
      <c r="B550" s="16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>
      <c r="A551" s="20"/>
      <c r="B551" s="16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>
      <c r="A552" s="20"/>
      <c r="B552" s="16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>
      <c r="A553" s="20"/>
      <c r="B553" s="16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>
      <c r="A554" s="20"/>
      <c r="B554" s="16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>
      <c r="A555" s="20"/>
      <c r="B555" s="16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>
      <c r="A556" s="20"/>
      <c r="B556" s="16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>
      <c r="A557" s="20"/>
      <c r="B557" s="16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>
      <c r="A558" s="20"/>
      <c r="B558" s="16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>
      <c r="A559" s="20"/>
      <c r="B559" s="16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>
      <c r="A560" s="20"/>
      <c r="B560" s="16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>
      <c r="A561" s="20"/>
      <c r="B561" s="16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>
      <c r="A562" s="20"/>
      <c r="B562" s="16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>
      <c r="A563" s="20"/>
      <c r="B563" s="16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>
      <c r="A564" s="20"/>
      <c r="B564" s="16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>
      <c r="A565" s="20"/>
      <c r="B565" s="16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>
      <c r="A566" s="20"/>
      <c r="B566" s="16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>
      <c r="A567" s="20"/>
      <c r="B567" s="16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>
      <c r="A568" s="20"/>
      <c r="B568" s="16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>
      <c r="A569" s="20"/>
      <c r="B569" s="16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>
      <c r="A570" s="20"/>
      <c r="B570" s="16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>
      <c r="A571" s="20"/>
      <c r="B571" s="16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>
      <c r="A572" s="20"/>
      <c r="B572" s="16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>
      <c r="A573" s="20"/>
      <c r="B573" s="16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>
      <c r="A574" s="20"/>
      <c r="B574" s="16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>
      <c r="A575" s="20"/>
      <c r="B575" s="16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>
      <c r="A576" s="20"/>
      <c r="B576" s="16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>
      <c r="A577" s="20"/>
      <c r="B577" s="16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>
      <c r="A578" s="20"/>
      <c r="B578" s="16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>
      <c r="A579" s="20"/>
      <c r="B579" s="16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>
      <c r="A580" s="20"/>
      <c r="B580" s="16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>
      <c r="A581" s="20"/>
      <c r="B581" s="16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>
      <c r="A582" s="20"/>
      <c r="B582" s="16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>
      <c r="A583" s="20"/>
      <c r="B583" s="16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>
      <c r="A584" s="20"/>
      <c r="B584" s="16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>
      <c r="A585" s="20"/>
      <c r="B585" s="16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>
      <c r="A586" s="20"/>
      <c r="B586" s="16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>
      <c r="A587" s="20"/>
      <c r="B587" s="16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>
      <c r="A588" s="20"/>
      <c r="B588" s="16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>
      <c r="A589" s="20"/>
      <c r="B589" s="16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>
      <c r="A590" s="20"/>
      <c r="B590" s="16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>
      <c r="A591" s="20"/>
      <c r="B591" s="16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>
      <c r="A592" s="20"/>
      <c r="B592" s="16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>
      <c r="A593" s="20"/>
      <c r="B593" s="16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>
      <c r="A594" s="20"/>
      <c r="B594" s="16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>
      <c r="A595" s="20"/>
      <c r="B595" s="16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>
      <c r="A596" s="20"/>
      <c r="B596" s="16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>
      <c r="A597" s="20"/>
      <c r="B597" s="16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>
      <c r="A598" s="20"/>
      <c r="B598" s="16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>
      <c r="A599" s="20"/>
      <c r="B599" s="16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>
      <c r="A600" s="20"/>
      <c r="B600" s="16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>
      <c r="A601" s="20"/>
      <c r="B601" s="16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>
      <c r="A602" s="20"/>
      <c r="B602" s="16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>
      <c r="A603" s="20"/>
      <c r="B603" s="16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>
      <c r="A604" s="20"/>
      <c r="B604" s="16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>
      <c r="A605" s="20"/>
      <c r="B605" s="16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>
      <c r="A606" s="20"/>
      <c r="B606" s="16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>
      <c r="A607" s="20"/>
      <c r="B607" s="16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>
      <c r="A608" s="20"/>
      <c r="B608" s="16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>
      <c r="A609" s="20"/>
      <c r="B609" s="16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>
      <c r="A610" s="20"/>
      <c r="B610" s="16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>
      <c r="A611" s="20"/>
      <c r="B611" s="16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>
      <c r="A612" s="20"/>
      <c r="B612" s="16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>
      <c r="A613" s="20"/>
      <c r="B613" s="16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>
      <c r="A614" s="20"/>
      <c r="B614" s="16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>
      <c r="A615" s="20"/>
      <c r="B615" s="16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>
      <c r="A616" s="20"/>
      <c r="B616" s="16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>
      <c r="A617" s="20"/>
      <c r="B617" s="16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>
      <c r="A618" s="20"/>
      <c r="B618" s="16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>
      <c r="A619" s="20"/>
      <c r="B619" s="16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>
      <c r="A620" s="20"/>
      <c r="B620" s="16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>
      <c r="A621" s="20"/>
      <c r="B621" s="16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>
      <c r="A622" s="20"/>
      <c r="B622" s="16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>
      <c r="A623" s="20"/>
      <c r="B623" s="16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>
      <c r="A624" s="20"/>
      <c r="B624" s="16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>
      <c r="A625" s="20"/>
      <c r="B625" s="16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>
      <c r="A626" s="20"/>
      <c r="B626" s="16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>
      <c r="A627" s="20"/>
      <c r="B627" s="16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>
      <c r="A628" s="20"/>
      <c r="B628" s="16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>
      <c r="A629" s="20"/>
      <c r="B629" s="16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>
      <c r="A630" s="20"/>
      <c r="B630" s="16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>
      <c r="A631" s="20"/>
      <c r="B631" s="16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>
      <c r="A632" s="20"/>
      <c r="B632" s="16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>
      <c r="A633" s="20"/>
      <c r="B633" s="16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>
      <c r="A634" s="20"/>
      <c r="B634" s="16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>
      <c r="A635" s="20"/>
      <c r="B635" s="16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>
      <c r="A636" s="20"/>
      <c r="B636" s="16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>
      <c r="A637" s="20"/>
      <c r="B637" s="16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>
      <c r="A638" s="20"/>
      <c r="B638" s="16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>
      <c r="A639" s="20"/>
      <c r="B639" s="16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>
      <c r="A640" s="20"/>
      <c r="B640" s="16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>
      <c r="A641" s="20"/>
      <c r="B641" s="16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>
      <c r="A642" s="20"/>
      <c r="B642" s="16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>
      <c r="A643" s="20"/>
      <c r="B643" s="16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>
      <c r="A644" s="20"/>
      <c r="B644" s="16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>
      <c r="A645" s="20"/>
      <c r="B645" s="16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>
      <c r="A646" s="20"/>
      <c r="B646" s="16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>
      <c r="A647" s="20"/>
      <c r="B647" s="16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>
      <c r="A648" s="20"/>
      <c r="B648" s="16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>
      <c r="A649" s="20"/>
      <c r="B649" s="16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>
      <c r="A650" s="20"/>
      <c r="B650" s="16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>
      <c r="A651" s="20"/>
      <c r="B651" s="16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>
      <c r="A652" s="20"/>
      <c r="B652" s="16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>
      <c r="A653" s="20"/>
      <c r="B653" s="16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>
      <c r="A654" s="20"/>
      <c r="B654" s="16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>
      <c r="A655" s="20"/>
      <c r="B655" s="16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>
      <c r="A656" s="20"/>
      <c r="B656" s="16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>
      <c r="A657" s="20"/>
      <c r="B657" s="16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>
      <c r="A658" s="20"/>
      <c r="B658" s="16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>
      <c r="A659" s="20"/>
      <c r="B659" s="16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>
      <c r="A660" s="20"/>
      <c r="B660" s="16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>
      <c r="A661" s="20"/>
      <c r="B661" s="16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>
      <c r="A662" s="20"/>
      <c r="B662" s="16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>
      <c r="A663" s="20"/>
      <c r="B663" s="16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>
      <c r="A664" s="20"/>
      <c r="B664" s="16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>
      <c r="A665" s="20"/>
      <c r="B665" s="16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>
      <c r="A666" s="20"/>
      <c r="B666" s="16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>
      <c r="A667" s="20"/>
      <c r="B667" s="16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>
      <c r="A668" s="20"/>
      <c r="B668" s="16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>
      <c r="A669" s="20"/>
      <c r="B669" s="16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>
      <c r="A670" s="20"/>
      <c r="B670" s="16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>
      <c r="A671" s="20"/>
      <c r="B671" s="16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>
      <c r="A672" s="20"/>
      <c r="B672" s="16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>
      <c r="A673" s="20"/>
      <c r="B673" s="16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>
      <c r="A674" s="20"/>
      <c r="B674" s="16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>
      <c r="A675" s="20"/>
      <c r="B675" s="16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>
      <c r="A676" s="20"/>
      <c r="B676" s="16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>
      <c r="A677" s="20"/>
      <c r="B677" s="16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>
      <c r="A678" s="20"/>
      <c r="B678" s="16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>
      <c r="A679" s="20"/>
      <c r="B679" s="16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>
      <c r="A680" s="20"/>
      <c r="B680" s="16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>
      <c r="A681" s="20"/>
      <c r="B681" s="16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>
      <c r="A682" s="20"/>
      <c r="B682" s="16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>
      <c r="A683" s="20"/>
      <c r="B683" s="16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>
      <c r="A684" s="20"/>
      <c r="B684" s="16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>
      <c r="A685" s="20"/>
      <c r="B685" s="16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>
      <c r="A686" s="20"/>
      <c r="B686" s="16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>
      <c r="A687" s="20"/>
      <c r="B687" s="16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>
      <c r="A688" s="20"/>
      <c r="B688" s="16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>
      <c r="A689" s="20"/>
      <c r="B689" s="16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>
      <c r="A690" s="20"/>
      <c r="B690" s="16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>
      <c r="A691" s="20"/>
      <c r="B691" s="16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>
      <c r="A692" s="20"/>
      <c r="B692" s="16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>
      <c r="A693" s="20"/>
      <c r="B693" s="16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>
      <c r="A694" s="20"/>
      <c r="B694" s="16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>
      <c r="A695" s="20"/>
      <c r="B695" s="16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>
      <c r="A696" s="20"/>
      <c r="B696" s="16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>
      <c r="A697" s="20"/>
      <c r="B697" s="16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>
      <c r="A698" s="20"/>
      <c r="B698" s="16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>
      <c r="A699" s="20"/>
      <c r="B699" s="16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>
      <c r="A700" s="20"/>
      <c r="B700" s="16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>
      <c r="A701" s="20"/>
      <c r="B701" s="16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>
      <c r="A702" s="20"/>
      <c r="B702" s="16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>
      <c r="A703" s="20"/>
      <c r="B703" s="16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>
      <c r="A704" s="20"/>
      <c r="B704" s="16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>
      <c r="A705" s="20"/>
      <c r="B705" s="16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>
      <c r="A706" s="20"/>
      <c r="B706" s="16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>
      <c r="A707" s="20"/>
      <c r="B707" s="16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>
      <c r="A708" s="20"/>
      <c r="B708" s="16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>
      <c r="A709" s="20"/>
      <c r="B709" s="16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>
      <c r="A710" s="20"/>
      <c r="B710" s="16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>
      <c r="A711" s="20"/>
      <c r="B711" s="16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>
      <c r="A712" s="20"/>
      <c r="B712" s="16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>
      <c r="A713" s="20"/>
      <c r="B713" s="16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>
      <c r="A714" s="20"/>
      <c r="B714" s="16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>
      <c r="A715" s="20"/>
      <c r="B715" s="16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>
      <c r="A716" s="20"/>
      <c r="B716" s="16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>
      <c r="A717" s="20"/>
      <c r="B717" s="16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>
      <c r="A718" s="20"/>
      <c r="B718" s="16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>
      <c r="A719" s="20"/>
      <c r="B719" s="16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>
      <c r="A720" s="20"/>
      <c r="B720" s="16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>
      <c r="A721" s="20"/>
      <c r="B721" s="16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>
      <c r="A722" s="20"/>
      <c r="B722" s="16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>
      <c r="A723" s="20"/>
      <c r="B723" s="16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>
      <c r="A724" s="20"/>
      <c r="B724" s="16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>
      <c r="A725" s="20"/>
      <c r="B725" s="16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>
      <c r="A726" s="20"/>
      <c r="B726" s="16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>
      <c r="A727" s="20"/>
      <c r="B727" s="16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>
      <c r="A728" s="20"/>
      <c r="B728" s="16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>
      <c r="A729" s="20"/>
      <c r="B729" s="16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>
      <c r="A730" s="20"/>
      <c r="B730" s="16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>
      <c r="A731" s="20"/>
      <c r="B731" s="16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>
      <c r="A732" s="20"/>
      <c r="B732" s="16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>
      <c r="A733" s="20"/>
      <c r="B733" s="16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>
      <c r="A734" s="20"/>
      <c r="B734" s="16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>
      <c r="A735" s="20"/>
      <c r="B735" s="16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>
      <c r="A736" s="20"/>
      <c r="B736" s="16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>
      <c r="A737" s="20"/>
      <c r="B737" s="16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>
      <c r="A738" s="20"/>
      <c r="B738" s="16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>
      <c r="A739" s="20"/>
      <c r="B739" s="16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>
      <c r="A740" s="20"/>
      <c r="B740" s="16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>
      <c r="A741" s="20"/>
      <c r="B741" s="16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>
      <c r="A742" s="20"/>
      <c r="B742" s="16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>
      <c r="A743" s="20"/>
      <c r="B743" s="16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>
      <c r="A744" s="20"/>
      <c r="B744" s="16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>
      <c r="A745" s="20"/>
      <c r="B745" s="16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>
      <c r="A746" s="20"/>
      <c r="B746" s="16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>
      <c r="A747" s="20"/>
      <c r="B747" s="16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>
      <c r="A748" s="20"/>
      <c r="B748" s="16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>
      <c r="A749" s="20"/>
      <c r="B749" s="16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>
      <c r="A750" s="20"/>
      <c r="B750" s="16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>
      <c r="A751" s="20"/>
      <c r="B751" s="16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>
      <c r="A752" s="20"/>
      <c r="B752" s="16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>
      <c r="A753" s="20"/>
      <c r="B753" s="16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>
      <c r="A754" s="20"/>
      <c r="B754" s="16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>
      <c r="A755" s="20"/>
      <c r="B755" s="16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>
      <c r="A756" s="20"/>
      <c r="B756" s="16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>
      <c r="A757" s="20"/>
      <c r="B757" s="16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>
      <c r="A758" s="20"/>
      <c r="B758" s="16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>
      <c r="A759" s="20"/>
      <c r="B759" s="16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>
      <c r="A760" s="20"/>
      <c r="B760" s="16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>
      <c r="A761" s="20"/>
      <c r="B761" s="16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>
      <c r="A762" s="20"/>
      <c r="B762" s="16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>
      <c r="A763" s="20"/>
      <c r="B763" s="16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>
      <c r="A764" s="20"/>
      <c r="B764" s="16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>
      <c r="A765" s="20"/>
      <c r="B765" s="16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>
      <c r="A766" s="20"/>
      <c r="B766" s="16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>
      <c r="A767" s="20"/>
      <c r="B767" s="16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>
      <c r="A768" s="20"/>
      <c r="B768" s="16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>
      <c r="A769" s="20"/>
      <c r="B769" s="16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>
      <c r="A770" s="20"/>
      <c r="B770" s="16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>
      <c r="A771" s="20"/>
      <c r="B771" s="16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>
      <c r="A772" s="20"/>
      <c r="B772" s="16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>
      <c r="A773" s="20"/>
      <c r="B773" s="16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>
      <c r="A774" s="20"/>
      <c r="B774" s="16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>
      <c r="A775" s="20"/>
      <c r="B775" s="16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>
      <c r="A776" s="20"/>
      <c r="B776" s="16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>
      <c r="A777" s="20"/>
      <c r="B777" s="16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>
      <c r="A778" s="20"/>
      <c r="B778" s="16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>
      <c r="A779" s="20"/>
      <c r="B779" s="16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>
      <c r="A780" s="20"/>
      <c r="B780" s="16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>
      <c r="A781" s="20"/>
      <c r="B781" s="16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>
      <c r="A782" s="20"/>
      <c r="B782" s="16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>
      <c r="A783" s="20"/>
      <c r="B783" s="16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>
      <c r="A784" s="20"/>
      <c r="B784" s="16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>
      <c r="A785" s="20"/>
      <c r="B785" s="16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>
      <c r="A786" s="20"/>
      <c r="B786" s="16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>
      <c r="A787" s="20"/>
      <c r="B787" s="16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>
      <c r="A788" s="20"/>
      <c r="B788" s="16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>
      <c r="A789" s="20"/>
      <c r="B789" s="16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>
      <c r="A790" s="20"/>
      <c r="B790" s="16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>
      <c r="A791" s="20"/>
      <c r="B791" s="16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>
      <c r="A792" s="20"/>
      <c r="B792" s="16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>
      <c r="A793" s="20"/>
      <c r="B793" s="16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>
      <c r="A794" s="20"/>
      <c r="B794" s="16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>
      <c r="A795" s="20"/>
      <c r="B795" s="16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>
      <c r="A796" s="20"/>
      <c r="B796" s="16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>
      <c r="A797" s="20"/>
      <c r="B797" s="16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>
      <c r="A798" s="20"/>
      <c r="B798" s="16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>
      <c r="A799" s="20"/>
      <c r="B799" s="16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>
      <c r="A800" s="20"/>
      <c r="B800" s="16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>
      <c r="A801" s="20"/>
      <c r="B801" s="16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>
      <c r="A802" s="20"/>
      <c r="B802" s="16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>
      <c r="A803" s="20"/>
      <c r="B803" s="16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>
      <c r="A804" s="20"/>
      <c r="B804" s="16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>
      <c r="A805" s="20"/>
      <c r="B805" s="16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>
      <c r="A806" s="20"/>
      <c r="B806" s="16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>
      <c r="A807" s="20"/>
      <c r="B807" s="16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>
      <c r="A808" s="20"/>
      <c r="B808" s="16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>
      <c r="A809" s="20"/>
      <c r="B809" s="16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>
      <c r="A810" s="20"/>
      <c r="B810" s="16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>
      <c r="A811" s="20"/>
      <c r="B811" s="16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>
      <c r="A812" s="20"/>
      <c r="B812" s="16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>
      <c r="A813" s="20"/>
      <c r="B813" s="16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>
      <c r="A814" s="20"/>
      <c r="B814" s="16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>
      <c r="A815" s="20"/>
      <c r="B815" s="16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>
      <c r="A816" s="20"/>
      <c r="B816" s="16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>
      <c r="A817" s="20"/>
      <c r="B817" s="16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>
      <c r="A818" s="20"/>
      <c r="B818" s="16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>
      <c r="A819" s="20"/>
      <c r="B819" s="16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>
      <c r="A820" s="20"/>
      <c r="B820" s="16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>
      <c r="A821" s="20"/>
      <c r="B821" s="16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>
      <c r="A822" s="20"/>
      <c r="B822" s="16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>
      <c r="A823" s="20"/>
      <c r="B823" s="16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>
      <c r="A824" s="20"/>
      <c r="B824" s="16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>
      <c r="A825" s="20"/>
      <c r="B825" s="16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>
      <c r="A826" s="20"/>
      <c r="B826" s="16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>
      <c r="A827" s="20"/>
      <c r="B827" s="16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>
      <c r="A828" s="20"/>
      <c r="B828" s="16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>
      <c r="A829" s="20"/>
      <c r="B829" s="16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>
      <c r="A830" s="20"/>
      <c r="B830" s="16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>
      <c r="A831" s="20"/>
      <c r="B831" s="16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>
      <c r="A832" s="20"/>
      <c r="B832" s="16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>
      <c r="A833" s="20"/>
      <c r="B833" s="16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>
      <c r="A834" s="20"/>
      <c r="B834" s="16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>
      <c r="A835" s="20"/>
      <c r="B835" s="16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>
      <c r="A836" s="20"/>
      <c r="B836" s="16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>
      <c r="A837" s="20"/>
      <c r="B837" s="16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>
      <c r="A838" s="20"/>
      <c r="B838" s="16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>
      <c r="A839" s="20"/>
      <c r="B839" s="16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>
      <c r="A840" s="20"/>
      <c r="B840" s="16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>
      <c r="A841" s="20"/>
      <c r="B841" s="16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>
      <c r="A842" s="20"/>
      <c r="B842" s="16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>
      <c r="A843" s="20"/>
      <c r="B843" s="16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>
      <c r="A844" s="20"/>
      <c r="B844" s="16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>
      <c r="A845" s="20"/>
      <c r="B845" s="16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>
      <c r="A846" s="20"/>
      <c r="B846" s="16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>
      <c r="A847" s="20"/>
      <c r="B847" s="16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>
      <c r="A848" s="20"/>
      <c r="B848" s="16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>
      <c r="A849" s="20"/>
      <c r="B849" s="16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>
      <c r="A850" s="20"/>
      <c r="B850" s="16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>
      <c r="A851" s="20"/>
      <c r="B851" s="16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>
      <c r="A852" s="20"/>
      <c r="B852" s="16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>
      <c r="A853" s="20"/>
      <c r="B853" s="16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>
      <c r="A854" s="20"/>
      <c r="B854" s="16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>
      <c r="A855" s="20"/>
      <c r="B855" s="16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>
      <c r="A856" s="20"/>
      <c r="B856" s="16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>
      <c r="A857" s="20"/>
      <c r="B857" s="16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>
      <c r="A858" s="20"/>
      <c r="B858" s="16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>
      <c r="A859" s="20"/>
      <c r="B859" s="16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>
      <c r="A860" s="20"/>
      <c r="B860" s="16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>
      <c r="A861" s="20"/>
      <c r="B861" s="16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>
      <c r="A862" s="20"/>
      <c r="B862" s="16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>
      <c r="A863" s="20"/>
      <c r="B863" s="16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>
      <c r="A864" s="20"/>
      <c r="B864" s="16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>
      <c r="A865" s="20"/>
      <c r="B865" s="16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>
      <c r="A866" s="20"/>
      <c r="B866" s="16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>
      <c r="A867" s="20"/>
      <c r="B867" s="16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>
      <c r="A868" s="20"/>
      <c r="B868" s="16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>
      <c r="A869" s="20"/>
      <c r="B869" s="16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>
      <c r="A870" s="20"/>
      <c r="B870" s="16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>
      <c r="A871" s="20"/>
      <c r="B871" s="16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>
      <c r="A872" s="20"/>
      <c r="B872" s="16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>
      <c r="A873" s="20"/>
      <c r="B873" s="16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>
      <c r="A874" s="20"/>
      <c r="B874" s="16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>
      <c r="A875" s="20"/>
      <c r="B875" s="16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>
      <c r="A876" s="20"/>
      <c r="B876" s="16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>
      <c r="A877" s="20"/>
      <c r="B877" s="16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>
      <c r="A878" s="20"/>
      <c r="B878" s="16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>
      <c r="A879" s="20"/>
      <c r="B879" s="16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>
      <c r="A880" s="20"/>
      <c r="B880" s="16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>
      <c r="A881" s="20"/>
      <c r="B881" s="16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>
      <c r="A882" s="20"/>
      <c r="B882" s="16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>
      <c r="A883" s="20"/>
      <c r="B883" s="16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>
      <c r="A884" s="20"/>
      <c r="B884" s="16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>
      <c r="A885" s="20"/>
      <c r="B885" s="16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>
      <c r="A886" s="20"/>
      <c r="B886" s="16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>
      <c r="A887" s="20"/>
      <c r="B887" s="16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>
      <c r="A888" s="20"/>
      <c r="B888" s="16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>
      <c r="A889" s="20"/>
      <c r="B889" s="16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>
      <c r="A890" s="20"/>
      <c r="B890" s="16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>
      <c r="A891" s="20"/>
      <c r="B891" s="16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>
      <c r="A892" s="20"/>
      <c r="B892" s="16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>
      <c r="A893" s="20"/>
      <c r="B893" s="16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>
      <c r="A894" s="20"/>
      <c r="B894" s="16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>
      <c r="A895" s="20"/>
      <c r="B895" s="16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>
      <c r="A896" s="20"/>
      <c r="B896" s="16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>
      <c r="A897" s="20"/>
      <c r="B897" s="16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>
      <c r="A898" s="20"/>
      <c r="B898" s="16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>
      <c r="A899" s="20"/>
      <c r="B899" s="16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>
      <c r="A900" s="20"/>
      <c r="B900" s="16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>
      <c r="A901" s="20"/>
      <c r="B901" s="16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>
      <c r="A902" s="20"/>
      <c r="B902" s="16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>
      <c r="A903" s="20"/>
      <c r="B903" s="16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>
      <c r="A904" s="20"/>
      <c r="B904" s="16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>
      <c r="A905" s="20"/>
      <c r="B905" s="16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>
      <c r="A906" s="20"/>
      <c r="B906" s="16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>
      <c r="A907" s="20"/>
      <c r="B907" s="16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>
      <c r="A908" s="20"/>
      <c r="B908" s="16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>
      <c r="A909" s="20"/>
      <c r="B909" s="16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>
      <c r="A910" s="20"/>
      <c r="B910" s="16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>
      <c r="A911" s="20"/>
      <c r="B911" s="16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>
      <c r="A912" s="20"/>
      <c r="B912" s="16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>
      <c r="A913" s="20"/>
      <c r="B913" s="16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>
      <c r="A914" s="20"/>
      <c r="B914" s="16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>
      <c r="A915" s="20"/>
      <c r="B915" s="16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>
      <c r="A916" s="20"/>
      <c r="B916" s="16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>
      <c r="A917" s="20"/>
      <c r="B917" s="16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>
      <c r="A918" s="20"/>
      <c r="B918" s="16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>
      <c r="A919" s="20"/>
      <c r="B919" s="16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>
      <c r="A920" s="20"/>
      <c r="B920" s="16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>
      <c r="A921" s="20"/>
      <c r="B921" s="16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>
      <c r="A922" s="20"/>
      <c r="B922" s="16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>
      <c r="A923" s="20"/>
      <c r="B923" s="16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>
      <c r="A924" s="20"/>
      <c r="B924" s="16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>
      <c r="A925" s="20"/>
      <c r="B925" s="16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>
      <c r="A926" s="20"/>
      <c r="B926" s="16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>
      <c r="A927" s="20"/>
      <c r="B927" s="16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>
      <c r="A928" s="20"/>
      <c r="B928" s="16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>
      <c r="A929" s="20"/>
      <c r="B929" s="16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>
      <c r="A930" s="20"/>
      <c r="B930" s="16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>
      <c r="A931" s="20"/>
      <c r="B931" s="16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>
      <c r="A932" s="20"/>
      <c r="B932" s="16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>
      <c r="A933" s="20"/>
      <c r="B933" s="16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>
      <c r="A934" s="20"/>
      <c r="B934" s="16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>
      <c r="A935" s="20"/>
      <c r="B935" s="16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>
      <c r="A936" s="20"/>
      <c r="B936" s="16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>
      <c r="A937" s="20"/>
      <c r="B937" s="16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>
      <c r="A938" s="20"/>
      <c r="B938" s="16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>
      <c r="A939" s="20"/>
      <c r="B939" s="16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>
      <c r="A940" s="20"/>
      <c r="B940" s="16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>
      <c r="A941" s="20"/>
      <c r="B941" s="16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>
      <c r="A942" s="20"/>
      <c r="B942" s="16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>
      <c r="A943" s="20"/>
      <c r="B943" s="16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>
      <c r="A944" s="20"/>
      <c r="B944" s="16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>
      <c r="A945" s="20"/>
      <c r="B945" s="16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>
      <c r="A946" s="20"/>
      <c r="B946" s="16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>
      <c r="A947" s="20"/>
      <c r="B947" s="16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>
      <c r="A948" s="20"/>
      <c r="B948" s="16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>
      <c r="A949" s="20"/>
      <c r="B949" s="16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>
      <c r="A950" s="20"/>
      <c r="B950" s="16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>
      <c r="A951" s="20"/>
      <c r="B951" s="16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>
      <c r="A952" s="20"/>
      <c r="B952" s="16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>
      <c r="A953" s="20"/>
      <c r="B953" s="16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>
      <c r="A954" s="20"/>
      <c r="B954" s="16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>
      <c r="A955" s="20"/>
      <c r="B955" s="16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>
      <c r="A956" s="20"/>
      <c r="B956" s="16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>
      <c r="A957" s="20"/>
      <c r="B957" s="16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>
      <c r="A958" s="20"/>
      <c r="B958" s="16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>
      <c r="A959" s="20"/>
      <c r="B959" s="16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>
      <c r="A960" s="20"/>
      <c r="B960" s="16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>
      <c r="A961" s="20"/>
      <c r="B961" s="16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>
      <c r="A962" s="20"/>
      <c r="B962" s="16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>
      <c r="A963" s="20"/>
      <c r="B963" s="16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>
      <c r="A964" s="20"/>
      <c r="B964" s="16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>
      <c r="A965" s="20"/>
      <c r="B965" s="16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>
      <c r="A966" s="20"/>
      <c r="B966" s="16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>
      <c r="A967" s="20"/>
      <c r="B967" s="16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>
      <c r="A968" s="20"/>
      <c r="B968" s="16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>
      <c r="A969" s="20"/>
      <c r="B969" s="16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>
      <c r="A970" s="20"/>
      <c r="B970" s="16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>
      <c r="A971" s="20"/>
      <c r="B971" s="16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>
      <c r="A972" s="20"/>
      <c r="B972" s="16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>
      <c r="A973" s="20"/>
      <c r="B973" s="16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>
      <c r="A974" s="20"/>
      <c r="B974" s="16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>
      <c r="A975" s="20"/>
      <c r="B975" s="16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>
      <c r="A976" s="20"/>
      <c r="B976" s="16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>
      <c r="A977" s="20"/>
      <c r="B977" s="16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>
      <c r="A978" s="20"/>
      <c r="B978" s="16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>
      <c r="A979" s="20"/>
      <c r="B979" s="16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>
      <c r="A980" s="20"/>
      <c r="B980" s="16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>
      <c r="A981" s="20"/>
      <c r="B981" s="16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>
      <c r="A982" s="20"/>
      <c r="B982" s="16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>
      <c r="A983" s="20"/>
      <c r="B983" s="16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>
      <c r="A984" s="20"/>
      <c r="B984" s="16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>
      <c r="A985" s="20"/>
      <c r="B985" s="16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>
      <c r="A986" s="20"/>
      <c r="B986" s="16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>
      <c r="A987" s="20"/>
      <c r="B987" s="16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>
      <c r="A988" s="20"/>
      <c r="B988" s="16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>
      <c r="A989" s="20"/>
      <c r="B989" s="16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>
      <c r="A990" s="20"/>
      <c r="B990" s="16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>
      <c r="A991" s="20"/>
      <c r="B991" s="16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>
      <c r="A992" s="20"/>
      <c r="B992" s="16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>
      <c r="A993" s="20"/>
      <c r="B993" s="16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>
      <c r="A994" s="20"/>
      <c r="B994" s="16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>
      <c r="A995" s="20"/>
      <c r="B995" s="16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>
      <c r="A996" s="20"/>
      <c r="B996" s="16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>
      <c r="A997" s="20"/>
      <c r="B997" s="16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>
      <c r="A998" s="20"/>
      <c r="B998" s="16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>
      <c r="A999" s="20"/>
      <c r="B999" s="16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>
      <c r="A1000" s="20"/>
      <c r="B1000" s="16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mergeCells count="8">
    <mergeCell ref="A1:A2"/>
    <mergeCell ref="B1:B2"/>
    <mergeCell ref="C1:D1"/>
    <mergeCell ref="E1:G1"/>
    <mergeCell ref="I1:K1"/>
    <mergeCell ref="L1:N1"/>
    <mergeCell ref="O1:O2"/>
    <mergeCell ref="P1:P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29"/>
    <col customWidth="1" min="3" max="3" width="103.86"/>
    <col customWidth="1" min="7" max="8" width="19.71"/>
  </cols>
  <sheetData>
    <row r="1">
      <c r="A1" s="94" t="s">
        <v>2401</v>
      </c>
      <c r="B1" s="94" t="s">
        <v>2667</v>
      </c>
      <c r="C1" s="94" t="s">
        <v>2668</v>
      </c>
      <c r="D1" s="94"/>
      <c r="E1" s="94" t="s">
        <v>9</v>
      </c>
      <c r="F1" s="94"/>
      <c r="G1" s="94" t="s">
        <v>2669</v>
      </c>
      <c r="H1" s="94" t="s">
        <v>2670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>
      <c r="A2" s="39">
        <v>1.0</v>
      </c>
      <c r="B2" s="39" t="s">
        <v>2671</v>
      </c>
      <c r="C2" s="145" t="s">
        <v>2672</v>
      </c>
      <c r="D2" s="54"/>
      <c r="E2" s="54" t="s">
        <v>2673</v>
      </c>
    </row>
    <row r="3">
      <c r="A3" s="39">
        <v>3.0</v>
      </c>
      <c r="B3" s="39" t="s">
        <v>2674</v>
      </c>
      <c r="C3" s="54" t="s">
        <v>2675</v>
      </c>
      <c r="D3" s="54"/>
      <c r="E3" s="54" t="s">
        <v>2673</v>
      </c>
    </row>
    <row r="4">
      <c r="A4" s="39"/>
      <c r="B4" s="39" t="s">
        <v>2676</v>
      </c>
      <c r="C4" s="54" t="s">
        <v>2677</v>
      </c>
      <c r="D4" s="54"/>
      <c r="E4" s="54"/>
    </row>
    <row r="5">
      <c r="A5" s="39">
        <v>4.0</v>
      </c>
      <c r="B5" s="39" t="s">
        <v>2678</v>
      </c>
      <c r="C5" s="54" t="s">
        <v>2679</v>
      </c>
      <c r="D5" s="54">
        <v>1.3429362347E10</v>
      </c>
      <c r="E5" s="54" t="s">
        <v>2680</v>
      </c>
    </row>
    <row r="6">
      <c r="A6" s="39">
        <v>5.0</v>
      </c>
      <c r="B6" s="100" t="s">
        <v>2681</v>
      </c>
      <c r="C6" s="54" t="s">
        <v>2682</v>
      </c>
      <c r="E6" s="54" t="s">
        <v>2673</v>
      </c>
    </row>
    <row r="7" ht="37.5" customHeight="1">
      <c r="A7" s="39">
        <v>6.0</v>
      </c>
      <c r="B7" s="39" t="s">
        <v>2683</v>
      </c>
      <c r="C7" s="54" t="s">
        <v>2684</v>
      </c>
      <c r="E7" s="54" t="s">
        <v>2673</v>
      </c>
    </row>
    <row r="8">
      <c r="A8" s="39">
        <v>7.0</v>
      </c>
      <c r="B8" s="39" t="s">
        <v>2685</v>
      </c>
      <c r="C8" s="54" t="s">
        <v>2686</v>
      </c>
      <c r="D8" s="146" t="s">
        <v>2687</v>
      </c>
      <c r="E8" s="54" t="s">
        <v>2688</v>
      </c>
      <c r="F8" s="54" t="s">
        <v>2689</v>
      </c>
      <c r="I8" s="54" t="s">
        <v>2690</v>
      </c>
    </row>
    <row r="9">
      <c r="A9" s="39">
        <v>8.0</v>
      </c>
      <c r="B9" s="39" t="s">
        <v>2691</v>
      </c>
      <c r="C9" s="54" t="s">
        <v>2692</v>
      </c>
      <c r="E9" s="54" t="s">
        <v>2693</v>
      </c>
    </row>
    <row r="10">
      <c r="A10" s="39">
        <v>9.0</v>
      </c>
      <c r="B10" s="39" t="s">
        <v>2694</v>
      </c>
      <c r="C10" s="54" t="s">
        <v>2695</v>
      </c>
      <c r="E10" s="54" t="s">
        <v>2696</v>
      </c>
    </row>
    <row r="11">
      <c r="A11" s="39">
        <v>10.0</v>
      </c>
      <c r="B11" s="39" t="s">
        <v>2697</v>
      </c>
      <c r="C11" s="54" t="s">
        <v>2698</v>
      </c>
      <c r="D11" s="54">
        <v>1.8658922074E10</v>
      </c>
      <c r="E11" s="54" t="s">
        <v>2673</v>
      </c>
    </row>
    <row r="12" ht="42.0" customHeight="1">
      <c r="A12" s="39">
        <v>11.0</v>
      </c>
      <c r="B12" s="54" t="s">
        <v>2414</v>
      </c>
      <c r="C12" s="54" t="s">
        <v>2699</v>
      </c>
      <c r="D12" s="54">
        <v>1.5813883347E10</v>
      </c>
      <c r="E12" s="54" t="s">
        <v>2414</v>
      </c>
      <c r="G12" s="147" t="s">
        <v>2700</v>
      </c>
      <c r="H12" s="54" t="s">
        <v>2701</v>
      </c>
    </row>
    <row r="13" ht="48.75" customHeight="1">
      <c r="A13" s="39">
        <v>12.0</v>
      </c>
      <c r="B13" s="54" t="s">
        <v>2702</v>
      </c>
      <c r="C13" s="148" t="s">
        <v>2703</v>
      </c>
      <c r="G13" s="147" t="s">
        <v>2704</v>
      </c>
      <c r="H13" s="54" t="s">
        <v>2705</v>
      </c>
    </row>
    <row r="14">
      <c r="C14" s="145" t="s">
        <v>2706</v>
      </c>
    </row>
    <row r="15">
      <c r="C15" s="54" t="s">
        <v>2707</v>
      </c>
    </row>
    <row r="16">
      <c r="A16" s="39">
        <v>13.0</v>
      </c>
      <c r="B16" s="54" t="s">
        <v>2708</v>
      </c>
      <c r="C16" s="54" t="s">
        <v>2709</v>
      </c>
    </row>
    <row r="18">
      <c r="C18" s="54" t="s">
        <v>2710</v>
      </c>
    </row>
    <row r="19">
      <c r="C19" s="54" t="s">
        <v>2711</v>
      </c>
    </row>
    <row r="20">
      <c r="C20" s="54" t="s">
        <v>2712</v>
      </c>
    </row>
  </sheetData>
  <hyperlinks>
    <hyperlink r:id="rId1" ref="G12"/>
    <hyperlink r:id="rId2" ref="G1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2713</v>
      </c>
      <c r="C1" s="2" t="s">
        <v>2714</v>
      </c>
      <c r="D1" s="2" t="s">
        <v>2715</v>
      </c>
      <c r="E1" s="2" t="s">
        <v>9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20" t="s">
        <v>237</v>
      </c>
      <c r="B2" s="149" t="s">
        <v>2716</v>
      </c>
      <c r="C2" s="20">
        <v>381624.0</v>
      </c>
      <c r="D2" s="20" t="s">
        <v>268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20" t="s">
        <v>249</v>
      </c>
      <c r="B3" s="149" t="s">
        <v>2717</v>
      </c>
      <c r="C3" s="20">
        <v>365051.0</v>
      </c>
      <c r="D3" s="20" t="s">
        <v>268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20" t="s">
        <v>294</v>
      </c>
      <c r="B4" s="149" t="s">
        <v>2718</v>
      </c>
      <c r="C4" s="20">
        <v>368707.0</v>
      </c>
      <c r="D4" s="20" t="s">
        <v>268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0" t="s">
        <v>299</v>
      </c>
      <c r="B5" s="149" t="s">
        <v>2719</v>
      </c>
      <c r="C5" s="20">
        <v>369782.0</v>
      </c>
      <c r="D5" s="20" t="s">
        <v>268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20" t="s">
        <v>333</v>
      </c>
      <c r="B6" s="149" t="s">
        <v>2720</v>
      </c>
      <c r="C6" s="20">
        <v>370889.0</v>
      </c>
      <c r="D6" s="20" t="s">
        <v>268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20" t="s">
        <v>366</v>
      </c>
      <c r="B7" s="150">
        <v>44572.0</v>
      </c>
      <c r="C7" s="20">
        <v>445701.0</v>
      </c>
      <c r="D7" s="20" t="s">
        <v>360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0" t="s">
        <v>469</v>
      </c>
      <c r="B8" s="150">
        <v>44928.0</v>
      </c>
      <c r="C8" s="20">
        <v>618115.0</v>
      </c>
      <c r="D8" s="20" t="s">
        <v>360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20" t="s">
        <v>504</v>
      </c>
      <c r="B9" s="20" t="s">
        <v>2721</v>
      </c>
      <c r="C9" s="20">
        <v>746402.0</v>
      </c>
      <c r="D9" s="20" t="s">
        <v>360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20" t="s">
        <v>2722</v>
      </c>
      <c r="B10" s="149" t="s">
        <v>2723</v>
      </c>
      <c r="C10" s="20">
        <f>C9+2*33</f>
        <v>746468</v>
      </c>
      <c r="D10" s="20" t="s">
        <v>268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20" t="s">
        <v>458</v>
      </c>
      <c r="B11" s="149" t="s">
        <v>2724</v>
      </c>
      <c r="C11" s="20">
        <v>616615.0</v>
      </c>
      <c r="D11" s="20" t="s">
        <v>268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0" t="s">
        <v>566</v>
      </c>
      <c r="B12" s="20" t="s">
        <v>2725</v>
      </c>
      <c r="C12" s="20">
        <v>747005.0</v>
      </c>
      <c r="D12" s="20" t="s">
        <v>263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0" t="s">
        <v>596</v>
      </c>
      <c r="B13" s="20" t="s">
        <v>2726</v>
      </c>
      <c r="C13" s="20">
        <v>747229.0</v>
      </c>
      <c r="D13" s="20" t="s">
        <v>263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0" t="s">
        <v>616</v>
      </c>
      <c r="B14" s="149" t="s">
        <v>582</v>
      </c>
      <c r="C14" s="20">
        <v>747543.0</v>
      </c>
      <c r="D14" s="20" t="s">
        <v>268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 t="s">
        <v>668</v>
      </c>
      <c r="B15" s="150">
        <v>44933.0</v>
      </c>
      <c r="C15" s="20">
        <v>747832.0</v>
      </c>
      <c r="D15" s="20" t="s">
        <v>360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 t="s">
        <v>727</v>
      </c>
      <c r="B16" s="20" t="s">
        <v>654</v>
      </c>
      <c r="C16" s="20">
        <v>748192.0</v>
      </c>
      <c r="D16" s="20" t="s">
        <v>360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0" t="s">
        <v>829</v>
      </c>
      <c r="B17" s="150">
        <v>45025.0</v>
      </c>
      <c r="C17" s="20">
        <v>748974.0</v>
      </c>
      <c r="D17" s="20" t="s">
        <v>263</v>
      </c>
      <c r="E17" s="16"/>
      <c r="F17" s="16">
        <v>17.0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0" t="s">
        <v>829</v>
      </c>
      <c r="B18" s="150">
        <v>45086.0</v>
      </c>
      <c r="C18" s="20">
        <v>749008.0</v>
      </c>
      <c r="D18" s="20" t="s">
        <v>263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20" t="s">
        <v>1137</v>
      </c>
      <c r="B19" s="149" t="s">
        <v>1136</v>
      </c>
      <c r="C19" s="20">
        <v>750189.0</v>
      </c>
      <c r="D19" s="20" t="s">
        <v>268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0" t="s">
        <v>1398</v>
      </c>
      <c r="B20" s="20" t="s">
        <v>1245</v>
      </c>
      <c r="C20" s="20">
        <v>751371.0</v>
      </c>
      <c r="D20" s="20" t="s">
        <v>263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20" t="s">
        <v>1540</v>
      </c>
      <c r="B21" s="150">
        <v>45538.0</v>
      </c>
      <c r="C21" s="151">
        <f>E22*44+C20</f>
        <v>752237.8</v>
      </c>
      <c r="D21" s="20" t="s">
        <v>263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20" t="s">
        <v>1692</v>
      </c>
      <c r="B22" s="150">
        <v>45539.0</v>
      </c>
      <c r="C22" s="151">
        <f>C21+30*E22</f>
        <v>752828.8</v>
      </c>
      <c r="D22" s="20" t="s">
        <v>263</v>
      </c>
      <c r="E22" s="16">
        <f>(C20-C19)/60</f>
        <v>19.7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0" t="s">
        <v>1773</v>
      </c>
      <c r="B23" s="20" t="s">
        <v>2727</v>
      </c>
      <c r="C23" s="151">
        <f>C22+E22*10</f>
        <v>753025.8</v>
      </c>
      <c r="D23" s="20" t="s">
        <v>263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0" t="s">
        <v>2728</v>
      </c>
      <c r="B24" s="20" t="s">
        <v>2729</v>
      </c>
      <c r="C24" s="20">
        <v>753218.0</v>
      </c>
      <c r="D24" s="39" t="s">
        <v>360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20" t="s">
        <v>2730</v>
      </c>
      <c r="B25" s="20" t="s">
        <v>2420</v>
      </c>
      <c r="C25" s="20">
        <v>753296.0</v>
      </c>
      <c r="D25" s="39" t="s">
        <v>360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20" t="s">
        <v>1905</v>
      </c>
      <c r="B26" s="149" t="s">
        <v>1807</v>
      </c>
      <c r="C26" s="20">
        <v>753.465</v>
      </c>
      <c r="D26" s="20" t="s">
        <v>268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20" t="s">
        <v>2027</v>
      </c>
      <c r="B27" s="20" t="s">
        <v>2731</v>
      </c>
      <c r="C27" s="20">
        <v>754021.0</v>
      </c>
      <c r="D27" s="39" t="s">
        <v>360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0" t="s">
        <v>2012</v>
      </c>
      <c r="B28" s="20" t="s">
        <v>2731</v>
      </c>
      <c r="C28" s="20">
        <v>754021.0</v>
      </c>
      <c r="D28" s="39" t="s">
        <v>360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6"/>
      <c r="B29" s="16"/>
      <c r="C29" s="16"/>
      <c r="D29" s="2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6"/>
      <c r="B30" s="16"/>
      <c r="C30" s="16"/>
      <c r="D30" s="2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6"/>
      <c r="B31" s="16"/>
      <c r="C31" s="16"/>
      <c r="D31" s="20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6"/>
      <c r="B32" s="16"/>
      <c r="C32" s="16"/>
      <c r="D32" s="20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6"/>
      <c r="B33" s="16"/>
      <c r="C33" s="16"/>
      <c r="D33" s="2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16"/>
      <c r="C34" s="16"/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16"/>
      <c r="C35" s="16"/>
      <c r="D35" s="20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16"/>
      <c r="C36" s="16"/>
      <c r="D36" s="20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B37" s="16"/>
      <c r="C37" s="16"/>
      <c r="D37" s="2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6"/>
      <c r="B38" s="16"/>
      <c r="C38" s="16"/>
      <c r="D38" s="20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B39" s="16"/>
      <c r="C39" s="16"/>
      <c r="D39" s="20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B40" s="16"/>
      <c r="C40" s="16"/>
      <c r="D40" s="2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B41" s="16"/>
      <c r="C41" s="16"/>
      <c r="D41" s="2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16"/>
      <c r="C42" s="16"/>
      <c r="D42" s="20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16"/>
      <c r="C43" s="16"/>
      <c r="D43" s="20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16"/>
      <c r="C44" s="16"/>
      <c r="D44" s="2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6"/>
      <c r="C45" s="16"/>
      <c r="D45" s="20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16"/>
      <c r="D46" s="20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16"/>
      <c r="D47" s="20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16"/>
      <c r="D48" s="20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6"/>
      <c r="C49" s="16"/>
      <c r="D49" s="20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6"/>
      <c r="C50" s="16"/>
      <c r="D50" s="20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6"/>
      <c r="C51" s="16"/>
      <c r="D51" s="20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20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20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16"/>
      <c r="D54" s="20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16"/>
      <c r="D55" s="20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20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20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20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16"/>
      <c r="D59" s="20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16"/>
      <c r="D60" s="20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20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16"/>
      <c r="D62" s="20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16"/>
      <c r="D63" s="20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16"/>
      <c r="D64" s="20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20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20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16"/>
      <c r="D67" s="20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16"/>
      <c r="D68" s="20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16"/>
      <c r="D69" s="20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20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16"/>
      <c r="D71" s="20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20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20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20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20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20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20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20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20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2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2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20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20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20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20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20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20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20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20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20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20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20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20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20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20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20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20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20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20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20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20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20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20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20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20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20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20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20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20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20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20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20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20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20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20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2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20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20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20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20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20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20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20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20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20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20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20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20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20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20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20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20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20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20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20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20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20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20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20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20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20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20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20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20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20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20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20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20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20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20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20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20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20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20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20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20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20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20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20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20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20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20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20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20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20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20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20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20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20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20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20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20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20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20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20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20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20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20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20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20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20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20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20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20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20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20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20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20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20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20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20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20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20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20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20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20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20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20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20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20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20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20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20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20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20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20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20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20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20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20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20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20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20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20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20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20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20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20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20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20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20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20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20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20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20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20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20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20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20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20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20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20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20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20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20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20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20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20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20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20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20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20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20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20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20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20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20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20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20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20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20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20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20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20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20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20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20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20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20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20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20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20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20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20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20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20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20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20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20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20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20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20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20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20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20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20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20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20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20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2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20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20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20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20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20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20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20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20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20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20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20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20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20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20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20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20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20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20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20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20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20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20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20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20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20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20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20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20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20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20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20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20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20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20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20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20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20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20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20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20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20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20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20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20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20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20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20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20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20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20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20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20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20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20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20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20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20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20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20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20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20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20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20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20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20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20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20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20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20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20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20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20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20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20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20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20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20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20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20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20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20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20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20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20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20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20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20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20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20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20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20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20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20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20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20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20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20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20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20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20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20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20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20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20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20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20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20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20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20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20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20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20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20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20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20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20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20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20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20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20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20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20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20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20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20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20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20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20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20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20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20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20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20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20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20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20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20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20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20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20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20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20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20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20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20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20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20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20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20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20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20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20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20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20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20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20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20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20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20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20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20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20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20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20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20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20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20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20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20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20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20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20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20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20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20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20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20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20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20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20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20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20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20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20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20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20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20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20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20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20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20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20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20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20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20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20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20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20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20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20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20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20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20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20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20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20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20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20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20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20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20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20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20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20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20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20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20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20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20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20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20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20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20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20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20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20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20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20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20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20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20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20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20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20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20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20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20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20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20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20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20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20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20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20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20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20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20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20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20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20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20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20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20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20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20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20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20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20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20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20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20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20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20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20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20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20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20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20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20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20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20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20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20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20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20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20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20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20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20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20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20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20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20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20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20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20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20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20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20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20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20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20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20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20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20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20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20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20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20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20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20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20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20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20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20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20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20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20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20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20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20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20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20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20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20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20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20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20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20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20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20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20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20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20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20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20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20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20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20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20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20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20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20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20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20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20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20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20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20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20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20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20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20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20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20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20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20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20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20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20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20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20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20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20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20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20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20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20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20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20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20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20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20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20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20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20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20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20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20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20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20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20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20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20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20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20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20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20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20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20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20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20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20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20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20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20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20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20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20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20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20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20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20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20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20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20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20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20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20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20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20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20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20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20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20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20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20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20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20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20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20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20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20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20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20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20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20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20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20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20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20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20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20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20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20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20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20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20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20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20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20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20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20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20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20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20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20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20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20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20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20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20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20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20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20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20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20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20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20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20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20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20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20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20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20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20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20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20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20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20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20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20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20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20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20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20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20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20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20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20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20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20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20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20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20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20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20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20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20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20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20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20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20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20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20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20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20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20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20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20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20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20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20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20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20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20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20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20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20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20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20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20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20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20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20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20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20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20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20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20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20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20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20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20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20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20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20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20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20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20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20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20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20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20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20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20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20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20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20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20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20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20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20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20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20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20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20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20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20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20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20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20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20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20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20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20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20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20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20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20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20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20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20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20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20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20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20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20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20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20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20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20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20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20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20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20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20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20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20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20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20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20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20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20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20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20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20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20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20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20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20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20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20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20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20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20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20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20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20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20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20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20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20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20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20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20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20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20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20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20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20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20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20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20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20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20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20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20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20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20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20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20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20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20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20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20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20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20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20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20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20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20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20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20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20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20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20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20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20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20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20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20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20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20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20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20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20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20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20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20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20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20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20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20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20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20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20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20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20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20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20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20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20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20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20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20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20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20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20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20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20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20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20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20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20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20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20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20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20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20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20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20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20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20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20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20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20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20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20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20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20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20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20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20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20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20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20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20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20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20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20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20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20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16"/>
      <c r="D974" s="20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16"/>
      <c r="D975" s="20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16"/>
      <c r="D976" s="20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16"/>
      <c r="D977" s="20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16"/>
      <c r="D978" s="20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16"/>
      <c r="D979" s="20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16"/>
      <c r="D980" s="20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16"/>
      <c r="D981" s="20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16"/>
      <c r="D982" s="20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16"/>
      <c r="D983" s="20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16"/>
      <c r="D984" s="20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16"/>
      <c r="D985" s="20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16"/>
      <c r="D986" s="20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16"/>
      <c r="D987" s="20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16"/>
      <c r="D988" s="20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16"/>
      <c r="D989" s="20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16"/>
      <c r="D990" s="20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16"/>
      <c r="D991" s="20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16"/>
      <c r="D992" s="20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B993" s="16"/>
      <c r="C993" s="16"/>
      <c r="D993" s="20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B994" s="16"/>
      <c r="C994" s="16"/>
      <c r="D994" s="20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B995" s="16"/>
      <c r="C995" s="16"/>
      <c r="D995" s="20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6"/>
      <c r="B996" s="16"/>
      <c r="C996" s="16"/>
      <c r="D996" s="20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6"/>
      <c r="B997" s="16"/>
      <c r="C997" s="16"/>
      <c r="D997" s="20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6"/>
      <c r="B998" s="16"/>
      <c r="C998" s="16"/>
      <c r="D998" s="20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6"/>
      <c r="B999" s="16"/>
      <c r="C999" s="16"/>
      <c r="D999" s="20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6"/>
      <c r="B1000" s="16"/>
      <c r="C1000" s="16"/>
      <c r="D1000" s="20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6"/>
      <c r="B1001" s="16"/>
      <c r="C1001" s="16"/>
      <c r="D1001" s="20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6"/>
      <c r="B1002" s="16"/>
      <c r="C1002" s="16"/>
      <c r="D1002" s="20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6"/>
      <c r="B1003" s="16"/>
      <c r="C1003" s="16"/>
      <c r="D1003" s="20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6"/>
      <c r="B1004" s="16"/>
      <c r="C1004" s="16"/>
      <c r="D1004" s="20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6"/>
      <c r="B1005" s="16"/>
      <c r="C1005" s="16"/>
      <c r="D1005" s="20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6"/>
      <c r="B1006" s="16"/>
      <c r="C1006" s="16"/>
      <c r="D1006" s="20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6"/>
      <c r="B1007" s="16"/>
      <c r="C1007" s="16"/>
      <c r="D1007" s="20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6"/>
      <c r="B1008" s="16"/>
      <c r="C1008" s="16"/>
      <c r="D1008" s="20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6"/>
      <c r="B1009" s="16"/>
      <c r="C1009" s="16"/>
      <c r="D1009" s="20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6"/>
      <c r="B1010" s="16"/>
      <c r="C1010" s="16"/>
      <c r="D1010" s="20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