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K\Downloads\"/>
    </mc:Choice>
  </mc:AlternateContent>
  <bookViews>
    <workbookView xWindow="5016" yWindow="3132" windowWidth="20640" windowHeight="1860"/>
  </bookViews>
  <sheets>
    <sheet name="NO NEED VAT" sheetId="13" r:id="rId1"/>
    <sheet name="VN GEN" sheetId="4" r:id="rId2"/>
    <sheet name="DSKH" sheetId="2" r:id="rId3"/>
    <sheet name="Tem" sheetId="9" r:id="rId4"/>
  </sheets>
  <externalReferences>
    <externalReference r:id="rId5"/>
    <externalReference r:id="rId6"/>
  </externalReferences>
  <definedNames>
    <definedName name="_xlnm._FilterDatabase" localSheetId="0" hidden="1">'NO NEED VAT'!#REF!</definedName>
    <definedName name="_xlnm._FilterDatabase" localSheetId="1" hidden="1">'VN GEN'!#REF!</definedName>
    <definedName name="DATA.DSKH">DSKH!$B:$E</definedName>
    <definedName name="DATA.SOURCH">DSKH!$A:$E</definedName>
    <definedName name="_xlnm.Print_Area" localSheetId="0">'NO NEED VAT'!#REF!</definedName>
    <definedName name="_xlnm.Print_Area" localSheetId="3">Tem!$A$1:$L$11</definedName>
    <definedName name="_xlnm.Print_Area" localSheetId="1">'VN GEN'!$A$8:$M$842</definedName>
  </definedNames>
  <calcPr calcId="162913"/>
  <pivotCaches>
    <pivotCache cacheId="0" r:id="rId7"/>
  </pivotCaches>
</workbook>
</file>

<file path=xl/calcChain.xml><?xml version="1.0" encoding="utf-8"?>
<calcChain xmlns="http://schemas.openxmlformats.org/spreadsheetml/2006/main">
  <c r="L843" i="4" l="1"/>
  <c r="E843" i="4"/>
  <c r="L830" i="4" l="1"/>
  <c r="L834" i="4" l="1"/>
  <c r="L826" i="4" l="1"/>
  <c r="L822" i="4"/>
  <c r="E822" i="4"/>
  <c r="L821" i="4"/>
  <c r="L817" i="4"/>
  <c r="L815" i="4"/>
  <c r="L813" i="4"/>
  <c r="L811" i="4"/>
  <c r="L808" i="4"/>
  <c r="L805" i="4"/>
  <c r="L803" i="4"/>
  <c r="L795" i="4" l="1"/>
  <c r="L793" i="4"/>
  <c r="L791" i="4" l="1"/>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789" i="4"/>
  <c r="G96" i="4" l="1"/>
  <c r="L787" i="4" l="1"/>
  <c r="L786" i="4"/>
  <c r="G502" i="4"/>
  <c r="L783" i="4"/>
  <c r="L779" i="4"/>
  <c r="E779" i="4"/>
  <c r="L777" i="4"/>
  <c r="L775" i="4"/>
  <c r="L774" i="4"/>
  <c r="L771" i="4"/>
  <c r="L768" i="4"/>
  <c r="L761" i="4" l="1"/>
  <c r="L760" i="4" l="1"/>
  <c r="L756" i="4" l="1"/>
  <c r="A767" i="4"/>
  <c r="D767" i="4"/>
  <c r="G767" i="4"/>
  <c r="K767" i="4"/>
  <c r="M767" i="4"/>
  <c r="A768" i="4"/>
  <c r="D768" i="4"/>
  <c r="G768" i="4"/>
  <c r="K768" i="4"/>
  <c r="M768" i="4"/>
  <c r="A769" i="4"/>
  <c r="D769" i="4"/>
  <c r="G769" i="4"/>
  <c r="K769" i="4"/>
  <c r="M769" i="4"/>
  <c r="A770" i="4"/>
  <c r="D770" i="4"/>
  <c r="G770" i="4"/>
  <c r="K770" i="4"/>
  <c r="M770" i="4"/>
  <c r="A771" i="4"/>
  <c r="D771" i="4"/>
  <c r="G771" i="4"/>
  <c r="K771" i="4"/>
  <c r="M771" i="4"/>
  <c r="A772" i="4"/>
  <c r="D772" i="4"/>
  <c r="G772" i="4"/>
  <c r="K772" i="4"/>
  <c r="M772" i="4"/>
  <c r="A773" i="4"/>
  <c r="D773" i="4"/>
  <c r="G773" i="4"/>
  <c r="K773" i="4"/>
  <c r="M773" i="4"/>
  <c r="A774" i="4"/>
  <c r="D774" i="4"/>
  <c r="G774" i="4"/>
  <c r="K774" i="4"/>
  <c r="M774" i="4"/>
  <c r="A775" i="4"/>
  <c r="D775" i="4"/>
  <c r="G775" i="4"/>
  <c r="K775" i="4"/>
  <c r="M775" i="4"/>
  <c r="A776" i="4"/>
  <c r="D776" i="4"/>
  <c r="G776" i="4"/>
  <c r="K776" i="4"/>
  <c r="M776" i="4"/>
  <c r="A777" i="4"/>
  <c r="D777" i="4"/>
  <c r="G777" i="4"/>
  <c r="K777" i="4"/>
  <c r="M777" i="4"/>
  <c r="A778" i="4"/>
  <c r="D778" i="4"/>
  <c r="G778" i="4"/>
  <c r="K778" i="4"/>
  <c r="M778" i="4"/>
  <c r="A779" i="4"/>
  <c r="D779" i="4"/>
  <c r="G779" i="4"/>
  <c r="K779" i="4"/>
  <c r="M779" i="4"/>
  <c r="A780" i="4"/>
  <c r="D780" i="4"/>
  <c r="G780" i="4"/>
  <c r="K780" i="4"/>
  <c r="M780" i="4"/>
  <c r="A781" i="4"/>
  <c r="D781" i="4"/>
  <c r="G781" i="4"/>
  <c r="K781" i="4"/>
  <c r="M781" i="4"/>
  <c r="A782" i="4"/>
  <c r="D782" i="4"/>
  <c r="G782" i="4"/>
  <c r="K782" i="4"/>
  <c r="M782" i="4"/>
  <c r="A783" i="4"/>
  <c r="D783" i="4"/>
  <c r="G783" i="4"/>
  <c r="K783" i="4"/>
  <c r="M783" i="4"/>
  <c r="A784" i="4"/>
  <c r="D784" i="4"/>
  <c r="G784" i="4"/>
  <c r="K784" i="4"/>
  <c r="M784" i="4"/>
  <c r="A785" i="4"/>
  <c r="D785" i="4"/>
  <c r="G785" i="4"/>
  <c r="K785" i="4"/>
  <c r="M785" i="4"/>
  <c r="A786" i="4"/>
  <c r="D786" i="4"/>
  <c r="G786" i="4"/>
  <c r="K786" i="4"/>
  <c r="M786" i="4"/>
  <c r="A787" i="4"/>
  <c r="D787" i="4"/>
  <c r="G787" i="4"/>
  <c r="K787" i="4"/>
  <c r="M787" i="4"/>
  <c r="A788" i="4"/>
  <c r="D788" i="4"/>
  <c r="G788" i="4"/>
  <c r="K788" i="4"/>
  <c r="M788" i="4"/>
  <c r="A789" i="4"/>
  <c r="D789" i="4"/>
  <c r="G789" i="4"/>
  <c r="K789" i="4"/>
  <c r="A790" i="4"/>
  <c r="D790" i="4"/>
  <c r="G790" i="4"/>
  <c r="K790" i="4"/>
  <c r="A791" i="4"/>
  <c r="D791" i="4"/>
  <c r="G791" i="4"/>
  <c r="K791" i="4"/>
  <c r="A792" i="4"/>
  <c r="D792" i="4"/>
  <c r="G792" i="4"/>
  <c r="K792" i="4"/>
  <c r="A793" i="4"/>
  <c r="D793" i="4"/>
  <c r="G793" i="4"/>
  <c r="K793" i="4"/>
  <c r="A794" i="4"/>
  <c r="D794" i="4"/>
  <c r="G794" i="4"/>
  <c r="K794" i="4"/>
  <c r="A795" i="4"/>
  <c r="D795" i="4"/>
  <c r="G795" i="4"/>
  <c r="K795" i="4"/>
  <c r="A796" i="4"/>
  <c r="D796" i="4"/>
  <c r="G796" i="4"/>
  <c r="K796" i="4"/>
  <c r="A797" i="4"/>
  <c r="D797" i="4"/>
  <c r="G797" i="4"/>
  <c r="K797" i="4"/>
  <c r="A798" i="4"/>
  <c r="D798" i="4"/>
  <c r="G798" i="4"/>
  <c r="K798" i="4"/>
  <c r="A799" i="4"/>
  <c r="D799" i="4"/>
  <c r="G799" i="4"/>
  <c r="K799" i="4"/>
  <c r="A800" i="4"/>
  <c r="D800" i="4"/>
  <c r="G800" i="4"/>
  <c r="K800" i="4"/>
  <c r="A801" i="4"/>
  <c r="D801" i="4"/>
  <c r="G801" i="4"/>
  <c r="K801" i="4"/>
  <c r="A802" i="4"/>
  <c r="D802" i="4"/>
  <c r="G802" i="4"/>
  <c r="K802" i="4"/>
  <c r="A803" i="4"/>
  <c r="D803" i="4"/>
  <c r="G803" i="4"/>
  <c r="K803" i="4"/>
  <c r="A804" i="4"/>
  <c r="D804" i="4"/>
  <c r="G804" i="4"/>
  <c r="K804" i="4"/>
  <c r="A805" i="4"/>
  <c r="D805" i="4"/>
  <c r="G805" i="4"/>
  <c r="K805" i="4"/>
  <c r="A806" i="4"/>
  <c r="D806" i="4"/>
  <c r="G806" i="4"/>
  <c r="K806" i="4"/>
  <c r="A807" i="4"/>
  <c r="D807" i="4"/>
  <c r="G807" i="4"/>
  <c r="K807" i="4"/>
  <c r="A808" i="4"/>
  <c r="D808" i="4"/>
  <c r="G808" i="4"/>
  <c r="K808" i="4"/>
  <c r="A809" i="4"/>
  <c r="D809" i="4"/>
  <c r="G809" i="4"/>
  <c r="K809" i="4"/>
  <c r="A810" i="4"/>
  <c r="D810" i="4"/>
  <c r="G810" i="4"/>
  <c r="K810" i="4"/>
  <c r="A811" i="4"/>
  <c r="D811" i="4"/>
  <c r="G811" i="4"/>
  <c r="K811" i="4"/>
  <c r="A812" i="4"/>
  <c r="D812" i="4"/>
  <c r="G812" i="4"/>
  <c r="K812" i="4"/>
  <c r="A813" i="4"/>
  <c r="D813" i="4"/>
  <c r="G813" i="4"/>
  <c r="K813" i="4"/>
  <c r="A814" i="4"/>
  <c r="D814" i="4"/>
  <c r="G814" i="4"/>
  <c r="K814" i="4"/>
  <c r="A815" i="4"/>
  <c r="D815" i="4"/>
  <c r="G815" i="4"/>
  <c r="A816" i="4"/>
  <c r="D816" i="4"/>
  <c r="G816" i="4"/>
  <c r="K816" i="4"/>
  <c r="A817" i="4"/>
  <c r="D817" i="4"/>
  <c r="G817" i="4"/>
  <c r="K817" i="4"/>
  <c r="A818" i="4"/>
  <c r="D818" i="4"/>
  <c r="G818" i="4"/>
  <c r="K818" i="4"/>
  <c r="A819" i="4"/>
  <c r="D819" i="4"/>
  <c r="G819" i="4"/>
  <c r="K819" i="4"/>
  <c r="A820" i="4"/>
  <c r="D820" i="4"/>
  <c r="G820" i="4"/>
  <c r="K820" i="4"/>
  <c r="A821" i="4"/>
  <c r="D821" i="4"/>
  <c r="G821" i="4"/>
  <c r="K821" i="4"/>
  <c r="A822" i="4"/>
  <c r="D822" i="4"/>
  <c r="G822" i="4"/>
  <c r="K822" i="4"/>
  <c r="A823" i="4"/>
  <c r="D823" i="4"/>
  <c r="G823" i="4"/>
  <c r="K823" i="4"/>
  <c r="A824" i="4"/>
  <c r="D824" i="4"/>
  <c r="G824" i="4"/>
  <c r="K824" i="4"/>
  <c r="A825" i="4"/>
  <c r="D825" i="4"/>
  <c r="G825" i="4"/>
  <c r="K825" i="4"/>
  <c r="A826" i="4"/>
  <c r="D826" i="4"/>
  <c r="G826" i="4"/>
  <c r="K826" i="4"/>
  <c r="A827" i="4"/>
  <c r="D827" i="4"/>
  <c r="G827" i="4"/>
  <c r="K827" i="4"/>
  <c r="A828" i="4"/>
  <c r="D828" i="4"/>
  <c r="G828" i="4"/>
  <c r="K828" i="4"/>
  <c r="A829" i="4"/>
  <c r="D829" i="4"/>
  <c r="G829" i="4"/>
  <c r="K829" i="4"/>
  <c r="A830" i="4"/>
  <c r="D830" i="4"/>
  <c r="G830" i="4"/>
  <c r="K830" i="4"/>
  <c r="A833" i="4"/>
  <c r="D833" i="4"/>
  <c r="G833" i="4"/>
  <c r="K833" i="4"/>
  <c r="A834" i="4"/>
  <c r="D834" i="4"/>
  <c r="G834" i="4"/>
  <c r="K834" i="4"/>
  <c r="A835" i="4"/>
  <c r="D835" i="4"/>
  <c r="G835" i="4"/>
  <c r="K835" i="4"/>
  <c r="A836" i="4"/>
  <c r="D836" i="4"/>
  <c r="G836" i="4"/>
  <c r="A837" i="4"/>
  <c r="D837" i="4"/>
  <c r="G837" i="4"/>
  <c r="A838" i="4"/>
  <c r="D838" i="4"/>
  <c r="G838" i="4"/>
  <c r="K838" i="4"/>
  <c r="A839" i="4"/>
  <c r="D839" i="4"/>
  <c r="G839" i="4"/>
  <c r="K839" i="4"/>
  <c r="A840" i="4"/>
  <c r="D840" i="4"/>
  <c r="G840" i="4"/>
  <c r="K840" i="4"/>
  <c r="A841" i="4"/>
  <c r="D841" i="4"/>
  <c r="G841" i="4"/>
  <c r="K841" i="4"/>
  <c r="A842" i="4"/>
  <c r="D842" i="4"/>
  <c r="G842" i="4"/>
  <c r="K842" i="4"/>
  <c r="A843" i="4"/>
  <c r="D843" i="4"/>
  <c r="G843" i="4"/>
  <c r="K843" i="4"/>
  <c r="A844" i="4"/>
  <c r="D844" i="4"/>
  <c r="G844" i="4"/>
  <c r="K844" i="4"/>
  <c r="A845" i="4"/>
  <c r="D845" i="4"/>
  <c r="G845" i="4"/>
  <c r="K845" i="4"/>
  <c r="A846" i="4"/>
  <c r="D846" i="4"/>
  <c r="G846" i="4"/>
  <c r="K846" i="4"/>
  <c r="A847" i="4"/>
  <c r="D847" i="4"/>
  <c r="G847" i="4"/>
  <c r="K847" i="4"/>
  <c r="A848" i="4"/>
  <c r="D848" i="4"/>
  <c r="G848" i="4"/>
  <c r="K848" i="4"/>
  <c r="A849" i="4"/>
  <c r="D849" i="4"/>
  <c r="G849" i="4"/>
  <c r="K849" i="4"/>
  <c r="A850" i="4"/>
  <c r="D850" i="4"/>
  <c r="G850" i="4"/>
  <c r="K850" i="4"/>
  <c r="A851" i="4"/>
  <c r="D851" i="4"/>
  <c r="G851" i="4"/>
  <c r="K851" i="4"/>
  <c r="A852" i="4"/>
  <c r="D852" i="4"/>
  <c r="G852" i="4"/>
  <c r="K852" i="4"/>
  <c r="A853" i="4"/>
  <c r="D853" i="4"/>
  <c r="G853" i="4"/>
  <c r="K853" i="4"/>
  <c r="A854" i="4"/>
  <c r="D854" i="4"/>
  <c r="G854" i="4"/>
  <c r="K854" i="4"/>
  <c r="A855" i="4"/>
  <c r="D855" i="4"/>
  <c r="G855" i="4"/>
  <c r="K855" i="4"/>
  <c r="A856" i="4"/>
  <c r="D856" i="4"/>
  <c r="G856" i="4"/>
  <c r="K856" i="4"/>
  <c r="A857" i="4"/>
  <c r="D857" i="4"/>
  <c r="G857" i="4"/>
  <c r="K857" i="4"/>
  <c r="A858" i="4"/>
  <c r="D858" i="4"/>
  <c r="G858" i="4"/>
  <c r="K858" i="4"/>
  <c r="A859" i="4"/>
  <c r="D859" i="4"/>
  <c r="G859" i="4"/>
  <c r="K859" i="4"/>
  <c r="A860" i="4"/>
  <c r="D860" i="4"/>
  <c r="G860" i="4"/>
  <c r="K860" i="4"/>
  <c r="A861" i="4"/>
  <c r="D861" i="4"/>
  <c r="G861" i="4"/>
  <c r="K861" i="4"/>
  <c r="A862" i="4"/>
  <c r="D862" i="4"/>
  <c r="G862" i="4"/>
  <c r="K862" i="4"/>
  <c r="A863" i="4"/>
  <c r="D863" i="4"/>
  <c r="G863" i="4"/>
  <c r="K863" i="4"/>
  <c r="A864" i="4"/>
  <c r="D864" i="4"/>
  <c r="G864" i="4"/>
  <c r="K864" i="4"/>
  <c r="A865" i="4"/>
  <c r="D865" i="4"/>
  <c r="G865" i="4"/>
  <c r="K865" i="4"/>
  <c r="A866" i="4"/>
  <c r="D866" i="4"/>
  <c r="G866" i="4"/>
  <c r="K866" i="4"/>
  <c r="A867" i="4"/>
  <c r="D867" i="4"/>
  <c r="G867" i="4"/>
  <c r="K867" i="4"/>
  <c r="A868" i="4"/>
  <c r="D868" i="4"/>
  <c r="G868" i="4"/>
  <c r="K868" i="4"/>
  <c r="A869" i="4"/>
  <c r="D869" i="4"/>
  <c r="G869" i="4"/>
  <c r="K869" i="4"/>
  <c r="A870" i="4"/>
  <c r="D870" i="4"/>
  <c r="G870" i="4"/>
  <c r="K870" i="4"/>
  <c r="A871" i="4"/>
  <c r="D871" i="4"/>
  <c r="G871" i="4"/>
  <c r="K871" i="4"/>
  <c r="A872" i="4"/>
  <c r="D872" i="4"/>
  <c r="G872" i="4"/>
  <c r="K872" i="4"/>
  <c r="A873" i="4"/>
  <c r="D873" i="4"/>
  <c r="G873" i="4"/>
  <c r="K873" i="4"/>
  <c r="A874" i="4"/>
  <c r="D874" i="4"/>
  <c r="G874" i="4"/>
  <c r="K874" i="4"/>
  <c r="A875" i="4"/>
  <c r="D875" i="4"/>
  <c r="G875" i="4"/>
  <c r="K875" i="4"/>
  <c r="A876" i="4"/>
  <c r="D876" i="4"/>
  <c r="G876" i="4"/>
  <c r="K876" i="4"/>
  <c r="A877" i="4"/>
  <c r="D877" i="4"/>
  <c r="G877" i="4"/>
  <c r="K877" i="4"/>
  <c r="A878" i="4"/>
  <c r="D878" i="4"/>
  <c r="G878" i="4"/>
  <c r="K878" i="4"/>
  <c r="A879" i="4"/>
  <c r="D879" i="4"/>
  <c r="G879" i="4"/>
  <c r="K879" i="4"/>
  <c r="A880" i="4"/>
  <c r="D880" i="4"/>
  <c r="G880" i="4"/>
  <c r="K880" i="4"/>
  <c r="A881" i="4"/>
  <c r="D881" i="4"/>
  <c r="G881" i="4"/>
  <c r="K881" i="4"/>
  <c r="A882" i="4"/>
  <c r="D882" i="4"/>
  <c r="G882" i="4"/>
  <c r="K882" i="4"/>
  <c r="A883" i="4"/>
  <c r="D883" i="4"/>
  <c r="G883" i="4"/>
  <c r="K883" i="4"/>
  <c r="A884" i="4"/>
  <c r="D884" i="4"/>
  <c r="G884" i="4"/>
  <c r="K884" i="4"/>
  <c r="A885" i="4"/>
  <c r="D885" i="4"/>
  <c r="G885" i="4"/>
  <c r="K885" i="4"/>
  <c r="A886" i="4"/>
  <c r="D886" i="4"/>
  <c r="G886" i="4"/>
  <c r="K886" i="4"/>
  <c r="A887" i="4"/>
  <c r="D887" i="4"/>
  <c r="G887" i="4"/>
  <c r="K887" i="4"/>
  <c r="A888" i="4"/>
  <c r="D888" i="4"/>
  <c r="G888" i="4"/>
  <c r="K888" i="4"/>
  <c r="A889" i="4"/>
  <c r="D889" i="4"/>
  <c r="G889" i="4"/>
  <c r="K889" i="4"/>
  <c r="A890" i="4"/>
  <c r="D890" i="4"/>
  <c r="G890" i="4"/>
  <c r="K890" i="4"/>
  <c r="A891" i="4"/>
  <c r="D891" i="4"/>
  <c r="G891" i="4"/>
  <c r="K891" i="4"/>
  <c r="A892" i="4"/>
  <c r="D892" i="4"/>
  <c r="G892" i="4"/>
  <c r="K892" i="4"/>
  <c r="A893" i="4"/>
  <c r="D893" i="4"/>
  <c r="G893" i="4"/>
  <c r="K893" i="4"/>
  <c r="A894" i="4"/>
  <c r="D894" i="4"/>
  <c r="G894" i="4"/>
  <c r="K894" i="4"/>
  <c r="A895" i="4"/>
  <c r="D895" i="4"/>
  <c r="G895" i="4"/>
  <c r="K895" i="4"/>
  <c r="A896" i="4"/>
  <c r="D896" i="4"/>
  <c r="G896" i="4"/>
  <c r="K896" i="4"/>
  <c r="A897" i="4"/>
  <c r="D897" i="4"/>
  <c r="G897" i="4"/>
  <c r="K897" i="4"/>
  <c r="A898" i="4"/>
  <c r="D898" i="4"/>
  <c r="G898" i="4"/>
  <c r="K898" i="4"/>
  <c r="A899" i="4"/>
  <c r="D899" i="4"/>
  <c r="G899" i="4"/>
  <c r="K899" i="4"/>
  <c r="A900" i="4"/>
  <c r="D900" i="4"/>
  <c r="G900" i="4"/>
  <c r="K900" i="4"/>
  <c r="A901" i="4"/>
  <c r="D901" i="4"/>
  <c r="G901" i="4"/>
  <c r="K901" i="4"/>
  <c r="A902" i="4"/>
  <c r="D902" i="4"/>
  <c r="G902" i="4"/>
  <c r="K902" i="4"/>
  <c r="A903" i="4"/>
  <c r="D903" i="4"/>
  <c r="G903" i="4"/>
  <c r="K903" i="4"/>
  <c r="A904" i="4"/>
  <c r="D904" i="4"/>
  <c r="G904" i="4"/>
  <c r="K904" i="4"/>
  <c r="A905" i="4"/>
  <c r="D905" i="4"/>
  <c r="G905" i="4"/>
  <c r="K905" i="4"/>
  <c r="A906" i="4"/>
  <c r="D906" i="4"/>
  <c r="G906" i="4"/>
  <c r="K906" i="4"/>
  <c r="A907" i="4"/>
  <c r="D907" i="4"/>
  <c r="G907" i="4"/>
  <c r="K907" i="4"/>
  <c r="A908" i="4"/>
  <c r="D908" i="4"/>
  <c r="G908" i="4"/>
  <c r="K908" i="4"/>
  <c r="A909" i="4"/>
  <c r="D909" i="4"/>
  <c r="G909" i="4"/>
  <c r="K909" i="4"/>
  <c r="A910" i="4"/>
  <c r="D910" i="4"/>
  <c r="G910" i="4"/>
  <c r="K910" i="4"/>
  <c r="A911" i="4"/>
  <c r="D911" i="4"/>
  <c r="G911" i="4"/>
  <c r="K911" i="4"/>
  <c r="A912" i="4"/>
  <c r="D912" i="4"/>
  <c r="G912" i="4"/>
  <c r="K912" i="4"/>
  <c r="A913" i="4"/>
  <c r="D913" i="4"/>
  <c r="G913" i="4"/>
  <c r="K913" i="4"/>
  <c r="A914" i="4"/>
  <c r="D914" i="4"/>
  <c r="G914" i="4"/>
  <c r="K914" i="4"/>
  <c r="A915" i="4"/>
  <c r="D915" i="4"/>
  <c r="G915" i="4"/>
  <c r="K915" i="4"/>
  <c r="A916" i="4"/>
  <c r="D916" i="4"/>
  <c r="G916" i="4"/>
  <c r="K916" i="4"/>
  <c r="A917" i="4"/>
  <c r="D917" i="4"/>
  <c r="G917" i="4"/>
  <c r="K917" i="4"/>
  <c r="A918" i="4"/>
  <c r="D918" i="4"/>
  <c r="G918" i="4"/>
  <c r="K918" i="4"/>
  <c r="A919" i="4"/>
  <c r="D919" i="4"/>
  <c r="G919" i="4"/>
  <c r="K919" i="4"/>
  <c r="A920" i="4"/>
  <c r="D920" i="4"/>
  <c r="G920" i="4"/>
  <c r="K920" i="4"/>
  <c r="A921" i="4"/>
  <c r="D921" i="4"/>
  <c r="G921" i="4"/>
  <c r="K921" i="4"/>
  <c r="A922" i="4"/>
  <c r="D922" i="4"/>
  <c r="G922" i="4"/>
  <c r="K922" i="4"/>
  <c r="A923" i="4"/>
  <c r="D923" i="4"/>
  <c r="G923" i="4"/>
  <c r="K923" i="4"/>
  <c r="A924" i="4"/>
  <c r="D924" i="4"/>
  <c r="G924" i="4"/>
  <c r="K924" i="4"/>
  <c r="A925" i="4"/>
  <c r="D925" i="4"/>
  <c r="G925" i="4"/>
  <c r="K925" i="4"/>
  <c r="A926" i="4"/>
  <c r="D926" i="4"/>
  <c r="G926" i="4"/>
  <c r="K926" i="4"/>
  <c r="A927" i="4"/>
  <c r="D927" i="4"/>
  <c r="G927" i="4"/>
  <c r="K927" i="4"/>
  <c r="A928" i="4"/>
  <c r="D928" i="4"/>
  <c r="G928" i="4"/>
  <c r="K928" i="4"/>
  <c r="A929" i="4"/>
  <c r="D929" i="4"/>
  <c r="G929" i="4"/>
  <c r="K929" i="4"/>
  <c r="A930" i="4"/>
  <c r="D930" i="4"/>
  <c r="G930" i="4"/>
  <c r="K930" i="4"/>
  <c r="A931" i="4"/>
  <c r="D931" i="4"/>
  <c r="G931" i="4"/>
  <c r="K931" i="4"/>
  <c r="A932" i="4"/>
  <c r="D932" i="4"/>
  <c r="G932" i="4"/>
  <c r="K932" i="4"/>
  <c r="A933" i="4"/>
  <c r="D933" i="4"/>
  <c r="G933" i="4"/>
  <c r="K933" i="4"/>
  <c r="L751" i="4"/>
  <c r="L748" i="4"/>
  <c r="L741" i="4"/>
  <c r="L740" i="4"/>
  <c r="L739" i="4"/>
  <c r="L738" i="4"/>
  <c r="L735" i="4"/>
  <c r="L732" i="4"/>
  <c r="L728" i="4"/>
  <c r="L726" i="4"/>
  <c r="L719" i="4" l="1"/>
  <c r="E719" i="4"/>
  <c r="L715" i="4"/>
  <c r="L713" i="4"/>
  <c r="L712" i="4"/>
  <c r="L711" i="4"/>
  <c r="L707" i="4"/>
  <c r="L706" i="4"/>
  <c r="M637" i="4" l="1"/>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636" i="4"/>
  <c r="L694" i="4" l="1"/>
  <c r="E694" i="4"/>
  <c r="L693" i="4"/>
  <c r="A710" i="4"/>
  <c r="D710" i="4"/>
  <c r="G710" i="4"/>
  <c r="K710" i="4"/>
  <c r="A711" i="4"/>
  <c r="D711" i="4"/>
  <c r="G711" i="4"/>
  <c r="K711" i="4"/>
  <c r="A712" i="4"/>
  <c r="D712" i="4"/>
  <c r="G712" i="4"/>
  <c r="K712" i="4"/>
  <c r="A713" i="4"/>
  <c r="D713" i="4"/>
  <c r="G713" i="4"/>
  <c r="K713" i="4"/>
  <c r="A714" i="4"/>
  <c r="D714" i="4"/>
  <c r="G714" i="4"/>
  <c r="K714" i="4"/>
  <c r="A715" i="4"/>
  <c r="D715" i="4"/>
  <c r="G715" i="4"/>
  <c r="K715" i="4"/>
  <c r="A716" i="4"/>
  <c r="D716" i="4"/>
  <c r="G716" i="4"/>
  <c r="K716" i="4"/>
  <c r="A717" i="4"/>
  <c r="D717" i="4"/>
  <c r="G717" i="4"/>
  <c r="K717" i="4"/>
  <c r="A718" i="4"/>
  <c r="D718" i="4"/>
  <c r="G718" i="4"/>
  <c r="K718" i="4"/>
  <c r="A719" i="4"/>
  <c r="D719" i="4"/>
  <c r="G719" i="4"/>
  <c r="K719" i="4"/>
  <c r="A720" i="4"/>
  <c r="D720" i="4"/>
  <c r="G720" i="4"/>
  <c r="K720" i="4"/>
  <c r="A721" i="4"/>
  <c r="D721" i="4"/>
  <c r="G721" i="4"/>
  <c r="K721" i="4"/>
  <c r="A722" i="4"/>
  <c r="D722" i="4"/>
  <c r="G722" i="4"/>
  <c r="K722" i="4"/>
  <c r="A723" i="4"/>
  <c r="D723" i="4"/>
  <c r="G723" i="4"/>
  <c r="K723" i="4"/>
  <c r="A724" i="4"/>
  <c r="D724" i="4"/>
  <c r="G724" i="4"/>
  <c r="K724" i="4"/>
  <c r="A725" i="4"/>
  <c r="D725" i="4"/>
  <c r="G725" i="4"/>
  <c r="K725" i="4"/>
  <c r="A726" i="4"/>
  <c r="D726" i="4"/>
  <c r="G726" i="4"/>
  <c r="K726" i="4"/>
  <c r="A727" i="4"/>
  <c r="D727" i="4"/>
  <c r="G727" i="4"/>
  <c r="K727" i="4"/>
  <c r="A728" i="4"/>
  <c r="D728" i="4"/>
  <c r="G728" i="4"/>
  <c r="K728" i="4"/>
  <c r="A729" i="4"/>
  <c r="D729" i="4"/>
  <c r="G729" i="4"/>
  <c r="K729" i="4"/>
  <c r="A730" i="4"/>
  <c r="D730" i="4"/>
  <c r="G730" i="4"/>
  <c r="K730" i="4"/>
  <c r="A731" i="4"/>
  <c r="D731" i="4"/>
  <c r="G731" i="4"/>
  <c r="K731" i="4"/>
  <c r="A732" i="4"/>
  <c r="D732" i="4"/>
  <c r="G732" i="4"/>
  <c r="K732" i="4"/>
  <c r="A733" i="4"/>
  <c r="D733" i="4"/>
  <c r="G733" i="4"/>
  <c r="K733" i="4"/>
  <c r="A734" i="4"/>
  <c r="D734" i="4"/>
  <c r="G734" i="4"/>
  <c r="K734" i="4"/>
  <c r="A735" i="4"/>
  <c r="D735" i="4"/>
  <c r="G735" i="4"/>
  <c r="A736" i="4"/>
  <c r="D736" i="4"/>
  <c r="G736" i="4"/>
  <c r="K736" i="4"/>
  <c r="A737" i="4"/>
  <c r="D737" i="4"/>
  <c r="G737" i="4"/>
  <c r="K737" i="4"/>
  <c r="A738" i="4"/>
  <c r="D738" i="4"/>
  <c r="G738" i="4"/>
  <c r="K738" i="4"/>
  <c r="A739" i="4"/>
  <c r="D739" i="4"/>
  <c r="G739" i="4"/>
  <c r="K739" i="4"/>
  <c r="A740" i="4"/>
  <c r="D740" i="4"/>
  <c r="G740" i="4"/>
  <c r="K740" i="4"/>
  <c r="A741" i="4"/>
  <c r="D741" i="4"/>
  <c r="G741" i="4"/>
  <c r="K741" i="4"/>
  <c r="A742" i="4"/>
  <c r="D742" i="4"/>
  <c r="G742" i="4"/>
  <c r="K742" i="4"/>
  <c r="A743" i="4"/>
  <c r="D743" i="4"/>
  <c r="G743" i="4"/>
  <c r="K743" i="4"/>
  <c r="A744" i="4"/>
  <c r="D744" i="4"/>
  <c r="G744" i="4"/>
  <c r="K744" i="4"/>
  <c r="A745" i="4"/>
  <c r="D745" i="4"/>
  <c r="G745" i="4"/>
  <c r="K745" i="4"/>
  <c r="A746" i="4"/>
  <c r="D746" i="4"/>
  <c r="G746" i="4"/>
  <c r="K746" i="4"/>
  <c r="A747" i="4"/>
  <c r="D747" i="4"/>
  <c r="G747" i="4"/>
  <c r="K747" i="4"/>
  <c r="A748" i="4"/>
  <c r="D748" i="4"/>
  <c r="G748" i="4"/>
  <c r="K748" i="4"/>
  <c r="A749" i="4"/>
  <c r="D749" i="4"/>
  <c r="G749" i="4"/>
  <c r="K749" i="4"/>
  <c r="A750" i="4"/>
  <c r="D750" i="4"/>
  <c r="G750" i="4"/>
  <c r="K750" i="4"/>
  <c r="A751" i="4"/>
  <c r="D751" i="4"/>
  <c r="G751" i="4"/>
  <c r="K751" i="4"/>
  <c r="A752" i="4"/>
  <c r="D752" i="4"/>
  <c r="G752" i="4"/>
  <c r="K752" i="4"/>
  <c r="A753" i="4"/>
  <c r="D753" i="4"/>
  <c r="G753" i="4"/>
  <c r="K753" i="4"/>
  <c r="A754" i="4"/>
  <c r="D754" i="4"/>
  <c r="G754" i="4"/>
  <c r="K754" i="4"/>
  <c r="A755" i="4"/>
  <c r="D755" i="4"/>
  <c r="G755" i="4"/>
  <c r="K755" i="4"/>
  <c r="A756" i="4"/>
  <c r="D756" i="4"/>
  <c r="G756" i="4"/>
  <c r="K756" i="4"/>
  <c r="A757" i="4"/>
  <c r="D757" i="4"/>
  <c r="G757" i="4"/>
  <c r="K757" i="4"/>
  <c r="A758" i="4"/>
  <c r="D758" i="4"/>
  <c r="G758" i="4"/>
  <c r="K758" i="4"/>
  <c r="A759" i="4"/>
  <c r="D759" i="4"/>
  <c r="G759" i="4"/>
  <c r="K759" i="4"/>
  <c r="A760" i="4"/>
  <c r="D760" i="4"/>
  <c r="G760" i="4"/>
  <c r="K760" i="4"/>
  <c r="A761" i="4"/>
  <c r="D761" i="4"/>
  <c r="G761" i="4"/>
  <c r="K761" i="4"/>
  <c r="A762" i="4"/>
  <c r="D762" i="4"/>
  <c r="G762" i="4"/>
  <c r="K762" i="4"/>
  <c r="A763" i="4"/>
  <c r="D763" i="4"/>
  <c r="G763" i="4"/>
  <c r="K763" i="4"/>
  <c r="A764" i="4"/>
  <c r="D764" i="4"/>
  <c r="G764" i="4"/>
  <c r="K764" i="4"/>
  <c r="A765" i="4"/>
  <c r="D765" i="4"/>
  <c r="G765" i="4"/>
  <c r="K765" i="4"/>
  <c r="A766" i="4"/>
  <c r="D766" i="4"/>
  <c r="G766" i="4"/>
  <c r="K766" i="4"/>
  <c r="L690" i="4"/>
  <c r="L687" i="4"/>
  <c r="L684" i="4"/>
  <c r="L675" i="4"/>
  <c r="L669" i="4"/>
  <c r="A693" i="4"/>
  <c r="D693" i="4"/>
  <c r="G693" i="4"/>
  <c r="K693" i="4"/>
  <c r="A694" i="4"/>
  <c r="D694" i="4"/>
  <c r="G694" i="4"/>
  <c r="K694" i="4"/>
  <c r="A695" i="4"/>
  <c r="D695" i="4"/>
  <c r="G695" i="4"/>
  <c r="K695" i="4"/>
  <c r="A696" i="4"/>
  <c r="D696" i="4"/>
  <c r="G696" i="4"/>
  <c r="K696" i="4"/>
  <c r="A697" i="4"/>
  <c r="D697" i="4"/>
  <c r="G697" i="4"/>
  <c r="K697" i="4"/>
  <c r="A698" i="4"/>
  <c r="D698" i="4"/>
  <c r="G698" i="4"/>
  <c r="K698" i="4"/>
  <c r="A699" i="4"/>
  <c r="D699" i="4"/>
  <c r="G699" i="4"/>
  <c r="K699" i="4"/>
  <c r="A700" i="4"/>
  <c r="D700" i="4"/>
  <c r="G700" i="4"/>
  <c r="K700" i="4"/>
  <c r="A701" i="4"/>
  <c r="D701" i="4"/>
  <c r="G701" i="4"/>
  <c r="K701" i="4"/>
  <c r="A702" i="4"/>
  <c r="D702" i="4"/>
  <c r="G702" i="4"/>
  <c r="K702" i="4"/>
  <c r="A703" i="4"/>
  <c r="D703" i="4"/>
  <c r="G703" i="4"/>
  <c r="K703" i="4"/>
  <c r="A704" i="4"/>
  <c r="D704" i="4"/>
  <c r="G704" i="4"/>
  <c r="K704" i="4"/>
  <c r="A705" i="4"/>
  <c r="D705" i="4"/>
  <c r="G705" i="4"/>
  <c r="K705" i="4"/>
  <c r="A706" i="4"/>
  <c r="D706" i="4"/>
  <c r="G706" i="4"/>
  <c r="K706" i="4"/>
  <c r="A707" i="4"/>
  <c r="D707" i="4"/>
  <c r="G707" i="4"/>
  <c r="K707" i="4"/>
  <c r="A708" i="4"/>
  <c r="D708" i="4"/>
  <c r="G708" i="4"/>
  <c r="K708" i="4"/>
  <c r="A709" i="4"/>
  <c r="G709" i="4"/>
  <c r="K709" i="4"/>
  <c r="L660" i="4"/>
  <c r="E660" i="4"/>
  <c r="L658" i="4"/>
  <c r="E658" i="4"/>
  <c r="L654" i="4"/>
  <c r="E654" i="4"/>
  <c r="L651" i="4"/>
  <c r="E651" i="4"/>
  <c r="L645" i="4"/>
  <c r="E645" i="4"/>
  <c r="L644" i="4"/>
  <c r="L638" i="4" l="1"/>
  <c r="E638" i="4"/>
  <c r="L629" i="4" l="1"/>
  <c r="L620" i="4"/>
  <c r="L612" i="4"/>
  <c r="L603" i="4" l="1"/>
  <c r="L602" i="4"/>
  <c r="L601" i="4"/>
  <c r="L598" i="4"/>
  <c r="L597" i="4"/>
  <c r="L595" i="4"/>
  <c r="L582" i="4"/>
  <c r="L581" i="4"/>
  <c r="A609" i="4"/>
  <c r="D609" i="4"/>
  <c r="G609" i="4"/>
  <c r="K609" i="4"/>
  <c r="M609" i="4"/>
  <c r="A610" i="4"/>
  <c r="D610" i="4"/>
  <c r="G610" i="4"/>
  <c r="K610" i="4"/>
  <c r="M610" i="4"/>
  <c r="A611" i="4"/>
  <c r="D611" i="4"/>
  <c r="G611" i="4"/>
  <c r="K611" i="4"/>
  <c r="M611" i="4"/>
  <c r="A612" i="4"/>
  <c r="D612" i="4"/>
  <c r="G612" i="4"/>
  <c r="K612" i="4"/>
  <c r="M612" i="4"/>
  <c r="A613" i="4"/>
  <c r="D613" i="4"/>
  <c r="G613" i="4"/>
  <c r="K613" i="4"/>
  <c r="M613" i="4"/>
  <c r="A614" i="4"/>
  <c r="D614" i="4"/>
  <c r="G614" i="4"/>
  <c r="K614" i="4"/>
  <c r="M614" i="4"/>
  <c r="A615" i="4"/>
  <c r="D615" i="4"/>
  <c r="G615" i="4"/>
  <c r="K615" i="4"/>
  <c r="M615" i="4"/>
  <c r="A616" i="4"/>
  <c r="D616" i="4"/>
  <c r="G616" i="4"/>
  <c r="K616" i="4"/>
  <c r="M616" i="4"/>
  <c r="A617" i="4"/>
  <c r="D617" i="4"/>
  <c r="G617" i="4"/>
  <c r="K617" i="4"/>
  <c r="M617" i="4"/>
  <c r="A618" i="4"/>
  <c r="D618" i="4"/>
  <c r="G618" i="4"/>
  <c r="K618" i="4"/>
  <c r="M618" i="4"/>
  <c r="A619" i="4"/>
  <c r="D619" i="4"/>
  <c r="G619" i="4"/>
  <c r="M619" i="4"/>
  <c r="A620" i="4"/>
  <c r="D620" i="4"/>
  <c r="G620" i="4"/>
  <c r="K620" i="4"/>
  <c r="M620" i="4"/>
  <c r="A621" i="4"/>
  <c r="D621" i="4"/>
  <c r="G621" i="4"/>
  <c r="K621" i="4"/>
  <c r="M621" i="4"/>
  <c r="A622" i="4"/>
  <c r="D622" i="4"/>
  <c r="G622" i="4"/>
  <c r="K622" i="4"/>
  <c r="M622" i="4"/>
  <c r="A623" i="4"/>
  <c r="D623" i="4"/>
  <c r="G623" i="4"/>
  <c r="K623" i="4"/>
  <c r="M623" i="4"/>
  <c r="A624" i="4"/>
  <c r="D624" i="4"/>
  <c r="G624" i="4"/>
  <c r="K624" i="4"/>
  <c r="M624" i="4"/>
  <c r="A625" i="4"/>
  <c r="D625" i="4"/>
  <c r="G625" i="4"/>
  <c r="K625" i="4"/>
  <c r="M625" i="4"/>
  <c r="A626" i="4"/>
  <c r="D626" i="4"/>
  <c r="G626" i="4"/>
  <c r="K626" i="4"/>
  <c r="M626" i="4"/>
  <c r="A627" i="4"/>
  <c r="D627" i="4"/>
  <c r="G627" i="4"/>
  <c r="K627" i="4"/>
  <c r="M627" i="4"/>
  <c r="A628" i="4"/>
  <c r="D628" i="4"/>
  <c r="G628" i="4"/>
  <c r="K628" i="4"/>
  <c r="M628" i="4"/>
  <c r="A629" i="4"/>
  <c r="D629" i="4"/>
  <c r="G629" i="4"/>
  <c r="K629" i="4"/>
  <c r="M629" i="4"/>
  <c r="A630" i="4"/>
  <c r="D630" i="4"/>
  <c r="G630" i="4"/>
  <c r="K630" i="4"/>
  <c r="M630" i="4"/>
  <c r="A631" i="4"/>
  <c r="D631" i="4"/>
  <c r="G631" i="4"/>
  <c r="K631" i="4"/>
  <c r="M631" i="4"/>
  <c r="A632" i="4"/>
  <c r="D632" i="4"/>
  <c r="G632" i="4"/>
  <c r="K632" i="4"/>
  <c r="M632" i="4"/>
  <c r="A633" i="4"/>
  <c r="D633" i="4"/>
  <c r="G633" i="4"/>
  <c r="K633" i="4"/>
  <c r="M633" i="4"/>
  <c r="A634" i="4"/>
  <c r="D634" i="4"/>
  <c r="G634" i="4"/>
  <c r="K634" i="4"/>
  <c r="M634" i="4"/>
  <c r="A635" i="4"/>
  <c r="D635" i="4"/>
  <c r="G635" i="4"/>
  <c r="K635" i="4"/>
  <c r="M635" i="4"/>
  <c r="A636" i="4"/>
  <c r="D636" i="4"/>
  <c r="G636" i="4"/>
  <c r="K636" i="4"/>
  <c r="A637" i="4"/>
  <c r="D637" i="4"/>
  <c r="G637" i="4"/>
  <c r="A638" i="4"/>
  <c r="D638" i="4"/>
  <c r="G638" i="4"/>
  <c r="K638" i="4"/>
  <c r="A639" i="4"/>
  <c r="D639" i="4"/>
  <c r="G639" i="4"/>
  <c r="K639" i="4"/>
  <c r="A640" i="4"/>
  <c r="D640" i="4"/>
  <c r="G640" i="4"/>
  <c r="K640" i="4"/>
  <c r="A641" i="4"/>
  <c r="D641" i="4"/>
  <c r="G641" i="4"/>
  <c r="K641" i="4"/>
  <c r="A642" i="4"/>
  <c r="D642" i="4"/>
  <c r="G642" i="4"/>
  <c r="K642" i="4"/>
  <c r="A643" i="4"/>
  <c r="D643" i="4"/>
  <c r="G643" i="4"/>
  <c r="K643" i="4"/>
  <c r="A644" i="4"/>
  <c r="D644" i="4"/>
  <c r="G644" i="4"/>
  <c r="K644" i="4"/>
  <c r="A645" i="4"/>
  <c r="D645" i="4"/>
  <c r="G645" i="4"/>
  <c r="K645" i="4"/>
  <c r="A646" i="4"/>
  <c r="D646" i="4"/>
  <c r="G646" i="4"/>
  <c r="K646" i="4"/>
  <c r="A647" i="4"/>
  <c r="D647" i="4"/>
  <c r="G647" i="4"/>
  <c r="K647" i="4"/>
  <c r="A648" i="4"/>
  <c r="D648" i="4"/>
  <c r="G648" i="4"/>
  <c r="K648" i="4"/>
  <c r="A649" i="4"/>
  <c r="D649" i="4"/>
  <c r="G649" i="4"/>
  <c r="K649" i="4"/>
  <c r="A650" i="4"/>
  <c r="D650" i="4"/>
  <c r="G650" i="4"/>
  <c r="K650" i="4"/>
  <c r="A651" i="4"/>
  <c r="D651" i="4"/>
  <c r="G651" i="4"/>
  <c r="K651" i="4"/>
  <c r="A652" i="4"/>
  <c r="D652" i="4"/>
  <c r="G652" i="4"/>
  <c r="K652" i="4"/>
  <c r="A653" i="4"/>
  <c r="D653" i="4"/>
  <c r="G653" i="4"/>
  <c r="K653" i="4"/>
  <c r="A654" i="4"/>
  <c r="D654" i="4"/>
  <c r="G654" i="4"/>
  <c r="K654" i="4"/>
  <c r="A655" i="4"/>
  <c r="D655" i="4"/>
  <c r="G655" i="4"/>
  <c r="K655" i="4"/>
  <c r="A656" i="4"/>
  <c r="D656" i="4"/>
  <c r="G656" i="4"/>
  <c r="K656" i="4"/>
  <c r="A657" i="4"/>
  <c r="D657" i="4"/>
  <c r="G657" i="4"/>
  <c r="K657" i="4"/>
  <c r="A658" i="4"/>
  <c r="D658" i="4"/>
  <c r="G658" i="4"/>
  <c r="K658" i="4"/>
  <c r="A659" i="4"/>
  <c r="D659" i="4"/>
  <c r="G659" i="4"/>
  <c r="K659" i="4"/>
  <c r="A660" i="4"/>
  <c r="D660" i="4"/>
  <c r="G660" i="4"/>
  <c r="K660" i="4"/>
  <c r="A661" i="4"/>
  <c r="D661" i="4"/>
  <c r="G661" i="4"/>
  <c r="K661" i="4"/>
  <c r="A662" i="4"/>
  <c r="D662" i="4"/>
  <c r="G662" i="4"/>
  <c r="K662" i="4"/>
  <c r="A663" i="4"/>
  <c r="D663" i="4"/>
  <c r="G663" i="4"/>
  <c r="K663" i="4"/>
  <c r="A664" i="4"/>
  <c r="D664" i="4"/>
  <c r="G664" i="4"/>
  <c r="K664" i="4"/>
  <c r="A665" i="4"/>
  <c r="D665" i="4"/>
  <c r="G665" i="4"/>
  <c r="K665" i="4"/>
  <c r="A666" i="4"/>
  <c r="D666" i="4"/>
  <c r="G666" i="4"/>
  <c r="K666" i="4"/>
  <c r="A667" i="4"/>
  <c r="D667" i="4"/>
  <c r="G667" i="4"/>
  <c r="K667" i="4"/>
  <c r="A668" i="4"/>
  <c r="D668" i="4"/>
  <c r="G668" i="4"/>
  <c r="K668" i="4"/>
  <c r="A669" i="4"/>
  <c r="D669" i="4"/>
  <c r="G669" i="4"/>
  <c r="K669" i="4"/>
  <c r="A670" i="4"/>
  <c r="D670" i="4"/>
  <c r="G670" i="4"/>
  <c r="K670" i="4"/>
  <c r="A671" i="4"/>
  <c r="D671" i="4"/>
  <c r="G671" i="4"/>
  <c r="K671" i="4"/>
  <c r="A672" i="4"/>
  <c r="D672" i="4"/>
  <c r="G672" i="4"/>
  <c r="K672" i="4"/>
  <c r="A673" i="4"/>
  <c r="D673" i="4"/>
  <c r="G673" i="4"/>
  <c r="K673" i="4"/>
  <c r="A674" i="4"/>
  <c r="D674" i="4"/>
  <c r="G674" i="4"/>
  <c r="K674" i="4"/>
  <c r="A675" i="4"/>
  <c r="D675" i="4"/>
  <c r="G675" i="4"/>
  <c r="K675" i="4"/>
  <c r="A676" i="4"/>
  <c r="D676" i="4"/>
  <c r="G676" i="4"/>
  <c r="K676" i="4"/>
  <c r="A677" i="4"/>
  <c r="D677" i="4"/>
  <c r="G677" i="4"/>
  <c r="K677" i="4"/>
  <c r="A678" i="4"/>
  <c r="D678" i="4"/>
  <c r="G678" i="4"/>
  <c r="K678" i="4"/>
  <c r="A679" i="4"/>
  <c r="D679" i="4"/>
  <c r="G679" i="4"/>
  <c r="K679" i="4"/>
  <c r="A680" i="4"/>
  <c r="D680" i="4"/>
  <c r="G680" i="4"/>
  <c r="K680" i="4"/>
  <c r="A681" i="4"/>
  <c r="D681" i="4"/>
  <c r="G681" i="4"/>
  <c r="K681" i="4"/>
  <c r="A682" i="4"/>
  <c r="D682" i="4"/>
  <c r="G682" i="4"/>
  <c r="K682" i="4"/>
  <c r="A683" i="4"/>
  <c r="D683" i="4"/>
  <c r="G683" i="4"/>
  <c r="K683" i="4"/>
  <c r="A684" i="4"/>
  <c r="D684" i="4"/>
  <c r="G684" i="4"/>
  <c r="K684" i="4"/>
  <c r="A685" i="4"/>
  <c r="D685" i="4"/>
  <c r="G685" i="4"/>
  <c r="K685" i="4"/>
  <c r="A686" i="4"/>
  <c r="D686" i="4"/>
  <c r="G686" i="4"/>
  <c r="K686" i="4"/>
  <c r="A687" i="4"/>
  <c r="D687" i="4"/>
  <c r="G687" i="4"/>
  <c r="K687" i="4"/>
  <c r="A688" i="4"/>
  <c r="D688" i="4"/>
  <c r="G688" i="4"/>
  <c r="K688" i="4"/>
  <c r="A689" i="4"/>
  <c r="D689" i="4"/>
  <c r="G689" i="4"/>
  <c r="K689" i="4"/>
  <c r="A690" i="4"/>
  <c r="D690" i="4"/>
  <c r="G690" i="4"/>
  <c r="K690" i="4"/>
  <c r="A691" i="4"/>
  <c r="D691" i="4"/>
  <c r="G691" i="4"/>
  <c r="K691" i="4"/>
  <c r="A692" i="4"/>
  <c r="D692" i="4"/>
  <c r="G692" i="4"/>
  <c r="K692" i="4"/>
  <c r="A582" i="4"/>
  <c r="D582" i="4"/>
  <c r="G582" i="4"/>
  <c r="K582" i="4"/>
  <c r="M582" i="4"/>
  <c r="A583" i="4"/>
  <c r="D583" i="4"/>
  <c r="G583" i="4"/>
  <c r="M583" i="4"/>
  <c r="A584" i="4"/>
  <c r="D584" i="4"/>
  <c r="G584" i="4"/>
  <c r="K584" i="4"/>
  <c r="M584" i="4"/>
  <c r="A585" i="4"/>
  <c r="D585" i="4"/>
  <c r="G585" i="4"/>
  <c r="K585" i="4"/>
  <c r="M585" i="4"/>
  <c r="A586" i="4"/>
  <c r="D586" i="4"/>
  <c r="G586" i="4"/>
  <c r="K586" i="4"/>
  <c r="M586" i="4"/>
  <c r="A587" i="4"/>
  <c r="G587" i="4"/>
  <c r="K587" i="4"/>
  <c r="M587" i="4"/>
  <c r="A588" i="4"/>
  <c r="D588" i="4"/>
  <c r="G588" i="4"/>
  <c r="K588" i="4"/>
  <c r="M588" i="4"/>
  <c r="A589" i="4"/>
  <c r="D589" i="4"/>
  <c r="G589" i="4"/>
  <c r="K589" i="4"/>
  <c r="M589" i="4"/>
  <c r="A590" i="4"/>
  <c r="D590" i="4"/>
  <c r="G590" i="4"/>
  <c r="K590" i="4"/>
  <c r="M590" i="4"/>
  <c r="A591" i="4"/>
  <c r="D591" i="4"/>
  <c r="G591" i="4"/>
  <c r="K591" i="4"/>
  <c r="M591" i="4"/>
  <c r="A592" i="4"/>
  <c r="D592" i="4"/>
  <c r="G592" i="4"/>
  <c r="K592" i="4"/>
  <c r="M592" i="4"/>
  <c r="A593" i="4"/>
  <c r="D593" i="4"/>
  <c r="G593" i="4"/>
  <c r="K593" i="4"/>
  <c r="M593" i="4"/>
  <c r="A594" i="4"/>
  <c r="D594" i="4"/>
  <c r="G594" i="4"/>
  <c r="K594" i="4"/>
  <c r="M594" i="4"/>
  <c r="A595" i="4"/>
  <c r="D595" i="4"/>
  <c r="G595" i="4"/>
  <c r="K595" i="4"/>
  <c r="M595" i="4"/>
  <c r="A596" i="4"/>
  <c r="D596" i="4"/>
  <c r="G596" i="4"/>
  <c r="K596" i="4"/>
  <c r="M596" i="4"/>
  <c r="A597" i="4"/>
  <c r="D597" i="4"/>
  <c r="G597" i="4"/>
  <c r="K597" i="4"/>
  <c r="M597" i="4"/>
  <c r="A598" i="4"/>
  <c r="D598" i="4"/>
  <c r="G598" i="4"/>
  <c r="K598" i="4"/>
  <c r="M598" i="4"/>
  <c r="A599" i="4"/>
  <c r="D599" i="4"/>
  <c r="G599" i="4"/>
  <c r="K599" i="4"/>
  <c r="M599" i="4"/>
  <c r="A600" i="4"/>
  <c r="D600" i="4"/>
  <c r="G600" i="4"/>
  <c r="K600" i="4"/>
  <c r="M600" i="4"/>
  <c r="A601" i="4"/>
  <c r="D601" i="4"/>
  <c r="G601" i="4"/>
  <c r="K601" i="4"/>
  <c r="M601" i="4"/>
  <c r="A602" i="4"/>
  <c r="D602" i="4"/>
  <c r="G602" i="4"/>
  <c r="K602" i="4"/>
  <c r="M602" i="4"/>
  <c r="A603" i="4"/>
  <c r="D603" i="4"/>
  <c r="G603" i="4"/>
  <c r="K603" i="4"/>
  <c r="M603" i="4"/>
  <c r="A604" i="4"/>
  <c r="D604" i="4"/>
  <c r="G604" i="4"/>
  <c r="K604" i="4"/>
  <c r="M604" i="4"/>
  <c r="A605" i="4"/>
  <c r="D605" i="4"/>
  <c r="G605" i="4"/>
  <c r="K605" i="4"/>
  <c r="M605" i="4"/>
  <c r="A606" i="4"/>
  <c r="D606" i="4"/>
  <c r="G606" i="4"/>
  <c r="K606" i="4"/>
  <c r="M606" i="4"/>
  <c r="A607" i="4"/>
  <c r="D607" i="4"/>
  <c r="G607" i="4"/>
  <c r="K607" i="4"/>
  <c r="M607" i="4"/>
  <c r="A608" i="4"/>
  <c r="D608" i="4"/>
  <c r="G608" i="4"/>
  <c r="K608" i="4"/>
  <c r="M608" i="4"/>
  <c r="K579" i="4"/>
  <c r="K580" i="4"/>
  <c r="K581" i="4"/>
  <c r="K578" i="4"/>
  <c r="D578" i="4"/>
  <c r="L578" i="4"/>
  <c r="E578" i="4"/>
  <c r="L574" i="4" l="1"/>
  <c r="D574" i="4"/>
  <c r="D575" i="4"/>
  <c r="D576" i="4"/>
  <c r="D577" i="4"/>
  <c r="D579" i="4"/>
  <c r="D580" i="4"/>
  <c r="D581" i="4"/>
  <c r="D573" i="4"/>
  <c r="L570" i="4"/>
  <c r="L568" i="4"/>
  <c r="L566" i="4"/>
  <c r="L564" i="4"/>
  <c r="L563" i="4"/>
  <c r="L561" i="4"/>
  <c r="L556" i="4"/>
  <c r="L551" i="4"/>
  <c r="L547" i="4"/>
  <c r="L545" i="4" l="1"/>
  <c r="L540" i="4"/>
  <c r="L539" i="4"/>
  <c r="L535" i="4"/>
  <c r="L533" i="4"/>
  <c r="E533" i="4"/>
  <c r="L529" i="4"/>
  <c r="L528" i="4"/>
  <c r="L527" i="4"/>
  <c r="L525" i="4"/>
  <c r="L523" i="4"/>
  <c r="L522" i="4"/>
  <c r="G524" i="4"/>
  <c r="L517" i="4"/>
  <c r="L515"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L513" i="4"/>
  <c r="L508" i="4" l="1"/>
  <c r="L505" i="4"/>
  <c r="L503" i="4"/>
  <c r="L501" i="4"/>
  <c r="E501" i="4"/>
  <c r="L499" i="4"/>
  <c r="M498" i="4" l="1"/>
  <c r="L495" i="4" l="1"/>
  <c r="L494" i="4"/>
  <c r="L491" i="4"/>
  <c r="L488" i="4"/>
  <c r="L485" i="4" l="1"/>
  <c r="M305" i="4" l="1"/>
  <c r="M306" i="4"/>
  <c r="M307" i="4"/>
  <c r="M308" i="4"/>
  <c r="M309" i="4"/>
  <c r="M310" i="4"/>
  <c r="M311" i="4"/>
  <c r="M313" i="4"/>
  <c r="M314" i="4"/>
  <c r="M315" i="4"/>
  <c r="M316" i="4"/>
  <c r="M317" i="4"/>
  <c r="M318" i="4"/>
  <c r="M319" i="4"/>
  <c r="M320" i="4"/>
  <c r="M321" i="4"/>
  <c r="M322" i="4"/>
  <c r="M323" i="4"/>
  <c r="M324" i="4"/>
  <c r="M325" i="4"/>
  <c r="M326" i="4"/>
  <c r="M327" i="4"/>
  <c r="M328" i="4"/>
  <c r="M329" i="4"/>
  <c r="M330" i="4"/>
  <c r="M331" i="4"/>
  <c r="M332" i="4"/>
  <c r="M333" i="4"/>
  <c r="M334" i="4"/>
  <c r="M335" i="4"/>
  <c r="M336" i="4"/>
  <c r="M304" i="4"/>
  <c r="A496" i="4"/>
  <c r="D496" i="4"/>
  <c r="G496" i="4"/>
  <c r="K496" i="4"/>
  <c r="M496" i="4"/>
  <c r="A497" i="4"/>
  <c r="D497" i="4"/>
  <c r="G497" i="4"/>
  <c r="K497" i="4"/>
  <c r="M497" i="4"/>
  <c r="A498" i="4"/>
  <c r="D498" i="4"/>
  <c r="G498" i="4"/>
  <c r="K498" i="4"/>
  <c r="A499" i="4"/>
  <c r="D499" i="4"/>
  <c r="G499" i="4"/>
  <c r="K499" i="4"/>
  <c r="A500" i="4"/>
  <c r="D500" i="4"/>
  <c r="G500" i="4"/>
  <c r="K500" i="4"/>
  <c r="A501" i="4"/>
  <c r="D501" i="4"/>
  <c r="G501" i="4"/>
  <c r="K501" i="4"/>
  <c r="A502" i="4"/>
  <c r="D502" i="4"/>
  <c r="K502" i="4"/>
  <c r="A503" i="4"/>
  <c r="D503" i="4"/>
  <c r="G503" i="4"/>
  <c r="K503" i="4"/>
  <c r="A504" i="4"/>
  <c r="D504" i="4"/>
  <c r="G504" i="4"/>
  <c r="K504" i="4"/>
  <c r="A505" i="4"/>
  <c r="D505" i="4"/>
  <c r="G505" i="4"/>
  <c r="K505" i="4"/>
  <c r="A506" i="4"/>
  <c r="D506" i="4"/>
  <c r="G506" i="4"/>
  <c r="K506" i="4"/>
  <c r="A507" i="4"/>
  <c r="D507" i="4"/>
  <c r="G507" i="4"/>
  <c r="A508" i="4"/>
  <c r="D508" i="4"/>
  <c r="G508" i="4"/>
  <c r="K508" i="4"/>
  <c r="A509" i="4"/>
  <c r="D509" i="4"/>
  <c r="G509" i="4"/>
  <c r="K509" i="4"/>
  <c r="A510" i="4"/>
  <c r="D510" i="4"/>
  <c r="G510" i="4"/>
  <c r="K510" i="4"/>
  <c r="A511" i="4"/>
  <c r="D511" i="4"/>
  <c r="G511" i="4"/>
  <c r="K511" i="4"/>
  <c r="A512" i="4"/>
  <c r="D512" i="4"/>
  <c r="G512" i="4"/>
  <c r="K512" i="4"/>
  <c r="A513" i="4"/>
  <c r="D513" i="4"/>
  <c r="G513" i="4"/>
  <c r="K513" i="4"/>
  <c r="A514" i="4"/>
  <c r="D514" i="4"/>
  <c r="G514" i="4"/>
  <c r="K514" i="4"/>
  <c r="A515" i="4"/>
  <c r="D515" i="4"/>
  <c r="G515" i="4"/>
  <c r="K515" i="4"/>
  <c r="A516" i="4"/>
  <c r="D516" i="4"/>
  <c r="G516" i="4"/>
  <c r="K516" i="4"/>
  <c r="A517" i="4"/>
  <c r="D517" i="4"/>
  <c r="G517" i="4"/>
  <c r="K517" i="4"/>
  <c r="A518" i="4"/>
  <c r="D518" i="4"/>
  <c r="G518" i="4"/>
  <c r="K518" i="4"/>
  <c r="A519" i="4"/>
  <c r="D519" i="4"/>
  <c r="G519" i="4"/>
  <c r="K519" i="4"/>
  <c r="A520" i="4"/>
  <c r="D520" i="4"/>
  <c r="G520" i="4"/>
  <c r="K520" i="4"/>
  <c r="A521" i="4"/>
  <c r="D521" i="4"/>
  <c r="G521" i="4"/>
  <c r="K521" i="4"/>
  <c r="A522" i="4"/>
  <c r="D522" i="4"/>
  <c r="G522" i="4"/>
  <c r="A523" i="4"/>
  <c r="D523" i="4"/>
  <c r="G523" i="4"/>
  <c r="K523" i="4"/>
  <c r="A524" i="4"/>
  <c r="D524" i="4"/>
  <c r="K524" i="4"/>
  <c r="A525" i="4"/>
  <c r="D525" i="4"/>
  <c r="G525" i="4"/>
  <c r="K525" i="4"/>
  <c r="A526" i="4"/>
  <c r="D526" i="4"/>
  <c r="G526" i="4"/>
  <c r="K526" i="4"/>
  <c r="A527" i="4"/>
  <c r="D527" i="4"/>
  <c r="G527" i="4"/>
  <c r="K527" i="4"/>
  <c r="A528" i="4"/>
  <c r="D528" i="4"/>
  <c r="G528" i="4"/>
  <c r="K528" i="4"/>
  <c r="A529" i="4"/>
  <c r="D529" i="4"/>
  <c r="G529" i="4"/>
  <c r="K529" i="4"/>
  <c r="A530" i="4"/>
  <c r="D530" i="4"/>
  <c r="G530" i="4"/>
  <c r="K530" i="4"/>
  <c r="A531" i="4"/>
  <c r="D531" i="4"/>
  <c r="G531" i="4"/>
  <c r="K531" i="4"/>
  <c r="A532" i="4"/>
  <c r="D532" i="4"/>
  <c r="G532" i="4"/>
  <c r="K532" i="4"/>
  <c r="A533" i="4"/>
  <c r="D533" i="4"/>
  <c r="G533" i="4"/>
  <c r="K533" i="4"/>
  <c r="A534" i="4"/>
  <c r="D534" i="4"/>
  <c r="G534" i="4"/>
  <c r="K534" i="4"/>
  <c r="A535" i="4"/>
  <c r="D535" i="4"/>
  <c r="G535" i="4"/>
  <c r="K535" i="4"/>
  <c r="A536" i="4"/>
  <c r="D536" i="4"/>
  <c r="G536" i="4"/>
  <c r="K536" i="4"/>
  <c r="A537" i="4"/>
  <c r="D537" i="4"/>
  <c r="G537" i="4"/>
  <c r="K537" i="4"/>
  <c r="A538" i="4"/>
  <c r="D538" i="4"/>
  <c r="G538" i="4"/>
  <c r="K538" i="4"/>
  <c r="A539" i="4"/>
  <c r="D539" i="4"/>
  <c r="G539" i="4"/>
  <c r="K539" i="4"/>
  <c r="A540" i="4"/>
  <c r="D540" i="4"/>
  <c r="G540" i="4"/>
  <c r="K540" i="4"/>
  <c r="A541" i="4"/>
  <c r="D541" i="4"/>
  <c r="G541" i="4"/>
  <c r="K541" i="4"/>
  <c r="A542" i="4"/>
  <c r="D542" i="4"/>
  <c r="G542" i="4"/>
  <c r="K542" i="4"/>
  <c r="A543" i="4"/>
  <c r="D543" i="4"/>
  <c r="G543" i="4"/>
  <c r="K543" i="4"/>
  <c r="A544" i="4"/>
  <c r="D544" i="4"/>
  <c r="G544" i="4"/>
  <c r="K544" i="4"/>
  <c r="A545" i="4"/>
  <c r="D545" i="4"/>
  <c r="G545" i="4"/>
  <c r="K545" i="4"/>
  <c r="A546" i="4"/>
  <c r="D546" i="4"/>
  <c r="G546" i="4"/>
  <c r="K546" i="4"/>
  <c r="A547" i="4"/>
  <c r="D547" i="4"/>
  <c r="G547" i="4"/>
  <c r="K547" i="4"/>
  <c r="A548" i="4"/>
  <c r="D548" i="4"/>
  <c r="G548" i="4"/>
  <c r="K548" i="4"/>
  <c r="A549" i="4"/>
  <c r="D549" i="4"/>
  <c r="G549" i="4"/>
  <c r="K549" i="4"/>
  <c r="A550" i="4"/>
  <c r="D550" i="4"/>
  <c r="G550" i="4"/>
  <c r="K550" i="4"/>
  <c r="A551" i="4"/>
  <c r="D551" i="4"/>
  <c r="G551" i="4"/>
  <c r="K551" i="4"/>
  <c r="A552" i="4"/>
  <c r="D552" i="4"/>
  <c r="G552" i="4"/>
  <c r="K552" i="4"/>
  <c r="A553" i="4"/>
  <c r="D553" i="4"/>
  <c r="G553" i="4"/>
  <c r="K553" i="4"/>
  <c r="A554" i="4"/>
  <c r="D554" i="4"/>
  <c r="G554" i="4"/>
  <c r="K554" i="4"/>
  <c r="A555" i="4"/>
  <c r="D555" i="4"/>
  <c r="G555" i="4"/>
  <c r="K555" i="4"/>
  <c r="A556" i="4"/>
  <c r="D556" i="4"/>
  <c r="G556" i="4"/>
  <c r="K556" i="4"/>
  <c r="A557" i="4"/>
  <c r="D557" i="4"/>
  <c r="G557" i="4"/>
  <c r="K557" i="4"/>
  <c r="A558" i="4"/>
  <c r="D558" i="4"/>
  <c r="G558" i="4"/>
  <c r="K558" i="4"/>
  <c r="A559" i="4"/>
  <c r="D559" i="4"/>
  <c r="G559" i="4"/>
  <c r="K559" i="4"/>
  <c r="A560" i="4"/>
  <c r="D560" i="4"/>
  <c r="G560" i="4"/>
  <c r="K560" i="4"/>
  <c r="A561" i="4"/>
  <c r="D561" i="4"/>
  <c r="G561" i="4"/>
  <c r="K561" i="4"/>
  <c r="A562" i="4"/>
  <c r="D562" i="4"/>
  <c r="G562" i="4"/>
  <c r="K562" i="4"/>
  <c r="A563" i="4"/>
  <c r="D563" i="4"/>
  <c r="G563" i="4"/>
  <c r="K563" i="4"/>
  <c r="A564" i="4"/>
  <c r="D564" i="4"/>
  <c r="G564" i="4"/>
  <c r="K564" i="4"/>
  <c r="A565" i="4"/>
  <c r="D565" i="4"/>
  <c r="G565" i="4"/>
  <c r="K565" i="4"/>
  <c r="A566" i="4"/>
  <c r="D566" i="4"/>
  <c r="G566" i="4"/>
  <c r="K566" i="4"/>
  <c r="A567" i="4"/>
  <c r="D567" i="4"/>
  <c r="G567" i="4"/>
  <c r="K567" i="4"/>
  <c r="A568" i="4"/>
  <c r="D568" i="4"/>
  <c r="G568" i="4"/>
  <c r="K568" i="4"/>
  <c r="A569" i="4"/>
  <c r="D569" i="4"/>
  <c r="G569" i="4"/>
  <c r="K569" i="4"/>
  <c r="A570" i="4"/>
  <c r="D570" i="4"/>
  <c r="G570" i="4"/>
  <c r="K570" i="4"/>
  <c r="A571" i="4"/>
  <c r="D571" i="4"/>
  <c r="G571" i="4"/>
  <c r="K571" i="4"/>
  <c r="A572" i="4"/>
  <c r="D572" i="4"/>
  <c r="G572" i="4"/>
  <c r="K572" i="4"/>
  <c r="A573" i="4"/>
  <c r="G573" i="4"/>
  <c r="A574" i="4"/>
  <c r="G574" i="4"/>
  <c r="K574" i="4"/>
  <c r="A575" i="4"/>
  <c r="G575" i="4"/>
  <c r="K575" i="4"/>
  <c r="A576" i="4"/>
  <c r="G576" i="4"/>
  <c r="K576" i="4"/>
  <c r="A577" i="4"/>
  <c r="G577" i="4"/>
  <c r="K577" i="4"/>
  <c r="A578" i="4"/>
  <c r="G578" i="4"/>
  <c r="A579" i="4"/>
  <c r="G579" i="4"/>
  <c r="A580" i="4"/>
  <c r="G580" i="4"/>
  <c r="A581" i="4"/>
  <c r="G581" i="4"/>
  <c r="E445" i="4" l="1"/>
  <c r="E443" i="4"/>
  <c r="L441" i="4"/>
  <c r="L439" i="4" l="1"/>
  <c r="L437" i="4"/>
  <c r="A454" i="4"/>
  <c r="D454" i="4"/>
  <c r="G454" i="4"/>
  <c r="K454" i="4"/>
  <c r="M454" i="4"/>
  <c r="A455" i="4"/>
  <c r="D455" i="4"/>
  <c r="G455" i="4"/>
  <c r="K455" i="4"/>
  <c r="M455" i="4"/>
  <c r="A456" i="4"/>
  <c r="D456" i="4"/>
  <c r="G456" i="4"/>
  <c r="K456" i="4"/>
  <c r="M456" i="4"/>
  <c r="A457" i="4"/>
  <c r="D457" i="4"/>
  <c r="G457" i="4"/>
  <c r="K457" i="4"/>
  <c r="M457" i="4"/>
  <c r="A458" i="4"/>
  <c r="D458" i="4"/>
  <c r="G458" i="4"/>
  <c r="K458" i="4"/>
  <c r="M458" i="4"/>
  <c r="A459" i="4"/>
  <c r="D459" i="4"/>
  <c r="G459" i="4"/>
  <c r="K459" i="4"/>
  <c r="M459" i="4"/>
  <c r="A460" i="4"/>
  <c r="D460" i="4"/>
  <c r="G460" i="4"/>
  <c r="K460" i="4"/>
  <c r="M460" i="4"/>
  <c r="A461" i="4"/>
  <c r="D461" i="4"/>
  <c r="G461" i="4"/>
  <c r="K461" i="4"/>
  <c r="M461" i="4"/>
  <c r="A462" i="4"/>
  <c r="D462" i="4"/>
  <c r="G462" i="4"/>
  <c r="K462" i="4"/>
  <c r="M462" i="4"/>
  <c r="A463" i="4"/>
  <c r="D463" i="4"/>
  <c r="G463" i="4"/>
  <c r="K463" i="4"/>
  <c r="M463" i="4"/>
  <c r="A464" i="4"/>
  <c r="D464" i="4"/>
  <c r="G464" i="4"/>
  <c r="K464" i="4"/>
  <c r="M464" i="4"/>
  <c r="A465" i="4"/>
  <c r="D465" i="4"/>
  <c r="G465" i="4"/>
  <c r="K465" i="4"/>
  <c r="M465" i="4"/>
  <c r="A466" i="4"/>
  <c r="D466" i="4"/>
  <c r="G466" i="4"/>
  <c r="K466" i="4"/>
  <c r="M466" i="4"/>
  <c r="A467" i="4"/>
  <c r="D467" i="4"/>
  <c r="G467" i="4"/>
  <c r="K467" i="4"/>
  <c r="M467" i="4"/>
  <c r="A468" i="4"/>
  <c r="D468" i="4"/>
  <c r="G468" i="4"/>
  <c r="K468" i="4"/>
  <c r="M468" i="4"/>
  <c r="A469" i="4"/>
  <c r="D469" i="4"/>
  <c r="G469" i="4"/>
  <c r="K469" i="4"/>
  <c r="M469" i="4"/>
  <c r="A470" i="4"/>
  <c r="D470" i="4"/>
  <c r="G470" i="4"/>
  <c r="K470" i="4"/>
  <c r="M470" i="4"/>
  <c r="A471" i="4"/>
  <c r="D471" i="4"/>
  <c r="G471" i="4"/>
  <c r="K471" i="4"/>
  <c r="M471" i="4"/>
  <c r="A472" i="4"/>
  <c r="D472" i="4"/>
  <c r="G472" i="4"/>
  <c r="K472" i="4"/>
  <c r="M472" i="4"/>
  <c r="A473" i="4"/>
  <c r="D473" i="4"/>
  <c r="G473" i="4"/>
  <c r="K473" i="4"/>
  <c r="M473" i="4"/>
  <c r="A474" i="4"/>
  <c r="D474" i="4"/>
  <c r="G474" i="4"/>
  <c r="K474" i="4"/>
  <c r="M474" i="4"/>
  <c r="A475" i="4"/>
  <c r="D475" i="4"/>
  <c r="G475" i="4"/>
  <c r="K475" i="4"/>
  <c r="M475" i="4"/>
  <c r="A476" i="4"/>
  <c r="D476" i="4"/>
  <c r="G476" i="4"/>
  <c r="K476" i="4"/>
  <c r="M476" i="4"/>
  <c r="A477" i="4"/>
  <c r="D477" i="4"/>
  <c r="G477" i="4"/>
  <c r="K477" i="4"/>
  <c r="M477" i="4"/>
  <c r="A478" i="4"/>
  <c r="D478" i="4"/>
  <c r="G478" i="4"/>
  <c r="K478" i="4"/>
  <c r="M478" i="4"/>
  <c r="A479" i="4"/>
  <c r="D479" i="4"/>
  <c r="G479" i="4"/>
  <c r="K479" i="4"/>
  <c r="M479" i="4"/>
  <c r="A480" i="4"/>
  <c r="D480" i="4"/>
  <c r="G480" i="4"/>
  <c r="K480" i="4"/>
  <c r="M480" i="4"/>
  <c r="A481" i="4"/>
  <c r="D481" i="4"/>
  <c r="G481" i="4"/>
  <c r="K481" i="4"/>
  <c r="M481" i="4"/>
  <c r="A482" i="4"/>
  <c r="D482" i="4"/>
  <c r="G482" i="4"/>
  <c r="K482" i="4"/>
  <c r="M482" i="4"/>
  <c r="A483" i="4"/>
  <c r="D483" i="4"/>
  <c r="G483" i="4"/>
  <c r="K483" i="4"/>
  <c r="M483" i="4"/>
  <c r="A484" i="4"/>
  <c r="D484" i="4"/>
  <c r="G484" i="4"/>
  <c r="K484" i="4"/>
  <c r="M484" i="4"/>
  <c r="A485" i="4"/>
  <c r="D485" i="4"/>
  <c r="G485" i="4"/>
  <c r="K485" i="4"/>
  <c r="M485" i="4"/>
  <c r="A486" i="4"/>
  <c r="D486" i="4"/>
  <c r="G486" i="4"/>
  <c r="K486" i="4"/>
  <c r="M486" i="4"/>
  <c r="A487" i="4"/>
  <c r="D487" i="4"/>
  <c r="G487" i="4"/>
  <c r="K487" i="4"/>
  <c r="M487" i="4"/>
  <c r="A488" i="4"/>
  <c r="D488" i="4"/>
  <c r="G488" i="4"/>
  <c r="K488" i="4"/>
  <c r="M488" i="4"/>
  <c r="A489" i="4"/>
  <c r="D489" i="4"/>
  <c r="G489" i="4"/>
  <c r="K489" i="4"/>
  <c r="M489" i="4"/>
  <c r="A490" i="4"/>
  <c r="D490" i="4"/>
  <c r="G490" i="4"/>
  <c r="K490" i="4"/>
  <c r="M490" i="4"/>
  <c r="A491" i="4"/>
  <c r="D491" i="4"/>
  <c r="G491" i="4"/>
  <c r="K491" i="4"/>
  <c r="M491" i="4"/>
  <c r="A492" i="4"/>
  <c r="D492" i="4"/>
  <c r="G492" i="4"/>
  <c r="K492" i="4"/>
  <c r="M492" i="4"/>
  <c r="A493" i="4"/>
  <c r="D493" i="4"/>
  <c r="G493" i="4"/>
  <c r="K493" i="4"/>
  <c r="M493" i="4"/>
  <c r="A494" i="4"/>
  <c r="D494" i="4"/>
  <c r="G494" i="4"/>
  <c r="K494" i="4"/>
  <c r="M494" i="4"/>
  <c r="A495" i="4"/>
  <c r="D495" i="4"/>
  <c r="G495" i="4"/>
  <c r="K495" i="4"/>
  <c r="M495" i="4"/>
  <c r="L336" i="4"/>
  <c r="L432" i="4"/>
  <c r="L428" i="4"/>
  <c r="L426" i="4"/>
  <c r="L424" i="4"/>
  <c r="L417" i="4"/>
  <c r="A429" i="4"/>
  <c r="D429" i="4"/>
  <c r="G429" i="4"/>
  <c r="K429" i="4"/>
  <c r="M429" i="4"/>
  <c r="A430" i="4"/>
  <c r="D430" i="4"/>
  <c r="G430" i="4"/>
  <c r="K430" i="4"/>
  <c r="M430" i="4"/>
  <c r="A431" i="4"/>
  <c r="D431" i="4"/>
  <c r="G431" i="4"/>
  <c r="K431" i="4"/>
  <c r="M431" i="4"/>
  <c r="A432" i="4"/>
  <c r="D432" i="4"/>
  <c r="G432" i="4"/>
  <c r="K432" i="4"/>
  <c r="M432" i="4"/>
  <c r="A433" i="4"/>
  <c r="D433" i="4"/>
  <c r="G433" i="4"/>
  <c r="K433" i="4"/>
  <c r="M433" i="4"/>
  <c r="A434" i="4"/>
  <c r="D434" i="4"/>
  <c r="G434" i="4"/>
  <c r="K434" i="4"/>
  <c r="M434" i="4"/>
  <c r="A435" i="4"/>
  <c r="D435" i="4"/>
  <c r="G435" i="4"/>
  <c r="K435" i="4"/>
  <c r="M435" i="4"/>
  <c r="A436" i="4"/>
  <c r="D436" i="4"/>
  <c r="G436" i="4"/>
  <c r="K436" i="4"/>
  <c r="M436" i="4"/>
  <c r="A437" i="4"/>
  <c r="D437" i="4"/>
  <c r="G437" i="4"/>
  <c r="K437" i="4"/>
  <c r="M437" i="4"/>
  <c r="A438" i="4"/>
  <c r="D438" i="4"/>
  <c r="G438" i="4"/>
  <c r="K438" i="4"/>
  <c r="M438" i="4"/>
  <c r="A439" i="4"/>
  <c r="D439" i="4"/>
  <c r="G439" i="4"/>
  <c r="K439" i="4"/>
  <c r="M439" i="4"/>
  <c r="A440" i="4"/>
  <c r="D440" i="4"/>
  <c r="G440" i="4"/>
  <c r="K440" i="4"/>
  <c r="M440" i="4"/>
  <c r="A441" i="4"/>
  <c r="D441" i="4"/>
  <c r="G441" i="4"/>
  <c r="K441" i="4"/>
  <c r="M441" i="4"/>
  <c r="A442" i="4"/>
  <c r="D442" i="4"/>
  <c r="G442" i="4"/>
  <c r="K442" i="4"/>
  <c r="M442" i="4"/>
  <c r="A443" i="4"/>
  <c r="D443" i="4"/>
  <c r="G443" i="4"/>
  <c r="K443" i="4"/>
  <c r="M443" i="4"/>
  <c r="A444" i="4"/>
  <c r="D444" i="4"/>
  <c r="G444" i="4"/>
  <c r="K444" i="4"/>
  <c r="M444" i="4"/>
  <c r="A445" i="4"/>
  <c r="D445" i="4"/>
  <c r="G445" i="4"/>
  <c r="K445" i="4"/>
  <c r="M445" i="4"/>
  <c r="A446" i="4"/>
  <c r="D446" i="4"/>
  <c r="G446" i="4"/>
  <c r="K446" i="4"/>
  <c r="M446" i="4"/>
  <c r="A447" i="4"/>
  <c r="D447" i="4"/>
  <c r="G447" i="4"/>
  <c r="K447" i="4"/>
  <c r="M447" i="4"/>
  <c r="A448" i="4"/>
  <c r="D448" i="4"/>
  <c r="G448" i="4"/>
  <c r="K448" i="4"/>
  <c r="M448" i="4"/>
  <c r="A449" i="4"/>
  <c r="D449" i="4"/>
  <c r="G449" i="4"/>
  <c r="K449" i="4"/>
  <c r="M449" i="4"/>
  <c r="A450" i="4"/>
  <c r="D450" i="4"/>
  <c r="G450" i="4"/>
  <c r="K450" i="4"/>
  <c r="M450" i="4"/>
  <c r="A451" i="4"/>
  <c r="D451" i="4"/>
  <c r="G451" i="4"/>
  <c r="K451" i="4"/>
  <c r="M451" i="4"/>
  <c r="A452" i="4"/>
  <c r="D452" i="4"/>
  <c r="G452" i="4"/>
  <c r="K452" i="4"/>
  <c r="M452" i="4"/>
  <c r="A453" i="4"/>
  <c r="D453" i="4"/>
  <c r="G453" i="4"/>
  <c r="K453" i="4"/>
  <c r="M453" i="4"/>
  <c r="L415" i="4"/>
  <c r="L414" i="4"/>
  <c r="L410" i="4" l="1"/>
  <c r="L408" i="4"/>
  <c r="L398" i="4"/>
  <c r="E398" i="4"/>
  <c r="L396" i="4"/>
  <c r="L393" i="4"/>
  <c r="E393" i="4"/>
  <c r="L390" i="4"/>
  <c r="L389" i="4"/>
  <c r="L385" i="4"/>
  <c r="L383" i="4"/>
  <c r="L382" i="4"/>
  <c r="L379" i="4"/>
  <c r="A400" i="4"/>
  <c r="D400" i="4"/>
  <c r="G400" i="4"/>
  <c r="K400" i="4"/>
  <c r="M400" i="4"/>
  <c r="A401" i="4"/>
  <c r="D401" i="4"/>
  <c r="G401" i="4"/>
  <c r="K401" i="4"/>
  <c r="M401" i="4"/>
  <c r="A402" i="4"/>
  <c r="D402" i="4"/>
  <c r="G402" i="4"/>
  <c r="K402" i="4"/>
  <c r="M402" i="4"/>
  <c r="A403" i="4"/>
  <c r="D403" i="4"/>
  <c r="G403" i="4"/>
  <c r="K403" i="4"/>
  <c r="M403" i="4"/>
  <c r="A404" i="4"/>
  <c r="D404" i="4"/>
  <c r="G404" i="4"/>
  <c r="K404" i="4"/>
  <c r="M404" i="4"/>
  <c r="A405" i="4"/>
  <c r="D405" i="4"/>
  <c r="G405" i="4"/>
  <c r="K405" i="4"/>
  <c r="M405" i="4"/>
  <c r="A406" i="4"/>
  <c r="D406" i="4"/>
  <c r="G406" i="4"/>
  <c r="K406" i="4"/>
  <c r="M406" i="4"/>
  <c r="A407" i="4"/>
  <c r="D407" i="4"/>
  <c r="G407" i="4"/>
  <c r="K407" i="4"/>
  <c r="M407" i="4"/>
  <c r="A408" i="4"/>
  <c r="D408" i="4"/>
  <c r="G408" i="4"/>
  <c r="K408" i="4"/>
  <c r="M408" i="4"/>
  <c r="A409" i="4"/>
  <c r="D409" i="4"/>
  <c r="G409" i="4"/>
  <c r="K409" i="4"/>
  <c r="M409" i="4"/>
  <c r="A410" i="4"/>
  <c r="D410" i="4"/>
  <c r="G410" i="4"/>
  <c r="K410" i="4"/>
  <c r="M410" i="4"/>
  <c r="A411" i="4"/>
  <c r="D411" i="4"/>
  <c r="G411" i="4"/>
  <c r="K411" i="4"/>
  <c r="M411" i="4"/>
  <c r="A412" i="4"/>
  <c r="D412" i="4"/>
  <c r="G412" i="4"/>
  <c r="K412" i="4"/>
  <c r="M412" i="4"/>
  <c r="A413" i="4"/>
  <c r="D413" i="4"/>
  <c r="G413" i="4"/>
  <c r="K413" i="4"/>
  <c r="M413" i="4"/>
  <c r="A414" i="4"/>
  <c r="D414" i="4"/>
  <c r="G414" i="4"/>
  <c r="K414" i="4"/>
  <c r="M414" i="4"/>
  <c r="A415" i="4"/>
  <c r="D415" i="4"/>
  <c r="G415" i="4"/>
  <c r="K415" i="4"/>
  <c r="M415" i="4"/>
  <c r="A416" i="4"/>
  <c r="D416" i="4"/>
  <c r="G416" i="4"/>
  <c r="K416" i="4"/>
  <c r="M416" i="4"/>
  <c r="A417" i="4"/>
  <c r="D417" i="4"/>
  <c r="G417" i="4"/>
  <c r="K417" i="4"/>
  <c r="M417" i="4"/>
  <c r="A418" i="4"/>
  <c r="D418" i="4"/>
  <c r="G418" i="4"/>
  <c r="K418" i="4"/>
  <c r="M418" i="4"/>
  <c r="A419" i="4"/>
  <c r="D419" i="4"/>
  <c r="G419" i="4"/>
  <c r="K419" i="4"/>
  <c r="M419" i="4"/>
  <c r="A420" i="4"/>
  <c r="D420" i="4"/>
  <c r="G420" i="4"/>
  <c r="K420" i="4"/>
  <c r="M420" i="4"/>
  <c r="A421" i="4"/>
  <c r="D421" i="4"/>
  <c r="G421" i="4"/>
  <c r="K421" i="4"/>
  <c r="M421" i="4"/>
  <c r="A422" i="4"/>
  <c r="D422" i="4"/>
  <c r="G422" i="4"/>
  <c r="K422" i="4"/>
  <c r="M422" i="4"/>
  <c r="A423" i="4"/>
  <c r="D423" i="4"/>
  <c r="G423" i="4"/>
  <c r="K423" i="4"/>
  <c r="M423" i="4"/>
  <c r="A424" i="4"/>
  <c r="D424" i="4"/>
  <c r="G424" i="4"/>
  <c r="K424" i="4"/>
  <c r="M424" i="4"/>
  <c r="A425" i="4"/>
  <c r="D425" i="4"/>
  <c r="G425" i="4"/>
  <c r="K425" i="4"/>
  <c r="M425" i="4"/>
  <c r="A426" i="4"/>
  <c r="D426" i="4"/>
  <c r="G426" i="4"/>
  <c r="K426" i="4"/>
  <c r="M426" i="4"/>
  <c r="A427" i="4"/>
  <c r="D427" i="4"/>
  <c r="G427" i="4"/>
  <c r="K427" i="4"/>
  <c r="M427" i="4"/>
  <c r="A428" i="4"/>
  <c r="D428" i="4"/>
  <c r="G428" i="4"/>
  <c r="M428" i="4"/>
  <c r="L373" i="4"/>
  <c r="L372" i="4"/>
  <c r="L371" i="4"/>
  <c r="L369" i="4"/>
  <c r="L366" i="4"/>
  <c r="L364" i="4"/>
  <c r="L362" i="4"/>
  <c r="L361" i="4"/>
  <c r="L359" i="4"/>
  <c r="E359" i="4"/>
  <c r="L357" i="4"/>
  <c r="L355" i="4"/>
  <c r="L342" i="4" l="1"/>
  <c r="L338" i="4" l="1"/>
  <c r="L334" i="4"/>
  <c r="L331" i="4"/>
  <c r="L330" i="4"/>
  <c r="L327" i="4"/>
  <c r="L326" i="4"/>
  <c r="L325" i="4"/>
  <c r="L321" i="4"/>
  <c r="L320" i="4"/>
  <c r="L317" i="4"/>
  <c r="L316" i="4"/>
  <c r="L314" i="4"/>
  <c r="L313" i="4" l="1"/>
  <c r="L304" i="4"/>
  <c r="L303" i="4" l="1"/>
  <c r="L298" i="4"/>
  <c r="L295" i="4"/>
  <c r="L294" i="4"/>
  <c r="L285" i="4"/>
  <c r="E285" i="4"/>
  <c r="L281" i="4" l="1"/>
  <c r="L279" i="4"/>
  <c r="L277" i="4"/>
  <c r="D277" i="4"/>
  <c r="L268" i="4"/>
  <c r="L265" i="4"/>
  <c r="L260" i="4" l="1"/>
  <c r="L258" i="4"/>
  <c r="L257" i="4"/>
  <c r="L255" i="4"/>
  <c r="L254" i="4"/>
  <c r="L250" i="4"/>
  <c r="L249" i="4"/>
  <c r="L248" i="4"/>
  <c r="L244" i="4"/>
  <c r="L242" i="4"/>
  <c r="L240" i="4"/>
  <c r="L236" i="4"/>
  <c r="L226" i="4"/>
  <c r="L223" i="4"/>
  <c r="L221" i="4"/>
  <c r="L219" i="4"/>
  <c r="L217" i="4"/>
  <c r="L209" i="4" l="1"/>
  <c r="L205" i="4"/>
  <c r="L200" i="4"/>
  <c r="L199" i="4"/>
  <c r="L194" i="4"/>
  <c r="L192" i="4"/>
  <c r="L184" i="4"/>
  <c r="E184" i="4"/>
  <c r="D182" i="4"/>
  <c r="D181" i="4"/>
  <c r="L177" i="4"/>
  <c r="L176" i="4"/>
  <c r="L173" i="4"/>
  <c r="L171"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3" i="4"/>
  <c r="N314" i="4"/>
  <c r="N315" i="4"/>
  <c r="N316" i="4"/>
  <c r="N317" i="4"/>
  <c r="N318" i="4"/>
  <c r="N319" i="4"/>
  <c r="N320" i="4"/>
  <c r="N321" i="4"/>
  <c r="N322" i="4"/>
  <c r="N323" i="4"/>
  <c r="N324" i="4"/>
  <c r="N325" i="4"/>
  <c r="N326" i="4"/>
  <c r="N327" i="4"/>
  <c r="N328" i="4"/>
  <c r="N329" i="4"/>
  <c r="N330" i="4"/>
  <c r="N331" i="4"/>
  <c r="N332" i="4"/>
  <c r="N333" i="4"/>
  <c r="N334" i="4"/>
  <c r="N335" i="4"/>
  <c r="N336"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5" i="4"/>
  <c r="N396" i="4"/>
  <c r="N397" i="4"/>
  <c r="N398" i="4"/>
  <c r="N399" i="4"/>
  <c r="N169" i="4"/>
  <c r="L169" i="4"/>
  <c r="L164" i="4"/>
  <c r="L161" i="4"/>
  <c r="L156" i="4"/>
  <c r="E156" i="4"/>
  <c r="L153" i="4"/>
  <c r="L151" i="4"/>
  <c r="L149" i="4"/>
  <c r="L148" i="4"/>
  <c r="L147" i="4"/>
  <c r="L145" i="4"/>
  <c r="L143" i="4"/>
  <c r="L142" i="4"/>
  <c r="L139" i="4" l="1"/>
  <c r="L138" i="4"/>
  <c r="L135" i="4"/>
  <c r="L133" i="4"/>
  <c r="L132" i="4"/>
  <c r="L131" i="4"/>
  <c r="L127" i="4" l="1"/>
  <c r="L123" i="4"/>
  <c r="L121" i="4"/>
  <c r="L119" i="4"/>
  <c r="L114" i="4"/>
  <c r="L117" i="4"/>
  <c r="L112" i="4"/>
  <c r="L109" i="4"/>
  <c r="L108" i="4"/>
  <c r="L100" i="4" l="1"/>
  <c r="E100" i="4"/>
  <c r="M101" i="4"/>
  <c r="M102" i="4"/>
  <c r="M103" i="4"/>
  <c r="M104" i="4"/>
  <c r="M105" i="4"/>
  <c r="M106" i="4"/>
  <c r="M107" i="4"/>
  <c r="M108" i="4"/>
  <c r="M109" i="4"/>
  <c r="M110" i="4"/>
  <c r="M111" i="4"/>
  <c r="M112" i="4"/>
  <c r="M113" i="4"/>
  <c r="M114"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5" i="4"/>
  <c r="M396" i="4"/>
  <c r="M397" i="4"/>
  <c r="M398" i="4"/>
  <c r="M399" i="4"/>
  <c r="M100" i="4"/>
  <c r="L99" i="4" l="1"/>
  <c r="L97" i="4"/>
  <c r="L92" i="4" l="1"/>
  <c r="L91" i="4"/>
  <c r="M11" i="13"/>
  <c r="K11" i="13"/>
  <c r="G11" i="13"/>
  <c r="D11" i="13"/>
  <c r="A11" i="13"/>
  <c r="M10" i="13"/>
  <c r="L10" i="13"/>
  <c r="K10" i="13"/>
  <c r="G10" i="13"/>
  <c r="D10" i="13"/>
  <c r="A10" i="13"/>
  <c r="M9" i="13"/>
  <c r="L9" i="13"/>
  <c r="K9" i="13"/>
  <c r="G9" i="13"/>
  <c r="D9" i="13"/>
  <c r="A9" i="13"/>
  <c r="M8" i="13"/>
  <c r="K8" i="13"/>
  <c r="G8" i="13"/>
  <c r="D8" i="13"/>
  <c r="A8" i="13"/>
  <c r="L84" i="4" l="1"/>
  <c r="E84" i="4"/>
  <c r="L80" i="4" l="1"/>
  <c r="L78" i="4"/>
  <c r="L77" i="4"/>
  <c r="L73" i="4"/>
  <c r="L71" i="4"/>
  <c r="L69" i="4"/>
  <c r="L67" i="4"/>
  <c r="L63" i="4" l="1"/>
  <c r="L62" i="4"/>
  <c r="L56" i="4"/>
  <c r="L50" i="4"/>
  <c r="L49" i="4"/>
  <c r="L45" i="4"/>
  <c r="L44" i="4"/>
  <c r="L43" i="4"/>
  <c r="L39" i="4"/>
  <c r="L31" i="4"/>
  <c r="L26" i="4"/>
  <c r="L24" i="4"/>
  <c r="L23" i="4"/>
  <c r="L22" i="4"/>
  <c r="L21" i="4"/>
  <c r="L19" i="4"/>
  <c r="L18" i="4"/>
  <c r="L16" i="4"/>
  <c r="L15" i="4" l="1"/>
  <c r="M406" i="13"/>
  <c r="K406" i="13"/>
  <c r="G406" i="13"/>
  <c r="D406" i="13"/>
  <c r="A406" i="13"/>
  <c r="M405" i="13"/>
  <c r="K405" i="13"/>
  <c r="G405" i="13"/>
  <c r="D405" i="13"/>
  <c r="A405" i="13"/>
  <c r="M404" i="13"/>
  <c r="K404" i="13"/>
  <c r="G404" i="13"/>
  <c r="D404" i="13"/>
  <c r="A404" i="13"/>
  <c r="M403" i="13"/>
  <c r="K403" i="13"/>
  <c r="G403" i="13"/>
  <c r="D403" i="13"/>
  <c r="A403" i="13"/>
  <c r="M402" i="13"/>
  <c r="K402" i="13"/>
  <c r="G402" i="13"/>
  <c r="D402" i="13"/>
  <c r="A402" i="13"/>
  <c r="M401" i="13"/>
  <c r="K401" i="13"/>
  <c r="G401" i="13"/>
  <c r="D401" i="13"/>
  <c r="A401" i="13"/>
  <c r="M400" i="13"/>
  <c r="K400" i="13"/>
  <c r="G400" i="13"/>
  <c r="D400" i="13"/>
  <c r="A400" i="13"/>
  <c r="M399" i="13"/>
  <c r="K399" i="13"/>
  <c r="G399" i="13"/>
  <c r="D399" i="13"/>
  <c r="A399" i="13"/>
  <c r="M398" i="13"/>
  <c r="K398" i="13"/>
  <c r="G398" i="13"/>
  <c r="D398" i="13"/>
  <c r="A398" i="13"/>
  <c r="M397" i="13"/>
  <c r="K397" i="13"/>
  <c r="G397" i="13"/>
  <c r="D397" i="13"/>
  <c r="A397" i="13"/>
  <c r="M396" i="13"/>
  <c r="K396" i="13"/>
  <c r="G396" i="13"/>
  <c r="D396" i="13"/>
  <c r="A396" i="13"/>
  <c r="M395" i="13"/>
  <c r="K395" i="13"/>
  <c r="G395" i="13"/>
  <c r="D395" i="13"/>
  <c r="A395" i="13"/>
  <c r="M394" i="13"/>
  <c r="K394" i="13"/>
  <c r="G394" i="13"/>
  <c r="D394" i="13"/>
  <c r="A394" i="13"/>
  <c r="M393" i="13"/>
  <c r="K393" i="13"/>
  <c r="G393" i="13"/>
  <c r="D393" i="13"/>
  <c r="A393" i="13"/>
  <c r="M392" i="13"/>
  <c r="K392" i="13"/>
  <c r="G392" i="13"/>
  <c r="D392" i="13"/>
  <c r="A392" i="13"/>
  <c r="M391" i="13"/>
  <c r="K391" i="13"/>
  <c r="G391" i="13"/>
  <c r="D391" i="13"/>
  <c r="A391" i="13"/>
  <c r="M390" i="13"/>
  <c r="K390" i="13"/>
  <c r="G390" i="13"/>
  <c r="D390" i="13"/>
  <c r="A390" i="13"/>
  <c r="M389" i="13"/>
  <c r="K389" i="13"/>
  <c r="G389" i="13"/>
  <c r="D389" i="13"/>
  <c r="A389" i="13"/>
  <c r="M388" i="13"/>
  <c r="K388" i="13"/>
  <c r="G388" i="13"/>
  <c r="D388" i="13"/>
  <c r="A388" i="13"/>
  <c r="M387" i="13"/>
  <c r="K387" i="13"/>
  <c r="G387" i="13"/>
  <c r="D387" i="13"/>
  <c r="A387" i="13"/>
  <c r="M386" i="13"/>
  <c r="K386" i="13"/>
  <c r="G386" i="13"/>
  <c r="D386" i="13"/>
  <c r="A386" i="13"/>
  <c r="M385" i="13"/>
  <c r="K385" i="13"/>
  <c r="G385" i="13"/>
  <c r="D385" i="13"/>
  <c r="A385" i="13"/>
  <c r="M384" i="13"/>
  <c r="K384" i="13"/>
  <c r="G384" i="13"/>
  <c r="D384" i="13"/>
  <c r="A384" i="13"/>
  <c r="M383" i="13"/>
  <c r="K383" i="13"/>
  <c r="G383" i="13"/>
  <c r="D383" i="13"/>
  <c r="A383" i="13"/>
  <c r="M382" i="13"/>
  <c r="K382" i="13"/>
  <c r="G382" i="13"/>
  <c r="D382" i="13"/>
  <c r="A382" i="13"/>
  <c r="M381" i="13"/>
  <c r="K381" i="13"/>
  <c r="G381" i="13"/>
  <c r="D381" i="13"/>
  <c r="A381" i="13"/>
  <c r="M380" i="13"/>
  <c r="K380" i="13"/>
  <c r="G380" i="13"/>
  <c r="D380" i="13"/>
  <c r="A380" i="13"/>
  <c r="M379" i="13"/>
  <c r="K379" i="13"/>
  <c r="G379" i="13"/>
  <c r="D379" i="13"/>
  <c r="A379" i="13"/>
  <c r="M378" i="13"/>
  <c r="K378" i="13"/>
  <c r="G378" i="13"/>
  <c r="D378" i="13"/>
  <c r="A378" i="13"/>
  <c r="M377" i="13"/>
  <c r="K377" i="13"/>
  <c r="G377" i="13"/>
  <c r="D377" i="13"/>
  <c r="A377" i="13"/>
  <c r="M376" i="13"/>
  <c r="K376" i="13"/>
  <c r="G376" i="13"/>
  <c r="D376" i="13"/>
  <c r="A376" i="13"/>
  <c r="M375" i="13"/>
  <c r="K375" i="13"/>
  <c r="G375" i="13"/>
  <c r="D375" i="13"/>
  <c r="A375" i="13"/>
  <c r="M374" i="13"/>
  <c r="K374" i="13"/>
  <c r="G374" i="13"/>
  <c r="D374" i="13"/>
  <c r="A374" i="13"/>
  <c r="M373" i="13"/>
  <c r="K373" i="13"/>
  <c r="G373" i="13"/>
  <c r="D373" i="13"/>
  <c r="A373" i="13"/>
  <c r="M372" i="13"/>
  <c r="K372" i="13"/>
  <c r="G372" i="13"/>
  <c r="D372" i="13"/>
  <c r="A372" i="13"/>
  <c r="M371" i="13"/>
  <c r="K371" i="13"/>
  <c r="G371" i="13"/>
  <c r="D371" i="13"/>
  <c r="A371" i="13"/>
  <c r="M370" i="13"/>
  <c r="K370" i="13"/>
  <c r="G370" i="13"/>
  <c r="D370" i="13"/>
  <c r="A370" i="13"/>
  <c r="M369" i="13"/>
  <c r="K369" i="13"/>
  <c r="G369" i="13"/>
  <c r="D369" i="13"/>
  <c r="A369" i="13"/>
  <c r="M368" i="13"/>
  <c r="K368" i="13"/>
  <c r="G368" i="13"/>
  <c r="D368" i="13"/>
  <c r="A368" i="13"/>
  <c r="M367" i="13"/>
  <c r="K367" i="13"/>
  <c r="G367" i="13"/>
  <c r="D367" i="13"/>
  <c r="A367" i="13"/>
  <c r="M366" i="13"/>
  <c r="K366" i="13"/>
  <c r="G366" i="13"/>
  <c r="D366" i="13"/>
  <c r="A366" i="13"/>
  <c r="M365" i="13"/>
  <c r="K365" i="13"/>
  <c r="G365" i="13"/>
  <c r="D365" i="13"/>
  <c r="A365" i="13"/>
  <c r="M364" i="13"/>
  <c r="K364" i="13"/>
  <c r="G364" i="13"/>
  <c r="D364" i="13"/>
  <c r="A364" i="13"/>
  <c r="M363" i="13"/>
  <c r="K363" i="13"/>
  <c r="G363" i="13"/>
  <c r="D363" i="13"/>
  <c r="A363" i="13"/>
  <c r="M362" i="13"/>
  <c r="K362" i="13"/>
  <c r="G362" i="13"/>
  <c r="D362" i="13"/>
  <c r="A362" i="13"/>
  <c r="M361" i="13"/>
  <c r="K361" i="13"/>
  <c r="G361" i="13"/>
  <c r="D361" i="13"/>
  <c r="A361" i="13"/>
  <c r="M360" i="13"/>
  <c r="K360" i="13"/>
  <c r="G360" i="13"/>
  <c r="D360" i="13"/>
  <c r="A360" i="13"/>
  <c r="M359" i="13"/>
  <c r="K359" i="13"/>
  <c r="G359" i="13"/>
  <c r="D359" i="13"/>
  <c r="A359" i="13"/>
  <c r="M358" i="13"/>
  <c r="K358" i="13"/>
  <c r="G358" i="13"/>
  <c r="D358" i="13"/>
  <c r="A358" i="13"/>
  <c r="M357" i="13"/>
  <c r="K357" i="13"/>
  <c r="G357" i="13"/>
  <c r="D357" i="13"/>
  <c r="A357" i="13"/>
  <c r="M356" i="13"/>
  <c r="K356" i="13"/>
  <c r="G356" i="13"/>
  <c r="D356" i="13"/>
  <c r="A356" i="13"/>
  <c r="M355" i="13"/>
  <c r="K355" i="13"/>
  <c r="G355" i="13"/>
  <c r="D355" i="13"/>
  <c r="A355" i="13"/>
  <c r="M354" i="13"/>
  <c r="K354" i="13"/>
  <c r="G354" i="13"/>
  <c r="D354" i="13"/>
  <c r="A354" i="13"/>
  <c r="M353" i="13"/>
  <c r="K353" i="13"/>
  <c r="G353" i="13"/>
  <c r="D353" i="13"/>
  <c r="A353" i="13"/>
  <c r="M352" i="13"/>
  <c r="K352" i="13"/>
  <c r="G352" i="13"/>
  <c r="D352" i="13"/>
  <c r="A352" i="13"/>
  <c r="M351" i="13"/>
  <c r="K351" i="13"/>
  <c r="G351" i="13"/>
  <c r="D351" i="13"/>
  <c r="A351" i="13"/>
  <c r="M350" i="13"/>
  <c r="K350" i="13"/>
  <c r="G350" i="13"/>
  <c r="D350" i="13"/>
  <c r="A350" i="13"/>
  <c r="M349" i="13"/>
  <c r="K349" i="13"/>
  <c r="G349" i="13"/>
  <c r="D349" i="13"/>
  <c r="A349" i="13"/>
  <c r="M348" i="13"/>
  <c r="K348" i="13"/>
  <c r="G348" i="13"/>
  <c r="D348" i="13"/>
  <c r="A348" i="13"/>
  <c r="M347" i="13"/>
  <c r="K347" i="13"/>
  <c r="G347" i="13"/>
  <c r="D347" i="13"/>
  <c r="A347" i="13"/>
  <c r="M346" i="13"/>
  <c r="K346" i="13"/>
  <c r="G346" i="13"/>
  <c r="D346" i="13"/>
  <c r="A346" i="13"/>
  <c r="M345" i="13"/>
  <c r="K345" i="13"/>
  <c r="G345" i="13"/>
  <c r="D345" i="13"/>
  <c r="A345" i="13"/>
  <c r="M344" i="13"/>
  <c r="K344" i="13"/>
  <c r="G344" i="13"/>
  <c r="D344" i="13"/>
  <c r="A344" i="13"/>
  <c r="M343" i="13"/>
  <c r="K343" i="13"/>
  <c r="G343" i="13"/>
  <c r="D343" i="13"/>
  <c r="A343" i="13"/>
  <c r="M342" i="13"/>
  <c r="K342" i="13"/>
  <c r="G342" i="13"/>
  <c r="D342" i="13"/>
  <c r="A342" i="13"/>
  <c r="M341" i="13"/>
  <c r="K341" i="13"/>
  <c r="G341" i="13"/>
  <c r="D341" i="13"/>
  <c r="A341" i="13"/>
  <c r="M340" i="13"/>
  <c r="K340" i="13"/>
  <c r="G340" i="13"/>
  <c r="D340" i="13"/>
  <c r="A340" i="13"/>
  <c r="M339" i="13"/>
  <c r="K339" i="13"/>
  <c r="G339" i="13"/>
  <c r="D339" i="13"/>
  <c r="A339" i="13"/>
  <c r="M338" i="13"/>
  <c r="K338" i="13"/>
  <c r="G338" i="13"/>
  <c r="D338" i="13"/>
  <c r="A338" i="13"/>
  <c r="M337" i="13"/>
  <c r="K337" i="13"/>
  <c r="G337" i="13"/>
  <c r="D337" i="13"/>
  <c r="A337" i="13"/>
  <c r="M336" i="13"/>
  <c r="K336" i="13"/>
  <c r="G336" i="13"/>
  <c r="D336" i="13"/>
  <c r="A336" i="13"/>
  <c r="M335" i="13"/>
  <c r="K335" i="13"/>
  <c r="G335" i="13"/>
  <c r="D335" i="13"/>
  <c r="A335" i="13"/>
  <c r="M334" i="13"/>
  <c r="K334" i="13"/>
  <c r="G334" i="13"/>
  <c r="D334" i="13"/>
  <c r="A334" i="13"/>
  <c r="M333" i="13"/>
  <c r="K333" i="13"/>
  <c r="G333" i="13"/>
  <c r="D333" i="13"/>
  <c r="A333" i="13"/>
  <c r="M332" i="13"/>
  <c r="K332" i="13"/>
  <c r="G332" i="13"/>
  <c r="D332" i="13"/>
  <c r="A332" i="13"/>
  <c r="M331" i="13"/>
  <c r="K331" i="13"/>
  <c r="G331" i="13"/>
  <c r="D331" i="13"/>
  <c r="A331" i="13"/>
  <c r="M330" i="13"/>
  <c r="K330" i="13"/>
  <c r="G330" i="13"/>
  <c r="D330" i="13"/>
  <c r="A330" i="13"/>
  <c r="M329" i="13"/>
  <c r="K329" i="13"/>
  <c r="G329" i="13"/>
  <c r="D329" i="13"/>
  <c r="A329" i="13"/>
  <c r="M328" i="13"/>
  <c r="K328" i="13"/>
  <c r="G328" i="13"/>
  <c r="D328" i="13"/>
  <c r="A328" i="13"/>
  <c r="M327" i="13"/>
  <c r="K327" i="13"/>
  <c r="G327" i="13"/>
  <c r="D327" i="13"/>
  <c r="A327" i="13"/>
  <c r="M326" i="13"/>
  <c r="K326" i="13"/>
  <c r="G326" i="13"/>
  <c r="D326" i="13"/>
  <c r="A326" i="13"/>
  <c r="M325" i="13"/>
  <c r="K325" i="13"/>
  <c r="G325" i="13"/>
  <c r="D325" i="13"/>
  <c r="A325" i="13"/>
  <c r="M324" i="13"/>
  <c r="K324" i="13"/>
  <c r="G324" i="13"/>
  <c r="D324" i="13"/>
  <c r="A324" i="13"/>
  <c r="M323" i="13"/>
  <c r="K323" i="13"/>
  <c r="G323" i="13"/>
  <c r="D323" i="13"/>
  <c r="A323" i="13"/>
  <c r="M322" i="13"/>
  <c r="K322" i="13"/>
  <c r="G322" i="13"/>
  <c r="D322" i="13"/>
  <c r="A322" i="13"/>
  <c r="M321" i="13"/>
  <c r="K321" i="13"/>
  <c r="G321" i="13"/>
  <c r="D321" i="13"/>
  <c r="A321" i="13"/>
  <c r="M320" i="13"/>
  <c r="K320" i="13"/>
  <c r="G320" i="13"/>
  <c r="D320" i="13"/>
  <c r="A320" i="13"/>
  <c r="M319" i="13"/>
  <c r="K319" i="13"/>
  <c r="G319" i="13"/>
  <c r="D319" i="13"/>
  <c r="A319" i="13"/>
  <c r="M318" i="13"/>
  <c r="K318" i="13"/>
  <c r="G318" i="13"/>
  <c r="D318" i="13"/>
  <c r="A318" i="13"/>
  <c r="M317" i="13"/>
  <c r="K317" i="13"/>
  <c r="G317" i="13"/>
  <c r="D317" i="13"/>
  <c r="A317" i="13"/>
  <c r="M316" i="13"/>
  <c r="K316" i="13"/>
  <c r="G316" i="13"/>
  <c r="D316" i="13"/>
  <c r="A316" i="13"/>
  <c r="M315" i="13"/>
  <c r="K315" i="13"/>
  <c r="G315" i="13"/>
  <c r="D315" i="13"/>
  <c r="A315" i="13"/>
  <c r="M314" i="13"/>
  <c r="K314" i="13"/>
  <c r="G314" i="13"/>
  <c r="D314" i="13"/>
  <c r="A314" i="13"/>
  <c r="M313" i="13"/>
  <c r="K313" i="13"/>
  <c r="G313" i="13"/>
  <c r="D313" i="13"/>
  <c r="A313" i="13"/>
  <c r="M312" i="13"/>
  <c r="K312" i="13"/>
  <c r="G312" i="13"/>
  <c r="D312" i="13"/>
  <c r="A312" i="13"/>
  <c r="M311" i="13"/>
  <c r="K311" i="13"/>
  <c r="G311" i="13"/>
  <c r="D311" i="13"/>
  <c r="A311" i="13"/>
  <c r="M310" i="13"/>
  <c r="K310" i="13"/>
  <c r="G310" i="13"/>
  <c r="D310" i="13"/>
  <c r="A310" i="13"/>
  <c r="M309" i="13"/>
  <c r="K309" i="13"/>
  <c r="G309" i="13"/>
  <c r="D309" i="13"/>
  <c r="A309" i="13"/>
  <c r="M308" i="13"/>
  <c r="K308" i="13"/>
  <c r="G308" i="13"/>
  <c r="D308" i="13"/>
  <c r="A308" i="13"/>
  <c r="M307" i="13"/>
  <c r="K307" i="13"/>
  <c r="G307" i="13"/>
  <c r="D307" i="13"/>
  <c r="A307" i="13"/>
  <c r="M306" i="13"/>
  <c r="K306" i="13"/>
  <c r="G306" i="13"/>
  <c r="D306" i="13"/>
  <c r="A306" i="13"/>
  <c r="M305" i="13"/>
  <c r="K305" i="13"/>
  <c r="G305" i="13"/>
  <c r="D305" i="13"/>
  <c r="A305" i="13"/>
  <c r="M304" i="13"/>
  <c r="K304" i="13"/>
  <c r="G304" i="13"/>
  <c r="D304" i="13"/>
  <c r="A304" i="13"/>
  <c r="M303" i="13"/>
  <c r="K303" i="13"/>
  <c r="G303" i="13"/>
  <c r="D303" i="13"/>
  <c r="A303" i="13"/>
  <c r="M302" i="13"/>
  <c r="K302" i="13"/>
  <c r="G302" i="13"/>
  <c r="D302" i="13"/>
  <c r="A302" i="13"/>
  <c r="M301" i="13"/>
  <c r="K301" i="13"/>
  <c r="G301" i="13"/>
  <c r="D301" i="13"/>
  <c r="A301" i="13"/>
  <c r="M300" i="13"/>
  <c r="K300" i="13"/>
  <c r="G300" i="13"/>
  <c r="D300" i="13"/>
  <c r="A300" i="13"/>
  <c r="M299" i="13"/>
  <c r="K299" i="13"/>
  <c r="G299" i="13"/>
  <c r="D299" i="13"/>
  <c r="A299" i="13"/>
  <c r="M298" i="13"/>
  <c r="K298" i="13"/>
  <c r="G298" i="13"/>
  <c r="D298" i="13"/>
  <c r="A298" i="13"/>
  <c r="M297" i="13"/>
  <c r="K297" i="13"/>
  <c r="G297" i="13"/>
  <c r="D297" i="13"/>
  <c r="A297" i="13"/>
  <c r="M296" i="13"/>
  <c r="K296" i="13"/>
  <c r="G296" i="13"/>
  <c r="D296" i="13"/>
  <c r="A296" i="13"/>
  <c r="M295" i="13"/>
  <c r="K295" i="13"/>
  <c r="G295" i="13"/>
  <c r="D295" i="13"/>
  <c r="A295" i="13"/>
  <c r="M294" i="13"/>
  <c r="K294" i="13"/>
  <c r="G294" i="13"/>
  <c r="D294" i="13"/>
  <c r="A294" i="13"/>
  <c r="M293" i="13"/>
  <c r="K293" i="13"/>
  <c r="G293" i="13"/>
  <c r="D293" i="13"/>
  <c r="A293" i="13"/>
  <c r="M292" i="13"/>
  <c r="K292" i="13"/>
  <c r="G292" i="13"/>
  <c r="D292" i="13"/>
  <c r="A292" i="13"/>
  <c r="M291" i="13"/>
  <c r="K291" i="13"/>
  <c r="G291" i="13"/>
  <c r="D291" i="13"/>
  <c r="A291" i="13"/>
  <c r="M290" i="13"/>
  <c r="K290" i="13"/>
  <c r="G290" i="13"/>
  <c r="D290" i="13"/>
  <c r="A290" i="13"/>
  <c r="M289" i="13"/>
  <c r="K289" i="13"/>
  <c r="G289" i="13"/>
  <c r="D289" i="13"/>
  <c r="A289" i="13"/>
  <c r="M288" i="13"/>
  <c r="K288" i="13"/>
  <c r="G288" i="13"/>
  <c r="D288" i="13"/>
  <c r="A288" i="13"/>
  <c r="M287" i="13"/>
  <c r="K287" i="13"/>
  <c r="G287" i="13"/>
  <c r="D287" i="13"/>
  <c r="A287" i="13"/>
  <c r="M286" i="13"/>
  <c r="K286" i="13"/>
  <c r="G286" i="13"/>
  <c r="D286" i="13"/>
  <c r="A286" i="13"/>
  <c r="M285" i="13"/>
  <c r="K285" i="13"/>
  <c r="G285" i="13"/>
  <c r="D285" i="13"/>
  <c r="A285" i="13"/>
  <c r="M284" i="13"/>
  <c r="K284" i="13"/>
  <c r="G284" i="13"/>
  <c r="D284" i="13"/>
  <c r="A284" i="13"/>
  <c r="M283" i="13"/>
  <c r="K283" i="13"/>
  <c r="G283" i="13"/>
  <c r="D283" i="13"/>
  <c r="A283" i="13"/>
  <c r="M282" i="13"/>
  <c r="K282" i="13"/>
  <c r="G282" i="13"/>
  <c r="D282" i="13"/>
  <c r="A282" i="13"/>
  <c r="M281" i="13"/>
  <c r="K281" i="13"/>
  <c r="G281" i="13"/>
  <c r="D281" i="13"/>
  <c r="A281" i="13"/>
  <c r="M280" i="13"/>
  <c r="K280" i="13"/>
  <c r="G280" i="13"/>
  <c r="D280" i="13"/>
  <c r="A280" i="13"/>
  <c r="M279" i="13"/>
  <c r="K279" i="13"/>
  <c r="G279" i="13"/>
  <c r="D279" i="13"/>
  <c r="A279" i="13"/>
  <c r="M278" i="13"/>
  <c r="K278" i="13"/>
  <c r="G278" i="13"/>
  <c r="D278" i="13"/>
  <c r="A278" i="13"/>
  <c r="M277" i="13"/>
  <c r="K277" i="13"/>
  <c r="G277" i="13"/>
  <c r="D277" i="13"/>
  <c r="A277" i="13"/>
  <c r="M276" i="13"/>
  <c r="K276" i="13"/>
  <c r="G276" i="13"/>
  <c r="D276" i="13"/>
  <c r="A276" i="13"/>
  <c r="M275" i="13"/>
  <c r="K275" i="13"/>
  <c r="G275" i="13"/>
  <c r="D275" i="13"/>
  <c r="A275" i="13"/>
  <c r="M274" i="13"/>
  <c r="K274" i="13"/>
  <c r="G274" i="13"/>
  <c r="D274" i="13"/>
  <c r="A274" i="13"/>
  <c r="M273" i="13"/>
  <c r="K273" i="13"/>
  <c r="G273" i="13"/>
  <c r="D273" i="13"/>
  <c r="A273" i="13"/>
  <c r="M272" i="13"/>
  <c r="K272" i="13"/>
  <c r="G272" i="13"/>
  <c r="D272" i="13"/>
  <c r="A272" i="13"/>
  <c r="M271" i="13"/>
  <c r="K271" i="13"/>
  <c r="G271" i="13"/>
  <c r="D271" i="13"/>
  <c r="A271" i="13"/>
  <c r="M270" i="13"/>
  <c r="K270" i="13"/>
  <c r="G270" i="13"/>
  <c r="D270" i="13"/>
  <c r="A270" i="13"/>
  <c r="M269" i="13"/>
  <c r="K269" i="13"/>
  <c r="G269" i="13"/>
  <c r="D269" i="13"/>
  <c r="A269" i="13"/>
  <c r="M268" i="13"/>
  <c r="K268" i="13"/>
  <c r="G268" i="13"/>
  <c r="D268" i="13"/>
  <c r="A268" i="13"/>
  <c r="M267" i="13"/>
  <c r="K267" i="13"/>
  <c r="G267" i="13"/>
  <c r="D267" i="13"/>
  <c r="A267" i="13"/>
  <c r="M266" i="13"/>
  <c r="K266" i="13"/>
  <c r="G266" i="13"/>
  <c r="D266" i="13"/>
  <c r="A266" i="13"/>
  <c r="M265" i="13"/>
  <c r="K265" i="13"/>
  <c r="G265" i="13"/>
  <c r="D265" i="13"/>
  <c r="A265" i="13"/>
  <c r="M264" i="13"/>
  <c r="K264" i="13"/>
  <c r="G264" i="13"/>
  <c r="D264" i="13"/>
  <c r="A264" i="13"/>
  <c r="M263" i="13"/>
  <c r="K263" i="13"/>
  <c r="G263" i="13"/>
  <c r="D263" i="13"/>
  <c r="A263" i="13"/>
  <c r="M262" i="13"/>
  <c r="K262" i="13"/>
  <c r="G262" i="13"/>
  <c r="D262" i="13"/>
  <c r="A262" i="13"/>
  <c r="M261" i="13"/>
  <c r="K261" i="13"/>
  <c r="G261" i="13"/>
  <c r="D261" i="13"/>
  <c r="A261" i="13"/>
  <c r="M260" i="13"/>
  <c r="K260" i="13"/>
  <c r="G260" i="13"/>
  <c r="D260" i="13"/>
  <c r="A260" i="13"/>
  <c r="M259" i="13"/>
  <c r="K259" i="13"/>
  <c r="G259" i="13"/>
  <c r="D259" i="13"/>
  <c r="A259" i="13"/>
  <c r="M258" i="13"/>
  <c r="K258" i="13"/>
  <c r="G258" i="13"/>
  <c r="D258" i="13"/>
  <c r="A258" i="13"/>
  <c r="M257" i="13"/>
  <c r="K257" i="13"/>
  <c r="G257" i="13"/>
  <c r="D257" i="13"/>
  <c r="A257" i="13"/>
  <c r="M256" i="13"/>
  <c r="K256" i="13"/>
  <c r="G256" i="13"/>
  <c r="D256" i="13"/>
  <c r="A256" i="13"/>
  <c r="M255" i="13"/>
  <c r="K255" i="13"/>
  <c r="G255" i="13"/>
  <c r="D255" i="13"/>
  <c r="A255" i="13"/>
  <c r="M254" i="13"/>
  <c r="K254" i="13"/>
  <c r="G254" i="13"/>
  <c r="D254" i="13"/>
  <c r="A254" i="13"/>
  <c r="M253" i="13"/>
  <c r="K253" i="13"/>
  <c r="G253" i="13"/>
  <c r="D253" i="13"/>
  <c r="A253" i="13"/>
  <c r="M252" i="13"/>
  <c r="K252" i="13"/>
  <c r="G252" i="13"/>
  <c r="D252" i="13"/>
  <c r="A252" i="13"/>
  <c r="M251" i="13"/>
  <c r="K251" i="13"/>
  <c r="G251" i="13"/>
  <c r="D251" i="13"/>
  <c r="A251" i="13"/>
  <c r="M250" i="13"/>
  <c r="K250" i="13"/>
  <c r="G250" i="13"/>
  <c r="D250" i="13"/>
  <c r="A250" i="13"/>
  <c r="M249" i="13"/>
  <c r="K249" i="13"/>
  <c r="G249" i="13"/>
  <c r="D249" i="13"/>
  <c r="A249" i="13"/>
  <c r="M248" i="13"/>
  <c r="K248" i="13"/>
  <c r="G248" i="13"/>
  <c r="D248" i="13"/>
  <c r="A248" i="13"/>
  <c r="M247" i="13"/>
  <c r="K247" i="13"/>
  <c r="G247" i="13"/>
  <c r="D247" i="13"/>
  <c r="A247" i="13"/>
  <c r="M246" i="13"/>
  <c r="K246" i="13"/>
  <c r="G246" i="13"/>
  <c r="D246" i="13"/>
  <c r="A246" i="13"/>
  <c r="M245" i="13"/>
  <c r="K245" i="13"/>
  <c r="G245" i="13"/>
  <c r="D245" i="13"/>
  <c r="A245" i="13"/>
  <c r="M244" i="13"/>
  <c r="K244" i="13"/>
  <c r="G244" i="13"/>
  <c r="D244" i="13"/>
  <c r="A244" i="13"/>
  <c r="M243" i="13"/>
  <c r="K243" i="13"/>
  <c r="G243" i="13"/>
  <c r="D243" i="13"/>
  <c r="A243" i="13"/>
  <c r="M242" i="13"/>
  <c r="K242" i="13"/>
  <c r="G242" i="13"/>
  <c r="D242" i="13"/>
  <c r="A242" i="13"/>
  <c r="M241" i="13"/>
  <c r="K241" i="13"/>
  <c r="G241" i="13"/>
  <c r="D241" i="13"/>
  <c r="A241" i="13"/>
  <c r="M240" i="13"/>
  <c r="K240" i="13"/>
  <c r="G240" i="13"/>
  <c r="D240" i="13"/>
  <c r="A240" i="13"/>
  <c r="M239" i="13"/>
  <c r="K239" i="13"/>
  <c r="G239" i="13"/>
  <c r="D239" i="13"/>
  <c r="A239" i="13"/>
  <c r="M238" i="13"/>
  <c r="K238" i="13"/>
  <c r="G238" i="13"/>
  <c r="D238" i="13"/>
  <c r="A238" i="13"/>
  <c r="M237" i="13"/>
  <c r="K237" i="13"/>
  <c r="G237" i="13"/>
  <c r="D237" i="13"/>
  <c r="A237" i="13"/>
  <c r="M236" i="13"/>
  <c r="K236" i="13"/>
  <c r="G236" i="13"/>
  <c r="D236" i="13"/>
  <c r="A236" i="13"/>
  <c r="M235" i="13"/>
  <c r="K235" i="13"/>
  <c r="G235" i="13"/>
  <c r="D235" i="13"/>
  <c r="A235" i="13"/>
  <c r="M234" i="13"/>
  <c r="K234" i="13"/>
  <c r="G234" i="13"/>
  <c r="D234" i="13"/>
  <c r="A234" i="13"/>
  <c r="M233" i="13"/>
  <c r="K233" i="13"/>
  <c r="G233" i="13"/>
  <c r="D233" i="13"/>
  <c r="A233" i="13"/>
  <c r="M232" i="13"/>
  <c r="K232" i="13"/>
  <c r="G232" i="13"/>
  <c r="D232" i="13"/>
  <c r="A232" i="13"/>
  <c r="M231" i="13"/>
  <c r="K231" i="13"/>
  <c r="G231" i="13"/>
  <c r="D231" i="13"/>
  <c r="A231" i="13"/>
  <c r="M230" i="13"/>
  <c r="K230" i="13"/>
  <c r="G230" i="13"/>
  <c r="D230" i="13"/>
  <c r="A230" i="13"/>
  <c r="M229" i="13"/>
  <c r="K229" i="13"/>
  <c r="G229" i="13"/>
  <c r="D229" i="13"/>
  <c r="A229" i="13"/>
  <c r="M228" i="13"/>
  <c r="K228" i="13"/>
  <c r="G228" i="13"/>
  <c r="D228" i="13"/>
  <c r="A228" i="13"/>
  <c r="M227" i="13"/>
  <c r="K227" i="13"/>
  <c r="G227" i="13"/>
  <c r="D227" i="13"/>
  <c r="A227" i="13"/>
  <c r="M226" i="13"/>
  <c r="K226" i="13"/>
  <c r="G226" i="13"/>
  <c r="D226" i="13"/>
  <c r="A226" i="13"/>
  <c r="M225" i="13"/>
  <c r="K225" i="13"/>
  <c r="G225" i="13"/>
  <c r="D225" i="13"/>
  <c r="A225" i="13"/>
  <c r="M224" i="13"/>
  <c r="K224" i="13"/>
  <c r="G224" i="13"/>
  <c r="D224" i="13"/>
  <c r="A224" i="13"/>
  <c r="M223" i="13"/>
  <c r="K223" i="13"/>
  <c r="G223" i="13"/>
  <c r="D223" i="13"/>
  <c r="A223" i="13"/>
  <c r="M222" i="13"/>
  <c r="K222" i="13"/>
  <c r="G222" i="13"/>
  <c r="D222" i="13"/>
  <c r="A222" i="13"/>
  <c r="M221" i="13"/>
  <c r="K221" i="13"/>
  <c r="G221" i="13"/>
  <c r="D221" i="13"/>
  <c r="A221" i="13"/>
  <c r="M220" i="13"/>
  <c r="K220" i="13"/>
  <c r="G220" i="13"/>
  <c r="D220" i="13"/>
  <c r="A220" i="13"/>
  <c r="M219" i="13"/>
  <c r="K219" i="13"/>
  <c r="G219" i="13"/>
  <c r="D219" i="13"/>
  <c r="A219" i="13"/>
  <c r="M218" i="13"/>
  <c r="K218" i="13"/>
  <c r="G218" i="13"/>
  <c r="D218" i="13"/>
  <c r="A218" i="13"/>
  <c r="M217" i="13"/>
  <c r="K217" i="13"/>
  <c r="G217" i="13"/>
  <c r="D217" i="13"/>
  <c r="A217" i="13"/>
  <c r="M216" i="13"/>
  <c r="K216" i="13"/>
  <c r="G216" i="13"/>
  <c r="D216" i="13"/>
  <c r="A216" i="13"/>
  <c r="M215" i="13"/>
  <c r="K215" i="13"/>
  <c r="G215" i="13"/>
  <c r="D215" i="13"/>
  <c r="A215" i="13"/>
  <c r="M214" i="13"/>
  <c r="K214" i="13"/>
  <c r="G214" i="13"/>
  <c r="D214" i="13"/>
  <c r="A214" i="13"/>
  <c r="M213" i="13"/>
  <c r="K213" i="13"/>
  <c r="G213" i="13"/>
  <c r="D213" i="13"/>
  <c r="A213" i="13"/>
  <c r="M212" i="13"/>
  <c r="K212" i="13"/>
  <c r="G212" i="13"/>
  <c r="D212" i="13"/>
  <c r="A212" i="13"/>
  <c r="M211" i="13"/>
  <c r="K211" i="13"/>
  <c r="G211" i="13"/>
  <c r="D211" i="13"/>
  <c r="A211" i="13"/>
  <c r="M210" i="13"/>
  <c r="K210" i="13"/>
  <c r="G210" i="13"/>
  <c r="D210" i="13"/>
  <c r="A210" i="13"/>
  <c r="M209" i="13"/>
  <c r="K209" i="13"/>
  <c r="G209" i="13"/>
  <c r="D209" i="13"/>
  <c r="A209" i="13"/>
  <c r="M208" i="13"/>
  <c r="K208" i="13"/>
  <c r="G208" i="13"/>
  <c r="D208" i="13"/>
  <c r="A208" i="13"/>
  <c r="M207" i="13"/>
  <c r="K207" i="13"/>
  <c r="G207" i="13"/>
  <c r="D207" i="13"/>
  <c r="A207" i="13"/>
  <c r="M206" i="13"/>
  <c r="K206" i="13"/>
  <c r="G206" i="13"/>
  <c r="D206" i="13"/>
  <c r="A206" i="13"/>
  <c r="M205" i="13"/>
  <c r="K205" i="13"/>
  <c r="G205" i="13"/>
  <c r="D205" i="13"/>
  <c r="A205" i="13"/>
  <c r="M204" i="13"/>
  <c r="K204" i="13"/>
  <c r="G204" i="13"/>
  <c r="D204" i="13"/>
  <c r="A204" i="13"/>
  <c r="M203" i="13"/>
  <c r="K203" i="13"/>
  <c r="G203" i="13"/>
  <c r="D203" i="13"/>
  <c r="A203" i="13"/>
  <c r="M202" i="13"/>
  <c r="K202" i="13"/>
  <c r="G202" i="13"/>
  <c r="D202" i="13"/>
  <c r="A202" i="13"/>
  <c r="M201" i="13"/>
  <c r="K201" i="13"/>
  <c r="G201" i="13"/>
  <c r="D201" i="13"/>
  <c r="A201" i="13"/>
  <c r="M200" i="13"/>
  <c r="K200" i="13"/>
  <c r="G200" i="13"/>
  <c r="D200" i="13"/>
  <c r="A200" i="13"/>
  <c r="M199" i="13"/>
  <c r="K199" i="13"/>
  <c r="G199" i="13"/>
  <c r="D199" i="13"/>
  <c r="A199" i="13"/>
  <c r="M198" i="13"/>
  <c r="K198" i="13"/>
  <c r="G198" i="13"/>
  <c r="D198" i="13"/>
  <c r="A198" i="13"/>
  <c r="M197" i="13"/>
  <c r="K197" i="13"/>
  <c r="G197" i="13"/>
  <c r="D197" i="13"/>
  <c r="A197" i="13"/>
  <c r="M196" i="13"/>
  <c r="K196" i="13"/>
  <c r="G196" i="13"/>
  <c r="D196" i="13"/>
  <c r="A196" i="13"/>
  <c r="M195" i="13"/>
  <c r="K195" i="13"/>
  <c r="G195" i="13"/>
  <c r="D195" i="13"/>
  <c r="A195" i="13"/>
  <c r="M194" i="13"/>
  <c r="K194" i="13"/>
  <c r="G194" i="13"/>
  <c r="D194" i="13"/>
  <c r="A194" i="13"/>
  <c r="M193" i="13"/>
  <c r="K193" i="13"/>
  <c r="G193" i="13"/>
  <c r="D193" i="13"/>
  <c r="A193" i="13"/>
  <c r="M192" i="13"/>
  <c r="K192" i="13"/>
  <c r="G192" i="13"/>
  <c r="D192" i="13"/>
  <c r="A192" i="13"/>
  <c r="M191" i="13"/>
  <c r="K191" i="13"/>
  <c r="G191" i="13"/>
  <c r="D191" i="13"/>
  <c r="A191" i="13"/>
  <c r="M190" i="13"/>
  <c r="K190" i="13"/>
  <c r="G190" i="13"/>
  <c r="D190" i="13"/>
  <c r="A190" i="13"/>
  <c r="M189" i="13"/>
  <c r="K189" i="13"/>
  <c r="G189" i="13"/>
  <c r="D189" i="13"/>
  <c r="A189" i="13"/>
  <c r="M188" i="13"/>
  <c r="K188" i="13"/>
  <c r="G188" i="13"/>
  <c r="D188" i="13"/>
  <c r="A188" i="13"/>
  <c r="M187" i="13"/>
  <c r="K187" i="13"/>
  <c r="G187" i="13"/>
  <c r="D187" i="13"/>
  <c r="A187" i="13"/>
  <c r="M186" i="13"/>
  <c r="K186" i="13"/>
  <c r="G186" i="13"/>
  <c r="D186" i="13"/>
  <c r="A186" i="13"/>
  <c r="M185" i="13"/>
  <c r="K185" i="13"/>
  <c r="G185" i="13"/>
  <c r="D185" i="13"/>
  <c r="A185" i="13"/>
  <c r="M184" i="13"/>
  <c r="K184" i="13"/>
  <c r="G184" i="13"/>
  <c r="D184" i="13"/>
  <c r="A184" i="13"/>
  <c r="M183" i="13"/>
  <c r="K183" i="13"/>
  <c r="G183" i="13"/>
  <c r="D183" i="13"/>
  <c r="A183" i="13"/>
  <c r="M182" i="13"/>
  <c r="K182" i="13"/>
  <c r="G182" i="13"/>
  <c r="D182" i="13"/>
  <c r="A182" i="13"/>
  <c r="M181" i="13"/>
  <c r="K181" i="13"/>
  <c r="G181" i="13"/>
  <c r="D181" i="13"/>
  <c r="A181" i="13"/>
  <c r="M180" i="13"/>
  <c r="K180" i="13"/>
  <c r="G180" i="13"/>
  <c r="D180" i="13"/>
  <c r="A180" i="13"/>
  <c r="M179" i="13"/>
  <c r="K179" i="13"/>
  <c r="G179" i="13"/>
  <c r="D179" i="13"/>
  <c r="A179" i="13"/>
  <c r="M178" i="13"/>
  <c r="K178" i="13"/>
  <c r="G178" i="13"/>
  <c r="D178" i="13"/>
  <c r="A178" i="13"/>
  <c r="M177" i="13"/>
  <c r="K177" i="13"/>
  <c r="G177" i="13"/>
  <c r="D177" i="13"/>
  <c r="A177" i="13"/>
  <c r="M176" i="13"/>
  <c r="K176" i="13"/>
  <c r="G176" i="13"/>
  <c r="D176" i="13"/>
  <c r="A176" i="13"/>
  <c r="M175" i="13"/>
  <c r="K175" i="13"/>
  <c r="G175" i="13"/>
  <c r="D175" i="13"/>
  <c r="A175" i="13"/>
  <c r="M174" i="13"/>
  <c r="K174" i="13"/>
  <c r="G174" i="13"/>
  <c r="D174" i="13"/>
  <c r="A174" i="13"/>
  <c r="M173" i="13"/>
  <c r="K173" i="13"/>
  <c r="G173" i="13"/>
  <c r="D173" i="13"/>
  <c r="A173" i="13"/>
  <c r="M172" i="13"/>
  <c r="K172" i="13"/>
  <c r="G172" i="13"/>
  <c r="D172" i="13"/>
  <c r="A172" i="13"/>
  <c r="M171" i="13"/>
  <c r="K171" i="13"/>
  <c r="G171" i="13"/>
  <c r="D171" i="13"/>
  <c r="A171" i="13"/>
  <c r="M170" i="13"/>
  <c r="K170" i="13"/>
  <c r="G170" i="13"/>
  <c r="D170" i="13"/>
  <c r="A170" i="13"/>
  <c r="M169" i="13"/>
  <c r="K169" i="13"/>
  <c r="G169" i="13"/>
  <c r="D169" i="13"/>
  <c r="A169" i="13"/>
  <c r="M168" i="13"/>
  <c r="K168" i="13"/>
  <c r="G168" i="13"/>
  <c r="D168" i="13"/>
  <c r="A168" i="13"/>
  <c r="M167" i="13"/>
  <c r="K167" i="13"/>
  <c r="G167" i="13"/>
  <c r="D167" i="13"/>
  <c r="A167" i="13"/>
  <c r="M166" i="13"/>
  <c r="K166" i="13"/>
  <c r="G166" i="13"/>
  <c r="D166" i="13"/>
  <c r="A166" i="13"/>
  <c r="M165" i="13"/>
  <c r="K165" i="13"/>
  <c r="G165" i="13"/>
  <c r="D165" i="13"/>
  <c r="A165" i="13"/>
  <c r="M164" i="13"/>
  <c r="K164" i="13"/>
  <c r="G164" i="13"/>
  <c r="D164" i="13"/>
  <c r="A164" i="13"/>
  <c r="M163" i="13"/>
  <c r="K163" i="13"/>
  <c r="G163" i="13"/>
  <c r="D163" i="13"/>
  <c r="A163" i="13"/>
  <c r="M162" i="13"/>
  <c r="K162" i="13"/>
  <c r="G162" i="13"/>
  <c r="D162" i="13"/>
  <c r="A162" i="13"/>
  <c r="M161" i="13"/>
  <c r="K161" i="13"/>
  <c r="G161" i="13"/>
  <c r="D161" i="13"/>
  <c r="A161" i="13"/>
  <c r="M160" i="13"/>
  <c r="K160" i="13"/>
  <c r="G160" i="13"/>
  <c r="D160" i="13"/>
  <c r="A160" i="13"/>
  <c r="M159" i="13"/>
  <c r="K159" i="13"/>
  <c r="G159" i="13"/>
  <c r="D159" i="13"/>
  <c r="A159" i="13"/>
  <c r="M158" i="13"/>
  <c r="K158" i="13"/>
  <c r="G158" i="13"/>
  <c r="D158" i="13"/>
  <c r="A158" i="13"/>
  <c r="M157" i="13"/>
  <c r="K157" i="13"/>
  <c r="G157" i="13"/>
  <c r="D157" i="13"/>
  <c r="A157" i="13"/>
  <c r="M156" i="13"/>
  <c r="K156" i="13"/>
  <c r="G156" i="13"/>
  <c r="D156" i="13"/>
  <c r="A156" i="13"/>
  <c r="M155" i="13"/>
  <c r="K155" i="13"/>
  <c r="G155" i="13"/>
  <c r="D155" i="13"/>
  <c r="A155" i="13"/>
  <c r="M154" i="13"/>
  <c r="K154" i="13"/>
  <c r="G154" i="13"/>
  <c r="D154" i="13"/>
  <c r="A154" i="13"/>
  <c r="M153" i="13"/>
  <c r="K153" i="13"/>
  <c r="G153" i="13"/>
  <c r="D153" i="13"/>
  <c r="A153" i="13"/>
  <c r="M152" i="13"/>
  <c r="K152" i="13"/>
  <c r="G152" i="13"/>
  <c r="D152" i="13"/>
  <c r="A152" i="13"/>
  <c r="M151" i="13"/>
  <c r="K151" i="13"/>
  <c r="G151" i="13"/>
  <c r="D151" i="13"/>
  <c r="A151" i="13"/>
  <c r="M150" i="13"/>
  <c r="K150" i="13"/>
  <c r="G150" i="13"/>
  <c r="D150" i="13"/>
  <c r="A150" i="13"/>
  <c r="M149" i="13"/>
  <c r="K149" i="13"/>
  <c r="G149" i="13"/>
  <c r="D149" i="13"/>
  <c r="A149" i="13"/>
  <c r="M148" i="13"/>
  <c r="K148" i="13"/>
  <c r="G148" i="13"/>
  <c r="D148" i="13"/>
  <c r="A148" i="13"/>
  <c r="M147" i="13"/>
  <c r="K147" i="13"/>
  <c r="G147" i="13"/>
  <c r="D147" i="13"/>
  <c r="A147" i="13"/>
  <c r="M146" i="13"/>
  <c r="K146" i="13"/>
  <c r="G146" i="13"/>
  <c r="D146" i="13"/>
  <c r="A146" i="13"/>
  <c r="M145" i="13"/>
  <c r="K145" i="13"/>
  <c r="G145" i="13"/>
  <c r="D145" i="13"/>
  <c r="A145" i="13"/>
  <c r="M144" i="13"/>
  <c r="K144" i="13"/>
  <c r="G144" i="13"/>
  <c r="D144" i="13"/>
  <c r="A144" i="13"/>
  <c r="M143" i="13"/>
  <c r="K143" i="13"/>
  <c r="G143" i="13"/>
  <c r="D143" i="13"/>
  <c r="A143" i="13"/>
  <c r="M142" i="13"/>
  <c r="K142" i="13"/>
  <c r="G142" i="13"/>
  <c r="D142" i="13"/>
  <c r="A142" i="13"/>
  <c r="M141" i="13"/>
  <c r="K141" i="13"/>
  <c r="G141" i="13"/>
  <c r="D141" i="13"/>
  <c r="A141" i="13"/>
  <c r="M140" i="13"/>
  <c r="K140" i="13"/>
  <c r="G140" i="13"/>
  <c r="D140" i="13"/>
  <c r="A140" i="13"/>
  <c r="M139" i="13"/>
  <c r="K139" i="13"/>
  <c r="G139" i="13"/>
  <c r="D139" i="13"/>
  <c r="A139" i="13"/>
  <c r="M138" i="13"/>
  <c r="K138" i="13"/>
  <c r="G138" i="13"/>
  <c r="D138" i="13"/>
  <c r="A138" i="13"/>
  <c r="M137" i="13"/>
  <c r="K137" i="13"/>
  <c r="G137" i="13"/>
  <c r="D137" i="13"/>
  <c r="A137" i="13"/>
  <c r="M136" i="13"/>
  <c r="K136" i="13"/>
  <c r="G136" i="13"/>
  <c r="D136" i="13"/>
  <c r="A136" i="13"/>
  <c r="M135" i="13"/>
  <c r="K135" i="13"/>
  <c r="G135" i="13"/>
  <c r="D135" i="13"/>
  <c r="A135" i="13"/>
  <c r="M134" i="13"/>
  <c r="K134" i="13"/>
  <c r="G134" i="13"/>
  <c r="D134" i="13"/>
  <c r="A134" i="13"/>
  <c r="M133" i="13"/>
  <c r="K133" i="13"/>
  <c r="G133" i="13"/>
  <c r="D133" i="13"/>
  <c r="A133" i="13"/>
  <c r="M132" i="13"/>
  <c r="K132" i="13"/>
  <c r="G132" i="13"/>
  <c r="D132" i="13"/>
  <c r="A132" i="13"/>
  <c r="M131" i="13"/>
  <c r="K131" i="13"/>
  <c r="G131" i="13"/>
  <c r="D131" i="13"/>
  <c r="A131" i="13"/>
  <c r="M130" i="13"/>
  <c r="K130" i="13"/>
  <c r="G130" i="13"/>
  <c r="D130" i="13"/>
  <c r="A130" i="13"/>
  <c r="M129" i="13"/>
  <c r="K129" i="13"/>
  <c r="G129" i="13"/>
  <c r="D129" i="13"/>
  <c r="A129" i="13"/>
  <c r="M128" i="13"/>
  <c r="K128" i="13"/>
  <c r="G128" i="13"/>
  <c r="D128" i="13"/>
  <c r="A128" i="13"/>
  <c r="M127" i="13"/>
  <c r="K127" i="13"/>
  <c r="G127" i="13"/>
  <c r="D127" i="13"/>
  <c r="A127" i="13"/>
  <c r="M126" i="13"/>
  <c r="K126" i="13"/>
  <c r="G126" i="13"/>
  <c r="D126" i="13"/>
  <c r="A126" i="13"/>
  <c r="M125" i="13"/>
  <c r="K125" i="13"/>
  <c r="G125" i="13"/>
  <c r="D125" i="13"/>
  <c r="A125" i="13"/>
  <c r="M124" i="13"/>
  <c r="K124" i="13"/>
  <c r="G124" i="13"/>
  <c r="D124" i="13"/>
  <c r="A124" i="13"/>
  <c r="M123" i="13"/>
  <c r="K123" i="13"/>
  <c r="G123" i="13"/>
  <c r="D123" i="13"/>
  <c r="A123" i="13"/>
  <c r="M122" i="13"/>
  <c r="K122" i="13"/>
  <c r="G122" i="13"/>
  <c r="D122" i="13"/>
  <c r="A122" i="13"/>
  <c r="M121" i="13"/>
  <c r="K121" i="13"/>
  <c r="G121" i="13"/>
  <c r="D121" i="13"/>
  <c r="A121" i="13"/>
  <c r="M120" i="13"/>
  <c r="K120" i="13"/>
  <c r="G120" i="13"/>
  <c r="D120" i="13"/>
  <c r="A120" i="13"/>
  <c r="M119" i="13"/>
  <c r="K119" i="13"/>
  <c r="G119" i="13"/>
  <c r="D119" i="13"/>
  <c r="A119" i="13"/>
  <c r="M118" i="13"/>
  <c r="K118" i="13"/>
  <c r="G118" i="13"/>
  <c r="D118" i="13"/>
  <c r="A118" i="13"/>
  <c r="M117" i="13"/>
  <c r="K117" i="13"/>
  <c r="G117" i="13"/>
  <c r="D117" i="13"/>
  <c r="A117" i="13"/>
  <c r="M116" i="13"/>
  <c r="K116" i="13"/>
  <c r="G116" i="13"/>
  <c r="D116" i="13"/>
  <c r="A116" i="13"/>
  <c r="M115" i="13"/>
  <c r="K115" i="13"/>
  <c r="G115" i="13"/>
  <c r="D115" i="13"/>
  <c r="A115" i="13"/>
  <c r="M114" i="13"/>
  <c r="K114" i="13"/>
  <c r="G114" i="13"/>
  <c r="D114" i="13"/>
  <c r="A114" i="13"/>
  <c r="M113" i="13"/>
  <c r="K113" i="13"/>
  <c r="G113" i="13"/>
  <c r="D113" i="13"/>
  <c r="A113" i="13"/>
  <c r="M112" i="13"/>
  <c r="K112" i="13"/>
  <c r="G112" i="13"/>
  <c r="D112" i="13"/>
  <c r="A112" i="13"/>
  <c r="M111" i="13"/>
  <c r="K111" i="13"/>
  <c r="G111" i="13"/>
  <c r="D111" i="13"/>
  <c r="A111" i="13"/>
  <c r="M110" i="13"/>
  <c r="K110" i="13"/>
  <c r="G110" i="13"/>
  <c r="D110" i="13"/>
  <c r="A110" i="13"/>
  <c r="M109" i="13"/>
  <c r="K109" i="13"/>
  <c r="G109" i="13"/>
  <c r="D109" i="13"/>
  <c r="A109" i="13"/>
  <c r="M108" i="13"/>
  <c r="K108" i="13"/>
  <c r="G108" i="13"/>
  <c r="D108" i="13"/>
  <c r="A108" i="13"/>
  <c r="M107" i="13"/>
  <c r="K107" i="13"/>
  <c r="G107" i="13"/>
  <c r="D107" i="13"/>
  <c r="A107" i="13"/>
  <c r="M106" i="13"/>
  <c r="K106" i="13"/>
  <c r="G106" i="13"/>
  <c r="D106" i="13"/>
  <c r="A106" i="13"/>
  <c r="M105" i="13"/>
  <c r="K105" i="13"/>
  <c r="G105" i="13"/>
  <c r="D105" i="13"/>
  <c r="A105" i="13"/>
  <c r="M104" i="13"/>
  <c r="K104" i="13"/>
  <c r="G104" i="13"/>
  <c r="D104" i="13"/>
  <c r="A104" i="13"/>
  <c r="M103" i="13"/>
  <c r="K103" i="13"/>
  <c r="G103" i="13"/>
  <c r="D103" i="13"/>
  <c r="A103" i="13"/>
  <c r="M102" i="13"/>
  <c r="K102" i="13"/>
  <c r="G102" i="13"/>
  <c r="D102" i="13"/>
  <c r="A102" i="13"/>
  <c r="M101" i="13"/>
  <c r="K101" i="13"/>
  <c r="G101" i="13"/>
  <c r="D101" i="13"/>
  <c r="A101" i="13"/>
  <c r="M100" i="13"/>
  <c r="K100" i="13"/>
  <c r="G100" i="13"/>
  <c r="D100" i="13"/>
  <c r="A100" i="13"/>
  <c r="M99" i="13"/>
  <c r="K99" i="13"/>
  <c r="G99" i="13"/>
  <c r="D99" i="13"/>
  <c r="A99" i="13"/>
  <c r="M98" i="13"/>
  <c r="K98" i="13"/>
  <c r="G98" i="13"/>
  <c r="D98" i="13"/>
  <c r="A98" i="13"/>
  <c r="M97" i="13"/>
  <c r="K97" i="13"/>
  <c r="G97" i="13"/>
  <c r="D97" i="13"/>
  <c r="A97" i="13"/>
  <c r="M96" i="13"/>
  <c r="K96" i="13"/>
  <c r="G96" i="13"/>
  <c r="D96" i="13"/>
  <c r="A96" i="13"/>
  <c r="M95" i="13"/>
  <c r="K95" i="13"/>
  <c r="G95" i="13"/>
  <c r="D95" i="13"/>
  <c r="A95" i="13"/>
  <c r="M94" i="13"/>
  <c r="K94" i="13"/>
  <c r="G94" i="13"/>
  <c r="D94" i="13"/>
  <c r="A94" i="13"/>
  <c r="M93" i="13"/>
  <c r="K93" i="13"/>
  <c r="G93" i="13"/>
  <c r="D93" i="13"/>
  <c r="A93" i="13"/>
  <c r="M92" i="13"/>
  <c r="K92" i="13"/>
  <c r="G92" i="13"/>
  <c r="D92" i="13"/>
  <c r="A92" i="13"/>
  <c r="M91" i="13"/>
  <c r="K91" i="13"/>
  <c r="G91" i="13"/>
  <c r="D91" i="13"/>
  <c r="A91" i="13"/>
  <c r="M90" i="13"/>
  <c r="K90" i="13"/>
  <c r="G90" i="13"/>
  <c r="D90" i="13"/>
  <c r="A90" i="13"/>
  <c r="M89" i="13"/>
  <c r="K89" i="13"/>
  <c r="G89" i="13"/>
  <c r="D89" i="13"/>
  <c r="A89" i="13"/>
  <c r="M88" i="13"/>
  <c r="K88" i="13"/>
  <c r="G88" i="13"/>
  <c r="D88" i="13"/>
  <c r="A88" i="13"/>
  <c r="M87" i="13"/>
  <c r="K87" i="13"/>
  <c r="G87" i="13"/>
  <c r="D87" i="13"/>
  <c r="A87" i="13"/>
  <c r="M86" i="13"/>
  <c r="K86" i="13"/>
  <c r="G86" i="13"/>
  <c r="D86" i="13"/>
  <c r="A86" i="13"/>
  <c r="M85" i="13"/>
  <c r="K85" i="13"/>
  <c r="G85" i="13"/>
  <c r="D85" i="13"/>
  <c r="A85" i="13"/>
  <c r="M84" i="13"/>
  <c r="K84" i="13"/>
  <c r="G84" i="13"/>
  <c r="D84" i="13"/>
  <c r="A84" i="13"/>
  <c r="M83" i="13"/>
  <c r="K83" i="13"/>
  <c r="G83" i="13"/>
  <c r="D83" i="13"/>
  <c r="A83" i="13"/>
  <c r="M82" i="13"/>
  <c r="K82" i="13"/>
  <c r="G82" i="13"/>
  <c r="D82" i="13"/>
  <c r="A82" i="13"/>
  <c r="M81" i="13"/>
  <c r="K81" i="13"/>
  <c r="G81" i="13"/>
  <c r="D81" i="13"/>
  <c r="A81" i="13"/>
  <c r="M80" i="13"/>
  <c r="K80" i="13"/>
  <c r="G80" i="13"/>
  <c r="D80" i="13"/>
  <c r="A80" i="13"/>
  <c r="M79" i="13"/>
  <c r="K79" i="13"/>
  <c r="G79" i="13"/>
  <c r="D79" i="13"/>
  <c r="A79" i="13"/>
  <c r="M78" i="13"/>
  <c r="K78" i="13"/>
  <c r="G78" i="13"/>
  <c r="D78" i="13"/>
  <c r="A78" i="13"/>
  <c r="M77" i="13"/>
  <c r="K77" i="13"/>
  <c r="G77" i="13"/>
  <c r="D77" i="13"/>
  <c r="A77" i="13"/>
  <c r="M76" i="13"/>
  <c r="K76" i="13"/>
  <c r="G76" i="13"/>
  <c r="D76" i="13"/>
  <c r="A76" i="13"/>
  <c r="M75" i="13"/>
  <c r="K75" i="13"/>
  <c r="G75" i="13"/>
  <c r="D75" i="13"/>
  <c r="A75" i="13"/>
  <c r="M74" i="13"/>
  <c r="K74" i="13"/>
  <c r="G74" i="13"/>
  <c r="D74" i="13"/>
  <c r="A74" i="13"/>
  <c r="M73" i="13"/>
  <c r="K73" i="13"/>
  <c r="G73" i="13"/>
  <c r="D73" i="13"/>
  <c r="A73" i="13"/>
  <c r="M72" i="13"/>
  <c r="K72" i="13"/>
  <c r="G72" i="13"/>
  <c r="D72" i="13"/>
  <c r="A72" i="13"/>
  <c r="M71" i="13"/>
  <c r="K71" i="13"/>
  <c r="G71" i="13"/>
  <c r="D71" i="13"/>
  <c r="A71" i="13"/>
  <c r="M70" i="13"/>
  <c r="K70" i="13"/>
  <c r="G70" i="13"/>
  <c r="D70" i="13"/>
  <c r="A70" i="13"/>
  <c r="M69" i="13"/>
  <c r="K69" i="13"/>
  <c r="G69" i="13"/>
  <c r="D69" i="13"/>
  <c r="A69" i="13"/>
  <c r="M68" i="13"/>
  <c r="K68" i="13"/>
  <c r="G68" i="13"/>
  <c r="D68" i="13"/>
  <c r="A68" i="13"/>
  <c r="M67" i="13"/>
  <c r="K67" i="13"/>
  <c r="G67" i="13"/>
  <c r="D67" i="13"/>
  <c r="A67" i="13"/>
  <c r="M66" i="13"/>
  <c r="K66" i="13"/>
  <c r="G66" i="13"/>
  <c r="D66" i="13"/>
  <c r="A66" i="13"/>
  <c r="M65" i="13"/>
  <c r="K65" i="13"/>
  <c r="G65" i="13"/>
  <c r="D65" i="13"/>
  <c r="A65" i="13"/>
  <c r="M64" i="13"/>
  <c r="K64" i="13"/>
  <c r="G64" i="13"/>
  <c r="D64" i="13"/>
  <c r="A64" i="13"/>
  <c r="M63" i="13"/>
  <c r="K63" i="13"/>
  <c r="G63" i="13"/>
  <c r="D63" i="13"/>
  <c r="A63" i="13"/>
  <c r="M62" i="13"/>
  <c r="K62" i="13"/>
  <c r="G62" i="13"/>
  <c r="D62" i="13"/>
  <c r="A62" i="13"/>
  <c r="M61" i="13"/>
  <c r="K61" i="13"/>
  <c r="G61" i="13"/>
  <c r="D61" i="13"/>
  <c r="A61" i="13"/>
  <c r="M60" i="13"/>
  <c r="K60" i="13"/>
  <c r="G60" i="13"/>
  <c r="D60" i="13"/>
  <c r="A60" i="13"/>
  <c r="M59" i="13"/>
  <c r="K59" i="13"/>
  <c r="G59" i="13"/>
  <c r="D59" i="13"/>
  <c r="A59" i="13"/>
  <c r="M58" i="13"/>
  <c r="K58" i="13"/>
  <c r="G58" i="13"/>
  <c r="D58" i="13"/>
  <c r="A58" i="13"/>
  <c r="M57" i="13"/>
  <c r="K57" i="13"/>
  <c r="G57" i="13"/>
  <c r="D57" i="13"/>
  <c r="A57" i="13"/>
  <c r="M56" i="13"/>
  <c r="K56" i="13"/>
  <c r="G56" i="13"/>
  <c r="D56" i="13"/>
  <c r="A56" i="13"/>
  <c r="M55" i="13"/>
  <c r="K55" i="13"/>
  <c r="G55" i="13"/>
  <c r="D55" i="13"/>
  <c r="A55" i="13"/>
  <c r="M54" i="13"/>
  <c r="K54" i="13"/>
  <c r="G54" i="13"/>
  <c r="D54" i="13"/>
  <c r="A54" i="13"/>
  <c r="M53" i="13"/>
  <c r="K53" i="13"/>
  <c r="G53" i="13"/>
  <c r="D53" i="13"/>
  <c r="A53" i="13"/>
  <c r="M52" i="13"/>
  <c r="K52" i="13"/>
  <c r="G52" i="13"/>
  <c r="D52" i="13"/>
  <c r="A52" i="13"/>
  <c r="M51" i="13"/>
  <c r="K51" i="13"/>
  <c r="G51" i="13"/>
  <c r="D51" i="13"/>
  <c r="A51" i="13"/>
  <c r="M50" i="13"/>
  <c r="K50" i="13"/>
  <c r="G50" i="13"/>
  <c r="D50" i="13"/>
  <c r="A50" i="13"/>
  <c r="M49" i="13"/>
  <c r="K49" i="13"/>
  <c r="G49" i="13"/>
  <c r="D49" i="13"/>
  <c r="A49" i="13"/>
  <c r="M48" i="13"/>
  <c r="K48" i="13"/>
  <c r="G48" i="13"/>
  <c r="D48" i="13"/>
  <c r="A48" i="13"/>
  <c r="M47" i="13"/>
  <c r="K47" i="13"/>
  <c r="G47" i="13"/>
  <c r="D47" i="13"/>
  <c r="A47" i="13"/>
  <c r="M46" i="13"/>
  <c r="K46" i="13"/>
  <c r="G46" i="13"/>
  <c r="D46" i="13"/>
  <c r="A46" i="13"/>
  <c r="M45" i="13"/>
  <c r="K45" i="13"/>
  <c r="G45" i="13"/>
  <c r="D45" i="13"/>
  <c r="A45" i="13"/>
  <c r="M44" i="13"/>
  <c r="K44" i="13"/>
  <c r="G44" i="13"/>
  <c r="D44" i="13"/>
  <c r="A44" i="13"/>
  <c r="M43" i="13"/>
  <c r="K43" i="13"/>
  <c r="G43" i="13"/>
  <c r="D43" i="13"/>
  <c r="A43" i="13"/>
  <c r="M42" i="13"/>
  <c r="K42" i="13"/>
  <c r="G42" i="13"/>
  <c r="D42" i="13"/>
  <c r="A42" i="13"/>
  <c r="M41" i="13"/>
  <c r="K41" i="13"/>
  <c r="G41" i="13"/>
  <c r="D41" i="13"/>
  <c r="A41" i="13"/>
  <c r="M40" i="13"/>
  <c r="K40" i="13"/>
  <c r="G40" i="13"/>
  <c r="D40" i="13"/>
  <c r="A40" i="13"/>
  <c r="M39" i="13"/>
  <c r="K39" i="13"/>
  <c r="G39" i="13"/>
  <c r="D39" i="13"/>
  <c r="A39" i="13"/>
  <c r="M38" i="13"/>
  <c r="K38" i="13"/>
  <c r="G38" i="13"/>
  <c r="D38" i="13"/>
  <c r="A38" i="13"/>
  <c r="M37" i="13"/>
  <c r="K37" i="13"/>
  <c r="G37" i="13"/>
  <c r="D37" i="13"/>
  <c r="A37" i="13"/>
  <c r="M36" i="13"/>
  <c r="K36" i="13"/>
  <c r="G36" i="13"/>
  <c r="D36" i="13"/>
  <c r="A36" i="13"/>
  <c r="M35" i="13"/>
  <c r="K35" i="13"/>
  <c r="G35" i="13"/>
  <c r="D35" i="13"/>
  <c r="A35" i="13"/>
  <c r="M34" i="13"/>
  <c r="K34" i="13"/>
  <c r="G34" i="13"/>
  <c r="D34" i="13"/>
  <c r="A34" i="13"/>
  <c r="M33" i="13"/>
  <c r="K33" i="13"/>
  <c r="G33" i="13"/>
  <c r="D33" i="13"/>
  <c r="A33" i="13"/>
  <c r="M32" i="13"/>
  <c r="K32" i="13"/>
  <c r="G32" i="13"/>
  <c r="D32" i="13"/>
  <c r="A32" i="13"/>
  <c r="M31" i="13"/>
  <c r="K31" i="13"/>
  <c r="G31" i="13"/>
  <c r="D31" i="13"/>
  <c r="A31" i="13"/>
  <c r="M30" i="13"/>
  <c r="K30" i="13"/>
  <c r="G30" i="13"/>
  <c r="D30" i="13"/>
  <c r="A30" i="13"/>
  <c r="M29" i="13"/>
  <c r="K29" i="13"/>
  <c r="G29" i="13"/>
  <c r="D29" i="13"/>
  <c r="A29" i="13"/>
  <c r="M28" i="13"/>
  <c r="K28" i="13"/>
  <c r="G28" i="13"/>
  <c r="D28" i="13"/>
  <c r="A28" i="13"/>
  <c r="M27" i="13"/>
  <c r="K27" i="13"/>
  <c r="G27" i="13"/>
  <c r="D27" i="13"/>
  <c r="A27" i="13"/>
  <c r="M26" i="13"/>
  <c r="K26" i="13"/>
  <c r="G26" i="13"/>
  <c r="D26" i="13"/>
  <c r="A26" i="13"/>
  <c r="M25" i="13"/>
  <c r="K25" i="13"/>
  <c r="G25" i="13"/>
  <c r="D25" i="13"/>
  <c r="A25" i="13"/>
  <c r="M24" i="13"/>
  <c r="K24" i="13"/>
  <c r="G24" i="13"/>
  <c r="D24" i="13"/>
  <c r="A24" i="13"/>
  <c r="M23" i="13"/>
  <c r="K23" i="13"/>
  <c r="G23" i="13"/>
  <c r="D23" i="13"/>
  <c r="A23" i="13"/>
  <c r="M22" i="13"/>
  <c r="K22" i="13"/>
  <c r="G22" i="13"/>
  <c r="D22" i="13"/>
  <c r="A22" i="13"/>
  <c r="M21" i="13"/>
  <c r="K21" i="13"/>
  <c r="G21" i="13"/>
  <c r="D21" i="13"/>
  <c r="A21" i="13"/>
  <c r="M20" i="13"/>
  <c r="K20" i="13"/>
  <c r="G20" i="13"/>
  <c r="D20" i="13"/>
  <c r="A20" i="13"/>
  <c r="M19" i="13"/>
  <c r="K19" i="13"/>
  <c r="G19" i="13"/>
  <c r="D19" i="13"/>
  <c r="A19" i="13"/>
  <c r="M18" i="13"/>
  <c r="K18" i="13"/>
  <c r="G18" i="13"/>
  <c r="D18" i="13"/>
  <c r="A18" i="13"/>
  <c r="M17" i="13"/>
  <c r="K17" i="13"/>
  <c r="G17" i="13"/>
  <c r="D17" i="13"/>
  <c r="A17" i="13"/>
  <c r="M16" i="13"/>
  <c r="K16" i="13"/>
  <c r="G16" i="13"/>
  <c r="D16" i="13"/>
  <c r="A16" i="13"/>
  <c r="M15" i="13"/>
  <c r="K15" i="13"/>
  <c r="G15" i="13"/>
  <c r="D15" i="13"/>
  <c r="A15" i="13"/>
  <c r="M14" i="13"/>
  <c r="K14" i="13"/>
  <c r="G14" i="13"/>
  <c r="D14" i="13"/>
  <c r="A14" i="13"/>
  <c r="M13" i="13"/>
  <c r="K13" i="13"/>
  <c r="G13" i="13"/>
  <c r="D13" i="13"/>
  <c r="A13" i="13"/>
  <c r="M12" i="13"/>
  <c r="K12" i="13"/>
  <c r="G12" i="13"/>
  <c r="D12" i="13"/>
  <c r="A12" i="13"/>
  <c r="L11" i="4"/>
  <c r="M9" i="4" l="1"/>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8" i="4"/>
  <c r="A12" i="4"/>
  <c r="D12" i="4"/>
  <c r="G12" i="4"/>
  <c r="K12" i="4"/>
  <c r="A13" i="4"/>
  <c r="D13" i="4"/>
  <c r="G13" i="4"/>
  <c r="K13" i="4"/>
  <c r="A14" i="4"/>
  <c r="D14" i="4"/>
  <c r="G14" i="4"/>
  <c r="K14" i="4"/>
  <c r="A15" i="4"/>
  <c r="D15" i="4"/>
  <c r="G15" i="4"/>
  <c r="K15" i="4"/>
  <c r="A16" i="4"/>
  <c r="D16" i="4"/>
  <c r="G16" i="4"/>
  <c r="K16" i="4"/>
  <c r="A17" i="4"/>
  <c r="D17" i="4"/>
  <c r="G17" i="4"/>
  <c r="K17" i="4"/>
  <c r="A18" i="4"/>
  <c r="D18" i="4"/>
  <c r="G18" i="4"/>
  <c r="A19" i="4"/>
  <c r="D19" i="4"/>
  <c r="G19" i="4"/>
  <c r="K19" i="4"/>
  <c r="A20" i="4"/>
  <c r="D20" i="4"/>
  <c r="G20" i="4"/>
  <c r="K20" i="4"/>
  <c r="A21" i="4"/>
  <c r="D21" i="4"/>
  <c r="G21" i="4"/>
  <c r="K21" i="4"/>
  <c r="A22" i="4"/>
  <c r="D22" i="4"/>
  <c r="G22" i="4"/>
  <c r="K22" i="4"/>
  <c r="A23" i="4"/>
  <c r="D23" i="4"/>
  <c r="G23" i="4"/>
  <c r="K23" i="4"/>
  <c r="A24" i="4"/>
  <c r="D24" i="4"/>
  <c r="G24" i="4"/>
  <c r="K24" i="4"/>
  <c r="A25" i="4"/>
  <c r="D25" i="4"/>
  <c r="G25" i="4"/>
  <c r="K25" i="4"/>
  <c r="A26" i="4"/>
  <c r="D26" i="4"/>
  <c r="G26" i="4"/>
  <c r="K26" i="4"/>
  <c r="A27" i="4"/>
  <c r="D27" i="4"/>
  <c r="G27" i="4"/>
  <c r="K27" i="4"/>
  <c r="A28" i="4"/>
  <c r="D28" i="4"/>
  <c r="G28" i="4"/>
  <c r="K28" i="4"/>
  <c r="A29" i="4"/>
  <c r="D29" i="4"/>
  <c r="G29" i="4"/>
  <c r="K29" i="4"/>
  <c r="A30" i="4"/>
  <c r="D30" i="4"/>
  <c r="G30" i="4"/>
  <c r="K30" i="4"/>
  <c r="A31" i="4"/>
  <c r="D31" i="4"/>
  <c r="G31" i="4"/>
  <c r="K31" i="4"/>
  <c r="A32" i="4"/>
  <c r="D32" i="4"/>
  <c r="G32" i="4"/>
  <c r="K32" i="4"/>
  <c r="A33" i="4"/>
  <c r="D33" i="4"/>
  <c r="G33" i="4"/>
  <c r="K33" i="4"/>
  <c r="A34" i="4"/>
  <c r="D34" i="4"/>
  <c r="G34" i="4"/>
  <c r="K34" i="4"/>
  <c r="A35" i="4"/>
  <c r="D35" i="4"/>
  <c r="G35" i="4"/>
  <c r="K35" i="4"/>
  <c r="A36" i="4"/>
  <c r="D36" i="4"/>
  <c r="G36" i="4"/>
  <c r="K36" i="4"/>
  <c r="A37" i="4"/>
  <c r="D37" i="4"/>
  <c r="G37" i="4"/>
  <c r="K37" i="4"/>
  <c r="A38" i="4"/>
  <c r="D38" i="4"/>
  <c r="G38" i="4"/>
  <c r="K38" i="4"/>
  <c r="A39" i="4"/>
  <c r="D39" i="4"/>
  <c r="G39" i="4"/>
  <c r="K39" i="4"/>
  <c r="A40" i="4"/>
  <c r="D40" i="4"/>
  <c r="G40" i="4"/>
  <c r="K40" i="4"/>
  <c r="A41" i="4"/>
  <c r="D41" i="4"/>
  <c r="G41" i="4"/>
  <c r="K41" i="4"/>
  <c r="A42" i="4"/>
  <c r="D42" i="4"/>
  <c r="G42" i="4"/>
  <c r="K42" i="4"/>
  <c r="A43" i="4"/>
  <c r="D43" i="4"/>
  <c r="G43" i="4"/>
  <c r="K43" i="4"/>
  <c r="A44" i="4"/>
  <c r="D44" i="4"/>
  <c r="G44" i="4"/>
  <c r="K44" i="4"/>
  <c r="A45" i="4"/>
  <c r="D45" i="4"/>
  <c r="G45" i="4"/>
  <c r="K45" i="4"/>
  <c r="A46" i="4"/>
  <c r="D46" i="4"/>
  <c r="G46" i="4"/>
  <c r="K46" i="4"/>
  <c r="A47" i="4"/>
  <c r="D47" i="4"/>
  <c r="G47" i="4"/>
  <c r="K47" i="4"/>
  <c r="A48" i="4"/>
  <c r="D48" i="4"/>
  <c r="G48" i="4"/>
  <c r="K48" i="4"/>
  <c r="A49" i="4"/>
  <c r="D49" i="4"/>
  <c r="G49" i="4"/>
  <c r="K49" i="4"/>
  <c r="A50" i="4"/>
  <c r="D50" i="4"/>
  <c r="G50" i="4"/>
  <c r="K50" i="4"/>
  <c r="A51" i="4"/>
  <c r="D51" i="4"/>
  <c r="G51" i="4"/>
  <c r="K51" i="4"/>
  <c r="A52" i="4"/>
  <c r="D52" i="4"/>
  <c r="G52" i="4"/>
  <c r="K52" i="4"/>
  <c r="A53" i="4"/>
  <c r="D53" i="4"/>
  <c r="G53" i="4"/>
  <c r="K53" i="4"/>
  <c r="A54" i="4"/>
  <c r="D54" i="4"/>
  <c r="G54" i="4"/>
  <c r="K54" i="4"/>
  <c r="A55" i="4"/>
  <c r="D55" i="4"/>
  <c r="G55" i="4"/>
  <c r="K55" i="4"/>
  <c r="A56" i="4"/>
  <c r="D56" i="4"/>
  <c r="G56" i="4"/>
  <c r="K56" i="4"/>
  <c r="A57" i="4"/>
  <c r="D57" i="4"/>
  <c r="G57" i="4"/>
  <c r="K57" i="4"/>
  <c r="A58" i="4"/>
  <c r="D58" i="4"/>
  <c r="G58" i="4"/>
  <c r="K58" i="4"/>
  <c r="A59" i="4"/>
  <c r="D59" i="4"/>
  <c r="G59" i="4"/>
  <c r="K59" i="4"/>
  <c r="A60" i="4"/>
  <c r="D60" i="4"/>
  <c r="G60" i="4"/>
  <c r="K60" i="4"/>
  <c r="A61" i="4"/>
  <c r="D61" i="4"/>
  <c r="G61" i="4"/>
  <c r="K61" i="4"/>
  <c r="A62" i="4"/>
  <c r="D62" i="4"/>
  <c r="G62" i="4"/>
  <c r="K62" i="4"/>
  <c r="A63" i="4"/>
  <c r="D63" i="4"/>
  <c r="G63" i="4"/>
  <c r="K63" i="4"/>
  <c r="A64" i="4"/>
  <c r="D64" i="4"/>
  <c r="G64" i="4"/>
  <c r="K64" i="4"/>
  <c r="A65" i="4"/>
  <c r="D65" i="4"/>
  <c r="G65" i="4"/>
  <c r="K65" i="4"/>
  <c r="A66" i="4"/>
  <c r="D66" i="4"/>
  <c r="G66" i="4"/>
  <c r="K66" i="4"/>
  <c r="A67" i="4"/>
  <c r="D67" i="4"/>
  <c r="G67" i="4"/>
  <c r="K67" i="4"/>
  <c r="A68" i="4"/>
  <c r="D68" i="4"/>
  <c r="G68" i="4"/>
  <c r="K68" i="4"/>
  <c r="A69" i="4"/>
  <c r="D69" i="4"/>
  <c r="G69" i="4"/>
  <c r="K69" i="4"/>
  <c r="A70" i="4"/>
  <c r="D70" i="4"/>
  <c r="G70" i="4"/>
  <c r="K70" i="4"/>
  <c r="A71" i="4"/>
  <c r="D71" i="4"/>
  <c r="G71" i="4"/>
  <c r="K71" i="4"/>
  <c r="A72" i="4"/>
  <c r="D72" i="4"/>
  <c r="G72" i="4"/>
  <c r="K72" i="4"/>
  <c r="A73" i="4"/>
  <c r="D73" i="4"/>
  <c r="G73" i="4"/>
  <c r="K73" i="4"/>
  <c r="A74" i="4"/>
  <c r="D74" i="4"/>
  <c r="G74" i="4"/>
  <c r="K74" i="4"/>
  <c r="A75" i="4"/>
  <c r="D75" i="4"/>
  <c r="G75" i="4"/>
  <c r="K75" i="4"/>
  <c r="A76" i="4"/>
  <c r="D76" i="4"/>
  <c r="G76" i="4"/>
  <c r="K76" i="4"/>
  <c r="A77" i="4"/>
  <c r="D77" i="4"/>
  <c r="G77" i="4"/>
  <c r="K77" i="4"/>
  <c r="A78" i="4"/>
  <c r="D78" i="4"/>
  <c r="G78" i="4"/>
  <c r="K78" i="4"/>
  <c r="A79" i="4"/>
  <c r="D79" i="4"/>
  <c r="G79" i="4"/>
  <c r="K79" i="4"/>
  <c r="A80" i="4"/>
  <c r="D80" i="4"/>
  <c r="G80" i="4"/>
  <c r="K80" i="4"/>
  <c r="A81" i="4"/>
  <c r="D81" i="4"/>
  <c r="G81" i="4"/>
  <c r="K81" i="4"/>
  <c r="A82" i="4"/>
  <c r="D82" i="4"/>
  <c r="G82" i="4"/>
  <c r="K82" i="4"/>
  <c r="A83" i="4"/>
  <c r="D83" i="4"/>
  <c r="G83" i="4"/>
  <c r="K83" i="4"/>
  <c r="A84" i="4"/>
  <c r="D84" i="4"/>
  <c r="G84" i="4"/>
  <c r="K84" i="4"/>
  <c r="A85" i="4"/>
  <c r="D85" i="4"/>
  <c r="G85" i="4"/>
  <c r="K85" i="4"/>
  <c r="A86" i="4"/>
  <c r="D86" i="4"/>
  <c r="G86" i="4"/>
  <c r="K86" i="4"/>
  <c r="A87" i="4"/>
  <c r="D87" i="4"/>
  <c r="G87" i="4"/>
  <c r="K87" i="4"/>
  <c r="A88" i="4"/>
  <c r="D88" i="4"/>
  <c r="G88" i="4"/>
  <c r="A89" i="4"/>
  <c r="D89" i="4"/>
  <c r="G89" i="4"/>
  <c r="K89" i="4"/>
  <c r="A90" i="4"/>
  <c r="D90" i="4"/>
  <c r="G90" i="4"/>
  <c r="K90" i="4"/>
  <c r="A91" i="4"/>
  <c r="D91" i="4"/>
  <c r="G91" i="4"/>
  <c r="K91" i="4"/>
  <c r="A92" i="4"/>
  <c r="D92" i="4"/>
  <c r="G92" i="4"/>
  <c r="K92" i="4"/>
  <c r="A93" i="4"/>
  <c r="D93" i="4"/>
  <c r="G93" i="4"/>
  <c r="K93" i="4"/>
  <c r="A94" i="4"/>
  <c r="D94" i="4"/>
  <c r="G94" i="4"/>
  <c r="K94" i="4"/>
  <c r="A95" i="4"/>
  <c r="D95" i="4"/>
  <c r="G95" i="4"/>
  <c r="K95" i="4"/>
  <c r="A96" i="4"/>
  <c r="D96" i="4"/>
  <c r="K96" i="4"/>
  <c r="A97" i="4"/>
  <c r="D97" i="4"/>
  <c r="G97" i="4"/>
  <c r="K97" i="4"/>
  <c r="A98" i="4"/>
  <c r="D98" i="4"/>
  <c r="G98" i="4"/>
  <c r="K98" i="4"/>
  <c r="A99" i="4"/>
  <c r="D99" i="4"/>
  <c r="G99" i="4"/>
  <c r="K99" i="4"/>
  <c r="A100" i="4"/>
  <c r="D100" i="4"/>
  <c r="G100" i="4"/>
  <c r="K100" i="4"/>
  <c r="A101" i="4"/>
  <c r="D101" i="4"/>
  <c r="G101" i="4"/>
  <c r="K101" i="4"/>
  <c r="A102" i="4"/>
  <c r="D102" i="4"/>
  <c r="G102" i="4"/>
  <c r="K102" i="4"/>
  <c r="A103" i="4"/>
  <c r="D103" i="4"/>
  <c r="G103" i="4"/>
  <c r="K103" i="4"/>
  <c r="A104" i="4"/>
  <c r="D104" i="4"/>
  <c r="G104" i="4"/>
  <c r="K104" i="4"/>
  <c r="A105" i="4"/>
  <c r="D105" i="4"/>
  <c r="G105" i="4"/>
  <c r="K105" i="4"/>
  <c r="A106" i="4"/>
  <c r="D106" i="4"/>
  <c r="G106" i="4"/>
  <c r="K106" i="4"/>
  <c r="A107" i="4"/>
  <c r="D107" i="4"/>
  <c r="G107" i="4"/>
  <c r="K107" i="4"/>
  <c r="A108" i="4"/>
  <c r="D108" i="4"/>
  <c r="G108" i="4"/>
  <c r="A109" i="4"/>
  <c r="D109" i="4"/>
  <c r="G109" i="4"/>
  <c r="K109" i="4"/>
  <c r="A110" i="4"/>
  <c r="D110" i="4"/>
  <c r="G110" i="4"/>
  <c r="K110" i="4"/>
  <c r="A111" i="4"/>
  <c r="D111" i="4"/>
  <c r="G111" i="4"/>
  <c r="K111" i="4"/>
  <c r="A112" i="4"/>
  <c r="D112" i="4"/>
  <c r="G112" i="4"/>
  <c r="K112" i="4"/>
  <c r="A113" i="4"/>
  <c r="D113" i="4"/>
  <c r="G113" i="4"/>
  <c r="K113" i="4"/>
  <c r="A114" i="4"/>
  <c r="D114" i="4"/>
  <c r="G114" i="4"/>
  <c r="K114" i="4"/>
  <c r="A116" i="4"/>
  <c r="D116" i="4"/>
  <c r="G116" i="4"/>
  <c r="K116" i="4"/>
  <c r="A117" i="4"/>
  <c r="D117" i="4"/>
  <c r="G117" i="4"/>
  <c r="K117" i="4"/>
  <c r="A118" i="4"/>
  <c r="D118" i="4"/>
  <c r="G118" i="4"/>
  <c r="K118" i="4"/>
  <c r="A119" i="4"/>
  <c r="D119" i="4"/>
  <c r="G119" i="4"/>
  <c r="K119" i="4"/>
  <c r="A120" i="4"/>
  <c r="D120" i="4"/>
  <c r="G120" i="4"/>
  <c r="K120" i="4"/>
  <c r="A121" i="4"/>
  <c r="D121" i="4"/>
  <c r="G121" i="4"/>
  <c r="K121" i="4"/>
  <c r="A122" i="4"/>
  <c r="D122" i="4"/>
  <c r="G122" i="4"/>
  <c r="K122" i="4"/>
  <c r="A123" i="4"/>
  <c r="D123" i="4"/>
  <c r="G123" i="4"/>
  <c r="K123" i="4"/>
  <c r="A124" i="4"/>
  <c r="D124" i="4"/>
  <c r="G124" i="4"/>
  <c r="K124" i="4"/>
  <c r="A125" i="4"/>
  <c r="D125" i="4"/>
  <c r="G125" i="4"/>
  <c r="K125" i="4"/>
  <c r="A126" i="4"/>
  <c r="D126" i="4"/>
  <c r="G126" i="4"/>
  <c r="K126" i="4"/>
  <c r="A127" i="4"/>
  <c r="D127" i="4"/>
  <c r="G127" i="4"/>
  <c r="K127" i="4"/>
  <c r="A128" i="4"/>
  <c r="D128" i="4"/>
  <c r="G128" i="4"/>
  <c r="K128" i="4"/>
  <c r="A129" i="4"/>
  <c r="D129" i="4"/>
  <c r="G129" i="4"/>
  <c r="K129" i="4"/>
  <c r="A130" i="4"/>
  <c r="D130" i="4"/>
  <c r="G130" i="4"/>
  <c r="K130" i="4"/>
  <c r="A131" i="4"/>
  <c r="D131" i="4"/>
  <c r="G131" i="4"/>
  <c r="K131" i="4"/>
  <c r="A132" i="4"/>
  <c r="D132" i="4"/>
  <c r="G132" i="4"/>
  <c r="K132" i="4"/>
  <c r="A133" i="4"/>
  <c r="D133" i="4"/>
  <c r="G133" i="4"/>
  <c r="K133" i="4"/>
  <c r="A134" i="4"/>
  <c r="D134" i="4"/>
  <c r="G134" i="4"/>
  <c r="K134" i="4"/>
  <c r="A135" i="4"/>
  <c r="D135" i="4"/>
  <c r="G135" i="4"/>
  <c r="K135" i="4"/>
  <c r="A136" i="4"/>
  <c r="D136" i="4"/>
  <c r="G136" i="4"/>
  <c r="K136" i="4"/>
  <c r="A137" i="4"/>
  <c r="D137" i="4"/>
  <c r="G137" i="4"/>
  <c r="K137" i="4"/>
  <c r="A138" i="4"/>
  <c r="D138" i="4"/>
  <c r="G138" i="4"/>
  <c r="K138" i="4"/>
  <c r="A139" i="4"/>
  <c r="D139" i="4"/>
  <c r="G139" i="4"/>
  <c r="K139" i="4"/>
  <c r="A140" i="4"/>
  <c r="D140" i="4"/>
  <c r="G140" i="4"/>
  <c r="K140" i="4"/>
  <c r="A141" i="4"/>
  <c r="D141" i="4"/>
  <c r="G141" i="4"/>
  <c r="K141" i="4"/>
  <c r="A142" i="4"/>
  <c r="D142" i="4"/>
  <c r="G142" i="4"/>
  <c r="K142" i="4"/>
  <c r="A143" i="4"/>
  <c r="D143" i="4"/>
  <c r="G143" i="4"/>
  <c r="K143" i="4"/>
  <c r="A144" i="4"/>
  <c r="D144" i="4"/>
  <c r="G144" i="4"/>
  <c r="K144" i="4"/>
  <c r="A145" i="4"/>
  <c r="D145" i="4"/>
  <c r="G145" i="4"/>
  <c r="K145" i="4"/>
  <c r="A146" i="4"/>
  <c r="D146" i="4"/>
  <c r="G146" i="4"/>
  <c r="K146" i="4"/>
  <c r="A147" i="4"/>
  <c r="D147" i="4"/>
  <c r="G147" i="4"/>
  <c r="K147" i="4"/>
  <c r="A148" i="4"/>
  <c r="D148" i="4"/>
  <c r="G148" i="4"/>
  <c r="K148" i="4"/>
  <c r="A149" i="4"/>
  <c r="D149" i="4"/>
  <c r="G149" i="4"/>
  <c r="K149" i="4"/>
  <c r="A150" i="4"/>
  <c r="D150" i="4"/>
  <c r="G150" i="4"/>
  <c r="K150" i="4"/>
  <c r="A151" i="4"/>
  <c r="D151" i="4"/>
  <c r="G151" i="4"/>
  <c r="K151" i="4"/>
  <c r="A152" i="4"/>
  <c r="D152" i="4"/>
  <c r="G152" i="4"/>
  <c r="K152" i="4"/>
  <c r="A153" i="4"/>
  <c r="D153" i="4"/>
  <c r="G153" i="4"/>
  <c r="K153" i="4"/>
  <c r="A154" i="4"/>
  <c r="D154" i="4"/>
  <c r="G154" i="4"/>
  <c r="K154" i="4"/>
  <c r="A155" i="4"/>
  <c r="D155" i="4"/>
  <c r="G155" i="4"/>
  <c r="K155" i="4"/>
  <c r="A156" i="4"/>
  <c r="D156" i="4"/>
  <c r="G156" i="4"/>
  <c r="K156" i="4"/>
  <c r="A157" i="4"/>
  <c r="D157" i="4"/>
  <c r="G157" i="4"/>
  <c r="K157" i="4"/>
  <c r="A158" i="4"/>
  <c r="D158" i="4"/>
  <c r="G158" i="4"/>
  <c r="K158" i="4"/>
  <c r="A159" i="4"/>
  <c r="D159" i="4"/>
  <c r="G159" i="4"/>
  <c r="K159" i="4"/>
  <c r="A160" i="4"/>
  <c r="D160" i="4"/>
  <c r="G160" i="4"/>
  <c r="K160" i="4"/>
  <c r="A161" i="4"/>
  <c r="D161" i="4"/>
  <c r="G161" i="4"/>
  <c r="K161" i="4"/>
  <c r="A162" i="4"/>
  <c r="D162" i="4"/>
  <c r="G162" i="4"/>
  <c r="K162" i="4"/>
  <c r="A163" i="4"/>
  <c r="D163" i="4"/>
  <c r="G163" i="4"/>
  <c r="K163" i="4"/>
  <c r="A164" i="4"/>
  <c r="D164" i="4"/>
  <c r="G164" i="4"/>
  <c r="K164" i="4"/>
  <c r="A165" i="4"/>
  <c r="D165" i="4"/>
  <c r="G165" i="4"/>
  <c r="K165" i="4"/>
  <c r="A166" i="4"/>
  <c r="D166" i="4"/>
  <c r="G166" i="4"/>
  <c r="K166" i="4"/>
  <c r="A167" i="4"/>
  <c r="D167" i="4"/>
  <c r="G167" i="4"/>
  <c r="K167" i="4"/>
  <c r="A168" i="4"/>
  <c r="D168" i="4"/>
  <c r="G168" i="4"/>
  <c r="K168" i="4"/>
  <c r="A169" i="4"/>
  <c r="D169" i="4"/>
  <c r="G169" i="4"/>
  <c r="K169" i="4"/>
  <c r="A170" i="4"/>
  <c r="D170" i="4"/>
  <c r="G170" i="4"/>
  <c r="K170" i="4"/>
  <c r="A171" i="4"/>
  <c r="D171" i="4"/>
  <c r="G171" i="4"/>
  <c r="K171" i="4"/>
  <c r="A172" i="4"/>
  <c r="D172" i="4"/>
  <c r="G172" i="4"/>
  <c r="K172" i="4"/>
  <c r="A173" i="4"/>
  <c r="D173" i="4"/>
  <c r="G173" i="4"/>
  <c r="K173" i="4"/>
  <c r="A174" i="4"/>
  <c r="D174" i="4"/>
  <c r="G174" i="4"/>
  <c r="K174" i="4"/>
  <c r="A175" i="4"/>
  <c r="D175" i="4"/>
  <c r="G175" i="4"/>
  <c r="K175" i="4"/>
  <c r="A176" i="4"/>
  <c r="D176" i="4"/>
  <c r="G176" i="4"/>
  <c r="K176" i="4"/>
  <c r="A177" i="4"/>
  <c r="D177" i="4"/>
  <c r="G177" i="4"/>
  <c r="K177" i="4"/>
  <c r="A178" i="4"/>
  <c r="D178" i="4"/>
  <c r="G178" i="4"/>
  <c r="K178" i="4"/>
  <c r="A179" i="4"/>
  <c r="D179" i="4"/>
  <c r="G179" i="4"/>
  <c r="K179" i="4"/>
  <c r="A180" i="4"/>
  <c r="D180" i="4"/>
  <c r="G180" i="4"/>
  <c r="K180" i="4"/>
  <c r="A181" i="4"/>
  <c r="G181" i="4"/>
  <c r="A182" i="4"/>
  <c r="G182" i="4"/>
  <c r="K182" i="4"/>
  <c r="A183" i="4"/>
  <c r="D183" i="4"/>
  <c r="G183" i="4"/>
  <c r="K183" i="4"/>
  <c r="A184" i="4"/>
  <c r="D184" i="4"/>
  <c r="G184" i="4"/>
  <c r="K184" i="4"/>
  <c r="A185" i="4"/>
  <c r="D185" i="4"/>
  <c r="G185" i="4"/>
  <c r="K185" i="4"/>
  <c r="A186" i="4"/>
  <c r="D186" i="4"/>
  <c r="G186" i="4"/>
  <c r="K186" i="4"/>
  <c r="A187" i="4"/>
  <c r="D187" i="4"/>
  <c r="G187" i="4"/>
  <c r="K187" i="4"/>
  <c r="A188" i="4"/>
  <c r="D188" i="4"/>
  <c r="G188" i="4"/>
  <c r="A189" i="4"/>
  <c r="D189" i="4"/>
  <c r="G189" i="4"/>
  <c r="A190" i="4"/>
  <c r="D190" i="4"/>
  <c r="G190" i="4"/>
  <c r="K190" i="4"/>
  <c r="A191" i="4"/>
  <c r="D191" i="4"/>
  <c r="G191" i="4"/>
  <c r="K191" i="4"/>
  <c r="A192" i="4"/>
  <c r="D192" i="4"/>
  <c r="G192" i="4"/>
  <c r="K192" i="4"/>
  <c r="A193" i="4"/>
  <c r="D193" i="4"/>
  <c r="G193" i="4"/>
  <c r="K193" i="4"/>
  <c r="A194" i="4"/>
  <c r="D194" i="4"/>
  <c r="G194" i="4"/>
  <c r="K194" i="4"/>
  <c r="A195" i="4"/>
  <c r="D195" i="4"/>
  <c r="G195" i="4"/>
  <c r="K195" i="4"/>
  <c r="A196" i="4"/>
  <c r="D196" i="4"/>
  <c r="G196" i="4"/>
  <c r="K196" i="4"/>
  <c r="A197" i="4"/>
  <c r="D197" i="4"/>
  <c r="G197" i="4"/>
  <c r="K197" i="4"/>
  <c r="A198" i="4"/>
  <c r="D198" i="4"/>
  <c r="G198" i="4"/>
  <c r="K198" i="4"/>
  <c r="A199" i="4"/>
  <c r="D199" i="4"/>
  <c r="G199" i="4"/>
  <c r="K199" i="4"/>
  <c r="A200" i="4"/>
  <c r="D200" i="4"/>
  <c r="G200" i="4"/>
  <c r="K200" i="4"/>
  <c r="A201" i="4"/>
  <c r="D201" i="4"/>
  <c r="G201" i="4"/>
  <c r="K201" i="4"/>
  <c r="A202" i="4"/>
  <c r="D202" i="4"/>
  <c r="G202" i="4"/>
  <c r="K202" i="4"/>
  <c r="A203" i="4"/>
  <c r="D203" i="4"/>
  <c r="G203" i="4"/>
  <c r="K203" i="4"/>
  <c r="A204" i="4"/>
  <c r="D204" i="4"/>
  <c r="G204" i="4"/>
  <c r="K204" i="4"/>
  <c r="A205" i="4"/>
  <c r="D205" i="4"/>
  <c r="G205" i="4"/>
  <c r="K205" i="4"/>
  <c r="A206" i="4"/>
  <c r="D206" i="4"/>
  <c r="G206" i="4"/>
  <c r="K206" i="4"/>
  <c r="A207" i="4"/>
  <c r="D207" i="4"/>
  <c r="G207" i="4"/>
  <c r="K207" i="4"/>
  <c r="A208" i="4"/>
  <c r="G208" i="4"/>
  <c r="A209" i="4"/>
  <c r="D209" i="4"/>
  <c r="G209" i="4"/>
  <c r="K209" i="4"/>
  <c r="A210" i="4"/>
  <c r="D210" i="4"/>
  <c r="G210" i="4"/>
  <c r="K210" i="4"/>
  <c r="A211" i="4"/>
  <c r="D211" i="4"/>
  <c r="G211" i="4"/>
  <c r="K211" i="4"/>
  <c r="A212" i="4"/>
  <c r="D212" i="4"/>
  <c r="G212" i="4"/>
  <c r="K212" i="4"/>
  <c r="A213" i="4"/>
  <c r="D213" i="4"/>
  <c r="G213" i="4"/>
  <c r="K213" i="4"/>
  <c r="A214" i="4"/>
  <c r="D214" i="4"/>
  <c r="G214" i="4"/>
  <c r="K214" i="4"/>
  <c r="A215" i="4"/>
  <c r="D215" i="4"/>
  <c r="G215" i="4"/>
  <c r="K215" i="4"/>
  <c r="A216" i="4"/>
  <c r="D216" i="4"/>
  <c r="G216" i="4"/>
  <c r="K216" i="4"/>
  <c r="A217" i="4"/>
  <c r="D217" i="4"/>
  <c r="G217" i="4"/>
  <c r="K217" i="4"/>
  <c r="A218" i="4"/>
  <c r="D218" i="4"/>
  <c r="G218" i="4"/>
  <c r="K218" i="4"/>
  <c r="A219" i="4"/>
  <c r="D219" i="4"/>
  <c r="G219" i="4"/>
  <c r="K219" i="4"/>
  <c r="A220" i="4"/>
  <c r="D220" i="4"/>
  <c r="G220" i="4"/>
  <c r="K220" i="4"/>
  <c r="A221" i="4"/>
  <c r="D221" i="4"/>
  <c r="G221" i="4"/>
  <c r="K221" i="4"/>
  <c r="A222" i="4"/>
  <c r="D222" i="4"/>
  <c r="G222" i="4"/>
  <c r="K222" i="4"/>
  <c r="A223" i="4"/>
  <c r="D223" i="4"/>
  <c r="G223" i="4"/>
  <c r="K223" i="4"/>
  <c r="A224" i="4"/>
  <c r="D224" i="4"/>
  <c r="G224" i="4"/>
  <c r="K224" i="4"/>
  <c r="A225" i="4"/>
  <c r="D225" i="4"/>
  <c r="G225" i="4"/>
  <c r="K225" i="4"/>
  <c r="A226" i="4"/>
  <c r="D226" i="4"/>
  <c r="G226" i="4"/>
  <c r="K226" i="4"/>
  <c r="A227" i="4"/>
  <c r="D227" i="4"/>
  <c r="G227" i="4"/>
  <c r="K227" i="4"/>
  <c r="A228" i="4"/>
  <c r="D228" i="4"/>
  <c r="G228" i="4"/>
  <c r="K228" i="4"/>
  <c r="A229" i="4"/>
  <c r="D229" i="4"/>
  <c r="G229" i="4"/>
  <c r="K229" i="4"/>
  <c r="A230" i="4"/>
  <c r="D230" i="4"/>
  <c r="G230" i="4"/>
  <c r="K230" i="4"/>
  <c r="A231" i="4"/>
  <c r="D231" i="4"/>
  <c r="G231" i="4"/>
  <c r="K231" i="4"/>
  <c r="A232" i="4"/>
  <c r="D232" i="4"/>
  <c r="G232" i="4"/>
  <c r="K232" i="4"/>
  <c r="A233" i="4"/>
  <c r="D233" i="4"/>
  <c r="G233" i="4"/>
  <c r="K233" i="4"/>
  <c r="A234" i="4"/>
  <c r="D234" i="4"/>
  <c r="G234" i="4"/>
  <c r="K234" i="4"/>
  <c r="A235" i="4"/>
  <c r="D235" i="4"/>
  <c r="G235" i="4"/>
  <c r="K235" i="4"/>
  <c r="A236" i="4"/>
  <c r="D236" i="4"/>
  <c r="G236" i="4"/>
  <c r="K236" i="4"/>
  <c r="A237" i="4"/>
  <c r="D237" i="4"/>
  <c r="G237" i="4"/>
  <c r="K237" i="4"/>
  <c r="A238" i="4"/>
  <c r="D238" i="4"/>
  <c r="G238" i="4"/>
  <c r="K238" i="4"/>
  <c r="A239" i="4"/>
  <c r="D239" i="4"/>
  <c r="G239" i="4"/>
  <c r="K239" i="4"/>
  <c r="A240" i="4"/>
  <c r="D240" i="4"/>
  <c r="G240" i="4"/>
  <c r="K240" i="4"/>
  <c r="A241" i="4"/>
  <c r="D241" i="4"/>
  <c r="G241" i="4"/>
  <c r="K241" i="4"/>
  <c r="A242" i="4"/>
  <c r="D242" i="4"/>
  <c r="G242" i="4"/>
  <c r="K242" i="4"/>
  <c r="A243" i="4"/>
  <c r="D243" i="4"/>
  <c r="G243" i="4"/>
  <c r="K243" i="4"/>
  <c r="A244" i="4"/>
  <c r="D244" i="4"/>
  <c r="G244" i="4"/>
  <c r="K244" i="4"/>
  <c r="A245" i="4"/>
  <c r="D245" i="4"/>
  <c r="G245" i="4"/>
  <c r="K245" i="4"/>
  <c r="A246" i="4"/>
  <c r="D246" i="4"/>
  <c r="G246" i="4"/>
  <c r="K246" i="4"/>
  <c r="A247" i="4"/>
  <c r="D247" i="4"/>
  <c r="G247" i="4"/>
  <c r="K247" i="4"/>
  <c r="A248" i="4"/>
  <c r="D248" i="4"/>
  <c r="G248" i="4"/>
  <c r="K248" i="4"/>
  <c r="A249" i="4"/>
  <c r="G249" i="4"/>
  <c r="A250" i="4"/>
  <c r="D250" i="4"/>
  <c r="G250" i="4"/>
  <c r="K250" i="4"/>
  <c r="A251" i="4"/>
  <c r="D251" i="4"/>
  <c r="G251" i="4"/>
  <c r="K251" i="4"/>
  <c r="A252" i="4"/>
  <c r="D252" i="4"/>
  <c r="G252" i="4"/>
  <c r="K252" i="4"/>
  <c r="A253" i="4"/>
  <c r="D253" i="4"/>
  <c r="G253" i="4"/>
  <c r="K253" i="4"/>
  <c r="A254" i="4"/>
  <c r="D254" i="4"/>
  <c r="G254" i="4"/>
  <c r="K254" i="4"/>
  <c r="A255" i="4"/>
  <c r="D255" i="4"/>
  <c r="G255" i="4"/>
  <c r="K255" i="4"/>
  <c r="A256" i="4"/>
  <c r="D256" i="4"/>
  <c r="G256" i="4"/>
  <c r="K256" i="4"/>
  <c r="A257" i="4"/>
  <c r="D257" i="4"/>
  <c r="G257" i="4"/>
  <c r="K257" i="4"/>
  <c r="A258" i="4"/>
  <c r="D258" i="4"/>
  <c r="G258" i="4"/>
  <c r="K258" i="4"/>
  <c r="A259" i="4"/>
  <c r="D259" i="4"/>
  <c r="G259" i="4"/>
  <c r="K259" i="4"/>
  <c r="A260" i="4"/>
  <c r="D260" i="4"/>
  <c r="G260" i="4"/>
  <c r="K260" i="4"/>
  <c r="A261" i="4"/>
  <c r="D261" i="4"/>
  <c r="G261" i="4"/>
  <c r="K261" i="4"/>
  <c r="A262" i="4"/>
  <c r="D262" i="4"/>
  <c r="G262" i="4"/>
  <c r="K262" i="4"/>
  <c r="A263" i="4"/>
  <c r="D263" i="4"/>
  <c r="G263" i="4"/>
  <c r="K263" i="4"/>
  <c r="A264" i="4"/>
  <c r="D264" i="4"/>
  <c r="G264" i="4"/>
  <c r="K264" i="4"/>
  <c r="A265" i="4"/>
  <c r="D265" i="4"/>
  <c r="G265" i="4"/>
  <c r="K265" i="4"/>
  <c r="A266" i="4"/>
  <c r="D266" i="4"/>
  <c r="G266" i="4"/>
  <c r="K266" i="4"/>
  <c r="A267" i="4"/>
  <c r="D267" i="4"/>
  <c r="G267" i="4"/>
  <c r="K267" i="4"/>
  <c r="A268" i="4"/>
  <c r="D268" i="4"/>
  <c r="G268" i="4"/>
  <c r="K268" i="4"/>
  <c r="A269" i="4"/>
  <c r="D269" i="4"/>
  <c r="G269" i="4"/>
  <c r="K269" i="4"/>
  <c r="A270" i="4"/>
  <c r="D270" i="4"/>
  <c r="G270" i="4"/>
  <c r="K270" i="4"/>
  <c r="A271" i="4"/>
  <c r="D271" i="4"/>
  <c r="G271" i="4"/>
  <c r="K271" i="4"/>
  <c r="A272" i="4"/>
  <c r="D272" i="4"/>
  <c r="G272" i="4"/>
  <c r="K272" i="4"/>
  <c r="A273" i="4"/>
  <c r="D273" i="4"/>
  <c r="G273" i="4"/>
  <c r="K273" i="4"/>
  <c r="A274" i="4"/>
  <c r="D274" i="4"/>
  <c r="G274" i="4"/>
  <c r="K274" i="4"/>
  <c r="A275" i="4"/>
  <c r="D275" i="4"/>
  <c r="G275" i="4"/>
  <c r="K275" i="4"/>
  <c r="A276" i="4"/>
  <c r="D276" i="4"/>
  <c r="G276" i="4"/>
  <c r="K276" i="4"/>
  <c r="A277" i="4"/>
  <c r="G277" i="4"/>
  <c r="K277" i="4"/>
  <c r="A278" i="4"/>
  <c r="D278" i="4"/>
  <c r="G278" i="4"/>
  <c r="K278" i="4"/>
  <c r="A279" i="4"/>
  <c r="D279" i="4"/>
  <c r="G279" i="4"/>
  <c r="K279" i="4"/>
  <c r="A280" i="4"/>
  <c r="D280" i="4"/>
  <c r="G280" i="4"/>
  <c r="K280" i="4"/>
  <c r="A281" i="4"/>
  <c r="D281" i="4"/>
  <c r="G281" i="4"/>
  <c r="K281" i="4"/>
  <c r="A282" i="4"/>
  <c r="D282" i="4"/>
  <c r="G282" i="4"/>
  <c r="K282" i="4"/>
  <c r="A283" i="4"/>
  <c r="D283" i="4"/>
  <c r="G283" i="4"/>
  <c r="K283" i="4"/>
  <c r="A284" i="4"/>
  <c r="D284" i="4"/>
  <c r="G284" i="4"/>
  <c r="K284" i="4"/>
  <c r="A285" i="4"/>
  <c r="D285" i="4"/>
  <c r="G285" i="4"/>
  <c r="K285" i="4"/>
  <c r="A286" i="4"/>
  <c r="D286" i="4"/>
  <c r="G286" i="4"/>
  <c r="K286" i="4"/>
  <c r="A287" i="4"/>
  <c r="D287" i="4"/>
  <c r="G287" i="4"/>
  <c r="K287" i="4"/>
  <c r="A288" i="4"/>
  <c r="D288" i="4"/>
  <c r="G288" i="4"/>
  <c r="K288" i="4"/>
  <c r="A289" i="4"/>
  <c r="D289" i="4"/>
  <c r="G289" i="4"/>
  <c r="K289" i="4"/>
  <c r="A290" i="4"/>
  <c r="D290" i="4"/>
  <c r="G290" i="4"/>
  <c r="K290" i="4"/>
  <c r="A291" i="4"/>
  <c r="D291" i="4"/>
  <c r="G291" i="4"/>
  <c r="K291" i="4"/>
  <c r="A292" i="4"/>
  <c r="D292" i="4"/>
  <c r="G292" i="4"/>
  <c r="K292" i="4"/>
  <c r="A293" i="4"/>
  <c r="D293" i="4"/>
  <c r="G293" i="4"/>
  <c r="K293" i="4"/>
  <c r="A294" i="4"/>
  <c r="D294" i="4"/>
  <c r="G294" i="4"/>
  <c r="K294" i="4"/>
  <c r="A295" i="4"/>
  <c r="D295" i="4"/>
  <c r="G295" i="4"/>
  <c r="K295" i="4"/>
  <c r="A296" i="4"/>
  <c r="D296" i="4"/>
  <c r="G296" i="4"/>
  <c r="K296" i="4"/>
  <c r="A297" i="4"/>
  <c r="D297" i="4"/>
  <c r="G297" i="4"/>
  <c r="K297" i="4"/>
  <c r="A298" i="4"/>
  <c r="D298" i="4"/>
  <c r="G298" i="4"/>
  <c r="A299" i="4"/>
  <c r="D299" i="4"/>
  <c r="G299" i="4"/>
  <c r="K299" i="4"/>
  <c r="A300" i="4"/>
  <c r="D300" i="4"/>
  <c r="G300" i="4"/>
  <c r="K300" i="4"/>
  <c r="A301" i="4"/>
  <c r="D301" i="4"/>
  <c r="G301" i="4"/>
  <c r="K301" i="4"/>
  <c r="A302" i="4"/>
  <c r="D302" i="4"/>
  <c r="G302" i="4"/>
  <c r="K302" i="4"/>
  <c r="A303" i="4"/>
  <c r="D303" i="4"/>
  <c r="G303" i="4"/>
  <c r="K303" i="4"/>
  <c r="A304" i="4"/>
  <c r="D304" i="4"/>
  <c r="G304" i="4"/>
  <c r="K304" i="4"/>
  <c r="A305" i="4"/>
  <c r="D305" i="4"/>
  <c r="G305" i="4"/>
  <c r="K305" i="4"/>
  <c r="A306" i="4"/>
  <c r="D306" i="4"/>
  <c r="G306" i="4"/>
  <c r="K306" i="4"/>
  <c r="A307" i="4"/>
  <c r="D307" i="4"/>
  <c r="G307" i="4"/>
  <c r="K307" i="4"/>
  <c r="A308" i="4"/>
  <c r="D308" i="4"/>
  <c r="G308" i="4"/>
  <c r="K308" i="4"/>
  <c r="A309" i="4"/>
  <c r="D309" i="4"/>
  <c r="G309" i="4"/>
  <c r="K309" i="4"/>
  <c r="A310" i="4"/>
  <c r="D310" i="4"/>
  <c r="G310" i="4"/>
  <c r="K310" i="4"/>
  <c r="A311" i="4"/>
  <c r="D311" i="4"/>
  <c r="G311" i="4"/>
  <c r="K311" i="4"/>
  <c r="A313" i="4"/>
  <c r="D313" i="4"/>
  <c r="G313" i="4"/>
  <c r="K313" i="4"/>
  <c r="A314" i="4"/>
  <c r="D314" i="4"/>
  <c r="G314" i="4"/>
  <c r="K314" i="4"/>
  <c r="A315" i="4"/>
  <c r="D315" i="4"/>
  <c r="G315" i="4"/>
  <c r="K315" i="4"/>
  <c r="A316" i="4"/>
  <c r="D316" i="4"/>
  <c r="G316" i="4"/>
  <c r="K316" i="4"/>
  <c r="A317" i="4"/>
  <c r="D317" i="4"/>
  <c r="G317" i="4"/>
  <c r="K317" i="4"/>
  <c r="A318" i="4"/>
  <c r="D318" i="4"/>
  <c r="G318" i="4"/>
  <c r="K318" i="4"/>
  <c r="A319" i="4"/>
  <c r="D319" i="4"/>
  <c r="G319" i="4"/>
  <c r="K319" i="4"/>
  <c r="A320" i="4"/>
  <c r="D320" i="4"/>
  <c r="G320" i="4"/>
  <c r="K320" i="4"/>
  <c r="A321" i="4"/>
  <c r="D321" i="4"/>
  <c r="G321" i="4"/>
  <c r="K321" i="4"/>
  <c r="A322" i="4"/>
  <c r="D322" i="4"/>
  <c r="G322" i="4"/>
  <c r="K322" i="4"/>
  <c r="A323" i="4"/>
  <c r="D323" i="4"/>
  <c r="G323" i="4"/>
  <c r="K323" i="4"/>
  <c r="A324" i="4"/>
  <c r="D324" i="4"/>
  <c r="G324" i="4"/>
  <c r="K324" i="4"/>
  <c r="A325" i="4"/>
  <c r="D325" i="4"/>
  <c r="G325" i="4"/>
  <c r="K325" i="4"/>
  <c r="A326" i="4"/>
  <c r="D326" i="4"/>
  <c r="G326" i="4"/>
  <c r="K326" i="4"/>
  <c r="A327" i="4"/>
  <c r="D327" i="4"/>
  <c r="G327" i="4"/>
  <c r="K327" i="4"/>
  <c r="A328" i="4"/>
  <c r="D328" i="4"/>
  <c r="G328" i="4"/>
  <c r="K328" i="4"/>
  <c r="A329" i="4"/>
  <c r="D329" i="4"/>
  <c r="G329" i="4"/>
  <c r="K329" i="4"/>
  <c r="A330" i="4"/>
  <c r="D330" i="4"/>
  <c r="G330" i="4"/>
  <c r="K330" i="4"/>
  <c r="A331" i="4"/>
  <c r="D331" i="4"/>
  <c r="G331" i="4"/>
  <c r="K331" i="4"/>
  <c r="A332" i="4"/>
  <c r="D332" i="4"/>
  <c r="G332" i="4"/>
  <c r="K332" i="4"/>
  <c r="A333" i="4"/>
  <c r="D333" i="4"/>
  <c r="G333" i="4"/>
  <c r="K333" i="4"/>
  <c r="A334" i="4"/>
  <c r="D334" i="4"/>
  <c r="G334" i="4"/>
  <c r="K334" i="4"/>
  <c r="A335" i="4"/>
  <c r="D335" i="4"/>
  <c r="G335" i="4"/>
  <c r="K335" i="4"/>
  <c r="A336" i="4"/>
  <c r="D336" i="4"/>
  <c r="G336" i="4"/>
  <c r="K336" i="4"/>
  <c r="A338" i="4"/>
  <c r="D338" i="4"/>
  <c r="G338" i="4"/>
  <c r="K338" i="4"/>
  <c r="A339" i="4"/>
  <c r="D339" i="4"/>
  <c r="G339" i="4"/>
  <c r="K339" i="4"/>
  <c r="A340" i="4"/>
  <c r="D340" i="4"/>
  <c r="G340" i="4"/>
  <c r="K340" i="4"/>
  <c r="A341" i="4"/>
  <c r="D341" i="4"/>
  <c r="G341" i="4"/>
  <c r="K341" i="4"/>
  <c r="A342" i="4"/>
  <c r="D342" i="4"/>
  <c r="G342" i="4"/>
  <c r="K342" i="4"/>
  <c r="A343" i="4"/>
  <c r="D343" i="4"/>
  <c r="G343" i="4"/>
  <c r="K343" i="4"/>
  <c r="A344" i="4"/>
  <c r="D344" i="4"/>
  <c r="G344" i="4"/>
  <c r="K344" i="4"/>
  <c r="A345" i="4"/>
  <c r="D345" i="4"/>
  <c r="G345" i="4"/>
  <c r="K345" i="4"/>
  <c r="A346" i="4"/>
  <c r="D346" i="4"/>
  <c r="G346" i="4"/>
  <c r="K346" i="4"/>
  <c r="A347" i="4"/>
  <c r="D347" i="4"/>
  <c r="G347" i="4"/>
  <c r="K347" i="4"/>
  <c r="A348" i="4"/>
  <c r="D348" i="4"/>
  <c r="G348" i="4"/>
  <c r="K348" i="4"/>
  <c r="A349" i="4"/>
  <c r="D349" i="4"/>
  <c r="G349" i="4"/>
  <c r="K349" i="4"/>
  <c r="A350" i="4"/>
  <c r="D350" i="4"/>
  <c r="G350" i="4"/>
  <c r="K350" i="4"/>
  <c r="A351" i="4"/>
  <c r="D351" i="4"/>
  <c r="G351" i="4"/>
  <c r="K351" i="4"/>
  <c r="A352" i="4"/>
  <c r="D352" i="4"/>
  <c r="G352" i="4"/>
  <c r="K352" i="4"/>
  <c r="A353" i="4"/>
  <c r="D353" i="4"/>
  <c r="G353" i="4"/>
  <c r="K353" i="4"/>
  <c r="A354" i="4"/>
  <c r="D354" i="4"/>
  <c r="G354" i="4"/>
  <c r="K354" i="4"/>
  <c r="A355" i="4"/>
  <c r="D355" i="4"/>
  <c r="G355" i="4"/>
  <c r="K355" i="4"/>
  <c r="A356" i="4"/>
  <c r="D356" i="4"/>
  <c r="G356" i="4"/>
  <c r="K356" i="4"/>
  <c r="A357" i="4"/>
  <c r="D357" i="4"/>
  <c r="G357" i="4"/>
  <c r="K357" i="4"/>
  <c r="A358" i="4"/>
  <c r="D358" i="4"/>
  <c r="G358" i="4"/>
  <c r="K358" i="4"/>
  <c r="A359" i="4"/>
  <c r="D359" i="4"/>
  <c r="G359" i="4"/>
  <c r="K359" i="4"/>
  <c r="A360" i="4"/>
  <c r="D360" i="4"/>
  <c r="G360" i="4"/>
  <c r="K360" i="4"/>
  <c r="A361" i="4"/>
  <c r="D361" i="4"/>
  <c r="G361" i="4"/>
  <c r="K361" i="4"/>
  <c r="A362" i="4"/>
  <c r="D362" i="4"/>
  <c r="G362" i="4"/>
  <c r="K362" i="4"/>
  <c r="A363" i="4"/>
  <c r="D363" i="4"/>
  <c r="G363" i="4"/>
  <c r="K363" i="4"/>
  <c r="A364" i="4"/>
  <c r="D364" i="4"/>
  <c r="G364" i="4"/>
  <c r="K364" i="4"/>
  <c r="A365" i="4"/>
  <c r="D365" i="4"/>
  <c r="G365" i="4"/>
  <c r="K365" i="4"/>
  <c r="A366" i="4"/>
  <c r="D366" i="4"/>
  <c r="G366" i="4"/>
  <c r="K366" i="4"/>
  <c r="A367" i="4"/>
  <c r="D367" i="4"/>
  <c r="G367" i="4"/>
  <c r="K367" i="4"/>
  <c r="A368" i="4"/>
  <c r="D368" i="4"/>
  <c r="G368" i="4"/>
  <c r="K368" i="4"/>
  <c r="A369" i="4"/>
  <c r="D369" i="4"/>
  <c r="G369" i="4"/>
  <c r="K369" i="4"/>
  <c r="A370" i="4"/>
  <c r="D370" i="4"/>
  <c r="G370" i="4"/>
  <c r="K370" i="4"/>
  <c r="A371" i="4"/>
  <c r="D371" i="4"/>
  <c r="G371" i="4"/>
  <c r="K371" i="4"/>
  <c r="A372" i="4"/>
  <c r="D372" i="4"/>
  <c r="G372" i="4"/>
  <c r="K372" i="4"/>
  <c r="A373" i="4"/>
  <c r="D373" i="4"/>
  <c r="G373" i="4"/>
  <c r="K373" i="4"/>
  <c r="A374" i="4"/>
  <c r="D374" i="4"/>
  <c r="G374" i="4"/>
  <c r="K374" i="4"/>
  <c r="A375" i="4"/>
  <c r="D375" i="4"/>
  <c r="G375" i="4"/>
  <c r="K375" i="4"/>
  <c r="A376" i="4"/>
  <c r="D376" i="4"/>
  <c r="G376" i="4"/>
  <c r="K376" i="4"/>
  <c r="A377" i="4"/>
  <c r="D377" i="4"/>
  <c r="G377" i="4"/>
  <c r="K377" i="4"/>
  <c r="A378" i="4"/>
  <c r="D378" i="4"/>
  <c r="G378" i="4"/>
  <c r="K378" i="4"/>
  <c r="A379" i="4"/>
  <c r="D379" i="4"/>
  <c r="G379" i="4"/>
  <c r="K379" i="4"/>
  <c r="A380" i="4"/>
  <c r="D380" i="4"/>
  <c r="G380" i="4"/>
  <c r="K380" i="4"/>
  <c r="A381" i="4"/>
  <c r="D381" i="4"/>
  <c r="G381" i="4"/>
  <c r="K381" i="4"/>
  <c r="A382" i="4"/>
  <c r="D382" i="4"/>
  <c r="G382" i="4"/>
  <c r="K382" i="4"/>
  <c r="A383" i="4"/>
  <c r="D383" i="4"/>
  <c r="G383" i="4"/>
  <c r="K383" i="4"/>
  <c r="A384" i="4"/>
  <c r="D384" i="4"/>
  <c r="G384" i="4"/>
  <c r="K384" i="4"/>
  <c r="A385" i="4"/>
  <c r="D385" i="4"/>
  <c r="G385" i="4"/>
  <c r="K385" i="4"/>
  <c r="A386" i="4"/>
  <c r="D386" i="4"/>
  <c r="G386" i="4"/>
  <c r="K386" i="4"/>
  <c r="A387" i="4"/>
  <c r="D387" i="4"/>
  <c r="G387" i="4"/>
  <c r="K387" i="4"/>
  <c r="A388" i="4"/>
  <c r="D388" i="4"/>
  <c r="G388" i="4"/>
  <c r="K388" i="4"/>
  <c r="A389" i="4"/>
  <c r="D389" i="4"/>
  <c r="G389" i="4"/>
  <c r="K389" i="4"/>
  <c r="A390" i="4"/>
  <c r="D390" i="4"/>
  <c r="G390" i="4"/>
  <c r="K390" i="4"/>
  <c r="A391" i="4"/>
  <c r="D391" i="4"/>
  <c r="G391" i="4"/>
  <c r="K391" i="4"/>
  <c r="A392" i="4"/>
  <c r="D392" i="4"/>
  <c r="G392" i="4"/>
  <c r="K392" i="4"/>
  <c r="A393" i="4"/>
  <c r="D393" i="4"/>
  <c r="G393" i="4"/>
  <c r="K393" i="4"/>
  <c r="A395" i="4"/>
  <c r="D395" i="4"/>
  <c r="G395" i="4"/>
  <c r="K395" i="4"/>
  <c r="A396" i="4"/>
  <c r="D396" i="4"/>
  <c r="G396" i="4"/>
  <c r="K396" i="4"/>
  <c r="A397" i="4"/>
  <c r="D397" i="4"/>
  <c r="G397" i="4"/>
  <c r="K397" i="4"/>
  <c r="A398" i="4"/>
  <c r="D398" i="4"/>
  <c r="G398" i="4"/>
  <c r="K398" i="4"/>
  <c r="A399" i="4"/>
  <c r="D399" i="4"/>
  <c r="G399" i="4"/>
  <c r="K399" i="4"/>
  <c r="K9" i="4"/>
  <c r="K10" i="4"/>
  <c r="K11" i="4"/>
  <c r="D9" i="4"/>
  <c r="D10" i="4"/>
  <c r="D11" i="4"/>
  <c r="L8" i="4"/>
  <c r="A8" i="4"/>
  <c r="A9" i="4"/>
  <c r="A10" i="4"/>
  <c r="A11" i="4"/>
  <c r="K8" i="4" l="1"/>
  <c r="G8" i="4"/>
  <c r="D8" i="4"/>
  <c r="G9" i="4" l="1"/>
  <c r="G10" i="4"/>
  <c r="G11" i="4"/>
  <c r="J1762" i="2" l="1"/>
  <c r="J1757" i="2"/>
  <c r="J1753" i="2"/>
  <c r="K1065" i="2"/>
  <c r="N880" i="2"/>
  <c r="I837" i="2"/>
  <c r="I832" i="2"/>
  <c r="H677" i="2"/>
  <c r="M581" i="2"/>
  <c r="H393" i="2"/>
  <c r="J286" i="2"/>
  <c r="L285" i="2"/>
  <c r="H283" i="2"/>
  <c r="H188" i="2"/>
  <c r="L134" i="2"/>
  <c r="H64" i="2"/>
  <c r="L56" i="2"/>
  <c r="K44" i="2"/>
  <c r="Q7" i="9" l="1"/>
  <c r="Q8" i="9" s="1"/>
  <c r="Q9" i="9" s="1"/>
  <c r="Q10" i="9" s="1"/>
  <c r="Q11" i="9" s="1"/>
  <c r="Q12" i="9" s="1"/>
  <c r="Q13" i="9" s="1"/>
  <c r="Q14" i="9" s="1"/>
  <c r="Q15" i="9" s="1"/>
  <c r="Q16" i="9" s="1"/>
  <c r="Q17" i="9" s="1"/>
  <c r="Q18" i="9" s="1"/>
  <c r="Q19" i="9" s="1"/>
  <c r="Q20" i="9" s="1"/>
  <c r="Q21" i="9" s="1"/>
  <c r="Q22" i="9" s="1"/>
  <c r="Q23" i="9" s="1"/>
  <c r="Q24" i="9" s="1"/>
  <c r="Q25" i="9" s="1"/>
  <c r="Q26" i="9" s="1"/>
  <c r="Q27" i="9" s="1"/>
  <c r="Q28" i="9" s="1"/>
  <c r="Q29" i="9" s="1"/>
  <c r="Q30" i="9" s="1"/>
  <c r="Q31" i="9" s="1"/>
  <c r="Q32" i="9" s="1"/>
  <c r="Q33" i="9" s="1"/>
  <c r="Q34" i="9" s="1"/>
  <c r="Q35" i="9" s="1"/>
  <c r="Q36" i="9" s="1"/>
  <c r="Q37" i="9" s="1"/>
  <c r="Q38" i="9" s="1"/>
  <c r="Q39" i="9" s="1"/>
  <c r="Q40" i="9" s="1"/>
  <c r="Q41" i="9" s="1"/>
  <c r="Q42" i="9" s="1"/>
  <c r="Q43" i="9" s="1"/>
  <c r="Q44" i="9" s="1"/>
  <c r="Q45" i="9" s="1"/>
  <c r="Q46" i="9" s="1"/>
  <c r="Q47" i="9" s="1"/>
  <c r="Q48" i="9" s="1"/>
  <c r="Q49" i="9" s="1"/>
  <c r="Q50" i="9" s="1"/>
  <c r="Q51" i="9" s="1"/>
  <c r="Q52" i="9" s="1"/>
  <c r="Q53" i="9" s="1"/>
  <c r="Q54" i="9" s="1"/>
  <c r="Q55" i="9" s="1"/>
  <c r="Q56" i="9" s="1"/>
  <c r="Q57" i="9" s="1"/>
  <c r="Q58" i="9" s="1"/>
  <c r="Q59" i="9" s="1"/>
  <c r="Q60" i="9" s="1"/>
  <c r="Q61" i="9" s="1"/>
  <c r="Q62" i="9" s="1"/>
  <c r="Q63" i="9" s="1"/>
  <c r="Q64" i="9" s="1"/>
  <c r="Q65" i="9" s="1"/>
  <c r="Q66" i="9" s="1"/>
  <c r="Q67" i="9" s="1"/>
  <c r="Q68" i="9" s="1"/>
  <c r="Q69" i="9" s="1"/>
  <c r="Q70" i="9" s="1"/>
  <c r="Q71" i="9" s="1"/>
  <c r="Q72" i="9" s="1"/>
  <c r="Q73" i="9" s="1"/>
  <c r="Q74" i="9" s="1"/>
  <c r="Q75" i="9" s="1"/>
  <c r="Q76" i="9" s="1"/>
  <c r="Q77" i="9" s="1"/>
  <c r="Q78" i="9" s="1"/>
  <c r="Q79" i="9" s="1"/>
  <c r="Q80" i="9" s="1"/>
  <c r="Q81" i="9" s="1"/>
  <c r="Q82" i="9" s="1"/>
  <c r="Q83" i="9" s="1"/>
  <c r="Q84" i="9" s="1"/>
  <c r="Q85" i="9" s="1"/>
  <c r="Q86" i="9" s="1"/>
  <c r="Q87" i="9" s="1"/>
  <c r="Q88" i="9" s="1"/>
  <c r="Q89" i="9" s="1"/>
  <c r="Q90" i="9" s="1"/>
  <c r="Q91" i="9" s="1"/>
  <c r="Q92" i="9" s="1"/>
  <c r="Q93" i="9" s="1"/>
  <c r="Q94" i="9" s="1"/>
  <c r="Q95" i="9" s="1"/>
  <c r="Q96" i="9" s="1"/>
  <c r="Q97" i="9" s="1"/>
  <c r="Q98" i="9" s="1"/>
  <c r="Q99" i="9" s="1"/>
  <c r="Q100" i="9" s="1"/>
</calcChain>
</file>

<file path=xl/comments1.xml><?xml version="1.0" encoding="utf-8"?>
<comments xmlns="http://schemas.openxmlformats.org/spreadsheetml/2006/main">
  <authors>
    <author>htrang.nguyen</author>
    <author>maria.nguyen</author>
    <author>ngan.do</author>
    <author>phung.lu</author>
  </authors>
  <commentList>
    <comment ref="B94" authorId="0" shapeId="0">
      <text>
        <r>
          <rPr>
            <b/>
            <sz val="8"/>
            <color indexed="81"/>
            <rFont val="Tahoma"/>
            <family val="2"/>
          </rPr>
          <t>htrang.nguyen:</t>
        </r>
        <r>
          <rPr>
            <sz val="8"/>
            <color indexed="81"/>
            <rFont val="Tahoma"/>
            <family val="2"/>
          </rPr>
          <t xml:space="preserve">
A PHONG</t>
        </r>
      </text>
    </comment>
    <comment ref="B121" authorId="0" shapeId="0">
      <text>
        <r>
          <rPr>
            <b/>
            <sz val="8"/>
            <color indexed="81"/>
            <rFont val="Tahoma"/>
            <family val="2"/>
          </rPr>
          <t>htrang.nguyen:</t>
        </r>
        <r>
          <rPr>
            <sz val="8"/>
            <color indexed="81"/>
            <rFont val="Tahoma"/>
            <family val="2"/>
          </rPr>
          <t xml:space="preserve">
IVY</t>
        </r>
      </text>
    </comment>
    <comment ref="B238" authorId="0" shapeId="0">
      <text>
        <r>
          <rPr>
            <b/>
            <sz val="8"/>
            <color indexed="81"/>
            <rFont val="Tahoma"/>
            <family val="2"/>
          </rPr>
          <t>htrang.nguyen:</t>
        </r>
        <r>
          <rPr>
            <sz val="8"/>
            <color indexed="81"/>
            <rFont val="Tahoma"/>
            <family val="2"/>
          </rPr>
          <t xml:space="preserve">
VIET HAN-CHI TUYET</t>
        </r>
      </text>
    </comment>
    <comment ref="F249" authorId="0" shapeId="0">
      <text>
        <r>
          <rPr>
            <b/>
            <sz val="8"/>
            <color indexed="81"/>
            <rFont val="Tahoma"/>
            <family val="2"/>
          </rPr>
          <t>htrang.nguyen:</t>
        </r>
        <r>
          <rPr>
            <sz val="8"/>
            <color indexed="81"/>
            <rFont val="Tahoma"/>
            <family val="2"/>
          </rPr>
          <t xml:space="preserve">
MS HIEN</t>
        </r>
      </text>
    </comment>
    <comment ref="B329" authorId="0" shapeId="0">
      <text>
        <r>
          <rPr>
            <b/>
            <sz val="8"/>
            <color indexed="81"/>
            <rFont val="Tahoma"/>
            <family val="2"/>
          </rPr>
          <t>htrang.nguyen:</t>
        </r>
        <r>
          <rPr>
            <sz val="8"/>
            <color indexed="81"/>
            <rFont val="Tahoma"/>
            <family val="2"/>
          </rPr>
          <t xml:space="preserve">
KIEM TRATRUOC KHI GIAO HANG-
LUCIA-VIETTEL
KHANH-THERMAL X1</t>
        </r>
      </text>
    </comment>
    <comment ref="B344" authorId="0" shapeId="0">
      <text>
        <r>
          <rPr>
            <b/>
            <sz val="8"/>
            <color indexed="81"/>
            <rFont val="Tahoma"/>
            <family val="2"/>
          </rPr>
          <t>htrang.nguyen:</t>
        </r>
        <r>
          <rPr>
            <sz val="8"/>
            <color indexed="81"/>
            <rFont val="Tahoma"/>
            <family val="2"/>
          </rPr>
          <t xml:space="preserve">
ELISA</t>
        </r>
      </text>
    </comment>
    <comment ref="B345" authorId="0" shapeId="0">
      <text>
        <r>
          <rPr>
            <b/>
            <sz val="8"/>
            <color indexed="81"/>
            <rFont val="Tahoma"/>
            <family val="2"/>
          </rPr>
          <t>htrang.nguyen:</t>
        </r>
        <r>
          <rPr>
            <sz val="8"/>
            <color indexed="81"/>
            <rFont val="Tahoma"/>
            <family val="2"/>
          </rPr>
          <t xml:space="preserve">
ELISA</t>
        </r>
      </text>
    </comment>
    <comment ref="D354" authorId="0" shapeId="0">
      <text>
        <r>
          <rPr>
            <b/>
            <sz val="8"/>
            <color indexed="81"/>
            <rFont val="Tahoma"/>
            <family val="2"/>
          </rPr>
          <t>htrang.nguyen:</t>
        </r>
        <r>
          <rPr>
            <sz val="8"/>
            <color indexed="81"/>
            <rFont val="Tahoma"/>
            <family val="2"/>
          </rPr>
          <t xml:space="preserve">
INVISTA-NANCY
BILL HOA THO:  IVY
BILL: LEDWAY- LUCIA
BILL-SBS +CHUNG TU</t>
        </r>
      </text>
    </comment>
    <comment ref="D355" authorId="0" shapeId="0">
      <text>
        <r>
          <rPr>
            <b/>
            <sz val="8"/>
            <color indexed="81"/>
            <rFont val="Tahoma"/>
            <family val="2"/>
          </rPr>
          <t>htrang.nguyen:</t>
        </r>
        <r>
          <rPr>
            <sz val="8"/>
            <color indexed="81"/>
            <rFont val="Tahoma"/>
            <family val="2"/>
          </rPr>
          <t xml:space="preserve">
INVISTA-NANCY
BILL HOA THO:  IVY
BILL: LEDWAY- LUCIA
BILL-SBS +CHUNG TU</t>
        </r>
      </text>
    </comment>
    <comment ref="B374" authorId="0" shapeId="0">
      <text>
        <r>
          <rPr>
            <b/>
            <sz val="8"/>
            <color indexed="81"/>
            <rFont val="Tahoma"/>
            <family val="2"/>
          </rPr>
          <t>htrang.nguyen:</t>
        </r>
        <r>
          <rPr>
            <sz val="8"/>
            <color indexed="81"/>
            <rFont val="Tahoma"/>
            <family val="2"/>
          </rPr>
          <t xml:space="preserve">
IVY</t>
        </r>
      </text>
    </comment>
    <comment ref="D390" authorId="0" shapeId="0">
      <text>
        <r>
          <rPr>
            <b/>
            <sz val="8"/>
            <color indexed="81"/>
            <rFont val="Tahoma"/>
            <family val="2"/>
          </rPr>
          <t>htrang.nguyen:</t>
        </r>
        <r>
          <rPr>
            <sz val="8"/>
            <color indexed="81"/>
            <rFont val="Tahoma"/>
            <family val="2"/>
          </rPr>
          <t xml:space="preserve">
lam
ivy
lucia</t>
        </r>
      </text>
    </comment>
    <comment ref="D457" authorId="0" shapeId="0">
      <text>
        <r>
          <rPr>
            <b/>
            <sz val="8"/>
            <color indexed="81"/>
            <rFont val="Tahoma"/>
            <family val="2"/>
          </rPr>
          <t>htrang.nguyen:</t>
        </r>
        <r>
          <rPr>
            <sz val="8"/>
            <color indexed="81"/>
            <rFont val="Tahoma"/>
            <family val="2"/>
          </rPr>
          <t xml:space="preserve">
TU NGAY 15/6/2009</t>
        </r>
      </text>
    </comment>
    <comment ref="B479" authorId="0" shapeId="0">
      <text>
        <r>
          <rPr>
            <b/>
            <sz val="8"/>
            <color indexed="81"/>
            <rFont val="Tahoma"/>
            <family val="2"/>
          </rPr>
          <t>htrang.nguyen:</t>
        </r>
        <r>
          <rPr>
            <sz val="8"/>
            <color indexed="81"/>
            <rFont val="Tahoma"/>
            <family val="2"/>
          </rPr>
          <t xml:space="preserve">
acc PAXAR TNT-2980
LAM CS</t>
        </r>
      </text>
    </comment>
    <comment ref="B492" authorId="0" shapeId="0">
      <text>
        <r>
          <rPr>
            <b/>
            <sz val="8"/>
            <color indexed="81"/>
            <rFont val="Tahoma"/>
            <family val="2"/>
          </rPr>
          <t>htrang.nguyen:</t>
        </r>
        <r>
          <rPr>
            <sz val="8"/>
            <color indexed="81"/>
            <rFont val="Tahoma"/>
            <family val="2"/>
          </rPr>
          <t xml:space="preserve">
VI</t>
        </r>
      </text>
    </comment>
    <comment ref="E541" authorId="0" shapeId="0">
      <text>
        <r>
          <rPr>
            <b/>
            <sz val="8"/>
            <color indexed="81"/>
            <rFont val="Tahoma"/>
            <family val="2"/>
          </rPr>
          <t>htrang.nguyen:</t>
        </r>
        <r>
          <rPr>
            <sz val="8"/>
            <color indexed="81"/>
            <rFont val="Tahoma"/>
            <family val="2"/>
          </rPr>
          <t xml:space="preserve">
INVISTA-VI</t>
        </r>
      </text>
    </comment>
    <comment ref="B543" authorId="0" shapeId="0">
      <text>
        <r>
          <rPr>
            <b/>
            <sz val="8"/>
            <color indexed="81"/>
            <rFont val="Tahoma"/>
            <family val="2"/>
          </rPr>
          <t>htrang.nguyen:</t>
        </r>
        <r>
          <rPr>
            <sz val="8"/>
            <color indexed="81"/>
            <rFont val="Tahoma"/>
            <family val="2"/>
          </rPr>
          <t xml:space="preserve">
VI</t>
        </r>
      </text>
    </comment>
    <comment ref="B675" authorId="1" shapeId="0">
      <text>
        <r>
          <rPr>
            <b/>
            <sz val="8"/>
            <color indexed="81"/>
            <rFont val="Tahoma"/>
            <family val="2"/>
          </rPr>
          <t>maria.nguyen:</t>
        </r>
        <r>
          <rPr>
            <sz val="8"/>
            <color indexed="81"/>
            <rFont val="Tahoma"/>
            <family val="2"/>
          </rPr>
          <t xml:space="preserve">
GOI EMAIL HOI CS, LUCIA, DAI</t>
        </r>
      </text>
    </comment>
    <comment ref="C675" authorId="0" shapeId="0">
      <text>
        <r>
          <rPr>
            <b/>
            <sz val="8"/>
            <color indexed="81"/>
            <rFont val="Tahoma"/>
            <family val="2"/>
          </rPr>
          <t>htrang.nguyen:</t>
        </r>
        <r>
          <rPr>
            <sz val="8"/>
            <color indexed="81"/>
            <rFont val="Tahoma"/>
            <family val="2"/>
          </rPr>
          <t xml:space="preserve">
24/8 dc moi</t>
        </r>
      </text>
    </comment>
    <comment ref="F675" authorId="0" shapeId="0">
      <text>
        <r>
          <rPr>
            <b/>
            <sz val="8"/>
            <color indexed="81"/>
            <rFont val="Tahoma"/>
            <family val="2"/>
          </rPr>
          <t>htrang.nguyen:</t>
        </r>
        <r>
          <rPr>
            <sz val="8"/>
            <color indexed="81"/>
            <rFont val="Tahoma"/>
            <family val="2"/>
          </rPr>
          <t xml:space="preserve">
OLD</t>
        </r>
      </text>
    </comment>
    <comment ref="B676" authorId="0" shapeId="0">
      <text>
        <r>
          <rPr>
            <b/>
            <sz val="8"/>
            <color indexed="81"/>
            <rFont val="Tahoma"/>
            <family val="2"/>
          </rPr>
          <t>htrang.nguyen:</t>
        </r>
        <r>
          <rPr>
            <sz val="8"/>
            <color indexed="81"/>
            <rFont val="Tahoma"/>
            <family val="2"/>
          </rPr>
          <t xml:space="preserve">
KHANH</t>
        </r>
      </text>
    </comment>
    <comment ref="D690" authorId="0" shapeId="0">
      <text>
        <r>
          <rPr>
            <b/>
            <sz val="8"/>
            <color indexed="81"/>
            <rFont val="Tahoma"/>
            <family val="2"/>
          </rPr>
          <t>htrang.nguyen:</t>
        </r>
        <r>
          <rPr>
            <sz val="8"/>
            <color indexed="81"/>
            <rFont val="Tahoma"/>
            <family val="2"/>
          </rPr>
          <t xml:space="preserve">
C CHI-TAYLOR</t>
        </r>
      </text>
    </comment>
    <comment ref="B783" authorId="0" shapeId="0">
      <text>
        <r>
          <rPr>
            <b/>
            <sz val="8"/>
            <color indexed="81"/>
            <rFont val="Tahoma"/>
            <family val="2"/>
          </rPr>
          <t>htrang.nguyen:</t>
        </r>
        <r>
          <rPr>
            <sz val="8"/>
            <color indexed="81"/>
            <rFont val="Tahoma"/>
            <family val="2"/>
          </rPr>
          <t xml:space="preserve">
KHANH</t>
        </r>
      </text>
    </comment>
    <comment ref="B815" authorId="2" shapeId="0">
      <text>
        <r>
          <rPr>
            <b/>
            <sz val="8"/>
            <color indexed="81"/>
            <rFont val="Tahoma"/>
            <family val="2"/>
          </rPr>
          <t>ngan.do:</t>
        </r>
        <r>
          <rPr>
            <sz val="8"/>
            <color indexed="81"/>
            <rFont val="Tahoma"/>
            <family val="2"/>
          </rPr>
          <t xml:space="preserve">
kiem tra trc khi giao hang VAT
</t>
        </r>
      </text>
    </comment>
    <comment ref="B862" authorId="3" shapeId="0">
      <text>
        <r>
          <rPr>
            <b/>
            <sz val="8"/>
            <color indexed="81"/>
            <rFont val="Tahoma"/>
            <family val="2"/>
          </rPr>
          <t>phung.lu:</t>
        </r>
        <r>
          <rPr>
            <sz val="8"/>
            <color indexed="81"/>
            <rFont val="Tahoma"/>
            <family val="2"/>
          </rPr>
          <t xml:space="preserve">
KHI GIAO CHU Y ITEM</t>
        </r>
      </text>
    </comment>
    <comment ref="B877" authorId="0" shapeId="0">
      <text>
        <r>
          <rPr>
            <b/>
            <sz val="8"/>
            <color indexed="81"/>
            <rFont val="Tahoma"/>
            <family val="2"/>
          </rPr>
          <t>htrang.nguyen:</t>
        </r>
        <r>
          <rPr>
            <sz val="8"/>
            <color indexed="81"/>
            <rFont val="Tahoma"/>
            <family val="2"/>
          </rPr>
          <t xml:space="preserve">
ELISA (door to door)</t>
        </r>
      </text>
    </comment>
    <comment ref="B901" authorId="0" shapeId="0">
      <text>
        <r>
          <rPr>
            <b/>
            <sz val="8"/>
            <color indexed="81"/>
            <rFont val="Tahoma"/>
            <family val="2"/>
          </rPr>
          <t>htrang.nguyen:</t>
        </r>
        <r>
          <rPr>
            <sz val="8"/>
            <color indexed="81"/>
            <rFont val="Tahoma"/>
            <family val="2"/>
          </rPr>
          <t xml:space="preserve">
CHI DINH</t>
        </r>
      </text>
    </comment>
    <comment ref="B961" authorId="0" shapeId="0">
      <text>
        <r>
          <rPr>
            <b/>
            <sz val="8"/>
            <color indexed="81"/>
            <rFont val="Tahoma"/>
            <family val="2"/>
          </rPr>
          <t>htrang.nguyen:</t>
        </r>
        <r>
          <rPr>
            <sz val="8"/>
            <color indexed="81"/>
            <rFont val="Tahoma"/>
            <family val="2"/>
          </rPr>
          <t xml:space="preserve">
LAM</t>
        </r>
      </text>
    </comment>
    <comment ref="B984" authorId="0" shapeId="0">
      <text>
        <r>
          <rPr>
            <b/>
            <sz val="8"/>
            <color indexed="81"/>
            <rFont val="Tahoma"/>
            <family val="2"/>
          </rPr>
          <t>htrang.nguyen:</t>
        </r>
        <r>
          <rPr>
            <sz val="8"/>
            <color indexed="81"/>
            <rFont val="Tahoma"/>
            <family val="2"/>
          </rPr>
          <t xml:space="preserve">
KHANH</t>
        </r>
      </text>
    </comment>
    <comment ref="D1011" authorId="0" shapeId="0">
      <text>
        <r>
          <rPr>
            <b/>
            <sz val="8"/>
            <color indexed="81"/>
            <rFont val="Tahoma"/>
            <family val="2"/>
          </rPr>
          <t>htrang.nguyen:</t>
        </r>
        <r>
          <rPr>
            <sz val="8"/>
            <color indexed="81"/>
            <rFont val="Tahoma"/>
            <family val="2"/>
          </rPr>
          <t xml:space="preserve">
NHAN WOL CHUNG TU</t>
        </r>
      </text>
    </comment>
  </commentList>
</comments>
</file>

<file path=xl/sharedStrings.xml><?xml version="1.0" encoding="utf-8"?>
<sst xmlns="http://schemas.openxmlformats.org/spreadsheetml/2006/main" count="4739" uniqueCount="3616">
  <si>
    <t>DELIVERY LIST</t>
  </si>
  <si>
    <t>ADDRESS: KCN LONG HAU, CAN GIUOC LONG AN</t>
  </si>
  <si>
    <t>NO</t>
  </si>
  <si>
    <t>DATE</t>
  </si>
  <si>
    <t>CUSTOMERS</t>
  </si>
  <si>
    <t>ADDRESS</t>
  </si>
  <si>
    <t>CARTON SIDE</t>
  </si>
  <si>
    <t>DICH VU</t>
  </si>
  <si>
    <t>KEEPER</t>
  </si>
  <si>
    <t>DELIVERY NUMBER</t>
  </si>
  <si>
    <t>NOTES</t>
  </si>
  <si>
    <t>BILL</t>
  </si>
  <si>
    <t>ATTN</t>
  </si>
  <si>
    <t>KG</t>
  </si>
  <si>
    <t>Dang Thi Vui:</t>
  </si>
  <si>
    <t xml:space="preserve"> 0986 839 625</t>
  </si>
  <si>
    <t>ITG- PP, CUONG NGOAN ( HOLD HANG)</t>
  </si>
  <si>
    <t>Ngo Tuyet Nhung:</t>
  </si>
  <si>
    <t xml:space="preserve"> 0904 299 904</t>
  </si>
  <si>
    <t>Truong Thanh</t>
  </si>
  <si>
    <t>08 6271 4849</t>
  </si>
  <si>
    <t>Nguyen Phuong Thao:</t>
  </si>
  <si>
    <t xml:space="preserve"> 0904 107 207</t>
  </si>
  <si>
    <r>
      <t xml:space="preserve">HA BAC - </t>
    </r>
    <r>
      <rPr>
        <sz val="10"/>
        <color indexed="12"/>
        <rFont val="Times New Roman"/>
        <family val="1"/>
      </rPr>
      <t>Huyen Trang:( pxnk)0989 894 846</t>
    </r>
  </si>
  <si>
    <t>TAT CA NHUNG DON HANG REGENT MANGO GIAO TRUOC 12H</t>
  </si>
  <si>
    <t xml:space="preserve">ITG- PHONG PHU (247 </t>
  </si>
  <si>
    <t>LH: Anh Toan: 0985 001 135</t>
  </si>
  <si>
    <t>ACCOUNT 2980</t>
  </si>
  <si>
    <t>XL</t>
  </si>
  <si>
    <t>60x40x27</t>
  </si>
  <si>
    <t>D</t>
  </si>
  <si>
    <t>41 x28x 13</t>
  </si>
  <si>
    <t>A</t>
  </si>
  <si>
    <t>43 x30x 29</t>
  </si>
  <si>
    <t>E</t>
  </si>
  <si>
    <t>41 x28x 9</t>
  </si>
  <si>
    <t>41*14*9</t>
  </si>
  <si>
    <t>B</t>
  </si>
  <si>
    <t>43 x25x 29</t>
  </si>
  <si>
    <t>F</t>
  </si>
  <si>
    <t>27 x21x 9</t>
  </si>
  <si>
    <t>C</t>
  </si>
  <si>
    <t>43 x19x 29</t>
  </si>
  <si>
    <t>G</t>
  </si>
  <si>
    <t>27 x11x 9</t>
  </si>
  <si>
    <t>FORWARDER</t>
  </si>
  <si>
    <t>LEADTIME</t>
  </si>
  <si>
    <t xml:space="preserve">                                                                                                                                                                                                                                                                                                                                                                                                                                                                                                                                                                                                                                                                                                                                                                                                                                                                                                                                                                                                                                                                                                                                                                                                                                                                                                                                                                                                                                                                                                                                                                                                                                                                                                                                                                                                                                                                                                                                                                                                                                                                                                                                                                                                                                                                                                                                                                                                                                                                                                                                                                                                                                                                                                                                                                                                                                                                                                                                                                                                                                                                                                                                                                                                                                                                                                                                                                                                                                                                                                                                                                                                                                                                                                                                                                                                                                                                                                                                                                                                                                                                                                                                                                                                                                                                                                                                                                                                                                                                                                                                                                                                                                                                                                                                                                                                                                                                                                                                                                                                                                                                                                                                                                                                                                                                                                                                                                                                                                                                                                                                                                                                                                                                                                                                                                                                                                                                                                                                                                                                                                                                                                                                                                                                                                                                                                                                                                                                                                                                                                                                                                                                                                                                                                                                                                                                                                                                                                                                                                                                                                                                                                                                                                                                                                                                                                                                                                                                                                                                                                                                                                                                                                                                                                                                                                                                                                                                                                                                                                                                                                                                                                                                                                                                                                                                                                                                                                                                                                                                                                                                                                                                                                                                                                                                                                                                                                                                                                                                                                                                                                                                                                                                                                                                                </t>
  </si>
  <si>
    <t>PLOT CN5, KCN THACH THAT - QUOC OAI, THACH THAT, HA NOI</t>
  </si>
  <si>
    <t>HANG CHUNG CTU</t>
  </si>
  <si>
    <t>NGA: 0989 792 844</t>
  </si>
  <si>
    <t xml:space="preserve"> J LAND</t>
  </si>
  <si>
    <t>RM 701, 7TH FLOOR, NOZA BLDL, CAU GIAY, HA NOI</t>
  </si>
  <si>
    <t>*JLAND KOREA - HANOI REPRESENTATIVE OFFICE
*FLOOR # 7, LILAMA 10 BUILDING
TO HUU STR, TRUNG VAN ,  TU LIEM, HA NOI
TEL: 84-4-916 28 58 18/ 84-4-37676652 (107)
Ms. Scarlet</t>
  </si>
  <si>
    <t xml:space="preserve"> Kho Chien Thang</t>
  </si>
  <si>
    <t>Cong ty Co phan may Ho Guom
Km 22,thi tran Ban- Hung Yen</t>
  </si>
  <si>
    <t>Ms Ha: 0972 749 720</t>
  </si>
  <si>
    <t xml:space="preserve"> KOSVI</t>
  </si>
  <si>
    <t xml:space="preserve"> Ấp Long Phú ,Xã Phước Thái, Huyện Long Thành, Đồng Nai  </t>
  </si>
  <si>
    <t>KHTT-TTC</t>
  </si>
  <si>
    <t xml:space="preserve">CINDY DT: 0613 542 971 Fax: 0613 542 973 </t>
  </si>
  <si>
    <t xml:space="preserve">KCN Gia Lễ, huyện Đông Hưng, Tỉnh Thái Bình </t>
  </si>
  <si>
    <t xml:space="preserve"> Robot TOSY</t>
  </si>
  <si>
    <t xml:space="preserve">TANG 4,  81 LE VAN LUONG, NHAN CHINH, QUAN THANH XUAN, HA NOI
</t>
  </si>
  <si>
    <t xml:space="preserve">ATT: Nguyễn Hà Ngân
SDT: 0989220255                                  TEL: 04 62753387           </t>
  </si>
  <si>
    <t>bao CS keu Kh dt goi no vao lay
chu minh goi 247 ko vao</t>
  </si>
  <si>
    <t xml:space="preserve"> THANH TRUNG</t>
  </si>
  <si>
    <t xml:space="preserve">DUONG THIEN HAMLET ，TRUC NOI COMMUNE TRUC NINH DISTRICT NAM DINH PROVINCE </t>
  </si>
  <si>
    <t>MS THANH: 0915398241</t>
  </si>
  <si>
    <t xml:space="preserve">
I am out of office on Sep 22 and I will be back on Sep 23.</t>
  </si>
  <si>
    <t xml:space="preserve"> TNG CN MAY PHU BINH 2</t>
  </si>
  <si>
    <t>KHA SON, PHU BINH, THAI NGUYEN</t>
  </si>
  <si>
    <t>0969722242 OR 01674682318</t>
  </si>
  <si>
    <t>28 DA NANG</t>
  </si>
  <si>
    <t>67 DUY TAN, DA NANG</t>
  </si>
  <si>
    <t>28 QUANG NGAI</t>
  </si>
  <si>
    <t>121 LE TRUNG DINH, PHUONG TRAN HUNG DAO, QUANG NGAI</t>
  </si>
  <si>
    <t>HANG CHUNG CHUNG TU</t>
  </si>
  <si>
    <t>NHU 0905100138</t>
  </si>
  <si>
    <t>ACE</t>
  </si>
  <si>
    <t>KCN THUY VAN, VIET TRI, PHU THO</t>
  </si>
  <si>
    <t>YB HAN: 210 857 742</t>
  </si>
  <si>
    <t>Thuy Van Industrial Zone, Viet Tri, Phu Tho</t>
  </si>
  <si>
    <t>chi Nga - 0916887704</t>
  </si>
  <si>
    <t>ADORA</t>
  </si>
  <si>
    <t>KCN TAM DIEP, TX TAM DIEP, NINH BINH</t>
  </si>
  <si>
    <t>cho XNK confirm</t>
  </si>
  <si>
    <t>Ms Tuyet - 0168 8363209</t>
  </si>
  <si>
    <t>ADREM</t>
  </si>
  <si>
    <t>KH GOI FORWARDER VAO LAY</t>
  </si>
  <si>
    <t>MS HUYEN</t>
  </si>
  <si>
    <t>ALL WELLS</t>
  </si>
  <si>
    <t>DUONG 81, TOC TIEN, TAN THANH, VUNG TAU</t>
  </si>
  <si>
    <t>NONO ZHANG: 064 394 8437</t>
  </si>
  <si>
    <t>ALLIANCE ONE</t>
  </si>
  <si>
    <t>B1, B2, B5-12, GIAO LONG IP, AN PHUOC, CHAU THANH, BEN TRE</t>
  </si>
  <si>
    <t>CTU</t>
  </si>
  <si>
    <t>Ms.Khanh – Thu Mua ( Kitty) 
0939 979 792</t>
  </si>
  <si>
    <t xml:space="preserve"> Annie 
So dt 0933191393</t>
  </si>
  <si>
    <t>Thi tran Co Le, Huyen Truc Ninh, Tinh Nam Dinh</t>
  </si>
  <si>
    <t>AN GIANG SAMHO</t>
  </si>
  <si>
    <t>LO C3, KCN BINH HOA, XA BINH HOA, HUYEN CHAU THANH, AN GIANG</t>
  </si>
  <si>
    <t>AN HUNG</t>
  </si>
  <si>
    <t>231 NGUYỄN TẤT THÀNH-8TH- TUY HOA-PHU YÊN</t>
  </si>
  <si>
    <t>MS DUONG-57 3 838180</t>
  </si>
  <si>
    <t>AN NHON</t>
  </si>
  <si>
    <t>NHON HOA, AN NHON, BINH DINH PROVINCE</t>
  </si>
  <si>
    <t>ANH LANG 0903 588 784</t>
  </si>
  <si>
    <t>AN PHAT</t>
  </si>
  <si>
    <t>KCN TAM QUAN, HOAI NHON, BINH DINH</t>
  </si>
  <si>
    <t>MS TY: 0917 021 577</t>
  </si>
  <si>
    <t>AN THANH</t>
  </si>
  <si>
    <t>Lo III-5&amp;III-6, KCN My Xuan B1– Tien Hung, xa My Xuan, Huyen Tan Thanh, tinh Ba Ria Vung Tau</t>
  </si>
  <si>
    <t>THUY TIEN 01233 833 911</t>
  </si>
  <si>
    <t>ANH CUONG</t>
  </si>
  <si>
    <t>XUAN TRUONG, XUAN TRUONG, NAM DINH</t>
  </si>
  <si>
    <t>MR VI: 0912 377 481</t>
  </si>
  <si>
    <t>ANH DUC GARMENT</t>
  </si>
  <si>
    <t>TIEN LY VILANGE, DON XA COMUNE, BINH LUC DISTRICT, PHU LY PROVINCE</t>
  </si>
  <si>
    <t>ATTN: LUU 0982669798</t>
  </si>
  <si>
    <t>ANH DUONG MH</t>
  </si>
  <si>
    <t>SO 6, LOT 4C, DUONG TRUNG YEN 10B, CAU GIAY, HA NOI</t>
  </si>
  <si>
    <t>LAN ANH: 04 3784 3624</t>
  </si>
  <si>
    <t>ANH TU</t>
  </si>
  <si>
    <t>THON NAM, DONG PHUONG, DONG HUNG, THAI BINH</t>
  </si>
  <si>
    <t>SHIPTO: PHU THO HANG CHUNG CTU</t>
  </si>
  <si>
    <t>0976 261 522</t>
  </si>
  <si>
    <t>ANH VU</t>
  </si>
  <si>
    <t>THI TRAN BAN, YEN NHAN, MY HAO, HUNG YEN</t>
  </si>
  <si>
    <t>MR BAC: 0982 533 778</t>
  </si>
  <si>
    <t>ANNORA</t>
  </si>
  <si>
    <t>XUAN LAM, NGHI SON, TINH GIA, THANH HOA</t>
  </si>
  <si>
    <t>MS HONG: 0936 077 359</t>
  </si>
  <si>
    <t>ANNORA CONVERSE</t>
  </si>
  <si>
    <t>KHANH HOA: 0123 84 74 588</t>
  </si>
  <si>
    <t>AOCC</t>
  </si>
  <si>
    <t>Apache Footwear</t>
  </si>
  <si>
    <t>Lot 79,  Long Jiang Industrial Park, Tan Lap 1 Village, Tan Phuoc District, Tien Giang Province</t>
  </si>
  <si>
    <t xml:space="preserve">Holly Nguyen +84 073 651 9999 Ext: 2105 </t>
  </si>
  <si>
    <t>APEX</t>
  </si>
  <si>
    <t>DUONG SO 3, KCN TAM PHUOC, LONG THANH, DONG NAI</t>
  </si>
  <si>
    <t>APPAREL TECH</t>
  </si>
  <si>
    <t>29T2 Building, 7th floor, Room No #707 Hoang Dao Thuy street, Cau Giay Dist, Hanoi</t>
  </si>
  <si>
    <t>PHUONG ANH Tel: 0462820304/ 62820301</t>
  </si>
  <si>
    <t>APPAREL TECH 1</t>
  </si>
  <si>
    <t>VAN DINH, UNG HOA, HA TAY</t>
  </si>
  <si>
    <t>CTU- NHAN TIMBERLAND</t>
  </si>
  <si>
    <t>KIM ANH: 0913 269 420</t>
  </si>
  <si>
    <t>APPAREL TECH COLUMBIA</t>
  </si>
  <si>
    <t>707 -29 T2 HOANG DAO THUY, CAU GIAY, HA NOI</t>
  </si>
  <si>
    <t>MS GIANG: 04 628 20304</t>
  </si>
  <si>
    <t>24-36</t>
  </si>
  <si>
    <t>APPAREL TECH VINH LOC</t>
  </si>
  <si>
    <t>VINH LONG, VINH LOC, THANH HOA</t>
  </si>
  <si>
    <t>APPAREL TECH VN</t>
  </si>
  <si>
    <t>TANG 3A TOA NHA PCCC1 MY DINH PLAZA 138 TRAN BINH TU LIEM, HA NOI</t>
  </si>
  <si>
    <t>ARKSUN</t>
  </si>
  <si>
    <t>164 TON DUC THANG ST-DONG DA DIST- HANOI</t>
  </si>
  <si>
    <t>MS YEN/BICH THAO-4 732198</t>
  </si>
  <si>
    <t>AROMA BAY</t>
  </si>
  <si>
    <t>Hung Dao Ward - Duong Kinh District
Hai Phong city</t>
  </si>
  <si>
    <t>HUONG: 0904 358 105</t>
  </si>
  <si>
    <t>ASEAN CANDLE</t>
  </si>
  <si>
    <t>Tel: 0084 031 3 925001  - Ms Liz: 108</t>
  </si>
  <si>
    <t>ASEAN LINK</t>
  </si>
  <si>
    <t>148 NGUYEN SON, LONG BIEN, HA NOI</t>
  </si>
  <si>
    <t>NETCO-KHTT</t>
  </si>
  <si>
    <t>MS THAO: 0904 280 159</t>
  </si>
  <si>
    <t>ASG GLOBAL</t>
  </si>
  <si>
    <t xml:space="preserve">LOT 4, DUONG SO 6, KCN LONG HAU HOA BINH, NHI THANH, THU THUA, LONG AN </t>
  </si>
  <si>
    <t>MR LEE: 0908 327 092</t>
  </si>
  <si>
    <t>ASIA GARMENT</t>
  </si>
  <si>
    <t>LIEU HA, TAN LAP, YEN MY, HUNG YEN</t>
  </si>
  <si>
    <t>AU VIET</t>
  </si>
  <si>
    <t xml:space="preserve"> Ap Thanh Hoa 1, xa tan Thanh Binh, huyen  Mo Cay Bac, tinh Ben Tre</t>
  </si>
  <si>
    <t>KHTT PHI VC</t>
  </si>
  <si>
    <t>Tran Thanh Dien - Phone: 0975.090.643</t>
  </si>
  <si>
    <t>AURORA</t>
  </si>
  <si>
    <t>XA THIEN HUONG, THUY NGUYEN, HAI PHONG</t>
  </si>
  <si>
    <t>MS GIANG: 0904 693 423</t>
  </si>
  <si>
    <t>BAC GIANG</t>
  </si>
  <si>
    <t>349 GIAP HAI, PHO KE, TP BAC GIANG, BAC GIANG</t>
  </si>
  <si>
    <t>NHUNG HONG: 0240 3558 156</t>
  </si>
  <si>
    <t>BAC GIANG BILL YOUNGONE</t>
  </si>
  <si>
    <t>349 GIAP HAI, TP BAC GIANG, TINH BAC GIANG</t>
  </si>
  <si>
    <t>MS VAN: 0240 3558 156</t>
  </si>
  <si>
    <t>BAC GIANG GARMENT</t>
  </si>
  <si>
    <t>349 GIAP HAI, PHO KE, TP BAC GIANG, TINH BAC GIANG</t>
  </si>
  <si>
    <t>INVISTA</t>
  </si>
  <si>
    <t>0240 3558 156- NHUNG HONG</t>
  </si>
  <si>
    <t>BAC HA</t>
  </si>
  <si>
    <t>Thanh Hà - Thanh Liêm - Hà Nam</t>
  </si>
  <si>
    <t>Ms Hue :351-880122 -0985.980.025</t>
  </si>
  <si>
    <r>
      <t>BILL:Young Shin</t>
    </r>
    <r>
      <rPr>
        <b/>
        <sz val="10"/>
        <rFont val="Arial"/>
        <family val="2"/>
      </rPr>
      <t xml:space="preserve"> </t>
    </r>
  </si>
  <si>
    <t>BAC NINH</t>
  </si>
  <si>
    <t>02-NGUYEN VAN CU ST-BAC NINH</t>
  </si>
  <si>
    <t>BACH NANG</t>
  </si>
  <si>
    <t>Cum Cong Nghiep Kim Sen, Kim Son, Dong Trieu, Quang Ninh</t>
  </si>
  <si>
    <t>Hien Vu (  Sdt 0983363076)</t>
  </si>
  <si>
    <t>BAN MAI INVISTA</t>
  </si>
  <si>
    <t>19 LE VAN HUU, QUAN HAI BA TRUNG, HA NOI</t>
  </si>
  <si>
    <t>MS LINH: 04 3943 4839</t>
  </si>
  <si>
    <t>BANDO VINA</t>
  </si>
  <si>
    <t>AP THANH PHUOC, XA THANH DIEN, HUYEN CHAU THANH, TINH TAY NINH</t>
  </si>
  <si>
    <t>CHO CONFIRM XNK
C.Trang
Viettel- KHTT</t>
  </si>
  <si>
    <t xml:space="preserve">  Anh Trinh: (XNK- 0988 107 774) OR Thu( 01227 540 890 )</t>
  </si>
  <si>
    <t>HUYEN CHAU THANH, TINH TAY NINH</t>
  </si>
  <si>
    <t>BAO HUNG</t>
  </si>
  <si>
    <t>THON TIEN THANG, XA BAO KHE, HUNG YEN</t>
  </si>
  <si>
    <t>MR LOC 0979 888 064</t>
  </si>
  <si>
    <t>BEEAHN</t>
  </si>
  <si>
    <t>THI TRAN TRAN CAO, PHU CU, HUNG YEN</t>
  </si>
  <si>
    <t>PHUONG: 0986 702 913</t>
  </si>
  <si>
    <t>BEESCO VINA</t>
  </si>
  <si>
    <t>Khu Cong Nghiep Chon Thanh II, Xa Thanh Tam, Huyen Chon Thanh, Binh Phuoc</t>
  </si>
  <si>
    <t>TUNG +84 913 368181</t>
  </si>
  <si>
    <t>BICH SON</t>
  </si>
  <si>
    <t>Thon Kieu- Xa Bich Son- Viet Yen- Bac Giang</t>
  </si>
  <si>
    <t>Mr Nhan:0903 492 507</t>
  </si>
  <si>
    <t>BIM SON</t>
  </si>
  <si>
    <t>75 NGUYEN HUE, TX BIM SON, THANH HOA</t>
  </si>
  <si>
    <t>MR HAI: 0977 336 665</t>
  </si>
  <si>
    <t>BINH MINH</t>
  </si>
  <si>
    <t>group10- Dong Hung town-Thai Binh</t>
  </si>
  <si>
    <t>BUI DUC DU-363851271</t>
  </si>
  <si>
    <t>BINH THUAN NHA BE</t>
  </si>
  <si>
    <t>204 DUONG THONG NHAT, TAN THIEN, LAGI, BINH THUAN</t>
  </si>
  <si>
    <t>MR KHUONG: 062 3871 857
MR DUC: 0122 797 0975</t>
  </si>
  <si>
    <t>BLUE GATE</t>
  </si>
  <si>
    <t>24A, NGUYEN TRUNG TRUC ST, BEN LUC, LONG AN</t>
  </si>
  <si>
    <t xml:space="preserve">ATTN: TRANG </t>
  </si>
  <si>
    <t>BO HSING</t>
  </si>
  <si>
    <t>LOT 2A, QL 1A, KCN HOA PHU, HOA PHU, LONG HO, VINH LONG</t>
  </si>
  <si>
    <t>ARIEL MAO: 070 3962750</t>
  </si>
  <si>
    <t>Bodynits Company Limited</t>
  </si>
  <si>
    <t>Binh Tien 2 Hamlet, Duc Hoa Ha Ward,Duc Hoa Dist., Long An Province, Vietnam</t>
  </si>
  <si>
    <t xml:space="preserve">Main Line: (8472) 3817 988 OR (84)904 041 022 </t>
  </si>
  <si>
    <t>BONG HONG</t>
  </si>
  <si>
    <t>01 La Van Tien, KV3 P. Ghenh Rang TP Quy Nhon, Binh Dinh</t>
  </si>
  <si>
    <t>NNTT</t>
  </si>
  <si>
    <t>THI 01203910284</t>
  </si>
  <si>
    <t>BOOMIN</t>
  </si>
  <si>
    <t>XÃ MỸ XUÂN, HUYỆN TÂN THÀNH, VŨNG TÀU</t>
  </si>
  <si>
    <t>DUNG: 0974 904 506</t>
  </si>
  <si>
    <t>So 35 Chua Thong- Son Loc-Son Tay -Ha Noi</t>
  </si>
  <si>
    <t>BUREAU VERITAS</t>
  </si>
  <si>
    <t>LOT C7-C9,QUAN 2,KCN CAT LAI,HCM</t>
  </si>
  <si>
    <t>0963000291</t>
  </si>
  <si>
    <t>C&amp;H</t>
  </si>
  <si>
    <t>NO. 72 PHAN TRONG TUE ROAD, VAN DIEN TOWN, THANH TRI DISTRICT,HANOI CITY</t>
  </si>
  <si>
    <t>THUY 04 62825908</t>
  </si>
  <si>
    <t>C&amp;M VINA</t>
  </si>
  <si>
    <t>THANH CHUNG, PHON XUONG, YEN THE, BAC GIANG</t>
  </si>
  <si>
    <t>MS LOI: 0987 108 511</t>
  </si>
  <si>
    <t>CAM HA</t>
  </si>
  <si>
    <t>448 HUNG VUONG, KHOI 3, PHUONG THANH HA, THANH PHOI HOI AN, QUANG NAM</t>
  </si>
  <si>
    <t>MR.QUY: 0935 053 058</t>
  </si>
  <si>
    <t>CAM HOANG</t>
  </si>
  <si>
    <t>CAN SPORT</t>
  </si>
  <si>
    <t>THUAN HOA, TRUONG MIT, DUONG MINH CHAU, TAY NINH</t>
  </si>
  <si>
    <t>27-31 HANG THANG KO GIAO</t>
  </si>
  <si>
    <r>
      <t>Ms Linh </t>
    </r>
    <r>
      <rPr>
        <sz val="12"/>
        <color rgb="FF1155CC"/>
        <rFont val="Arial"/>
        <family val="2"/>
      </rPr>
      <t xml:space="preserve">0926 589 590
</t>
    </r>
    <r>
      <rPr>
        <sz val="12"/>
        <color rgb="FF000000"/>
        <rFont val="Arial"/>
        <family val="2"/>
      </rPr>
      <t>Ms Hiệp </t>
    </r>
    <r>
      <rPr>
        <sz val="12"/>
        <color rgb="FF1155CC"/>
        <rFont val="Arial"/>
        <family val="2"/>
      </rPr>
      <t>0162 732 2312</t>
    </r>
    <r>
      <rPr>
        <sz val="12"/>
        <color rgb="FF000000"/>
        <rFont val="Arial"/>
        <family val="2"/>
      </rPr>
      <t> ( số nội bộ 532)</t>
    </r>
  </si>
  <si>
    <t>TU 28-31 KHONG GIAO HANG</t>
  </si>
  <si>
    <t>CANIFA</t>
  </si>
  <si>
    <t>PHONG 404 TANG 4 TOA NHA GP INVEST 170 LA THANH HA NOI</t>
  </si>
  <si>
    <t>HIEN: 01667025274</t>
  </si>
  <si>
    <t>CAP 1</t>
  </si>
  <si>
    <t>X.Giai Phạm-H.Yên Mỹ-Hưng Yên</t>
  </si>
  <si>
    <t>Mr. Lê Hồng Hải-0321 3942 839</t>
  </si>
  <si>
    <t>CF GLOBAL</t>
  </si>
  <si>
    <t>ROAD 430., VAN PHUC WARD,HA DONG DISTRICT, HA NOI CITY</t>
  </si>
  <si>
    <t xml:space="preserve"> Mr.AN,Ms.TU Tel. 84-4-33512162  Fax: 84-4-33512163</t>
  </si>
  <si>
    <t>CHIEN THANG</t>
  </si>
  <si>
    <t>22 THANH CONG, BA DINH, HA NOI</t>
  </si>
  <si>
    <t>CHIEN THANG MANUFACTURE</t>
  </si>
  <si>
    <t>KHOAI CHAU, KHOA CHAU, HUNG YEN</t>
  </si>
  <si>
    <t>THO: 0977 353 074</t>
  </si>
  <si>
    <t>CHIEN THANG YOUNG SHIN</t>
  </si>
  <si>
    <t>SO 22-THANH CONG ST-Q BA DINH-HA NOI</t>
  </si>
  <si>
    <t>THU THUY-4 8312075</t>
  </si>
  <si>
    <t>CHOI SHINS VINA</t>
  </si>
  <si>
    <t>236C NGUYEN TRUNG TRUC, MY PHONG, MY THO</t>
  </si>
  <si>
    <t>COATS PHONG PHU</t>
  </si>
  <si>
    <t>KCN DET MAY PHO NOI B, YEN MY, HUNG YEN</t>
  </si>
  <si>
    <t>ANH THIEN/ C. LUYEN: 0321 3972 868</t>
  </si>
  <si>
    <t>So 9, ngach 10, ngo 106, duong Hoang Quoc Viet, phuong Nghia Do, quan Cau Giay, Ha Noi</t>
  </si>
  <si>
    <t>Công ty TNHH Đại Minh</t>
  </si>
  <si>
    <t>Đường số 2, KCN Hòa Cẩm, Cẩm Lệ, 
Đà Nẵng</t>
  </si>
  <si>
    <t>Tel: 84- 511-3697640
Fax: 84-511- 3697 639</t>
  </si>
  <si>
    <t>CONG TY TNHH SAO VANG</t>
  </si>
  <si>
    <t>Phu Thanh Tay area,Yen Thanh district，Uong Bi city，Quang Ninh provice</t>
  </si>
  <si>
    <t>Do Thi Lanh-Phone: 0166 499 4645</t>
  </si>
  <si>
    <t>CONTINUANCE</t>
  </si>
  <si>
    <t>KM43-QL5-LAI CACH-CAM GIANG-HAI DUONG</t>
  </si>
  <si>
    <t>XIAO BI-320 3784469</t>
  </si>
  <si>
    <t>CP SAN XUAT THE THAO</t>
  </si>
  <si>
    <t>PHONG 505 TANG 5, 83B, PHO LY THUONG KIET, TRAN HUNG DAO, HOAN KIEM, HA NOI</t>
  </si>
  <si>
    <t>CREATIVE LIGHTS</t>
  </si>
  <si>
    <t>KM14, QL 5, THON THANG LOI, XA AN HUNG, AN DUONG, HAI PHONG</t>
  </si>
  <si>
    <t>MS KHANH 0936144990</t>
  </si>
  <si>
    <t>CREST APPAREL</t>
  </si>
  <si>
    <t>Tang 3, Toa nha 25 T1 Lo dat NO5 Du an KDT Dong Nam Tran Duy Hung, Phuong Trung Hoa, Quan Cau Giay, Thanh Pho Ha Noi</t>
  </si>
  <si>
    <t>Mr Chung, Mobile: 0904211193</t>
  </si>
  <si>
    <t>CRYSTAL MARTIN</t>
  </si>
  <si>
    <t>LOT R (R1) KCN QUANG CHAU, VIET YEN, BAC GIANG</t>
  </si>
  <si>
    <t>KEM PL CHI TIET DANH SO THU TU TREN KIEN HANG- CON NHAN H&amp;M LAM THEO FORM CS</t>
  </si>
  <si>
    <t>Thanh: 0982 175 182</t>
  </si>
  <si>
    <t>CRYSTAL MARTIN GREEN OFFICE</t>
  </si>
  <si>
    <t>6 Floor, Green Office, Viet A Building, No.9 Duy Tan Street, Dich Vong Hau ward, Cau Giay District, Hanoi</t>
  </si>
  <si>
    <t>CTY CO PHAN 3/2</t>
  </si>
  <si>
    <t>35 CHUA THONG, SON LOC, SON TAY, HA NOI</t>
  </si>
  <si>
    <t>Tang 3, toa nha 301 Vu Xuan Thieu- Quan Long Bien- Ha Noi</t>
  </si>
  <si>
    <t>Mr. Khanh 0913 615 899</t>
  </si>
  <si>
    <t>CTY GIAY DA XK TAY DO</t>
  </si>
  <si>
    <t>KCN TRA NOC, Q BINH THUY, TP CAN THO</t>
  </si>
  <si>
    <t>TEL: 07103841925 (MS TRANG)</t>
  </si>
  <si>
    <t>CTY MAY 3/2</t>
  </si>
  <si>
    <t>No 35 Chua Thong street, Son tay Town, 
Ha noi city, Viet Nam</t>
  </si>
  <si>
    <t>Tel: A Hai: 0975 602 247 
 Ms Nhung 0942 711333</t>
  </si>
  <si>
    <t>CY VINA</t>
  </si>
  <si>
    <t>Lot N, Road 01, Long Duc IP, Tra Vinh city, Tra Vinh Province</t>
  </si>
  <si>
    <t>DACOTEX</t>
  </si>
  <si>
    <t>71 PHAN DINH PHUNG-HUE</t>
  </si>
  <si>
    <t>MR: 0908351057-0543820244</t>
  </si>
  <si>
    <t>DAE SEUNG</t>
  </si>
  <si>
    <t>DONG LANG INDUSTRIAL ZONE,PHU NINH DIST.,PHU THO PROVINCE</t>
  </si>
  <si>
    <t>DAE WOO PVH</t>
  </si>
  <si>
    <t>LOT 1-KHAI QUANG IZ-VINH YEN TOWN-VINH PHUC</t>
  </si>
  <si>
    <t>PHAT DUNG TEN NGUOI LIEN HE</t>
  </si>
  <si>
    <t>MR MIN SIK KOH: 0211 3726 070</t>
  </si>
  <si>
    <t>DAEHAN GLOBAL</t>
  </si>
  <si>
    <t>NHAM SON, XA YEN LU, HUYEN YEN DUNG, BAC GIANG</t>
  </si>
  <si>
    <t>DAI DUONG</t>
  </si>
  <si>
    <t>SO 2, DUONG AN TRI, HUNG VUONG, HONG BANG, HAI PHONG</t>
  </si>
  <si>
    <t>MS NGAN: 0168 716 4858</t>
  </si>
  <si>
    <t>DAI MINH 1</t>
  </si>
  <si>
    <t>DUONG SO 2, KCN HOA CAM, CAM LE, DA NANG</t>
  </si>
  <si>
    <t>CTU-NETCO-DN#AWB
ghi so DN len Bill</t>
  </si>
  <si>
    <t>MR TRUNG: 0945 215 438</t>
  </si>
  <si>
    <t>DAI NGHIA</t>
  </si>
  <si>
    <t>THO SON DAI NGHIA MY DUC HA NOI</t>
  </si>
  <si>
    <t>SON 0913218393</t>
  </si>
  <si>
    <t>DAI THANH</t>
  </si>
  <si>
    <t>THON 2, PHUONG TRUNG TRACH, BO TRACH, QUANG BINH</t>
  </si>
  <si>
    <t>MS NA/ MS KHANH 052 3610678</t>
  </si>
  <si>
    <t>DAI THANH FURNITURE</t>
  </si>
  <si>
    <t>MS NO: 0933 522 717</t>
  </si>
  <si>
    <t>DAP CAU</t>
  </si>
  <si>
    <t>KHU 6, THI CAU, BAC NINH</t>
  </si>
  <si>
    <t>BILL SERIM GIAO HANG TRC
BILL YA SAINT CHUNG CTU</t>
  </si>
  <si>
    <t>DAP CAU YEN PHONG</t>
  </si>
  <si>
    <t>DONG TIEN, YEN PHONG, BAC NINH</t>
  </si>
  <si>
    <t>MS LOAN: 0241 3821 603</t>
  </si>
  <si>
    <t>DASAN</t>
  </si>
  <si>
    <t>KCN CHAU SON  -TX.PHU LY-HA NAM</t>
  </si>
  <si>
    <t>neu bil dasan thi KHTT-Bill H&amp;M thi minh thanh toan</t>
  </si>
  <si>
    <t>GẤM: 0974 285 495</t>
  </si>
  <si>
    <t>DAUM &amp; JUNGAN</t>
  </si>
  <si>
    <t>KM5, HAMLET 4, MY HUNG COMMUNE, MY LOC  DIST, NAM DINH</t>
  </si>
  <si>
    <t>HANG CTU</t>
  </si>
  <si>
    <t>MRS DUNG: 0943 279 768</t>
  </si>
  <si>
    <t>DAYEON BIJOU</t>
  </si>
  <si>
    <t>KCN Dong Van - Duy Tien - Ha Nam</t>
  </si>
  <si>
    <t>NETCO- NNTT</t>
  </si>
  <si>
    <t>0351 3587 559 - MS DIEM</t>
  </si>
  <si>
    <t>48-72</t>
  </si>
  <si>
    <t>DELTA GALIL</t>
  </si>
  <si>
    <t>Xa Cat Trinh, Huyen Phu Cat, Tinh Binh Dinh</t>
  </si>
  <si>
    <t>TEL: Ms. Dung Tran 0907567926</t>
  </si>
  <si>
    <t>DELTA SPORT</t>
  </si>
  <si>
    <t>VINH SON, THI  TRAN BUT SON, HOANG HOA, THANH HOA</t>
  </si>
  <si>
    <t>HANG GIAO TRUOC</t>
  </si>
  <si>
    <t>MS.HUYỀN- TEL  0914 614 158</t>
  </si>
  <si>
    <t>DEMCO VINA</t>
  </si>
  <si>
    <t>HB3, HB4, DUONG SO 5, KCN XUYEN A, MY HANH BAC, DUC HOA, LONG AN</t>
  </si>
  <si>
    <t>DET 8 3</t>
  </si>
  <si>
    <t>KCN TAN LIEN, VINH BAO, HAI PHONG</t>
  </si>
  <si>
    <t>DET MAY HUE</t>
  </si>
  <si>
    <t>122 Duong Thieu Tuoc, P.Thuy Duong, TX Huong Thuy, Hue</t>
  </si>
  <si>
    <t>TEL: 0934757461 A.Hoa</t>
  </si>
  <si>
    <t>DET VINH PHUC</t>
  </si>
  <si>
    <t>115 DUONG VAN CAO, NAM DINH</t>
  </si>
  <si>
    <t>MS THANH 0945107400</t>
  </si>
  <si>
    <t>DHA BAC NINH</t>
  </si>
  <si>
    <t>ADD. TAODOI INDUSTRY AREA, THUA TOWN, LUONG TAI DISTRICT, BACNINH PROVINCE</t>
  </si>
  <si>
    <t>KHDL</t>
  </si>
  <si>
    <t>DIAMOND CLOTHING</t>
  </si>
  <si>
    <t>thon La Tinh- thi tran Tu Ky- Tinh Hai Duong</t>
  </si>
  <si>
    <t>Anh Hoan:0904 376 582
Cham Anh: 0914 479 961- 03233 7471 816</t>
  </si>
  <si>
    <t>DO BOI THONG NHAT</t>
  </si>
  <si>
    <t>LO C1, KCN SUOI DAU, HUYEN CAM LAM, KHANH HOA</t>
  </si>
  <si>
    <t>MS PHUNG: 0905676882</t>
  </si>
  <si>
    <t>DOAN KET</t>
  </si>
  <si>
    <t>Km 25, Quoc Lo 6A, KCN Phu Nghia, Xa Phu Nghia, Huyen Chuong My, Tp. Ha Noi</t>
  </si>
  <si>
    <t>DOMEX QUANG NAM</t>
  </si>
  <si>
    <t>Lot B/B1, Ha Lam Industrial Group, Duoc Market,Binh Phuc Commune, Thang Binh Dist, Quang Nam Province, Viet Nam</t>
  </si>
  <si>
    <t>TEL : (+84)510 3665696   EXT : 892, HP : (+84)1268 540 595, chi Huong  01268 540 595</t>
  </si>
  <si>
    <t>KCN XUAN LOC, XUAN LOC, DONG NAI</t>
  </si>
  <si>
    <t>giao hang chung HD
ngay 27-31HANG THANG KHONG GIAO HANG</t>
  </si>
  <si>
    <t>LAM: 0122 829 5960
LINH:0908-902-983</t>
  </si>
  <si>
    <t>DONG ANH</t>
  </si>
  <si>
    <t>Area 37, Donganh town, Hanoi</t>
  </si>
  <si>
    <t>TTC-KHTT
WOLVERINE-NETCO- KHTT</t>
  </si>
  <si>
    <t>Gap chi Vinh :  0982 338 322
CHI THUY 0987 224 977</t>
  </si>
  <si>
    <t>DONG DO</t>
  </si>
  <si>
    <t>AN KHANH-HOAI DUC-HA NOI</t>
  </si>
  <si>
    <t>MS CHI-04 33845920-0903436958</t>
  </si>
  <si>
    <t>DONG HUNG XN MAY 10</t>
  </si>
  <si>
    <t>KHU 2, TT DONG HUNG, DONG HUNG, THAI BINH</t>
  </si>
  <si>
    <t>A TUAN: 0934363126</t>
  </si>
  <si>
    <t>DONG IN</t>
  </si>
  <si>
    <t>LONG TAN, DAT DO,BA RIA VUNG TAU</t>
  </si>
  <si>
    <t>MS VY: 0933 150 071</t>
  </si>
  <si>
    <t>DONG LUC</t>
  </si>
  <si>
    <t>130HA DINH-THANH XUAN -HA NOI</t>
  </si>
  <si>
    <t>ng phuong thanh-0983 168 601-4 3 5588418-126</t>
  </si>
  <si>
    <t>DONG MY</t>
  </si>
  <si>
    <t>THON 2, XA DONG MY, THANH TRI, HA NOI</t>
  </si>
  <si>
    <t>ATTN: MS MAI 0989153376</t>
  </si>
  <si>
    <t>DONG PHUONG VUNG TAU</t>
  </si>
  <si>
    <t>DUONG 11, KCN DONG XUYEN, P RACH DUA, VUNG TAU</t>
  </si>
  <si>
    <t>CHUNG HD</t>
  </si>
  <si>
    <t>DONG TAI</t>
  </si>
  <si>
    <t>PHU THAI-KIM THANH-HAI DUONG</t>
  </si>
  <si>
    <t>MS NGUYEN THU 032 3722061</t>
  </si>
  <si>
    <t>DONG TAI PUNTO</t>
  </si>
  <si>
    <t>MS HUONG: 0903 281 280</t>
  </si>
  <si>
    <t>DOS TEX</t>
  </si>
  <si>
    <t>Phố Nối B IZ, My Hao, Yen My, Hung Yen</t>
  </si>
  <si>
    <t>Attn: Ms Nga/ Ms Thanh: 0321 3589165</t>
  </si>
  <si>
    <t>DOU POWER</t>
  </si>
  <si>
    <t>LO 15-16 KCX LINH TRUNG III, TRANG BANG, TAY NINH</t>
  </si>
  <si>
    <t>DREAM MEKONG</t>
  </si>
  <si>
    <t>AP AN THAI, XA AN CU, HUYEN CAI BE, TIEN GIANG</t>
  </si>
  <si>
    <t>DREAM PLASTIC</t>
  </si>
  <si>
    <t>PLOT C, KCN CHAU SON, PHU LY, HA NAM</t>
  </si>
  <si>
    <t>NHI: 0967 681 295</t>
  </si>
  <si>
    <t>DU DUC</t>
  </si>
  <si>
    <t>LO BIV, CI-10, KCN TAN HUONG, CHAU THANH, TIEN GIANG</t>
  </si>
  <si>
    <t>DUC GIANG</t>
  </si>
  <si>
    <t>59 DUC GIANG STREET-LONG BIEN DISTRICT, HA NOI</t>
  </si>
  <si>
    <t>DUC GIANG C&amp;A</t>
  </si>
  <si>
    <t>59 DUC GIANG, LONG BIEN, HA NOI</t>
  </si>
  <si>
    <t>HANG CHUNG TU</t>
  </si>
  <si>
    <t>MS THUONG: 0982 155 567</t>
  </si>
  <si>
    <t>DUC GIANG INVISTA</t>
  </si>
  <si>
    <t>MR HOAM: 04 3827 2159</t>
  </si>
  <si>
    <t>DUC GIANG
(GARMENT 10)</t>
  </si>
  <si>
    <t>Ms Lan Huong: +84 43 6556501 / 3 8272159</t>
  </si>
  <si>
    <t>DUC THANH 2</t>
  </si>
  <si>
    <t>hang chung ctu
NETCO-KHTT</t>
  </si>
  <si>
    <t xml:space="preserve"> A Nghia 0906989914</t>
  </si>
  <si>
    <t>DYNAMIC</t>
  </si>
  <si>
    <t>31A, DUONG NGUYEN THI BAY, P6, TP TAN AN, LONG AN</t>
  </si>
  <si>
    <t>JEEVA: 0914 908 993</t>
  </si>
  <si>
    <t>E TOP</t>
  </si>
  <si>
    <t>CHO XNK CONFIRM</t>
  </si>
  <si>
    <t>MS KIEU: 0169 408 4737</t>
  </si>
  <si>
    <t>ECO TANK</t>
  </si>
  <si>
    <t>QUI TRINH, QUI NHI, CAI LAY, TIEN GIANG</t>
  </si>
  <si>
    <t>EFFORT GARMENT</t>
  </si>
  <si>
    <t>B1-6-TAY BAC CU CHI IZ-CU CHI DIST- TP.HCM</t>
  </si>
  <si>
    <t>ELEGANT</t>
  </si>
  <si>
    <t>QUE VO IZ, QUE VO DIST, BAC NINH PROVINCE</t>
  </si>
  <si>
    <t>Thanh Nguyen :241 363 4399</t>
  </si>
  <si>
    <t>ELEGANT 1</t>
  </si>
  <si>
    <t>TOA NHA I2-03, I2-04, LOT I2 KCN QUE VO MO RONG, XA PHUONG MAO, QUE VO, BAC NINH</t>
  </si>
  <si>
    <t>emperor(DE VUONG)</t>
  </si>
  <si>
    <t>58A QUOC LO 1A XA MY YEN-HUYEN BEN LUC-LONG AN-MS HANG KHO VAT TU PHAT TEM)</t>
  </si>
  <si>
    <t>TRUC</t>
  </si>
  <si>
    <t>4785011-bill 0311702359</t>
  </si>
  <si>
    <t>ESQUEL HOA BINH</t>
  </si>
  <si>
    <t>KCN LUONG SON, HOA SON, LUONG SON, HOA BINH</t>
  </si>
  <si>
    <t>MS HOA: 0972 706 082</t>
  </si>
  <si>
    <t>EVER GLORY</t>
  </si>
  <si>
    <t>LO 13, KCN NAM SACH, NAM SACH, HAI DUONG</t>
  </si>
  <si>
    <t>giao hang truoc-C.Trang</t>
  </si>
  <si>
    <t>MS HIEN 0942 369 399</t>
  </si>
  <si>
    <t>EVERBEST</t>
  </si>
  <si>
    <t>CAM SON WARD-CAM PHA TOWN-QUANG NINH</t>
  </si>
  <si>
    <t>MS VAN: 0974 692 439</t>
  </si>
  <si>
    <t>EWI</t>
  </si>
  <si>
    <t>TANG 7, TOA NHA TTC, 19 DUY TAN , KHU DICH VONG HAU,QUAN CAU GIAY, HA NOI</t>
  </si>
  <si>
    <t>Lien he Ms Ngoc - 01675913188</t>
  </si>
  <si>
    <t>EXCEL</t>
  </si>
  <si>
    <t>KHU PHO 5, TT YEN NINH, YEN KHANH, NINH BINH</t>
  </si>
  <si>
    <t>MS TUYET: 0169 5 357 895</t>
  </si>
  <si>
    <t>EXCEL MANGO</t>
  </si>
  <si>
    <t>giao hang truoc
Viet so DN# len bill</t>
  </si>
  <si>
    <t>030 3840 358- C KATE/ A BINH/ HANG</t>
  </si>
  <si>
    <t>EXCEL PRIMARK</t>
  </si>
  <si>
    <t>EXCEL TAILOR</t>
  </si>
  <si>
    <t>5 WARD, YEN NINH, YEN KHANH, NINH BINH, VIET NAM</t>
  </si>
  <si>
    <t>TTC-KHTT</t>
  </si>
  <si>
    <t>Attn: kho hoac Ms Tuyet (didong: 01695357895)</t>
  </si>
  <si>
    <t>EXIM</t>
  </si>
  <si>
    <t>9TH FLOOR, HAI PHONG TOWR, 32 TRAN PHU, NGO QUYEN, HAI PHONG</t>
  </si>
  <si>
    <t>chung CTU</t>
  </si>
  <si>
    <t>FALCON HADONG</t>
  </si>
  <si>
    <t>TT TRÚC SƠN-TRƯƠNG MỸ-HA NOI</t>
  </si>
  <si>
    <t>MR SON(TP NGHIEP VU)</t>
  </si>
  <si>
    <t>FALCON SONG HONG</t>
  </si>
  <si>
    <t>Thi tran Chuc Son, Chuong My
Ha Noi</t>
  </si>
  <si>
    <t>Ms Son: 0913 064 098</t>
  </si>
  <si>
    <t>FAR EASTER</t>
  </si>
  <si>
    <t>Duong D1, KCN Bac Dong Phu, Thi tran Tan Phu, huyen Dong Phu, tinh Binh Phuoc</t>
  </si>
  <si>
    <t>FIRST TEAM</t>
  </si>
  <si>
    <t>Lot A1, Road 787, Thanh Thanh Cong IP, An Hoa Commune,Trang Bang District, Tay Ninh Province</t>
  </si>
  <si>
    <t xml:space="preserve"> 0663 88 33 88 /  0902 575 191</t>
  </si>
  <si>
    <t>FLD</t>
  </si>
  <si>
    <t>C10 - C11 KHU CONG NGHIEP SUOI DAU- CAM LAM -KHANH HOA</t>
  </si>
  <si>
    <t>TTC- KHTT</t>
  </si>
  <si>
    <t>+84 5837 43618/ 619/ 620</t>
  </si>
  <si>
    <t>FLEXCON</t>
  </si>
  <si>
    <t xml:space="preserve"> DINH TRI COMMUNE, BAC GIANG CITY, BAC GIANG PROVINCE, VIET NAM</t>
  </si>
  <si>
    <t xml:space="preserve">Tran Thanh Giang (Ms)-240 3 836 627/ 28/ 29-0974 638 550 (Ms Thảo)
</t>
  </si>
  <si>
    <t>FOMOSA TOOLS</t>
  </si>
  <si>
    <t>KCN PHUC KHANH, THAI BINH</t>
  </si>
  <si>
    <t>VIETTEL- KHTT</t>
  </si>
  <si>
    <t>036 3681 991</t>
  </si>
  <si>
    <t>FORE MART</t>
  </si>
  <si>
    <t>DUONG BUI THI CUC, AN THI, HUNG YEN</t>
  </si>
  <si>
    <t>MR VUI: 0985 292 190</t>
  </si>
  <si>
    <t>FORMOSA</t>
  </si>
  <si>
    <t>My Xuan A2 Industrial Zone, Tan Thanh District, Ba Ria-Vung Tau</t>
  </si>
  <si>
    <t>FORMOSTAR</t>
  </si>
  <si>
    <t>KM57, QUOC LO 5, XA AI QUOC, NAM SACH, HAI DUONG</t>
  </si>
  <si>
    <t>hang chung chung tu</t>
  </si>
  <si>
    <t>MS THUY 0904 990 882</t>
  </si>
  <si>
    <t>FORTUNE</t>
  </si>
  <si>
    <t>XA DUC HOA THUONG, DUC HOA, LONG AN</t>
  </si>
  <si>
    <t>HOI LAI XNK</t>
  </si>
  <si>
    <t>MR BARRY: 072 3812 984</t>
  </si>
  <si>
    <t>FREEVIEW</t>
  </si>
  <si>
    <t xml:space="preserve">LOT AIV-1-9 AND AII-1-8 , TAN HUONG INDUSTRIAL PARK , TAN HUONG  COMMUNE, CHAU THANH DIST, TIEN GIANG PROVINCE </t>
  </si>
  <si>
    <t>HANG CHO CONFIRM</t>
  </si>
  <si>
    <t>ATTN: Xuan 01688413653</t>
  </si>
  <si>
    <t>TRIET: 01669283850</t>
  </si>
  <si>
    <t>FREEWELL</t>
  </si>
  <si>
    <t>LOT G1-G10, N3-N4, KCN BAC DONG PHU, TAN PHU, DONG PHU, BINH PHUOC</t>
  </si>
  <si>
    <t>MS SHIRLEY: 0933 543 239</t>
  </si>
  <si>
    <t>LOT G1-G10, D5-10, N3-N4,D2,D3 KCN BAC DONG PHU, TAN PHU, DONG PHU, BINH PHUOC</t>
  </si>
  <si>
    <t>MS LOAN: 01682756700</t>
  </si>
  <si>
    <t>FTN</t>
  </si>
  <si>
    <t>MY PHUOC IP-BEN CAT-BINIH DUONG</t>
  </si>
  <si>
    <t>di hang va lam chi tiet</t>
  </si>
  <si>
    <t>FU LUH</t>
  </si>
  <si>
    <t>XA AN KIM, HUYEN CAN GIUOC, LONG AN</t>
  </si>
  <si>
    <t>DONG MOC TREO</t>
  </si>
  <si>
    <t>MS SAM: 0122 497 8912</t>
  </si>
  <si>
    <t>FULGENT</t>
  </si>
  <si>
    <t>NGHIA HIEP-YEN MY-HUNG YEN</t>
  </si>
  <si>
    <t>Oanh: 0979 572 203</t>
  </si>
  <si>
    <t>FULLWEALTH</t>
  </si>
  <si>
    <t>NO 37 ROAD, NAM SACH TOWN , NAM SACH DISTRICT, HAI DUONG PROVINCE, VIET NAM</t>
  </si>
  <si>
    <t>Phuong Thu sdt:0987689399</t>
  </si>
  <si>
    <t>GARMENT 10 BHS</t>
  </si>
  <si>
    <t>DUONG NGUYEN VAN LINH-PHO SAI DONG-Q.LONG BIEN-HA NOI</t>
  </si>
  <si>
    <t>MS THUY: 0948 505 028</t>
  </si>
  <si>
    <t>GARMENT 10 C&amp;A</t>
  </si>
  <si>
    <t>GIAO DUNG NGUOI LIEN HE</t>
  </si>
  <si>
    <t>MS LOAN 0976.300.207</t>
  </si>
  <si>
    <t>bill just jamie</t>
  </si>
  <si>
    <t>GARMENT 10 CASUAL</t>
  </si>
  <si>
    <t>MS OANH: 0936162282</t>
  </si>
  <si>
    <t>GARMENT 10 COLUMBIA</t>
  </si>
  <si>
    <t>MR TUAN: 04 3827 6923</t>
  </si>
  <si>
    <t>GARMENT 10 EXPRESS</t>
  </si>
  <si>
    <t>MR NHU: 0987 511 268</t>
  </si>
  <si>
    <t>GARMENT 10 GEORGE</t>
  </si>
  <si>
    <t>VN GEN HANG CHUNG CTU</t>
  </si>
  <si>
    <t>MR MAI 04 8276932</t>
  </si>
  <si>
    <t>GARMENT 10 JC PENNY</t>
  </si>
  <si>
    <t>DUONG NGUYEN VAN LINH,SAI DONG, LONG BIEN, HA NOI</t>
  </si>
  <si>
    <t>ATTN: Huong 090 438 9856</t>
  </si>
  <si>
    <t>GARMENT 10 JOHN LEWIS</t>
  </si>
  <si>
    <t>HIEN/LINH: 0989 655 438</t>
  </si>
  <si>
    <t>GARMENT 10 KOHL'S</t>
  </si>
  <si>
    <t>GIANG: 0942 515 456</t>
  </si>
  <si>
    <t>GARMENT 10 MACKAY</t>
  </si>
  <si>
    <t>MR MAI: 04 3827 6923</t>
  </si>
  <si>
    <t>GARMENT 10 MARKS</t>
  </si>
  <si>
    <t>DUONG NGUYEN VAN LINH,SAI DONG, LONG BIEN, Ha Noi</t>
  </si>
  <si>
    <t>ATTN: Tra My (84) 913 23 04 89</t>
  </si>
  <si>
    <t>GARMENT 10 MOTHER CARE</t>
  </si>
  <si>
    <t>NGUYEN VAN LINH, SAI DONG, LONG BIEN, HA NOI</t>
  </si>
  <si>
    <t>LARA 0839991208</t>
  </si>
  <si>
    <t>GARMENT 10 NEW LOOK</t>
  </si>
  <si>
    <t>GARMENT 10 NEXT</t>
  </si>
  <si>
    <t>MS DUNG: 0989 289 425</t>
  </si>
  <si>
    <t>GARMENT 10 PRIMARK</t>
  </si>
  <si>
    <t>GARMENT 10 PVH</t>
  </si>
  <si>
    <t>hang ctu
PHAT DUNG NGUOI LIEN HE</t>
  </si>
  <si>
    <t>Ms Trang/ Ms Dao/ Mr Su - PVH
04 3 8753847</t>
  </si>
  <si>
    <t>GARMENT 10 PXVN</t>
  </si>
  <si>
    <t>ATTN: MS THUY 0948 505 028</t>
  </si>
  <si>
    <t>GARMENT 10 STEIN MART</t>
  </si>
  <si>
    <t>MR CHUNG: 0976 804 899</t>
  </si>
  <si>
    <t>GARMENT 10 TESCO</t>
  </si>
  <si>
    <t xml:space="preserve">DUONG NGUYEN VAN LINH,SAI DONG, LONG BIEN, </t>
  </si>
  <si>
    <t>ATTN: Thuy 0948.505.028</t>
  </si>
  <si>
    <t>MS THUY: 04 3827 6923</t>
  </si>
  <si>
    <t>GARMENT 3</t>
  </si>
  <si>
    <t>SO 1, NGUYEN VAN TROI, NAM DINH</t>
  </si>
  <si>
    <t>HOI LAI A DUNG XNK</t>
  </si>
  <si>
    <t>MY LOC : 0350 3835 707</t>
  </si>
  <si>
    <t>Garment Resource</t>
  </si>
  <si>
    <t>Lo 7, Khu Cong Nghiep Dien Nam- Dien Ngoc, Tinh Quang Nam</t>
  </si>
  <si>
    <t>Ms. To Loan +84905710104</t>
  </si>
  <si>
    <t>GARMENT RESOURCES</t>
  </si>
  <si>
    <t>LO 7 KCN DIEN NAM-DIEN NGOC, TX DIEN BAN, QUANG NAM</t>
  </si>
  <si>
    <t>Ms Loan - +84905710104</t>
  </si>
  <si>
    <t>GARNET</t>
  </si>
  <si>
    <t>C6-5, C6-6, KCN HOA XA, NAM DINH</t>
  </si>
  <si>
    <t>CTU- C TRANG</t>
  </si>
  <si>
    <t>ATTN: MR HUNG- XNK
0167 6118 228</t>
  </si>
  <si>
    <t>GARVIHA</t>
  </si>
  <si>
    <t>X.ĐẠI ĐỒNG-H.KIẾN THỦY-HẢI PHÒNG</t>
  </si>
  <si>
    <t>31-981199-P.Thuy-098 284 4380</t>
  </si>
  <si>
    <t>GATEXCO 20</t>
  </si>
  <si>
    <t>35 PHAN DINH GIOT- PHUONG LIET-THANH XUAN-HA NOI</t>
  </si>
  <si>
    <t>ANH KIEN / ANH CUONG: 0983 005 473 / 0904 211 566
PHUONG LAN: 04 3864 6710</t>
  </si>
  <si>
    <t>GEN NEX</t>
  </si>
  <si>
    <t>Lo A1, A2, A3,va  A4 –Khu cong nghiep Giao Long, xa An Phuoc huyen Chau Thanh,tinh Ben Tre</t>
  </si>
  <si>
    <t>GENNON</t>
  </si>
  <si>
    <t>DUONG NGO QUYEN 2, CAM THUONG, HAI DUONG</t>
  </si>
  <si>
    <t>CHUNG CTU</t>
  </si>
  <si>
    <t>NGA: 0945 484 668</t>
  </si>
  <si>
    <t>GENTHERM</t>
  </si>
  <si>
    <t>KCN DONG VAN II, DUY TIEN, HA NAM</t>
  </si>
  <si>
    <t>ANH HOANG: 0914366996</t>
  </si>
  <si>
    <t>GG</t>
  </si>
  <si>
    <t>KM 30, DUONG SO 5, XA BACH SAM, MY HAO, HUNG YEN</t>
  </si>
  <si>
    <t>MS HAU: 0904 348 881</t>
  </si>
  <si>
    <t>GIANG NAM</t>
  </si>
  <si>
    <t>DUONG 208, VAN TRA, AN DONG, AN DUONG, HAI PHONG</t>
  </si>
  <si>
    <t>MR HAI: 0919 029 428</t>
  </si>
  <si>
    <t>GIAO THUY</t>
  </si>
  <si>
    <t>SO 4A, THI TRAN NGO DONG, GIAO THUY, NAM DINH</t>
  </si>
  <si>
    <t>MR TUAN: 0904 270 222</t>
  </si>
  <si>
    <t>GIAY CHI LINH  THANG LONG</t>
  </si>
  <si>
    <t>NGA 4 BINH HAN, HAI DUONG</t>
  </si>
  <si>
    <t>BUI THI HUONG: 0936 281 868</t>
  </si>
  <si>
    <t>GIAY CHI LINH QUIKSILVER</t>
  </si>
  <si>
    <t>THON DAI BO, HOANG TAN, CHI LINH, HAI DUONG</t>
  </si>
  <si>
    <t>MS HUONG: 0943 477 994</t>
  </si>
  <si>
    <t>GIAY DUNG QUAT</t>
  </si>
  <si>
    <t>LO L1, PHAN KCN SAI GON DUNG QUAT, XA BINH THANH, BINH SON, QUANG NGAI</t>
  </si>
  <si>
    <t>MS THOAI: 0935 091 509</t>
  </si>
  <si>
    <t>GIAY LIEN DINH</t>
  </si>
  <si>
    <t xml:space="preserve">168 ,KM 9 ĐƯỜNG PHẠM VĂN ĐỒNG -  HẢI THÀNH – DƯƠNG KINH - HẢI PHÒNG </t>
  </si>
  <si>
    <t>chi Hien: 0919111840</t>
  </si>
  <si>
    <t>KM9-PHAM VAN DONG ST-KIEN THUY-HAI PHONG</t>
  </si>
  <si>
    <t>GIAY LIEN THUAN</t>
  </si>
  <si>
    <t>KM 9, PHAM VAN DONG, HAI THANH, DUONG KINH, HAI PHONG</t>
  </si>
  <si>
    <t>chi Thuy: 01266474780</t>
  </si>
  <si>
    <t>GIAY LIEN THUAN 2</t>
  </si>
  <si>
    <t xml:space="preserve">NHA MAY GIAY DINH VANG -DIA CHI: NAM AM - TAM CUONG -VINH BAO-HAI PHONG </t>
  </si>
  <si>
    <t>Tel:0313 928 686/8</t>
  </si>
  <si>
    <t>GIAY THUY KHUE NEXT</t>
  </si>
  <si>
    <t>KHU CN PHÚ MINH- PHƯỜNG CỔ NHUẾ 2- QUẬN BẮC TỪ LIÊM -TP.HÀ NỘI</t>
  </si>
  <si>
    <t>Chi Tâm, DT 0987 859 639</t>
  </si>
  <si>
    <t>GIAY UY VIET</t>
  </si>
  <si>
    <t>KCN CHAU DUC, XA SUOI NGHE, HUYEN CHAU DUC, TINH BRVT</t>
  </si>
  <si>
    <t>24-30/6 KIEM KE KHONG NHAN HANG</t>
  </si>
  <si>
    <t>GIAY VENUS</t>
  </si>
  <si>
    <t>CUM CN LANG NGHE XA HOA BINH, HUYEN HA TRUNG, TINH THANH HOA</t>
  </si>
  <si>
    <t>photo bill gui kem</t>
  </si>
  <si>
    <t>HUE: 01643264686</t>
  </si>
  <si>
    <t>GILIMEX</t>
  </si>
  <si>
    <t>LO N, DUONG SO 6, KCN HOA KHANH, LIEN CHIEU, DA NANG</t>
  </si>
  <si>
    <t>MS HIEN: 0905 337 629</t>
  </si>
  <si>
    <t>GLOBAL</t>
  </si>
  <si>
    <t>MINH KHAI, NHU QUYNH, VAN LAM, HUNG YEN</t>
  </si>
  <si>
    <t>NETCO-KHTT- HOI LAI XNK</t>
  </si>
  <si>
    <t>MR MIAZE: 0321 3986 500</t>
  </si>
  <si>
    <t>GLOBAL GARMENT</t>
  </si>
  <si>
    <t>KCN Bo Trai Song Da, To 9, Phuong Huu Nghi, TP Hoa Binh</t>
  </si>
  <si>
    <t>TEL : +84 2183 883 007/ 0988534489</t>
  </si>
  <si>
    <t>GLOBAL MFG HAI DUONG</t>
  </si>
  <si>
    <t>KM50+460, QL 5, CAM THUONG, HAI DUONG</t>
  </si>
  <si>
    <t>MR CHINH: 0320 3846 906</t>
  </si>
  <si>
    <t>Global Sourcenet</t>
  </si>
  <si>
    <t>Minh Khai, Nhu Quynh, Van Lam, Hung Yen</t>
  </si>
  <si>
    <t>Mr Yoon -84-321-3986-500</t>
  </si>
  <si>
    <t>GLORY DAYS</t>
  </si>
  <si>
    <t>TO 17, AP 5, XA XUAN TAM, HUYEN XUAN LOC, DONG NAI</t>
  </si>
  <si>
    <t>061 3758 899/ 061 3759 955</t>
  </si>
  <si>
    <t>GLORYDAYS FASHION</t>
  </si>
  <si>
    <t>AP THANH HOA THANH DONG TAN CHAU TAY NINH</t>
  </si>
  <si>
    <t>GO DAI THANH</t>
  </si>
  <si>
    <t>Số 8 Dốc ÔNg Phật, Phường Bùi Thị Xuân, Thành Phố Qui Nhơn. Tỉnh Bình Định</t>
  </si>
  <si>
    <t xml:space="preserve"> 01208176323- Ms. Truyện</t>
  </si>
  <si>
    <t>GOLDEN DRAGON</t>
  </si>
  <si>
    <t>1166 Nguyen Binh Khiem, Dong Hai 2 ward, Hai Phong</t>
  </si>
  <si>
    <t xml:space="preserve"> Ms.Phuong: 01675075532. </t>
  </si>
  <si>
    <t>GOLDEN STAR</t>
  </si>
  <si>
    <r>
      <t xml:space="preserve">QL10-TRUONG SON-AN LAO-HAI PHONG
</t>
    </r>
    <r>
      <rPr>
        <b/>
        <sz val="10"/>
        <rFont val="Arial"/>
        <family val="2"/>
      </rPr>
      <t xml:space="preserve">NEU HANG Rockport; Reebok, Adidas: goi den Chi nhanh Cong Ty TNHH SAO VANG
</t>
    </r>
  </si>
  <si>
    <t>MS NAM: 0167 230 0648</t>
  </si>
  <si>
    <t>GOLDEN SUN</t>
  </si>
  <si>
    <t>KM 1+100, 188 HIEP AN, KINH MON, HAI DUONG</t>
  </si>
  <si>
    <t>MS LIEN 0968 252529</t>
  </si>
  <si>
    <t>GOLDEN TOP</t>
  </si>
  <si>
    <t>GIAO GIAY LIEN THUAN, KM 9, PHAM VAN DONG, DUONG KINH, HAI PHONG</t>
  </si>
  <si>
    <t>GOLDEN TOP ROCKORT, REBOK</t>
  </si>
  <si>
    <t>Ms Hoai: 01652682368.</t>
  </si>
  <si>
    <t>GOLDEN TOP SPEERY</t>
  </si>
  <si>
    <t>Ms Hang/01669440509</t>
  </si>
  <si>
    <t>GOLDEN TOP WOLVERING</t>
  </si>
  <si>
    <t>MS GIANG:  01695535035 (Tel: 0313 880001/002 ext:3051)</t>
  </si>
  <si>
    <t>GRAND GAIN</t>
  </si>
  <si>
    <t>Lot D1-D14, Dong Xoai II Industrial Zone, Tien Thanh Commune, Dong Xoai Town, Binh Phuoc Province</t>
  </si>
  <si>
    <t>GIAO 2 DN CHO KH</t>
  </si>
  <si>
    <t>Ms Phượng. Tel: 0948281936</t>
  </si>
  <si>
    <t>GRAND OCEAN</t>
  </si>
  <si>
    <t>THON PHU, THAI HOC, BINH GIANG, HAI DUONG</t>
  </si>
  <si>
    <t>MS LY: 0936 955 584</t>
  </si>
  <si>
    <t>GREAT GLOBAL</t>
  </si>
  <si>
    <t>LOT 3.6, KCN GIAN KHAU, GIA VIEN, NINH BINH</t>
  </si>
  <si>
    <t>MS THAO: 030 3651 442</t>
  </si>
  <si>
    <t>GREAT PROFIT</t>
  </si>
  <si>
    <t>LO E1, DUONG TRUNG TAM KCN LONG HAU, CAN GIUOC, LONG AN</t>
  </si>
  <si>
    <t>0933 380 755 JEAN</t>
  </si>
  <si>
    <t>GREAT SUPER</t>
  </si>
  <si>
    <t>SUOI TRE IZ- LONG KHANH- DONG NAI</t>
  </si>
  <si>
    <t>Jasmine Yang:  061 364 7876
0977 038 832</t>
  </si>
  <si>
    <t>GREEN LAND</t>
  </si>
  <si>
    <t>KM9-14TH-XA HẢI THÀNH-KIẾN THỤY-ĐỒ SƠN-HAI PHONG</t>
  </si>
  <si>
    <t>Mr DO THU HUONG-31-880001/880002</t>
  </si>
  <si>
    <t>green land co add dia chi thi giao lien dinh, ko add thi giao lien thuan (NHAN CLARKS)</t>
  </si>
  <si>
    <t>GREEN LAND CLARK</t>
  </si>
  <si>
    <t>CO ADD DIA CHI THI GIAO LIEN DINH, KO ADD DIA CHI GIAO LIEN THUAN</t>
  </si>
  <si>
    <t>0169 553 5035- MS GIANG</t>
  </si>
  <si>
    <t>GREEN TG</t>
  </si>
  <si>
    <t>LO AIII-11, KCN TAN HUONG, X. TAN HUONG, H.CHAU THANH, T.TIEN GIANG</t>
  </si>
  <si>
    <t>MS THAM 097275801</t>
  </si>
  <si>
    <t>GUMIX</t>
  </si>
  <si>
    <t>KCN CAU GIAT, DUY TIEN, HA NAM</t>
  </si>
  <si>
    <t>0168 7156 612: MS NHUNG</t>
  </si>
  <si>
    <t>H&amp;C</t>
  </si>
  <si>
    <t>4th Floor, Lot 42C, 63 Lane, Le Duc Tho Road, Hà Nội</t>
  </si>
  <si>
    <t>HA BAC</t>
  </si>
  <si>
    <t>NGA TU DINH TRAM-HONG THAI-VIET YEN-BAC GIANG</t>
  </si>
  <si>
    <t>chị nhuần:  0983522340</t>
  </si>
  <si>
    <t>HA BAC 1</t>
  </si>
  <si>
    <t>Giao Ha Bac 1 - Mr.Thanh: 0978.491.357/ Mr. Duong: 0936.228.933</t>
  </si>
  <si>
    <t>HA BAC 2</t>
  </si>
  <si>
    <t>MR BINH 0915181104</t>
  </si>
  <si>
    <t>HA BAC BILL SL GLOBAL</t>
  </si>
  <si>
    <t>NGA 4 DINH TRAM, HONG THAI, VIET YEN, BAC GIANG</t>
  </si>
  <si>
    <t>NGUYEN THI LE XNK: 0975 442 582</t>
  </si>
  <si>
    <t>HA BAC GAP INC</t>
  </si>
  <si>
    <t>MS HUONG: 0977 047 203</t>
  </si>
  <si>
    <t>HA BAC GYMBOREE</t>
  </si>
  <si>
    <t>MS PHUONG/: 0936 750 474, MS HA 02403674178</t>
  </si>
  <si>
    <t>Ms Son: 0978 665 472</t>
  </si>
  <si>
    <t>HA BAC LANE BRYANT</t>
  </si>
  <si>
    <t>CHO CS CONFIRM SHIP MODE</t>
  </si>
  <si>
    <t>SON/HAI: 0928 161 983</t>
  </si>
  <si>
    <t>HA BAC OLD NAVY</t>
  </si>
  <si>
    <t>NGUYEN VAN DOAN.TEL: 04-2220-9200</t>
  </si>
  <si>
    <t>HA HAE</t>
  </si>
  <si>
    <t>HA HAE THAI BINH</t>
  </si>
  <si>
    <t>KCN TIEN HAI TAY GIANG TIEN HAI THAI BINH</t>
  </si>
  <si>
    <t>MS HUONG 0989 581 482</t>
  </si>
  <si>
    <t>Nguyen Huy Minh - 84-240-3875 555</t>
  </si>
  <si>
    <t>HA NAM 227</t>
  </si>
  <si>
    <t>21A, KCN BAC THANH CHAU, PHU LY, HA NAM</t>
  </si>
  <si>
    <t>A. LUONG: 0913 301 045</t>
  </si>
  <si>
    <t>HA NAM HA NOI</t>
  </si>
  <si>
    <t>TANG 8, TOA NHA NAM HAI LAKEVIEW, KHU DO THI VINH HOANG, HOANG MAI, HA NOI</t>
  </si>
  <si>
    <t>MS HUONG: 0122 2291 686</t>
  </si>
  <si>
    <t>HA NAM HANOSIMEX</t>
  </si>
  <si>
    <t>KCN DONG VAN 2, DUY TIEN, HA NAM</t>
  </si>
  <si>
    <t>chung HD</t>
  </si>
  <si>
    <t>LE 0932020367</t>
  </si>
  <si>
    <t>HA NOI TEXTILE</t>
  </si>
  <si>
    <t xml:space="preserve">No25 Alley 13 Linh nam Str, Mai Dong ward,  Hoang Mai Dist, Hanoi, Vietnam. </t>
  </si>
  <si>
    <t>RUBI 01686703023</t>
  </si>
  <si>
    <t>HA NOI TEXTILE HA NAM</t>
  </si>
  <si>
    <t>MS LE: 0932 020 367</t>
  </si>
  <si>
    <t>Doan Bai Commune- Hiep Hoa Dist
 Bac Giang Province</t>
  </si>
  <si>
    <t>Quynh: 0903498799.</t>
  </si>
  <si>
    <t>HA PHONG LANE BRYANT</t>
  </si>
  <si>
    <t>DUNG/BANG: 0968 874 313</t>
  </si>
  <si>
    <t>HA QUANG GARMENT 10</t>
  </si>
  <si>
    <t>Tieu khu 7 phuong Bac Ly, thanh pho Dong Hoi, Quang Binh</t>
  </si>
  <si>
    <t>Quang- 911444089</t>
  </si>
  <si>
    <t>HA TAY</t>
  </si>
  <si>
    <t>TANLAP VILLAGE-DAN PHUONG DIST-HANOI</t>
  </si>
  <si>
    <t>Mr quang-04 33665147-0912913401
BACH PHI NGA 0912 047 188</t>
  </si>
  <si>
    <t>HAFASCO XN MAY YEN MY</t>
  </si>
  <si>
    <t>KCN PHO NOI A, XA GIAI PHAM, YEN MY, HUNG YEN</t>
  </si>
  <si>
    <t>ATTN: A SON 0982 015 586</t>
  </si>
  <si>
    <t>HAI ANH TEX</t>
  </si>
  <si>
    <t>BA DONG, BINH MINH, BINH GIANG, HAI DUONG</t>
  </si>
  <si>
    <t>MS DUYEN: 0985 939 862</t>
  </si>
  <si>
    <t>HAI DUONG</t>
  </si>
  <si>
    <t>KM54+100M-QL5-NGOC CHAU-HAI DUONG</t>
  </si>
  <si>
    <t>MS HUONG: 0932 296 866</t>
  </si>
  <si>
    <t>HAI DUONG NEXT</t>
  </si>
  <si>
    <t>093 229 6866- MS HUONG</t>
  </si>
  <si>
    <t>HAI DUONG SHOE</t>
  </si>
  <si>
    <t>No:1077, Le Thanh Nghi Street, Hai Tan Ward, Hai Duong</t>
  </si>
  <si>
    <t>C.KATE</t>
  </si>
  <si>
    <t>Attn: Anh Tuyen: 0904 314 138</t>
  </si>
  <si>
    <t>HAI DUONG TOPSHOP</t>
  </si>
  <si>
    <t>QUYNH ANH: 0982 860 789</t>
  </si>
  <si>
    <t>HAI MY PHU THO</t>
  </si>
  <si>
    <t>CUM CN LANG NGHE SOC DANG, DOAN HUNG, PHU THO</t>
  </si>
  <si>
    <t>PHILIP: 0162 848 1321</t>
  </si>
  <si>
    <t>HAI PHONG</t>
  </si>
  <si>
    <t>TO 1, KDC PHUONG LUNG, HUNG DAO, DUONG KINH, HAI PHONG</t>
  </si>
  <si>
    <t>MR CHUNG : 0936 185 442</t>
  </si>
  <si>
    <t>HAI PHONG STATIONERY</t>
  </si>
  <si>
    <t>HUNG DAO WARD-DUONG KINH DISTRICT-HAI PHONG</t>
  </si>
  <si>
    <t>HAI VINA</t>
  </si>
  <si>
    <t>Gia Tan Commune, Gia Loc Dist, Hai Duong</t>
  </si>
  <si>
    <t>hang chung ctu</t>
  </si>
  <si>
    <t>Ms Rucy( Sales Dept)
A. Tinh - 0975 002 062</t>
  </si>
  <si>
    <t>HAI VINA INVISTA</t>
  </si>
  <si>
    <t>KCN NAM SACH- HAI DUONG</t>
  </si>
  <si>
    <t>HAI VINA KIM LIEN</t>
  </si>
  <si>
    <t>CUM CN NAM GIANG, HUYEN NAM DAN, NGHE AN</t>
  </si>
  <si>
    <t>MR THANH 0166 650 4728</t>
  </si>
  <si>
    <t>HAI VINA NAM SACH</t>
  </si>
  <si>
    <t>LAN ANH: 0915175682</t>
  </si>
  <si>
    <t>HAI VINA NHAN COLUMBIA - FWDER KHACH HANG DEN LAY</t>
  </si>
  <si>
    <t>HAI YANG</t>
  </si>
  <si>
    <t>Thuan Hoa 2, Hoa Khanh Nam, Duc Hoa, Long An</t>
  </si>
  <si>
    <t>Mr.Yyu : 072 768 654/ 655/ 656</t>
  </si>
  <si>
    <t>HAMALIN</t>
  </si>
  <si>
    <t>LO B, KCN TRUNG HA, TAM NONG, PHU THO</t>
  </si>
  <si>
    <t>CHO XNK CONFIRM
VIET DN# LEN BILL</t>
  </si>
  <si>
    <t>Ms Minh - 84 982 097 789      ​</t>
  </si>
  <si>
    <t>HANA KOVI</t>
  </si>
  <si>
    <t xml:space="preserve">Cum CN Dong Dinh, Xa Cao Thuong, Huyen Tan Yen, </t>
  </si>
  <si>
    <t>Chi Huyen (Kho) 01215322667</t>
  </si>
  <si>
    <t>HANESBRANDS HUE</t>
  </si>
  <si>
    <t>Lo C-2-6 &amp; 2-7-KCN PHU BAI-HUONG THUY-THUA THIEN HUE</t>
  </si>
  <si>
    <t>MR DUC: 0905 120 343</t>
  </si>
  <si>
    <t>54 3952106</t>
  </si>
  <si>
    <t>HANESBRANDS HUNG YEN</t>
  </si>
  <si>
    <t>DÂN TIẾN COMMUNE- KHOÁI CHAU DISTRICT- HUNG YEN</t>
  </si>
  <si>
    <t>Avery thanh toan, BT-di bo, if KH confirm gap- di air</t>
  </si>
  <si>
    <t>MS. THANH THUY (0988 625 686)-3213713994</t>
  </si>
  <si>
    <t>HANNAM</t>
  </si>
  <si>
    <t>KHU CONG NGHIEP BINH XUYEN, HUYEN BINH XUYEN, TINH VINH PHUC</t>
  </si>
  <si>
    <t>MS DUYEN 0169 959 4112</t>
  </si>
  <si>
    <t>HANNAM INC</t>
  </si>
  <si>
    <t>BINH XUYEN IZ-BINH XUYEN DIST-VINH PHUC</t>
  </si>
  <si>
    <t>HANH</t>
  </si>
  <si>
    <t>But many orders have small amount- Pls advice me for information to customer when we want combine red invoice.</t>
  </si>
  <si>
    <t xml:space="preserve">HaNoi Business </t>
  </si>
  <si>
    <t>TANG 3, 301 VU XUAN THIEU, PHUC LOI, LONG BIEN, HN</t>
  </si>
  <si>
    <t>Ms Huyen: 04 62512666</t>
  </si>
  <si>
    <t>HANOI SALES OFFICE</t>
  </si>
  <si>
    <t xml:space="preserve"> SO 8 NGO 97/24/1-VAN CAO STR-BA DINH- HA NOI</t>
  </si>
  <si>
    <t>HANOSIMEX</t>
  </si>
  <si>
    <t>TANG 6, TOA  NHA HAI NAM, KHU DO THI VINH HOANG, HOANG MAI, HA NOI</t>
  </si>
  <si>
    <t>A BINH: 0904 223 406</t>
  </si>
  <si>
    <t>HANSAE TG</t>
  </si>
  <si>
    <t>LOT B III&amp;V, KCN TAN HUONG, TIEN GIANG</t>
  </si>
  <si>
    <t>MS MAI: 0167 890 2591</t>
  </si>
  <si>
    <t>HANSAE TN</t>
  </si>
  <si>
    <t xml:space="preserve">ROAD 4, LINH TRUNG EPZ &amp; IP III, ROAD 4, LINH TRUNG EPZ &amp; IP III, </t>
  </si>
  <si>
    <t>Truc 01663646605</t>
  </si>
  <si>
    <t>HANUL</t>
  </si>
  <si>
    <t>TT THANH NE-KIEN XUONG-THAI BINH</t>
  </si>
  <si>
    <t>HOAI-01682396706-036 3152769</t>
  </si>
  <si>
    <t>Thi tran Thanh Ne, huyen Kien Xuong, tinh Thai Binh</t>
  </si>
  <si>
    <t>84-36-3512769</t>
  </si>
  <si>
    <t>HAPPY TEX</t>
  </si>
  <si>
    <t>DUONG LE CHAN, PHUONG LE HONG PHONG, PHU LY, HA NAM</t>
  </si>
  <si>
    <t>HANG CHO XNK CONFIRM
VIET SO DN# LEN BILL</t>
  </si>
  <si>
    <t>MR DAT: 0988 771 449</t>
  </si>
  <si>
    <t>HAS FASHION</t>
  </si>
  <si>
    <t>Lot C3.3, Gian Khau Industry Zone, Gia Tan Commune, Gia Vien District, Ninh Binh Province</t>
  </si>
  <si>
    <t>HANG  0965 755 332</t>
  </si>
  <si>
    <t>HIGH VINA</t>
  </si>
  <si>
    <t>LONG YEN, LONG THANH NAM, HOA THANH, TAY NINH</t>
  </si>
  <si>
    <t>MS MAI: 0903 054 057</t>
  </si>
  <si>
    <t>HK VINA</t>
  </si>
  <si>
    <t>xã Ngũ Hùng- H. Thanh Miện - 
Hải Dương</t>
  </si>
  <si>
    <t>CTU-C.Trang</t>
  </si>
  <si>
    <t>Ms Thao: 0977 115 245
TEL: 320 355 0855</t>
  </si>
  <si>
    <t>HNJ VINA</t>
  </si>
  <si>
    <t>LOT2, DONG TU INDUSTRIAL GROUP, HUNG HA DISTRICT, THAI BINH PROVINCE</t>
  </si>
  <si>
    <t xml:space="preserve"> Ms Thuy 84-363-971-010</t>
  </si>
  <si>
    <t>HO GUOM</t>
  </si>
  <si>
    <t>201  TRUONG DINH- HOANG MAI- HANOI</t>
  </si>
  <si>
    <t>VAN ANH</t>
  </si>
  <si>
    <t>HO GUOM FACTORY 2</t>
  </si>
  <si>
    <t>KM 22 BAN-YEN NHAN-HUNG YEN DIST</t>
  </si>
  <si>
    <t>MS.HANG -MB: 0904458861 OR MR.DUNG .0988317342</t>
  </si>
  <si>
    <t>HO GUOM FACTORY 3</t>
  </si>
  <si>
    <t>KM 22-QL5-TTBAN-HUNG YEN</t>
  </si>
  <si>
    <t>HO GUOM HA DONG</t>
  </si>
  <si>
    <t>HO GUOM PLAZA 102 TRAN PHU MO LAO HA DONG, HA NOI</t>
  </si>
  <si>
    <t>HO GUOM HAI PHONG</t>
  </si>
  <si>
    <t>KM 83, QL5, AN HUNG, AN HAI, HAI PHONG</t>
  </si>
  <si>
    <t>MS HIEN: 031 3618560</t>
  </si>
  <si>
    <t>HO GUOM INVISTA</t>
  </si>
  <si>
    <t>201 TRUONG  DINH, HOANG MAI, HA NOI</t>
  </si>
  <si>
    <t>04 36624559 CHI THU HIEN</t>
  </si>
  <si>
    <t>HO GUOM MANGO</t>
  </si>
  <si>
    <t>110 TRAN PHU, HA DONG, HA NOI</t>
  </si>
  <si>
    <t>HANG CHUNG CTU
VIET SO DN# LEN BILL</t>
  </si>
  <si>
    <t>HIEN/ TRINH: 04 3662 4559</t>
  </si>
  <si>
    <t>HO GUOM WLLAND</t>
  </si>
  <si>
    <t>chi Hoai  090 496 4728
chi Hien 0904409045</t>
  </si>
  <si>
    <t>HO GUOM
FACTORY 5</t>
  </si>
  <si>
    <t>KM 83-AN HUNG-AN HAI- HAI PHONG</t>
  </si>
  <si>
    <t>.</t>
  </si>
  <si>
    <t>HOA SEN PHU THO</t>
  </si>
  <si>
    <t>AREA 10- PHONG CHAU TOWN,  PHU NINH DISTRICT, PHU THO PROVINCE</t>
  </si>
  <si>
    <t>JIMMY 0985.851.345</t>
  </si>
  <si>
    <t>HOA THAN</t>
  </si>
  <si>
    <t>KCN TIEN SON MO RONG, TAN DONG, TU SON, BAC NINH</t>
  </si>
  <si>
    <t>MS DUYEN: 0979 447 168</t>
  </si>
  <si>
    <t>HOA THO</t>
  </si>
  <si>
    <t>36 ONG ICH DUONG STR-DA NANG CITY-VIET NAM</t>
  </si>
  <si>
    <t>HANG CHUNG HOA DON</t>
  </si>
  <si>
    <t>THAO 0905634611</t>
  </si>
  <si>
    <t>THANH THAO
+84.905. 634. 611</t>
  </si>
  <si>
    <t>HOA THO CASUAL</t>
  </si>
  <si>
    <t>QUYEN 0937.584.451</t>
  </si>
  <si>
    <t>HOA THO DILLARDS</t>
  </si>
  <si>
    <t xml:space="preserve">ATTN Tran+84 905.795.990  </t>
  </si>
  <si>
    <t>HOA THO Haggar</t>
  </si>
  <si>
    <t>hoa don photo kem theo hang</t>
  </si>
  <si>
    <t>Chị Thương-phụ trách phụ liệu kho TCT-​ SĐT: 0511 3 674 661</t>
  </si>
  <si>
    <t>HOA THO INVISTA</t>
  </si>
  <si>
    <t>MS NGOC: 0511 3879 367</t>
  </si>
  <si>
    <t>HOA THO JC PENNEY</t>
  </si>
  <si>
    <t>THUY AN: 0973 791 797</t>
  </si>
  <si>
    <t>HOA THO KOHL</t>
  </si>
  <si>
    <t>DUONG NHI: 0935 999 136/MS THUONG 0935261055</t>
  </si>
  <si>
    <t>HOA THO LOUIS RAPHAEL</t>
  </si>
  <si>
    <t>DUONG NHI: 0935 999 136</t>
  </si>
  <si>
    <t>HOA THO WALMART</t>
  </si>
  <si>
    <t>Le Thi Thuy Linh (Ms)
Mobile: +84.935.907.295</t>
  </si>
  <si>
    <t>HOANG ANH</t>
  </si>
  <si>
    <t>KHU 4B, THI TRAN QUYNH COI, QUYNH PHU, THAI BINH</t>
  </si>
  <si>
    <t>HANG THANG LONG GIAO HOANG ANH- CTU</t>
  </si>
  <si>
    <t>MS LAN: 0976 262 998</t>
  </si>
  <si>
    <t>HOANG PHAT</t>
  </si>
  <si>
    <t>PHU TAI INDUSTRIAL ZONE-P.TRAN QUANG DIEU- QUY NHON</t>
  </si>
  <si>
    <t>Ms NGOC: 0905 765 407</t>
  </si>
  <si>
    <t>HOANG THANG</t>
  </si>
  <si>
    <t>KHANH PHU INDUSTRIAL ZONE, NINH BINH</t>
  </si>
  <si>
    <t>Tel: 0084-303-762339 ATTN: Mr. Thanh &amp; Miss Nguyet</t>
  </si>
  <si>
    <t>KCN VA DO THI HOANG LONG, TAO XUYEN, THANH HOA</t>
  </si>
  <si>
    <t>HONG JAE</t>
  </si>
  <si>
    <t>KM32, KCN TRANG BANG, AN TINH, TRANG BANG, TAY NINH</t>
  </si>
  <si>
    <t>MR MOI: 0907 000 016</t>
  </si>
  <si>
    <t>Hong Seng Thai Vina</t>
  </si>
  <si>
    <t xml:space="preserve">Lô 14-16, đường số 3, KCN Tân Đức, xã Đức Hòa Hạ, huyện Đức Hòa, tỉnh Long An </t>
  </si>
  <si>
    <t xml:space="preserve">Uyên - Phòng xuất nhập khẩu: 0122.992.7692 </t>
  </si>
  <si>
    <t>HS VINA</t>
  </si>
  <si>
    <t>236C NGUYEN TRUNG TRUC,AP MY THANH,MY PHONG,MY THO,TIEN GIANG</t>
  </si>
  <si>
    <t>HUDATEX</t>
  </si>
  <si>
    <t>1 Phan Dinh Phung, Vinh Ninh ward, Hue city, THUA THIEN HUE</t>
  </si>
  <si>
    <t>Mr Tuan - 0916425139</t>
  </si>
  <si>
    <t>HUE TEXTILE</t>
  </si>
  <si>
    <t>THUY DUONG-HUONG THUY-TT HUE</t>
  </si>
  <si>
    <t>NGUYEN THUY HA-0913425722</t>
  </si>
  <si>
    <t>HUE TEXTILE PVH</t>
  </si>
  <si>
    <t>CHO XNK CONFIRM-PHAT DUNG NGUOI LIEN HE</t>
  </si>
  <si>
    <t>LIEN/ HA:  051 3864 026</t>
  </si>
  <si>
    <t>HUE VINA</t>
  </si>
  <si>
    <t>NO.270.DIEN BIEN ROAD CUA BAC WARD.NAM DINH CITY.</t>
  </si>
  <si>
    <t>Ms THANH 0915398241</t>
  </si>
  <si>
    <t>HUMITEX</t>
  </si>
  <si>
    <t>130 NGO QUYEN, MAY CHAI, HAI PHONG</t>
  </si>
  <si>
    <t>HUNG HA</t>
  </si>
  <si>
    <t>THI TRAN HUNG HA, HUNG HA, THAI BINH</t>
  </si>
  <si>
    <t>MR BINH 0912 401 002</t>
  </si>
  <si>
    <t>HUNG KIET</t>
  </si>
  <si>
    <t>AP 3, XA LONG AN, LONG THANH, DONG NAI</t>
  </si>
  <si>
    <t>MS THOM: 0903 600 510</t>
  </si>
  <si>
    <t>HUNG LONG</t>
  </si>
  <si>
    <t>KM 24-HIGHWAY 5-DI SU-MY HAO-HUNG YEN</t>
  </si>
  <si>
    <t>PHO TO BILL GUI KEM CHO KH</t>
  </si>
  <si>
    <t xml:space="preserve">0321 944045-321-943-458 
0914 720 887- CHI MAI
</t>
  </si>
  <si>
    <t>HUNG YEN</t>
  </si>
  <si>
    <t>8 BACH DANG, HUNG YEN</t>
  </si>
  <si>
    <t>Mr Hong Doan (phone no:+84904379546)</t>
  </si>
  <si>
    <t>HUNG YEN 1</t>
  </si>
  <si>
    <t>83 TRUNG TRAC ST-HUNG YEN TOWN-HUNG YEN</t>
  </si>
  <si>
    <t>HANH(Kho vat tu)-321-515741-32-862314/862312- LUONG THI HUU (Mrs.)</t>
  </si>
  <si>
    <t>HUNG YEN 2</t>
  </si>
  <si>
    <t>AN TAO PRECINCT-HUNG YEN TOWN-HUNG YEN</t>
  </si>
  <si>
    <t>HUNG YEN COLUMBIA</t>
  </si>
  <si>
    <t>MS PHAN HUONG: 0321 3862 314</t>
  </si>
  <si>
    <t>HUONG LINH</t>
  </si>
  <si>
    <t>THON TRA LAM, HIEP CUONG, KIM DONG, HUNG YEN</t>
  </si>
  <si>
    <t>Quy: 0987505501</t>
  </si>
  <si>
    <t>HUU NGHI DA NANG</t>
  </si>
  <si>
    <t>CHI THANH: 0905471005</t>
  </si>
  <si>
    <t>HYPHEN</t>
  </si>
  <si>
    <t>CIVIL GROUP 1, CAT DA STREET, LAM HA WARD, KIEN AN DISTRICT, HAIPHONG</t>
  </si>
  <si>
    <t xml:space="preserve">  Ms. Hue 84 313 576 795</t>
  </si>
  <si>
    <t>INDO CHINE</t>
  </si>
  <si>
    <t>LONG PHU, PHUOC THAI, LONG THANH, DONG NAI</t>
  </si>
  <si>
    <t>MR VIET 0907 885 545</t>
  </si>
  <si>
    <t>ITG PHONG PHU</t>
  </si>
  <si>
    <t>2RD-HOA KHANH IZ-LIEN CHIEU- DA NANG</t>
  </si>
  <si>
    <t>NGA/ VAN/THU- 84 0511 3842897.
EXT-2511-THU-0989076697</t>
  </si>
  <si>
    <t>Nhat Phong Van-Mr Vuong/ 0934 023 456
LIEN: 0905 101 815 / LONG: 0905 060 292</t>
  </si>
  <si>
    <t>ITG PHONG PHU  PVH</t>
  </si>
  <si>
    <t>DUONG SO 2, KCN HOA KHANH, LIEN CHIEU, DA NANG</t>
  </si>
  <si>
    <t>Thu Nguyen / Jackie Boatman
0511 842 897</t>
  </si>
  <si>
    <t>IVORY</t>
  </si>
  <si>
    <t>KM6+500, Road 10 Thai Binh-
Nam Dinh, Vu Thu Dist., Thai Binh Prov.</t>
  </si>
  <si>
    <t>DOI CS CONFIRM</t>
  </si>
  <si>
    <t>MS MAI: 036 3616 075</t>
  </si>
  <si>
    <t>IVORY THANH HOA</t>
  </si>
  <si>
    <t>MS HUONG: 0373 631 266 ext: 110
0936 467 896</t>
  </si>
  <si>
    <t>IVORY VIETNAM</t>
  </si>
  <si>
    <t>DUONG 10 THAI BINH VU THU NAM DINH</t>
  </si>
  <si>
    <t>J&amp;D VINAKO</t>
  </si>
  <si>
    <t>DUONG SO 5 KCN TRANG BANG TAY NINH</t>
  </si>
  <si>
    <t>J&amp;Y</t>
  </si>
  <si>
    <t>17T5 TRUNG HOA, NHANH CHINH, HA NOI</t>
  </si>
  <si>
    <t>MS HUE: 0912 767 424</t>
  </si>
  <si>
    <t>JASAN</t>
  </si>
  <si>
    <t>So 2 duong 17 Khu DT, CN va DV VSIP Hai phong, X. Thuy Trieu, H. Thuy Nguyen, TP Hai Phong</t>
  </si>
  <si>
    <t>A.THAI 0987588988</t>
  </si>
  <si>
    <t>JHCOS</t>
  </si>
  <si>
    <t>Thi Tran Truong Son, Huyen An Lao, Thanh Pho Hai Phong</t>
  </si>
  <si>
    <t>THI TRAN TRUONG SON, AN LAO, HAI PHONG</t>
  </si>
  <si>
    <r>
      <t>Ms. Vui</t>
    </r>
    <r>
      <rPr>
        <sz val="10"/>
        <rFont val="Sans-serif"/>
      </rPr>
      <t xml:space="preserve">. </t>
    </r>
    <r>
      <rPr>
        <sz val="7.5"/>
        <rFont val="Arial"/>
        <family val="2"/>
      </rPr>
      <t>tel: 84-031 3679592/3 .</t>
    </r>
  </si>
  <si>
    <t>J-LAND KOREA</t>
  </si>
  <si>
    <r>
      <t>7</t>
    </r>
    <r>
      <rPr>
        <b/>
        <vertAlign val="superscript"/>
        <sz val="10"/>
        <color indexed="12"/>
        <rFont val="Times New Roman"/>
        <family val="1"/>
      </rPr>
      <t>TH</t>
    </r>
    <r>
      <rPr>
        <b/>
        <sz val="10"/>
        <color indexed="12"/>
        <rFont val="Times New Roman"/>
        <family val="1"/>
      </rPr>
      <t xml:space="preserve"> FLOOR, NOZA BUILDING 
243A, CAU GIAY,
 HA NOI, VIETNAM</t>
    </r>
  </si>
  <si>
    <r>
      <t>TOMMY
Tel: 844-3767-6652</t>
    </r>
    <r>
      <rPr>
        <b/>
        <sz val="10"/>
        <color indexed="12"/>
        <rFont val="Times New Roman"/>
        <family val="1"/>
      </rPr>
      <t xml:space="preserve"> </t>
    </r>
  </si>
  <si>
    <t>JMC</t>
  </si>
  <si>
    <t>HONG THAI, VIET YEN, BAC GIANG</t>
  </si>
  <si>
    <t>MS MAI: 84.936.165.615</t>
  </si>
  <si>
    <t>JUNG KWANG</t>
  </si>
  <si>
    <t>DUONG 13, TRANG BANG, TAY NINH</t>
  </si>
  <si>
    <t>DIEU SAM: 066 3896 052</t>
  </si>
  <si>
    <t>JUNZHEN</t>
  </si>
  <si>
    <t>Lo E, duong N3B, khu cong nghiep Bao Minh, huyen Vu Ban, Nam Dinh</t>
  </si>
  <si>
    <t>Ms. Cherry 0961 002 911</t>
  </si>
  <si>
    <t>JY HA NAM</t>
  </si>
  <si>
    <t>Pho Ca, xa Thanh Nguyen, huyen Thanh Liem, Ha Nam</t>
  </si>
  <si>
    <t>Huong (0978432072)</t>
  </si>
  <si>
    <t>CUM CN NGOC HOA, NGOC GIA, NGOC HOA, CHUONG MY, HA NOI</t>
  </si>
  <si>
    <t>Hoàng Thị Huyền 0972508992 phòng xuất nhập khẩu</t>
  </si>
  <si>
    <t>KAI YANG</t>
  </si>
  <si>
    <t>196 HOANG QUOC VIET STR, KIEN AN DIST, HAI PHONG PROVINCE</t>
  </si>
  <si>
    <t>MS THAM: 0313591476</t>
  </si>
  <si>
    <t>KAINAN</t>
  </si>
  <si>
    <t>So 276, Duong Hang Kenh, Quan Le Chan, Thanh pho Hai Phong</t>
  </si>
  <si>
    <t>Ms Xuan - 0902069182</t>
  </si>
  <si>
    <t>KANAAN</t>
  </si>
  <si>
    <t>DUC HOA HA VILLAGE-DUC HOA TOWN-LONG AN</t>
  </si>
  <si>
    <t>MS LINH: 0907 727 046 / MR JIMMY VU: 0972 158 577</t>
  </si>
  <si>
    <t>KANGAROO</t>
  </si>
  <si>
    <t>TAY SON, TIEN HAI,  THAI BINH</t>
  </si>
  <si>
    <t>MR LEE: 0122 8067 009</t>
  </si>
  <si>
    <t>KG VINA</t>
  </si>
  <si>
    <t>LOT CN1, PHUC TRI NEW URBAN AREA, PHUC TRI NAM THANH, NINH BINH</t>
  </si>
  <si>
    <t>KHAI HOAN</t>
  </si>
  <si>
    <t>Pho Noi B textile and garment Industrial  Zone, Yen My, Hung Yen province</t>
  </si>
  <si>
    <t xml:space="preserve">0321 397 2628-Ms. Vu Thi Khanh Van (HP: 0913 213 132) vankhaihoan@gmail.com
</t>
  </si>
  <si>
    <t>KHAI MINH</t>
  </si>
  <si>
    <t>E15, NO 5, LY TU TRONG STREET, HONG BANG, HAI PHONG</t>
  </si>
  <si>
    <t>0936 217 238</t>
  </si>
  <si>
    <t>KHANH HOA</t>
  </si>
  <si>
    <t>12LE THANH TON-NHA TRANG-KHANH HOA</t>
  </si>
  <si>
    <t>ANH BAY-0903508075</t>
  </si>
  <si>
    <t>KHANH HOA GARMENT</t>
  </si>
  <si>
    <t>SO 4 NGUYEN THIEN THUAT, P TAN LAP, TP NHA TRANG, KHANH HOA</t>
  </si>
  <si>
    <t>ANH CUONG: 0903 588 095</t>
  </si>
  <si>
    <t>KHANH VIET CORPORATION (KHATOCO)</t>
  </si>
  <si>
    <t>84 HUNG VUONG-NHA TRANG-KHANH  HOA</t>
  </si>
  <si>
    <t>TRINH THI LE, tel : 058 3 521 443.</t>
  </si>
  <si>
    <t>KHATOCO</t>
  </si>
  <si>
    <t>Ms Ngọc Anh ( 0903 513 649)</t>
  </si>
  <si>
    <t>trangocanh@khatoco.com</t>
  </si>
  <si>
    <t>KHC FASHION</t>
  </si>
  <si>
    <t>DIEM CN NGOC HOA-THON NGOC GIA-NGOC HOA- CHUONG MY-HANOI</t>
  </si>
  <si>
    <t>KIDO HANOI</t>
  </si>
  <si>
    <t>KHU D-KCN PHO NOI A- HUNG YEN</t>
  </si>
  <si>
    <t>MS LAN-321972750</t>
  </si>
  <si>
    <t>KIM ANH</t>
  </si>
  <si>
    <t>LO 1-3, KCN TAY BAC GA, THANH HOA</t>
  </si>
  <si>
    <t>LO 2/5 KHU CONG NGHIEP PHAN THIET - XA PHONG NAM, TP PHAN THIET - TINH BINH THUAN</t>
  </si>
  <si>
    <t>HOAI THI 0908230589</t>
  </si>
  <si>
    <t>KIM DONG</t>
  </si>
  <si>
    <t xml:space="preserve">Thôn Đồng Lý – Thị Trấn Lương Bằng – Huyện Kim Động – Tỉnh Hưng Yên </t>
  </si>
  <si>
    <t>ms Bich.0983502219</t>
  </si>
  <si>
    <t>KIM SON</t>
  </si>
  <si>
    <t>DUONG THUONG KIEM, KIM SON, NINH BINH</t>
  </si>
  <si>
    <t>MR CUONG - P. KE HOACH: 0912 968 067</t>
  </si>
  <si>
    <t>KING DRAGON</t>
  </si>
  <si>
    <t>C11, LO 9, KHU DO THI DINH CONG, HOANG MAI, HA NOI</t>
  </si>
  <si>
    <t>MS GIANG: 0934 686 893</t>
  </si>
  <si>
    <t>KOMEGA SPORT</t>
  </si>
  <si>
    <t>242 TO KY, TAN CHANH HIEP, Q12, HCM</t>
  </si>
  <si>
    <t>MS NGAN 08 3891 1740</t>
  </si>
  <si>
    <t>KOMEGA X</t>
  </si>
  <si>
    <t>LOTS M2-M7-SUOI DAU IP-CAM LAM-KHANH HOA</t>
  </si>
  <si>
    <t>0904 141251- MS DUNG</t>
  </si>
  <si>
    <t>KOSVI</t>
  </si>
  <si>
    <t>MS NGOC: 0937 248 939</t>
  </si>
  <si>
    <t>LONG PHU HAMLET, PHUOC THAI VILLAGE, LONG THANH DISCT, DONG NAI</t>
  </si>
  <si>
    <t>CINDY: 06513542971</t>
  </si>
  <si>
    <t>KOVI KYUNG SEUNG</t>
  </si>
  <si>
    <t>KCN DONG DINH, TAN YEN, BAC GIANG</t>
  </si>
  <si>
    <t>HANG TRC CTU</t>
  </si>
  <si>
    <t>MS BAO ANH
0977 770 290</t>
  </si>
  <si>
    <t>KOVINA</t>
  </si>
  <si>
    <t xml:space="preserve">KCN TRANG BANG-AN TINH-TAY NINH </t>
  </si>
  <si>
    <t>ATTN: CHI CHAU: 
0982020407
AN: 0919 048 028</t>
  </si>
  <si>
    <t>KR VIET NAM</t>
  </si>
  <si>
    <t>LAI CACH, CAM GIANG, HAI DUONG</t>
  </si>
  <si>
    <t>Ms. Jenny Han Dao DT: 84-320-378-1018</t>
  </si>
  <si>
    <t>Số 68, Ngõ 34 , Đường Hoàng Cầu, Đống Đa, Hà Nội</t>
  </si>
  <si>
    <t>Liên hệ chị Hania: +84 988 099 142</t>
  </si>
  <si>
    <t>KWANG JIN</t>
  </si>
  <si>
    <t>209 HO NGOC LAN, KINH BAC, BAC NINH</t>
  </si>
  <si>
    <t>THU THUY 0912 412 878</t>
  </si>
  <si>
    <t>KWONG LUNG MEKO</t>
  </si>
  <si>
    <t>LOT 2.20C, TRA NOC INDUSTRIAL ZONE, CAN THO</t>
  </si>
  <si>
    <t>0710 3844 1026
MR GU WEN JUN 0919 978 816</t>
  </si>
  <si>
    <t>KY TUONG</t>
  </si>
  <si>
    <t>KCN XUYEN A- DUC HOA-LONG AN
(CUM A LO A2- XA MY HANH BAC)</t>
  </si>
  <si>
    <t>KYUNG VIET</t>
  </si>
  <si>
    <t>Khu CN Phố Nối A, xã Lạc Hồng, Văn Lâm, Hưng Yên</t>
  </si>
  <si>
    <t>0321 398 2209
Attn: Ms Hien ( 0934 245 648 )</t>
  </si>
  <si>
    <t>LAC TY II</t>
  </si>
  <si>
    <t>B1, B2 lot, Tan Phu Thanh Industrial Zone, Phase I, Chau Thanh A District, Hau Giang Province.</t>
  </si>
  <si>
    <t>MS BICH LIEN (0974 521 071)
 0711 3953 295 / 0711 395 33 99 - Fax : 0711 3953 449</t>
  </si>
  <si>
    <t>LAM HAM</t>
  </si>
  <si>
    <t>Block 24,Street No.6,Trang Bang Industrial Zone,Km 32,An Tinh Commune,Trang Bang Dist.,Tay Ninh Province</t>
  </si>
  <si>
    <t>AMANDA 0128.437.1016</t>
  </si>
  <si>
    <t>LAM NGUYEN PHAT</t>
  </si>
  <si>
    <t>SO 42, TO 9, DUONG K3, CAU DIEN, TU LIEM, HA NOI</t>
  </si>
  <si>
    <t>MS DUNG: 0903 418 389</t>
  </si>
  <si>
    <t>LAN LAN</t>
  </si>
  <si>
    <t>KM4, HUNG VUONG, PHU KHANH, THAI BINH</t>
  </si>
  <si>
    <t>MS Diep: 036 3836 638</t>
  </si>
  <si>
    <t>LANG HAM</t>
  </si>
  <si>
    <t>LOT24-6 RD-TRANG BANG IZ-TRANG BANG-TAY NINH</t>
  </si>
  <si>
    <t>66898088-MS KATHY- 0909 158 288
0907 009 502- MR TIN</t>
  </si>
  <si>
    <t>LEADER</t>
  </si>
  <si>
    <t>LO II-7, KCN Hoa Phu (giai Doan 2), xa Hoa Phu, huyen Long Ho, tinh Vinh Long</t>
  </si>
  <si>
    <t>Nguyễn Minh Thư- Sdt: 0963 861 760</t>
  </si>
  <si>
    <t>LEO JINS</t>
  </si>
  <si>
    <t>351 3582835</t>
  </si>
  <si>
    <t>LI &amp; FUNG</t>
  </si>
  <si>
    <t xml:space="preserve">CONG TY RAPEXCO-DAINAM LLC SUOI DAU INDUSTRIAL,CAM LAM DISTRICT, KHANH HOA PROVICE, VIET NAM, </t>
  </si>
  <si>
    <t>Ms Lien- SDT:84 58 373516</t>
  </si>
  <si>
    <t>LIEN HIEP</t>
  </si>
  <si>
    <t>Thôn Quán Dọc, xã Thanh An, huyện Thanh Hà, tỉnh Hải Dương</t>
  </si>
  <si>
    <t>+84320 3818699</t>
  </si>
  <si>
    <t>LINEA AQUA</t>
  </si>
  <si>
    <t>Plot No L1, Pho Noi B Textile &amp; Garment Industrial Park, Di Su Ward, My Hao District, Hung Yen Province</t>
  </si>
  <si>
    <t>LONG AN</t>
  </si>
  <si>
    <t>373 QL 1A, PHUONG 4, TP TAN AN, LONG AN</t>
  </si>
  <si>
    <t>A PHUONG: 0976 191 137</t>
  </si>
  <si>
    <t>LONG HANH THIEN HA</t>
  </si>
  <si>
    <t>KCN VU QUY, KIEN XUONG, THAI BINH</t>
  </si>
  <si>
    <t>LONG MA</t>
  </si>
  <si>
    <t>BICH HOA IZ-BICH HOA-THANH OAI DIST-HA TAY</t>
  </si>
  <si>
    <t>BUI VIET SAM</t>
  </si>
  <si>
    <t xml:space="preserve"> </t>
  </si>
  <si>
    <t>LONG YU</t>
  </si>
  <si>
    <t>KM 9, xa Tan Thinh, H Nam Truc, Nam Dinh</t>
  </si>
  <si>
    <t>Attn: Dung (0902 160 899 )
MS NHU: 0350 3929380</t>
  </si>
  <si>
    <t>LONGFA</t>
  </si>
  <si>
    <t>LO D, DUONG N11, KHU CONG NGHIEP MINH HUNG, XA MINH HUNG HUYEN CHON THANH, TINH BINH PHUOC</t>
  </si>
  <si>
    <t>MS HUONG: 0933347667</t>
  </si>
  <si>
    <t>LONGYU</t>
  </si>
  <si>
    <t>KM9, XA TAN THINH, HUYEN NAM TRUC, NAM DINH</t>
  </si>
  <si>
    <t>Mr. Sumiya 0350 3929380</t>
  </si>
  <si>
    <t>LOTUS TEXTILE</t>
  </si>
  <si>
    <t>Trang Bang Industrial Park,
 Tay Ninh Province</t>
  </si>
  <si>
    <t>CHUNG TU</t>
  </si>
  <si>
    <t>MS THAM: 0164 946 9310</t>
  </si>
  <si>
    <t>LUONG LE</t>
  </si>
  <si>
    <t>PHONG 1412, TOA NHA HEMISCO, PHUONG PHUC LA , HA DONG, HA NOI</t>
  </si>
  <si>
    <t>TEL: 0908702067</t>
  </si>
  <si>
    <t>MACALLAN</t>
  </si>
  <si>
    <t>THON NGOC GIA, NGOC HOA, CHUONG MY, HA NOI</t>
  </si>
  <si>
    <t>MS THOA: 0988 303 555</t>
  </si>
  <si>
    <t>MAI HUONG</t>
  </si>
  <si>
    <t>P 306, KHU A1, CHUNG CU BAC SON , HAI PHONG</t>
  </si>
  <si>
    <t>Mr Mạnh-0973 577 787-313 598060</t>
  </si>
  <si>
    <t>MAKALOT</t>
  </si>
  <si>
    <t>THANH HAI -  THANH HA -  HAI DUONG</t>
  </si>
  <si>
    <t>VAT- DONG MOC TREO- CHUNG HD</t>
  </si>
  <si>
    <t>ANH TUAN: 0979 399 357</t>
  </si>
  <si>
    <t>khong cho xuat hang vao 2 ngay 30/7 va 31/7 nha</t>
  </si>
  <si>
    <t>MANSEON</t>
  </si>
  <si>
    <t>Xóm 8, xã Vĩnh Thành, Huyện Vĩnh Lộc, Tỉnh Thanh Hóa</t>
  </si>
  <si>
    <t>Ms Huyền: 0974 351 557
Ms Hường: 0936 852 010/ 0912 231 885</t>
  </si>
  <si>
    <t>MASCOT</t>
  </si>
  <si>
    <t>BOUNDER WAREHOUSE LOT 3.1-TAN TRUONG IZ-CAM GIANG DIST-HAI DUONG</t>
  </si>
  <si>
    <t>QUYNH: 0904 011 547</t>
  </si>
  <si>
    <t>MAX PLANNING</t>
  </si>
  <si>
    <t>Street No. 2,Hoa Cam Industrial Zone, Hoa Tho Tay ward, Cam Le District, Da Nang</t>
  </si>
  <si>
    <t>Ms Nien - 0918636784</t>
  </si>
  <si>
    <t>MAXPORT 2</t>
  </si>
  <si>
    <t>LOT 1, TA HIEN STREET, KCN PHUC KHANH, THAI BINH</t>
  </si>
  <si>
    <t>MAXPORT HA NOI</t>
  </si>
  <si>
    <t>88 HA DINH, THANH XUAN, HA NOI</t>
  </si>
  <si>
    <t>MS HUYEN: 84-4-38583225 Ext: 88121.</t>
  </si>
  <si>
    <t>MAXPORT NIKE</t>
  </si>
  <si>
    <t>Nguyen Duc Canh IZ-Tran Thai Tong road-Thai Binh</t>
  </si>
  <si>
    <t>1 tuan giao 1 lan, duong bo- xnk confirm</t>
  </si>
  <si>
    <t>MS HANH: 036 3844111 EXT: 781</t>
  </si>
  <si>
    <t>MAXPORT NORTHFACE</t>
  </si>
  <si>
    <t>88 HA DINH-THANH XUAN-HANOI</t>
  </si>
  <si>
    <t>KO GIAO CHO CS CONFIRM</t>
  </si>
  <si>
    <t>MS LAN-04-8583225</t>
  </si>
  <si>
    <t>MAXPORT PATAGONIA</t>
  </si>
  <si>
    <t>NINH: 0986 807 759</t>
  </si>
  <si>
    <t>MAXTURN</t>
  </si>
  <si>
    <t>UNIT G1-B, KCN QUE VO, PHUONG LIEU, QUE VO, BAC NINH</t>
  </si>
  <si>
    <t>LILY: 0167 4523 233</t>
  </si>
  <si>
    <t>MAY 2 HAI DUONG</t>
  </si>
  <si>
    <t>MAY 29 03</t>
  </si>
  <si>
    <t>60-ME NHU-DA NANG</t>
  </si>
  <si>
    <t>ANH CHAU- KHO PHU LIEU-05113-759249</t>
  </si>
  <si>
    <t>MAY DA LAT</t>
  </si>
  <si>
    <t xml:space="preserve">S ố 9 Phù Đổng Thiên Vương P.8 Đà Lạt. </t>
  </si>
  <si>
    <t>ATTN:HOÀNG NGỌC THỊNH-01699655227</t>
  </si>
  <si>
    <t>MAY GIA LAI</t>
  </si>
  <si>
    <t>TO 12, P. YEN DO, TP. PLEIKU, GIA LAI</t>
  </si>
  <si>
    <t>THUY: 0987 384 437</t>
  </si>
  <si>
    <t>MAY HAI</t>
  </si>
  <si>
    <t>216 TRAN THANH NGO ST-KIEN AN DIST-HAI PHONG</t>
  </si>
  <si>
    <t>cho XNK confirm-NETCO-DN#AWB
ghi so DN len Bill</t>
  </si>
  <si>
    <t>0169 640 1182- MS HUE</t>
  </si>
  <si>
    <t>MAY HAI COLUMBIA</t>
  </si>
  <si>
    <t>0936 124 689- THUY</t>
  </si>
  <si>
    <t>MAY HAI TIMBERLAND</t>
  </si>
  <si>
    <t>FWDER KHDL DOI CHI VAN CF</t>
  </si>
  <si>
    <t>MAY HAI VAT</t>
  </si>
  <si>
    <t>MS HIEN: 0988 969 755</t>
  </si>
  <si>
    <t>May hanosimex 1</t>
  </si>
  <si>
    <t>Tầng 8, tòa nhà Nam Hải, lô 9A Vĩnh Hoàng, Hoàng Mai, Hà Nội.</t>
  </si>
  <si>
    <t>Tel: 01679842135</t>
  </si>
  <si>
    <t>MAY LANG GIANG</t>
  </si>
  <si>
    <t>Thôn: Bằng, xã Nghĩa Hòa, Huyện Lạng Giang, tỉnh Bắc Giang</t>
  </si>
  <si>
    <t>MAY MAC DO BOI THONG NHAT</t>
  </si>
  <si>
    <t>LO C1 C2 C12 C13 C14, KCN SUOI DAU, SUOI TAN, CAM LAM, KHANH HOA</t>
  </si>
  <si>
    <t>MAY MAC OCEAN SKY</t>
  </si>
  <si>
    <t>LO 75 76 KCX LINH TRUNG III, TRANG BANG, TAY NINH</t>
  </si>
  <si>
    <t>MAY PHOENIX</t>
  </si>
  <si>
    <t>MS LIEN: 0968 217191</t>
  </si>
  <si>
    <t>MAY PHU THO</t>
  </si>
  <si>
    <t>PHUONG PHONG CHAU, TX PHU THO, PHU THO</t>
  </si>
  <si>
    <t>0210 3821 915</t>
  </si>
  <si>
    <t>0912928576
A NGHIA</t>
  </si>
  <si>
    <t>MAY QUOC TE WOO JIN</t>
  </si>
  <si>
    <t>226 LE LAI-NGO QUYEN-HAI PHONG</t>
  </si>
  <si>
    <t>MS TRANG: 0974 910 262
MS NHUNG: 0936 813 688</t>
  </si>
  <si>
    <t>MAY TRE HA LINH</t>
  </si>
  <si>
    <t>KCN PHU NGHIA, HUYEN CHUONG MY, HA NOI</t>
  </si>
  <si>
    <t>MAI NGUYEN +84 127 554 1811</t>
  </si>
  <si>
    <t>MAY VA IN 1 THANG 5</t>
  </si>
  <si>
    <t>SO 37 NGO 67 PHO DUC GIANG, PHUONG DUC GIANG, LONG BIEN HA NOI</t>
  </si>
  <si>
    <t>MEKO</t>
  </si>
  <si>
    <t>DUONG TRUC CHINH, KCN TRA NOC, Q. BINH THUY, TP. CAN THO</t>
  </si>
  <si>
    <t>PHUONG THANH: 01265992728-TAM: 0918472185-07103842263</t>
  </si>
  <si>
    <t>MICHELLE</t>
  </si>
  <si>
    <t>THANG LOI, AN HUNG, AN DUONG, HAI PHONG</t>
  </si>
  <si>
    <t>A DUC: 01676 999 777</t>
  </si>
  <si>
    <t>MICHIGAN HAI DUONG</t>
  </si>
  <si>
    <t>TAN DAN, CHI LINH, HAI DUONG</t>
  </si>
  <si>
    <t>MS QUYNH: 01689931762</t>
  </si>
  <si>
    <t>MINH ANH</t>
  </si>
  <si>
    <t>KCN PHO NOI B, NGHIA HIEP, YEN MY, HUNG YEN</t>
  </si>
  <si>
    <t xml:space="preserve"> MS HUONG 0978 695 777/
 MR QUAN 0913 580 180</t>
  </si>
  <si>
    <t>MINH ANH EX IM</t>
  </si>
  <si>
    <t xml:space="preserve"> NO.28 ALLEY 207/66，XUAN DINH，TU LIEM，HANOI CITY</t>
  </si>
  <si>
    <t>MS SAM 0913322129</t>
  </si>
  <si>
    <t>MINH ANH KIM LIEN</t>
  </si>
  <si>
    <t>KCN BAC VINH, HUNG DONG, TP. VINH, NGHE AN</t>
  </si>
  <si>
    <t>MS DUNG: 0912 922 456</t>
  </si>
  <si>
    <t>MINH HOANG</t>
  </si>
  <si>
    <t>LOT12 DIEN NAM-DIEN NGOC-QUANG NAM-DN</t>
  </si>
  <si>
    <t>MS ÁNH-0510 944888</t>
  </si>
  <si>
    <t>MINH PHUONG</t>
  </si>
  <si>
    <t>TÍCH GIANG-PHÚC THỌ-HA NOI</t>
  </si>
  <si>
    <t>MR HA-433641239-Mr Thang 0913 268 037</t>
  </si>
  <si>
    <t>bill-WEATHERPROOF GARMENT</t>
  </si>
  <si>
    <t>MINH TRI</t>
  </si>
  <si>
    <t>VINH TUY INS ZONE- HA NOI</t>
  </si>
  <si>
    <t>CTU( HANG DI TRUOC CTU DI SAU)</t>
  </si>
  <si>
    <t>NGOC(KHO)-04-6440458-phuong0988087290</t>
  </si>
  <si>
    <t>MINH TRI PVH</t>
  </si>
  <si>
    <t>KCN VINH TUY, HA NOI</t>
  </si>
  <si>
    <t>MS HANG: 04 6446 802</t>
  </si>
  <si>
    <t>MINH TRI THAI BINH DECATHLON</t>
  </si>
  <si>
    <t>DUONG BUI VIEN, KCN NGUYEN DUC CANH, P. TIEN PHONG, THAI BINH</t>
  </si>
  <si>
    <t>MS TIEN: 04 36448 629</t>
  </si>
  <si>
    <t>MINH TRI THAI BINH EXPRESS</t>
  </si>
  <si>
    <t>MS LIEN : 0903 463 454</t>
  </si>
  <si>
    <t>MINH TRI THAI BINH PVH</t>
  </si>
  <si>
    <t>0915330479- MS GIANG</t>
  </si>
  <si>
    <t>MINH TRI VINH</t>
  </si>
  <si>
    <t>KCN BẮC VINH, XÃ HƯNG ĐÔNG, TP VINH, NGHỆ AN</t>
  </si>
  <si>
    <t>MS BICH: 0902 201 180</t>
  </si>
  <si>
    <t>MOLAND</t>
  </si>
  <si>
    <t>Road 6, Song May IZ, Bac Son Commune, Trang Bom Dist, Dong Nai</t>
  </si>
  <si>
    <t>Attn: Ms Tam 0913 931 896</t>
  </si>
  <si>
    <t>MS VINA</t>
  </si>
  <si>
    <t>SO 1, 10 07 KCN LANG NGHE, THI TRAN NGA SON, THANH HOA</t>
  </si>
  <si>
    <t>A VINH: 0936 271 529</t>
  </si>
  <si>
    <t>MSA HAPRO  QUIKSILVER</t>
  </si>
  <si>
    <t>KCN SAI DONG B, GIA LAM, HA NOI</t>
  </si>
  <si>
    <t>PHAM NGOC HA-4-6750213/ 9282742
Ms Mo: 01674 156872</t>
  </si>
  <si>
    <t>MSA VN</t>
  </si>
  <si>
    <t>TIEN PHONG, ME LINH, HA NOI</t>
  </si>
  <si>
    <t>R</t>
  </si>
  <si>
    <t>14525679+</t>
  </si>
  <si>
    <t>MSA YB QUIKSILVER</t>
  </si>
  <si>
    <t>KHE XOAN. DOI CAN, TUYEN QUANG</t>
  </si>
  <si>
    <t>Mr. Quynh: 0975900275
Ms. Trang 0973876354</t>
  </si>
  <si>
    <t>MTV 76</t>
  </si>
  <si>
    <t xml:space="preserve">Kieu Ky commune - Gia Lam district - Hanoi city- Vietnam
</t>
  </si>
  <si>
    <t>HANG CHUNG HD</t>
  </si>
  <si>
    <t>HP: + 84 976.568.702</t>
  </si>
  <si>
    <t>MXP</t>
  </si>
  <si>
    <t>KCN NGUYEN DUC CANH- THAI BINH</t>
  </si>
  <si>
    <t>MS NGOC: 0974 856 259</t>
  </si>
  <si>
    <t>MXP1</t>
  </si>
  <si>
    <t>NGUYEN DUC CANH INDUSTRIAL ZONE, TRAN THAI TONG ROAD, THAI BINH CITY</t>
  </si>
  <si>
    <t>MXP8</t>
  </si>
  <si>
    <t>CUM CN XUAN QUANG, DONG XUAN, DONG HUNG, THAI BINH</t>
  </si>
  <si>
    <t>CHI BICH 0936171499</t>
  </si>
  <si>
    <t>MY HUNG</t>
  </si>
  <si>
    <t>Km 24 + 500 Highway- No. 5A Di Su- My Hao- Hung Yen</t>
  </si>
  <si>
    <t>MS GIANG: 0902 175 065</t>
  </si>
  <si>
    <t>KM24+500, QL 5, DI SU, MY HAO, HUNG YEN</t>
  </si>
  <si>
    <t>MS THOA 0975 737 145/
 MS THUAN 0986 475 152</t>
  </si>
  <si>
    <t>MY NGHE LAC VIET</t>
  </si>
  <si>
    <t>MY TAI BINH DINH</t>
  </si>
  <si>
    <t>LO B25, DUONG TRUNG TAM, PHUONG TRAN QUANG DIEU, KCN PHU TAI, QUY NHON, BINH DINH</t>
  </si>
  <si>
    <t>MS HONG SEN: 0935 477 139</t>
  </si>
  <si>
    <t>MY THO GARMENT</t>
  </si>
  <si>
    <t>101, National Rout 1A, ward 10, My Tho City, Tien Giang Province, Vietnam-</t>
  </si>
  <si>
    <t>Tel: Ms Hanh: 0986 16 2273, Ms Thao: 0986 825 394 or Ms Ngoc: 0934 181 465</t>
  </si>
  <si>
    <t>101, National Rout 1A, ward 10, My Tho City, Tien Giang Province, Vietnam</t>
  </si>
  <si>
    <t>Ms Hanh: 0986 16 2273, Ms Thao: 0986 825 394 or Ms Ngoc: 0934 181 465</t>
  </si>
  <si>
    <t>NAJIMEX</t>
  </si>
  <si>
    <t>LOT C10-9 KCN HOA XA, NAM DINH</t>
  </si>
  <si>
    <t> </t>
  </si>
  <si>
    <t>NAM AN</t>
  </si>
  <si>
    <t>01 GIAI PHONG, NAM DINH</t>
  </si>
  <si>
    <t>TRUC: 0937 856 326</t>
  </si>
  <si>
    <t>NAM ANH</t>
  </si>
  <si>
    <t>QUANG XA, QUANG HUNG, PHU CU, HUNG YEN</t>
  </si>
  <si>
    <t>Cho CS confirm</t>
  </si>
  <si>
    <t>ANH TRINH: 0321 3854 417</t>
  </si>
  <si>
    <t>NAM CHAU</t>
  </si>
  <si>
    <t>Hau village, Dai Lam commune, Lang Giang district, Bac Giang province</t>
  </si>
  <si>
    <t>NAM CO LONDON</t>
  </si>
  <si>
    <t>KCN DONG HUONG, KIM SON, NINH BINH</t>
  </si>
  <si>
    <t>NAM DINH</t>
  </si>
  <si>
    <t>KHU A-LO H1-H5- Duong Pham Ngu Lao-Khu Cong Nghiep Hoa Xa-TP Nam Dinh</t>
  </si>
  <si>
    <t>A Thinh (MR) 904770343
TEL : 0350 849 451</t>
  </si>
  <si>
    <t>84-350-842-654</t>
  </si>
  <si>
    <t>NAM DINH 2</t>
  </si>
  <si>
    <t>91 NGUYEN VAN TROI, NAM DINH</t>
  </si>
  <si>
    <t>LE VAN BINH
TEL: 0084 350 3849617/ FAX: 3862851</t>
  </si>
  <si>
    <t>NAM HA</t>
  </si>
  <si>
    <t xml:space="preserve"> 510 TRUONG CHINH STR-NAM DINH</t>
  </si>
  <si>
    <t>Mr. D Tien Dung-350-649563-HIEU- 0983 740 929</t>
  </si>
  <si>
    <t>NAM HA GARMENT</t>
  </si>
  <si>
    <t>No.510 Truong Chinh Str., Nam Dinh, Viet Nam</t>
  </si>
  <si>
    <t>Mr Tap: 0912342833</t>
  </si>
  <si>
    <t>NAM HAI</t>
  </si>
  <si>
    <t>189 NGUYEN VAN TROI-NANG TINH-TP NAM DINH</t>
  </si>
  <si>
    <t>MS NGA 0915 133 216</t>
  </si>
  <si>
    <t>NAM LEE</t>
  </si>
  <si>
    <t>Tel:84 -320-3560- 971 Fax:84-320- 3560- 972
ATTN: Ken</t>
  </si>
  <si>
    <t>NAM OF LONDON</t>
  </si>
  <si>
    <t>MY THO IZ-TIEN GIANG</t>
  </si>
  <si>
    <t>NAM SON</t>
  </si>
  <si>
    <t>Thon Kim Âu, Xã Đại Xá, Gia Lâm, Hà Nội</t>
  </si>
  <si>
    <t>Attn: Ms Nguyet ( 0169.213.6477 )</t>
  </si>
  <si>
    <t>NAM THUAN</t>
  </si>
  <si>
    <t>XA THUY SON, THUY NGUYEN,
 HAI PHONG</t>
  </si>
  <si>
    <t>MS. THINH - 0912253583
MS CHAU- 0988907292
MS HANH- 0983 128 224</t>
  </si>
  <si>
    <t>NAMLEE</t>
  </si>
  <si>
    <t>Phân khu phía Tây - KCN Phú Thái - TT Phú Thái - H.Kim Thành - T.Hải Dương</t>
  </si>
  <si>
    <t>Điện thoại: 0320.3560971 Ext: 217- KATE</t>
  </si>
  <si>
    <t>NAMSUNG</t>
  </si>
  <si>
    <t>Thap Hong Ky Industrial Group, Dien Chau Dist, Nghe An</t>
  </si>
  <si>
    <t>THAO 01674031987</t>
  </si>
  <si>
    <t>NAMYANG DELTA</t>
  </si>
  <si>
    <t>PLOT XN2-3, KCN DAI AN, HAI DUONG</t>
  </si>
  <si>
    <t>NEOBAGS</t>
  </si>
  <si>
    <t>185B, 14/9 STREET, PHUONG 5, TP. VINH LONG, VINH LONG</t>
  </si>
  <si>
    <t>ANDIE NGO: 070 6252266</t>
  </si>
  <si>
    <t>NEW DAY</t>
  </si>
  <si>
    <t>69 TRUNG YEN 12, TRUNG HOA, CAU GIAY, HA NOI</t>
  </si>
  <si>
    <t>NETCO- KHTT</t>
  </si>
  <si>
    <t>HONG: 0983 155 520</t>
  </si>
  <si>
    <t>NEW WORLD FASHION</t>
  </si>
  <si>
    <t>SO 353 ANH DUNG, DUONG KINH, HAI PHONG</t>
  </si>
  <si>
    <t>NGHIA PHAT</t>
  </si>
  <si>
    <t>PHUOC AN VILLAGE, TUY PHUOC DISTRICT, BINH DINH</t>
  </si>
  <si>
    <t>ATTN: MR BANG 0905082080
A KHOA: 0909 467 437</t>
  </si>
  <si>
    <t>NGOC HA</t>
  </si>
  <si>
    <t>DUONG SO 5, KCN VUA VA NHO PHU THI, GIA LAM, HA NOI</t>
  </si>
  <si>
    <t xml:space="preserve">TRANG: 0912.932.333 </t>
  </si>
  <si>
    <t>NGOC TE</t>
  </si>
  <si>
    <t>PHO NOI, XA NGHIA HIEP, YEN MY, HUNG YEN</t>
  </si>
  <si>
    <t>LE: 0982 526 853</t>
  </si>
  <si>
    <t>NGOC VIET</t>
  </si>
  <si>
    <t>THI TRAN VAN DINH, UNG HOA, HA NOI</t>
  </si>
  <si>
    <t>MS HIEN: 0978 807 252</t>
  </si>
  <si>
    <t>NGUON LUC VIET NAM</t>
  </si>
  <si>
    <t>KHU VUON XIM,THI TRAN HUONG CANH-BINH XUYEN, VINH PHUC</t>
  </si>
  <si>
    <t>ATTN: HUYEN: 0903 439616/HUONG : 01674 532668</t>
  </si>
  <si>
    <t>NGUYEN TOAN</t>
  </si>
  <si>
    <t>Mr Hao 0903 443 059</t>
  </si>
  <si>
    <t>CHAU SON INDUSTRIAL ZONE, PHU  LY TOWN, HA NAM PROVINCE</t>
  </si>
  <si>
    <t>Nhà Máy may Dung Quất</t>
  </si>
  <si>
    <t>Lô L1, Phân khu CN Sài Gòn Dung Quất – Xã Bình Thạnh – Huyện Bình Sơn- Quảng Ngãi</t>
  </si>
  <si>
    <t>NHAT HOA</t>
  </si>
  <si>
    <t>TAN QUANG, VAN LAM, HUNG YEN</t>
  </si>
  <si>
    <t>NHAT HONG</t>
  </si>
  <si>
    <t>P314- No 4A BUILDING, LINH NAM, HA NOI</t>
  </si>
  <si>
    <t>MS NGAN: 0947 029 086</t>
  </si>
  <si>
    <t>NHUA COTEC</t>
  </si>
  <si>
    <t>LO E4+E5 KCN PHUC KHANH, TP THAI BINH, T THAI BINH</t>
  </si>
  <si>
    <t>Mr Stephen Yiu: 0169.706.8819</t>
  </si>
  <si>
    <t>NIEN HSING AEO</t>
  </si>
  <si>
    <t>DUONG TRAN THI DUNG, KCN PHUC KHANH, THAI BINH</t>
  </si>
  <si>
    <t>NIEN HSING NINH BINH</t>
  </si>
  <si>
    <t>KHANH PHU INDUSTRIAL ZONE, YEN KHANH, NINH BINH</t>
  </si>
  <si>
    <t>NIENHSING AEO</t>
  </si>
  <si>
    <t>OANH</t>
  </si>
  <si>
    <t>NIENHSING LEVI'S</t>
  </si>
  <si>
    <t>KHANH PHU INDUSTRIAL ZONE,
YEN KHANH DISTRICT,
NINH BINH PROVINCE,VIET NAM.</t>
  </si>
  <si>
    <t>MS HONG: 0169 255 7340</t>
  </si>
  <si>
    <t>NIENHSING NINH BINH</t>
  </si>
  <si>
    <t>KCN KHANH PHU YEN KHANH NINH BINH</t>
  </si>
  <si>
    <t>NINH BINH</t>
  </si>
  <si>
    <t>NO.37, LANE 4, YET KIEU STREET, NAM THANH WARD,NINH BINH CITY,</t>
  </si>
  <si>
    <t>NINH BINH ENTER B</t>
  </si>
  <si>
    <t>NO.37 LANE 4, YET KIEU STREET, NAM THANH WARD, NINH BINH</t>
  </si>
  <si>
    <t>NJUNG TRADING</t>
  </si>
  <si>
    <t>ROOM 503, TANG 5, 17-1 SAI DONG, LONG BIEN, HA NOI</t>
  </si>
  <si>
    <t>MS HAI: 0946 280 042</t>
  </si>
  <si>
    <t>NORFOLK HA NAM</t>
  </si>
  <si>
    <t>Đồng Văn Industrial Area - Duy Tiên - Hà Nam</t>
  </si>
  <si>
    <t>QUYNH HOA: 0936 729 206</t>
  </si>
  <si>
    <t>NORFOLK HA NOI 1</t>
  </si>
  <si>
    <t>143 NGUYEN TUAN, THANH XUAN, HA NOI</t>
  </si>
  <si>
    <t>LAN ANH: 0972 290 965/0988 899329</t>
  </si>
  <si>
    <t>NORFOLK HANOI</t>
  </si>
  <si>
    <t>203-NG HUY TUONG ST-THANH XUAN-HNOI</t>
  </si>
  <si>
    <t>THU PHUONG/VAN-8586024</t>
  </si>
  <si>
    <t>6TH FL, 478 MINH KHAI, HA NOI</t>
  </si>
  <si>
    <t>MS MERRY: 0989 709 898</t>
  </si>
  <si>
    <t>NOW VINA</t>
  </si>
  <si>
    <t>Khu 6 xa Phu Loc, huyen Phu Ninh, tinh Phu Tho</t>
  </si>
  <si>
    <t>Nhung 0948325628</t>
  </si>
  <si>
    <t>OKUDA</t>
  </si>
  <si>
    <t>LO 6, KCN DIEN NAM - DIEN NGOC, QUANG NAM</t>
  </si>
  <si>
    <t>LIEU: 0510 3942 504</t>
  </si>
  <si>
    <t>OPUS ONE</t>
  </si>
  <si>
    <t>GIA CAM WARD-VIET TRI CITY-PHU THO PROVINCE</t>
  </si>
  <si>
    <t>Mr Ra Byuong Mun : 0210 38 54 005</t>
  </si>
  <si>
    <t>ORIENTAL</t>
  </si>
  <si>
    <t>DONG LAC COMMUNE-NAM SACH DIST-HAI DUONG</t>
  </si>
  <si>
    <t>HUE: 0320 3751 156</t>
  </si>
  <si>
    <t>PADMAC</t>
  </si>
  <si>
    <t>Lo G9- mot phan lo G2, G3, G8, duong N-1, KCN Bao Minh,  huyen Vu Ban, tinh Nam Dinh</t>
  </si>
  <si>
    <t>Attn: Tran Tuyet 0983 694 802</t>
  </si>
  <si>
    <t>PAN PACIFIC VINH</t>
  </si>
  <si>
    <t>HAMLET 2, THANH TIEN, THANH CHUONG, NGHE AN</t>
  </si>
  <si>
    <t>PANGRIM</t>
  </si>
  <si>
    <t>13th floor, Zodiac building, Alley 19, Duy Tan Street, Cau Giay, Hanoi</t>
  </si>
  <si>
    <t>Attn: Ms Linh - 0972 298 358</t>
  </si>
  <si>
    <t>13th floor, Zodiac building, Alley 19, Duy Tan Street, Cau Giay, Ha Noi</t>
  </si>
  <si>
    <t>PANKO TAM THANG</t>
  </si>
  <si>
    <t>LOT#1 TAM THANG INDUSTRIAL ZONE, TAM KY CITY, QUANG NAM PROVINCE</t>
  </si>
  <si>
    <t>PANLOF</t>
  </si>
  <si>
    <t>THIEN TON TOWN, HOA LU, NINH BINH</t>
  </si>
  <si>
    <t>MS HOA: 030 3625 526</t>
  </si>
  <si>
    <t>PAN-PACIFIC</t>
  </si>
  <si>
    <t>Tang 8 toa nha Suced, so 108 Nguyen Hoang, My Dinh, Nam Tu Liem, Ha Noi</t>
  </si>
  <si>
    <t>PARK CORP</t>
  </si>
  <si>
    <t>Duong 13, KCN Trang Bang, Quoc lo 22, Xa An Tinh, Huyen Trang Bang,  Tinh Tay Ninh</t>
  </si>
  <si>
    <t>GIAO KEM HOA DON</t>
  </si>
  <si>
    <t>PEARL GARMENT</t>
  </si>
  <si>
    <t>469 NGUYEN DU STREET, DUU LAU WARD,VIET TRI CITY PHU THO PROVINCE ,VIETNAM</t>
  </si>
  <si>
    <t>PEARL VINA</t>
  </si>
  <si>
    <t>VAN DINH, UNG HOA, HA NOI</t>
  </si>
  <si>
    <t>MR HOA: 0903 434 076</t>
  </si>
  <si>
    <t>PHAN THIET GARMENT</t>
  </si>
  <si>
    <t>282 NGUYEN HOI, TP. PHAN THIET, BINH THUAN</t>
  </si>
  <si>
    <t>MS XUAN MAI: 062 3821 947</t>
  </si>
  <si>
    <t>PHI</t>
  </si>
  <si>
    <t xml:space="preserve">XN10, Dai An Industrial Zone, KM51,
Highway No. 5, Hai Duong, , Vietnam </t>
  </si>
  <si>
    <t>giao hang truoc-C.Trang- KHTT- NETCO</t>
  </si>
  <si>
    <t>MR KM Phone: (84) 3203555865 ex- 738, 
 Cell # +84 942 863 502
LAN: 0904 360 462</t>
  </si>
  <si>
    <t>PHILIKO</t>
  </si>
  <si>
    <t>296 DUC THANG-HIEP HOA-BAC GIANG</t>
  </si>
  <si>
    <t>MS LUYEN-0917338707-0240 3 865145</t>
  </si>
  <si>
    <t>PHILKO</t>
  </si>
  <si>
    <t>296 DUC THANH, HIEP HOA, BAC GIANG</t>
  </si>
  <si>
    <t>MR PARK JONG CHUL : 0240 3865 145</t>
  </si>
  <si>
    <t>KM 13, DUONG 18, VAN AN, CHI LINH, HAI DUONG</t>
  </si>
  <si>
    <t>PHONG KINH DOANH CHI NHANH SONG CONG 3</t>
  </si>
  <si>
    <t>PHONG KINH DOANH CHI NHANH SONG CONG 3, KCN SONG CONG, SONG CONG, THAI NGUYEN</t>
  </si>
  <si>
    <t>BA NGOC: 01635888486</t>
  </si>
  <si>
    <t>PHONG PHU CN DA NANG</t>
  </si>
  <si>
    <t>LO M, DUONG SO 3, KCN HOA KHANH, P. HOA KHANH BAC, LIEN CHIEU, DA NANG</t>
  </si>
  <si>
    <t>MS SUONG: 0905 267 641</t>
  </si>
  <si>
    <t>PHONG PHU NHA TRANG</t>
  </si>
  <si>
    <t>1447 QL1A, Dac Loc Vi., Vinh Phuong Town, Nha Trang City, Khanh Hoa Province., Vietnam</t>
  </si>
  <si>
    <t>Chi Ha: Dthoai 0168 6080 423</t>
  </si>
  <si>
    <t>PHONG PHU PHU YEN</t>
  </si>
  <si>
    <t>235 NGUYEN TAT THANH TUY HOA PHU YEN</t>
  </si>
  <si>
    <t>HANG 0905279922</t>
  </si>
  <si>
    <t>PHU DIEN</t>
  </si>
  <si>
    <t>26A-CAU DIEN MARKET ST-TU  LIEM-HA NOI</t>
  </si>
  <si>
    <t>PHU HUNG</t>
  </si>
  <si>
    <t>Xa Dinh Cao- Phu Cu - Hung Yen</t>
  </si>
  <si>
    <t>Attn: Mr Thuong: 0982 493 888</t>
  </si>
  <si>
    <t>PHU HUNG TRADING</t>
  </si>
  <si>
    <t>GAO NAM, HO TUNG MAU, AN THI, HUNG YEN</t>
  </si>
  <si>
    <t>MR DOAN: 0986 330 212</t>
  </si>
  <si>
    <t>PHU KHANG</t>
  </si>
  <si>
    <t>QL 39A, XA BAO KHE, TP. HUNG YEN, HUNG YEN</t>
  </si>
  <si>
    <t>MS KIM TOAN: 0977 945 671</t>
  </si>
  <si>
    <t>PHU LONG</t>
  </si>
  <si>
    <t>PHU TRUONG VILLAGE, PHU LONG TOWN, HAM THUAN BAC DISTRICT, BINH THUAN PROVINCE</t>
  </si>
  <si>
    <t>MS LINH-0918 680 362</t>
  </si>
  <si>
    <t>PHU LONG 2</t>
  </si>
  <si>
    <t>PHU TUONG, PHU LONG, HAM THUAN BAC, BINH THUAN</t>
  </si>
  <si>
    <t>MR LAM: 0168 495 5775</t>
  </si>
  <si>
    <t>PHU LUONG</t>
  </si>
  <si>
    <t>SO 7, XA SON CAM, HUYEN PHU LUONG, THAI NGUYEN</t>
  </si>
  <si>
    <t>THUY TRANG: 0985 200 229</t>
  </si>
  <si>
    <t>PHU MY</t>
  </si>
  <si>
    <t>Quoc lo 1A – thi tran Phu My , Huyen Phu My - tinh Binh Dinh</t>
  </si>
  <si>
    <t>THAO 0914763607</t>
  </si>
  <si>
    <t>PHU NGUYEN</t>
  </si>
  <si>
    <t>QUOC LO 37, THI TRAN NAM SACH, HUYEN NAM SACH, TINH HAI DUONG</t>
  </si>
  <si>
    <t>PHU TAI LINH</t>
  </si>
  <si>
    <t>THON PHU CO, XA QUYET TIEN, HUYEN TIEN LANG, HAI PHONG</t>
  </si>
  <si>
    <t>NGAN 01233963696</t>
  </si>
  <si>
    <t>PHU TAI LINH 1</t>
  </si>
  <si>
    <t>131 LUONG KHANH THIEN, P. CAU DAT, Q. NGO QUYEN, HAI PHONG</t>
  </si>
  <si>
    <t>0164 869 9699- A TUAN</t>
  </si>
  <si>
    <t>PHU TAI LINH GEORGE</t>
  </si>
  <si>
    <t>KCN NAM TAI, PHU THAI, KIM THANH, HAI DUONG</t>
  </si>
  <si>
    <t>01276826827- MS NGAN</t>
  </si>
  <si>
    <t>PHU TAI LINH HAI PHONG</t>
  </si>
  <si>
    <t>Thôn Phú Cơ, xã Quyết Tiến, huyện Tiên Lãng, tp. Hải Phòng</t>
  </si>
  <si>
    <t>PHU TAI LINH PRIMARK</t>
  </si>
  <si>
    <t>PHU THO</t>
  </si>
  <si>
    <t>16 DUONG HOA PHONG, GIA LAM, VIET TRI, PHU THO</t>
  </si>
  <si>
    <t>ANH HAI: 0919677261</t>
  </si>
  <si>
    <t>PHU THO 1 ( VP VINEX)</t>
  </si>
  <si>
    <t>LAU 6, 478 MINH KHAI, HAI BA TRUNG, HA NOI</t>
  </si>
  <si>
    <t>Mrs.  Merry/Huong
+84-0989709898</t>
  </si>
  <si>
    <t>PHU THO 2</t>
  </si>
  <si>
    <t>Phuong Phong Chau, TX Phu Tho</t>
  </si>
  <si>
    <t>Vat tu - Ms. Nam - 0384 387 823</t>
  </si>
  <si>
    <t>PHU TUONG</t>
  </si>
  <si>
    <t>NONG SON HAMLET, DIEN PHUOC WARDS, DIEN BAN DIST, QUANG NAM PROVINCE</t>
  </si>
  <si>
    <t>HO ANH: 0947 574 646</t>
  </si>
  <si>
    <t>PHUC DAT</t>
  </si>
  <si>
    <t>le loi commune- an duong hai phong</t>
  </si>
  <si>
    <t>thu-0313 597 978</t>
  </si>
  <si>
    <t>PHUOC HIEP THANH</t>
  </si>
  <si>
    <t>Huong Van Ward, Huong Tra Town, Thua Thien Hue province</t>
  </si>
  <si>
    <t>Ms Tham  0944 341 357</t>
  </si>
  <si>
    <t>PHUOC KY NAM</t>
  </si>
  <si>
    <t>KCN Thuan Yen - P. Hoa Thuan - TP. Tam Ky - Tinh Quang Nam</t>
  </si>
  <si>
    <t>Truong Thi Hoang Linh - packing team.So dt: 0905 024 608</t>
  </si>
  <si>
    <t>PI VINA DANANG</t>
  </si>
  <si>
    <t xml:space="preserve"> KCN HOA KHANH Q.LIEN CHIEU, TP. DA NANG</t>
  </si>
  <si>
    <t>HUONG 01208361859</t>
  </si>
  <si>
    <t>PINE TREE</t>
  </si>
  <si>
    <t>TRA BAN 1 HAMLET, CHAU HUNG A COMMUNE, VINH LOI DISTRICT, BAC LIEU PROVINCE</t>
  </si>
  <si>
    <t>Hand phone: 0984 530 372  A.SANG</t>
  </si>
  <si>
    <t>PIT VINA</t>
  </si>
  <si>
    <t>KM 14, THANG LOI, AN HUNG,
AN DUONG, HAI PHONG</t>
  </si>
  <si>
    <t>HANG CHO XNK CONFIRM</t>
  </si>
  <si>
    <t>0912 950 692- MS CHI</t>
  </si>
  <si>
    <t>PLUMMY</t>
  </si>
  <si>
    <t>KHU TAI DINH CU HOA PHU, PHU MAN, QUOC OAI, HA NOI</t>
  </si>
  <si>
    <t>GAP INC GIAO THAI BINH, CON LAI GIAO HA NOI</t>
  </si>
  <si>
    <t>HUE/NGUYET: 04 3394 7153</t>
  </si>
  <si>
    <t>PLUMMY THAI BINH</t>
  </si>
  <si>
    <t>LOT CN2, KCN HUNG NHAN, HUNG HA, THAI BINH</t>
  </si>
  <si>
    <t>MS THAO 0947938288</t>
  </si>
  <si>
    <t>PNG</t>
  </si>
  <si>
    <t>KM 52- HIGH WAY No. 5, VIET NAM, CAM THUONG, TP. HAI DUONG</t>
  </si>
  <si>
    <t>Đt: 0320. 3845. 187 (Máy lẻ: 222)
0985 793 138- MS NHIEN</t>
  </si>
  <si>
    <t>POONG SHIN</t>
  </si>
  <si>
    <t>số 10- B5, Ngõ 6, Kim Động, Giáp Bát, Hoàng Mai, Hà Nội</t>
  </si>
  <si>
    <t>Attn: Ms Dung: 0982 308 380</t>
  </si>
  <si>
    <t xml:space="preserve">POONGSHIN </t>
  </si>
  <si>
    <t>10B5 KIM DONG-GIAP BAT-HOANG MAI-HANOI, VIETNAM</t>
  </si>
  <si>
    <t xml:space="preserve">ATTN: Ms Phuong Lan/ Mr Ha
Tel: +84-(0)4-3864-6710
Fax: +84-(0)4-3864-6928
</t>
  </si>
  <si>
    <t>POONGSHIN VINA</t>
  </si>
  <si>
    <t>MS NGOC/HA: 0363 3684 5941</t>
  </si>
  <si>
    <t>POU HUNG</t>
  </si>
  <si>
    <t>DUONG SO 1, KCN CHA LA, BINH LINH, CHA LA, DUONG MINH CHAU, TAY NINH</t>
  </si>
  <si>
    <t>POU LI</t>
  </si>
  <si>
    <t xml:space="preserve"> LOTS 37-9A,37-10,37-11,37-12,37-13 ,37-14A PHUOC DONG, INDUSTRIAL PARK ,GO DAU DISTRICT, TAY NINH PROVINCE</t>
  </si>
  <si>
    <t xml:space="preserve">Huyền: 0977114330 </t>
  </si>
  <si>
    <t>PREMIER PEARL</t>
  </si>
  <si>
    <t>LOT B3-B4-GIAO LONG IZ-CHAU THANH-BEN TRE</t>
  </si>
  <si>
    <t>075 3637 346/347/333</t>
  </si>
  <si>
    <t>PREX VINH</t>
  </si>
  <si>
    <t>CUM CN XA LAC SON, HUYEN DO LUONG, NGHE AN</t>
  </si>
  <si>
    <t>MS LIEN 01634615428</t>
  </si>
  <si>
    <t>PRO SPORTS</t>
  </si>
  <si>
    <t>KHU 4A, THI TRAN NGO DONG, GIAO THUY, NẠM DINH</t>
  </si>
  <si>
    <t>MS LINH: 0944801718</t>
  </si>
  <si>
    <t>PROMADE LINGERIE</t>
  </si>
  <si>
    <t>A7, DUONG SO 1, CUM CN NHO, VI THANH, HAU GIANG</t>
  </si>
  <si>
    <t>PING PAI: 0711 3582 498</t>
  </si>
  <si>
    <t>PROSPORTS HA NOI</t>
  </si>
  <si>
    <t>TANG 15 LILAMA 10 TOWER TO HUU TRUNG VAN TU LIEM HA NOI</t>
  </si>
  <si>
    <t>MINH: 0985 024 353</t>
  </si>
  <si>
    <t>PUNGKOOK BEN TRE</t>
  </si>
  <si>
    <t>LOT E4, E5, E10, E11, KCN GIAO LONG, AN PHUOC, CHAU THANH, BEN TRE</t>
  </si>
  <si>
    <t>YEN: 0986 885 110</t>
  </si>
  <si>
    <t>QTNP</t>
  </si>
  <si>
    <t>Điện thoại: 04-3670 0001 
Người liên lạc: 
Hương- 0987 888 418 
Duyên-0978 858 385</t>
  </si>
  <si>
    <t>94/75 HONG HA RD-BA DINH-HANOI</t>
  </si>
  <si>
    <t>QTNP CHI HA</t>
  </si>
  <si>
    <t>Điện thoại: 04-3670 0001 
Người liên lạc: 
Hương- ĐT di động: 0987 888 418 
Duyên- DDT di động: 0978 858 385</t>
  </si>
  <si>
    <t>Quang and Artex</t>
  </si>
  <si>
    <t>95 Ba Trieu- Hai Ba Trung- Ha Noi</t>
  </si>
  <si>
    <t>TTC- KHTT - HD</t>
  </si>
  <si>
    <t>Nguyen Thanh Tuan: 04 39454235</t>
  </si>
  <si>
    <t>QUANG MINH</t>
  </si>
  <si>
    <t>207C, DUONG NGUYEN THI THAP, PHUONG 10, TP. MY THO, TIEN GIANG</t>
  </si>
  <si>
    <t>MS THANH: 0908 608 688</t>
  </si>
  <si>
    <t>QUANG VIET TIEN GIANG</t>
  </si>
  <si>
    <t>LOT K1-1, KCN TAN HUONG, TAN HUONG, CHAU THANH, TIEN GIANG</t>
  </si>
  <si>
    <t>HANG KHONG GAP- T5 GIAO XE TAI, HANG GAP-GUI KERRY</t>
  </si>
  <si>
    <t>MS TIEN: 0167 747 8607</t>
  </si>
  <si>
    <t>QUANNON</t>
  </si>
  <si>
    <t>05A DUONG SO 2, KCN LONG HAU, CAN GIUOC, LONG AN</t>
  </si>
  <si>
    <t>ATTN: HENRY/ CAROL: 083 8734165</t>
  </si>
  <si>
    <t>QUANON</t>
  </si>
  <si>
    <t>LO H05A, DUONG SO 2, KCN LONG HAU, CAN GIUOC, LONG AN</t>
  </si>
  <si>
    <t>R.SENSE</t>
  </si>
  <si>
    <t>TRAN HUNG DAO BOUNDARY-DONG HAI WARD-HAI AN DIST-HAI PHONG</t>
  </si>
  <si>
    <t>BARRY/JIM-313 979902</t>
  </si>
  <si>
    <t>RAPEXCO – DAINAM LLC</t>
  </si>
  <si>
    <t>SUOI DAU IZ-CAM LAM-KHANH HOA</t>
  </si>
  <si>
    <t>MS TAM-058.3743516</t>
  </si>
  <si>
    <t>REGINA MIRACLE</t>
  </si>
  <si>
    <t>So 9, Duong Dong Tay, VSIP Hai Phong, Huyen Thuy Nguyen, thuoc KKT Dinh Vu, Cat Hai, Hai Phong, Viet Nam</t>
  </si>
  <si>
    <t>REHONG</t>
  </si>
  <si>
    <t>Representative Office of Unico Global Vn</t>
  </si>
  <si>
    <t>4th Floor, An Phu Building, 24 Hoang Quoc Viet Street, Cau Giay District, Ha Noi</t>
  </si>
  <si>
    <t>REPRESENTATIVE UNICO</t>
  </si>
  <si>
    <t>ATTN: HUONG 01655225094</t>
  </si>
  <si>
    <t>RICH</t>
  </si>
  <si>
    <t>MINH DUC, MY HAO, HUNG YEN</t>
  </si>
  <si>
    <t>MS NGOC 0977 845 290</t>
  </si>
  <si>
    <t>RICH GARMENT</t>
  </si>
  <si>
    <t>NAM SACH IZ-HAI DUONG</t>
  </si>
  <si>
    <t>NGAN/NGOC/THUY/HAU-3203574168</t>
  </si>
  <si>
    <t>RICH GARMENT1</t>
  </si>
  <si>
    <t>X.MINH DUC-H.MY HAO-HUNG YEN</t>
  </si>
  <si>
    <t>NGOC-32103955188</t>
  </si>
  <si>
    <t>RIGHT RICH</t>
  </si>
  <si>
    <t>LO C7-1, C7-2, C7-3, C7-4 KCN HAM KIEM II - BITA'S, HAM THUAN NAM, BINH THUAN</t>
  </si>
  <si>
    <t>MS QUYEN: 0975 358 064</t>
  </si>
  <si>
    <t>RIO VINA</t>
  </si>
  <si>
    <t>359 AP LONG KHANH, XA TAM PHUOC, LONG THANH, DONG NAI</t>
  </si>
  <si>
    <t>MR KY/ MS PHUONG: 0613 513241
0168 871 7393- MS HANH</t>
  </si>
  <si>
    <t>ROLLSPORT</t>
  </si>
  <si>
    <t>KCN VA DO THI HOANG LONG, TAO XUYEN. THANH HOA</t>
  </si>
  <si>
    <t>MR VIET: 0973 799 128</t>
  </si>
  <si>
    <t xml:space="preserve">CLARKS </t>
  </si>
  <si>
    <t>ROLLSPORT  NORTHFACE</t>
  </si>
  <si>
    <t>NORTHFACE GIAO NETCO</t>
  </si>
  <si>
    <t>JULIE: 0973 292 681</t>
  </si>
  <si>
    <t>SAKURAI VN</t>
  </si>
  <si>
    <t>PLOT 2, F AREA, LEMON INDUSTRIAL PARK, THANH HOA CITY</t>
  </si>
  <si>
    <t>TUAN 0932214898</t>
  </si>
  <si>
    <t>SAMETEX</t>
  </si>
  <si>
    <t>386/2 DUONG 62, PHUONG 6, THI XA TAN AN, LONG AN</t>
  </si>
  <si>
    <t>SAMHO</t>
  </si>
  <si>
    <t>MR HUYNH-0909896097</t>
  </si>
  <si>
    <t>SAMIL HANOI VN</t>
  </si>
  <si>
    <t>KM 52. QUOC LO 5, BINH HAN, HAI DUONG</t>
  </si>
  <si>
    <t>GOI FORWARDER ADC DEN LAY- 0650 6257 333- GIAO DUONG BO- NNTT</t>
  </si>
  <si>
    <t>CHỊ THANH- PHONG VAT TU: 0904 811 639</t>
  </si>
  <si>
    <t>Sampo Vina</t>
  </si>
  <si>
    <t>Lo B8, KCN Que Vo, P.Van Duong, Tp.Bac Ninh, Bac Ninh</t>
  </si>
  <si>
    <t xml:space="preserve"> Ms Nga 01632.455.666 </t>
  </si>
  <si>
    <t>SANG HUN</t>
  </si>
  <si>
    <t>KCN DONG XOAI 1, XA TAN THANH, TX DONG XOAI, BINH PHUOC</t>
  </si>
  <si>
    <t>Ms Huệ - 0904250450</t>
  </si>
  <si>
    <t>SANG SEUNG</t>
  </si>
  <si>
    <t>AP AN LAC, AN NHUT, LONG DIEN, BA RIA-VUNG TAU</t>
  </si>
  <si>
    <t>MS YEN: 0983 397 798</t>
  </si>
  <si>
    <t>regina</t>
  </si>
  <si>
    <t>SANTA CLARA</t>
  </si>
  <si>
    <t>An Tinh Hamlet, Yen Binh Commune, Y Yen District, Nam Dinh</t>
  </si>
  <si>
    <t>Ms Anna Dinh 0961280099</t>
  </si>
  <si>
    <t>SAO MAI</t>
  </si>
  <si>
    <t>BINH MINH RESIDENTIAL QUARTER, VINH BAO TOWN, HAI PHONG CITY</t>
  </si>
  <si>
    <t xml:space="preserve">SAO MAI </t>
  </si>
  <si>
    <t>163, 30TH PROVINCIAL ROAD, MY PHU WARD, CAO LANH TOWN, DONG THAP PROVINCE</t>
  </si>
  <si>
    <t>SAO VANG</t>
  </si>
  <si>
    <r>
      <t>Chi nhanh Cong Ty TNHH SAO VANG
Khu PhúThanh Tây- Ph</t>
    </r>
    <r>
      <rPr>
        <b/>
        <sz val="10"/>
        <rFont val="Times New Roman"/>
        <family val="1"/>
      </rPr>
      <t>ươ</t>
    </r>
    <r>
      <rPr>
        <b/>
        <sz val="10"/>
        <rFont val="新細明體"/>
      </rPr>
      <t>ng Yên Thanh,
thi xa Uong Bi,tinh Quang Ninh</t>
    </r>
  </si>
  <si>
    <t>HOA
DT:0988 11 0026</t>
  </si>
  <si>
    <t>SAO VANG CLARKS</t>
  </si>
  <si>
    <t>Nga 3 Truong Son An Lao Hai Phong</t>
  </si>
  <si>
    <t xml:space="preserve">Em Luyen kho vat lieu sdt :0936 862 057 + Em Thanh sdt :01678 120 979 </t>
  </si>
  <si>
    <t>Lo dat dien tich 88.707m vuong , cum cong nghiep Quynh Coi,Xa Quynh My - Huyen Quynh Phu, Thai Binh</t>
  </si>
  <si>
    <t>CHI DANG 0984388614</t>
  </si>
  <si>
    <t>SCAVI DA NANG</t>
  </si>
  <si>
    <t>LO 17, DUONG SO 5, KCN DA NANG, AN HAI BAC, SON HA</t>
  </si>
  <si>
    <t>SCAVI HUE</t>
  </si>
  <si>
    <t>QUYEN-0919727279
MR TRAI 054 3751 751- EXT:146</t>
  </si>
  <si>
    <t>SCAVI LAO</t>
  </si>
  <si>
    <t>NONGPHING VILLAGE-CHANTHABOULY DIST-VIENTIANE-LAO P.D.R</t>
  </si>
  <si>
    <t>SD QUANG BINH</t>
  </si>
  <si>
    <t>Lang Nghe Industrial Area - Quan Hau Town Quang Ninh District - Quang Binh Province</t>
  </si>
  <si>
    <t>Ms Thu 0902151398</t>
  </si>
  <si>
    <t>SEDO</t>
  </si>
  <si>
    <t>AP 5, XA AN PHUOC, LONG THANH, DONG NAI</t>
  </si>
  <si>
    <t>MR CHUONG: 09086663955</t>
  </si>
  <si>
    <t>SEES VINA</t>
  </si>
  <si>
    <t>XA MINH DUC, HUYEN TU KY, HAI DUONG</t>
  </si>
  <si>
    <t>ATTN: MS PHUONG 01682 591291
0320 3 744600</t>
  </si>
  <si>
    <t>SEETHING 2</t>
  </si>
  <si>
    <t>KCN TAM DIEP, TAM DIEN, NINH BINH</t>
  </si>
  <si>
    <t>LOAN 0985 691 695</t>
  </si>
  <si>
    <t>SEETHING VN</t>
  </si>
  <si>
    <t>BLOCK L3.1&amp;1/2 L3.2, DO SON INDUSTRIAL ZONE, HAI PHONG</t>
  </si>
  <si>
    <t>MS CHI. Mobile : 01289.270.808
Tel : 0313.663.868  Ext : 3825</t>
  </si>
  <si>
    <t>SEIDEN STICKER</t>
  </si>
  <si>
    <t>MS SEN: 0320 3922 560</t>
  </si>
  <si>
    <t>LOT 6-THUY VAN IZ-PHU THO</t>
  </si>
  <si>
    <t xml:space="preserve">MR AN: 0210-3857-580 </t>
  </si>
  <si>
    <t>SERIM</t>
  </si>
  <si>
    <t>NO1, VALLEY 321, VINH HUNG STREET, HOANG MAI DIST, HA NOI</t>
  </si>
  <si>
    <t>MS HUONG: 0913 301 994</t>
  </si>
  <si>
    <t>SESHIN</t>
  </si>
  <si>
    <t>THUY VAN IZ-LOT 10-VIET TRI-PHU THO</t>
  </si>
  <si>
    <t>TUAN: 0942 935 662</t>
  </si>
  <si>
    <t>SESHIN VN2</t>
  </si>
  <si>
    <t>Khe Xoan Hamlet – Doi Can commune – Tuyen Quang City</t>
  </si>
  <si>
    <t xml:space="preserve"> Khanh:  +84 273 898301~2</t>
  </si>
  <si>
    <t>SEVEN CORP</t>
  </si>
  <si>
    <t>D19/34 WARD 4, VINH LOC B, BINH CHANH, TP HCM</t>
  </si>
  <si>
    <t>MR VU: 0903 758 857</t>
  </si>
  <si>
    <t>SEWON</t>
  </si>
  <si>
    <t>SO 1, LO 6-7, KCN LANG NGHE, THI TRAN NGA SON, THANH HOA</t>
  </si>
  <si>
    <t>MS VAN- XNK: 0933 848 850</t>
  </si>
  <si>
    <t>SEYANG</t>
  </si>
  <si>
    <t>LÔ SỐ 54, CỤM TTCN LÀNG NGHỀ XÃ NHẬT TÂN, HUYỆN KIM BẢNG , TỈNH HÀ NAM</t>
  </si>
  <si>
    <t>Ms.Thu : 84 91 487 6779
Ms.Phuong Anh: 84 96 419 0968</t>
  </si>
  <si>
    <t>SEYOUNG</t>
  </si>
  <si>
    <t>GIAO THU 7 HANG TUAN
DUONG BO- NETCO- KHTT- hang chung ctu</t>
  </si>
  <si>
    <t>ms Lien (0983507984) -04-37875516</t>
  </si>
  <si>
    <t>SH</t>
  </si>
  <si>
    <t>NHON HOA 1, DUC HOA, LONG AN</t>
  </si>
  <si>
    <t>MS HA 0909 799 711</t>
  </si>
  <si>
    <t>SH VINA</t>
  </si>
  <si>
    <t>Thon Tan Ly, xa Thanh Tam, huyen Thach Thanh, tinh Thanh Hoa</t>
  </si>
  <si>
    <t>SHINHWA THIEN XUAN</t>
  </si>
  <si>
    <t>ZONE 6, VAN CO, VIET TRI, PHU THO</t>
  </si>
  <si>
    <t>Mr.Hung: 0210 3992 772</t>
  </si>
  <si>
    <t>SHINTS</t>
  </si>
  <si>
    <t>THACH KHOI- GIA LOC- HAI DUONG</t>
  </si>
  <si>
    <t>ATTENTION : MS.Nghia/ Mrs thuý /Mrs Ha
TEL: 84-320.3861727/ ext 138  FAX: 84-320.3861730</t>
  </si>
  <si>
    <t>SHINWON EBENAZER HANOI</t>
  </si>
  <si>
    <t>CAI DAN, SONG CONG, THAI NGUYEN</t>
  </si>
  <si>
    <t>0169 785 0504- MR JEON</t>
  </si>
  <si>
    <t>SHINWON EBENEZER A&amp;F</t>
  </si>
  <si>
    <t>Cn 14- Khai quang sub-industrial zone, Khai Quang commune, Vinh Yen capital town, Vinh Phuc province.</t>
  </si>
  <si>
    <t>GIAO BAROOM</t>
  </si>
  <si>
    <t>0211 3842830 ~4</t>
  </si>
  <si>
    <t>SHINWON EBENEZER HA NOI</t>
  </si>
  <si>
    <t>NGUYEN GON VILLAGE,, CAI DAN WARD, SONG CONG TOWN, THAI NGUYEN PROVINCE</t>
  </si>
  <si>
    <t>Cloudy 0978998609</t>
  </si>
  <si>
    <t>SHINWON EBENEZER VN</t>
  </si>
  <si>
    <t>SHYANG YING</t>
  </si>
  <si>
    <t>B1-B12 AND E1-E12 LOT, DONG XOAI II, INDUSTRIAL PARK, TIEN THANH COMMUNE, DONG XOAI TOWN, BINH PHUOC</t>
  </si>
  <si>
    <t>Hong 01674608151</t>
  </si>
  <si>
    <t xml:space="preserve">SHYANG YING </t>
  </si>
  <si>
    <t>YUNQUAN ZHANG-651-388 9970</t>
  </si>
  <si>
    <t>SIMONE</t>
  </si>
  <si>
    <t xml:space="preserve">Lô AI, AI-1, AVI, AVII, KII-1, Khu Cong Nghiep Tân Hương, Châu Thành, Tiền Giang. </t>
  </si>
  <si>
    <t>chị Hương - SĐT: 0909 709609</t>
  </si>
  <si>
    <t>SINJOOBO</t>
  </si>
  <si>
    <t>TIEU TRA-HUNG DAO WARD-KIEN THUY DIST-HAI PHONG</t>
  </si>
  <si>
    <t>HA/NGUYET-0313580199</t>
  </si>
  <si>
    <t>PHU UNG, AN THI, HUNG YEN</t>
  </si>
  <si>
    <t>KATE NGUYEN: 0169 3123 015</t>
  </si>
  <si>
    <t>SON HA</t>
  </si>
  <si>
    <t>208 LE LOI ST-SON TAY-HA  NOI</t>
  </si>
  <si>
    <t>HANG UNDER AMOR KEM PL</t>
  </si>
  <si>
    <t>MR DUY (P. DICH VU)- 0988 616 478</t>
  </si>
  <si>
    <t>SON HA PHU THO</t>
  </si>
  <si>
    <t>Cum CN Hoang Xa, Thanh Thuy, Phu Tho</t>
  </si>
  <si>
    <t>SON HA THAI BINH</t>
  </si>
  <si>
    <t>KM 6, DUONG 39, VU NINH, KIEN XUONG, THAI BINH</t>
  </si>
  <si>
    <t>Tôn Nhung – 0904 160 149</t>
  </si>
  <si>
    <t>SONG CHAU</t>
  </si>
  <si>
    <t>LOT17-DA NANG IP-AN HAI BAC-SON TRA- DA NANG CITY</t>
  </si>
  <si>
    <t>MR HAI-0511 3 931202</t>
  </si>
  <si>
    <t>SONG HONG 3</t>
  </si>
  <si>
    <t>DUONG 10 LOC HA NAM DINH</t>
  </si>
  <si>
    <t>MS PHUONG 01238230440</t>
  </si>
  <si>
    <t>SONG HONG 4</t>
  </si>
  <si>
    <t>MR HAN: 0912 520 704</t>
  </si>
  <si>
    <t>SONG HONG 7</t>
  </si>
  <si>
    <t>KCN HAI PHUONG, HAI HAU, NAM DINH</t>
  </si>
  <si>
    <t>HONG:0913 059 357
HUE: 0919 084 179
HUNG: 0974 426 176
HAN: 0912 520 704</t>
  </si>
  <si>
    <t>SONG HONG 9</t>
  </si>
  <si>
    <t>TAM THON, NGHIA THAI, NGHIA HUNG, NAM DINH</t>
  </si>
  <si>
    <t>KHO PHU LIEU 01666574579</t>
  </si>
  <si>
    <t>SONG HONG C A</t>
  </si>
  <si>
    <t>DUONG TRUONG CHINH, XUAN TRUONG, NAM DINH</t>
  </si>
  <si>
    <t>MR TRANG: 0979 059 125</t>
  </si>
  <si>
    <t>SONG HONG C&amp;A</t>
  </si>
  <si>
    <t>105 NGUYEN DUC THUAN, NAM DINH</t>
  </si>
  <si>
    <t>MR DUC 0989 921 518</t>
  </si>
  <si>
    <t>SONG HONG C&amp;A 1</t>
  </si>
  <si>
    <t>SONG HONG GARMENTJCS, XUAN TRUONG TOWN, XUAN TRUONG DISTRICT, NAM DINH PROVICE</t>
  </si>
  <si>
    <t>SONG HONG COLUMBIA</t>
  </si>
  <si>
    <t>VN GEN -CHUNG CTU</t>
  </si>
  <si>
    <t>TRAN THI THOM: 0978742354</t>
  </si>
  <si>
    <t>SONG HONG COLUMBIA GEN</t>
  </si>
  <si>
    <t>THOM 0978 742 354</t>
  </si>
  <si>
    <t>SONG HONG COLUMBIA VAT</t>
  </si>
  <si>
    <t>DUONG 10-LOC HA-NAM DINH</t>
  </si>
  <si>
    <t>BONNY- 0918 428 398</t>
  </si>
  <si>
    <t>SONG HONG GAP INC</t>
  </si>
  <si>
    <t>song hong garment</t>
  </si>
  <si>
    <t>Song Hong 4 :Thi Tran Xuan Truong (Sau tuong dai Tr­uong Chinh ) Huyen Xuan truong   - Nam Dinh -</t>
  </si>
  <si>
    <t>Anh Trang- Kho PL – so di dong 0979059125​</t>
  </si>
  <si>
    <t>SONG HONG H&amp;M</t>
  </si>
  <si>
    <t>KATTY</t>
  </si>
  <si>
    <t>SONG HONG JC PENNY</t>
  </si>
  <si>
    <t>84-972 447 179</t>
  </si>
  <si>
    <t>SONG HONG KOHL</t>
  </si>
  <si>
    <t>MR TUNG: 0350 3649 365</t>
  </si>
  <si>
    <t>SONG HONG LONG AN</t>
  </si>
  <si>
    <t>10A1-TAN LONG VILLAGE-THANH THU COMMUNE-BEN LUC-LONG AN</t>
  </si>
  <si>
    <t>MR CUONG-0909 135336</t>
  </si>
  <si>
    <t>SONG HONG MANGO</t>
  </si>
  <si>
    <t>NETCO-DN#AWB
ghi so DN len Bill
CHUNG CTU</t>
  </si>
  <si>
    <t xml:space="preserve">LOAN: 0350-649 365
tel: 0915 303 739
</t>
  </si>
  <si>
    <t>SONG HONG MANGO 1</t>
  </si>
  <si>
    <t>thi tran xuan truong (sau tuong dai truong trinh ),Huyen Xuan truong   - Nam Dinh</t>
  </si>
  <si>
    <t>Anh Trang- Kho PL  0979059125</t>
  </si>
  <si>
    <t>SONG HONG NEW YORK</t>
  </si>
  <si>
    <t>SONG HONG PXVN</t>
  </si>
  <si>
    <t>KHU CANH DIEU VANG, MY TRUNG, MY LOC, NAM DINH</t>
  </si>
  <si>
    <t>MR THIEU: 0912 453 331</t>
  </si>
  <si>
    <t>SONG HONG REEBOK</t>
  </si>
  <si>
    <t>SONG TIEN</t>
  </si>
  <si>
    <t>864 STREET, BINH TAO HAMLET, TRUNG AN, MY THO, TIEN GIANG</t>
  </si>
  <si>
    <t>SONG TIEN NEXT</t>
  </si>
  <si>
    <t>0903 684 186- MR NHAN</t>
  </si>
  <si>
    <t>SOTO</t>
  </si>
  <si>
    <t>TIEN TRANG TOURIST AND INDUSTRIAL ZONE, QUANG LOI, QUANG XUONG, THANH HOA</t>
  </si>
  <si>
    <t>MS LOAN: 0129 534 9322</t>
  </si>
  <si>
    <t>SOUTH ISLAND ML</t>
  </si>
  <si>
    <t>1488 mukim12-seberang perai selatan -14200 sungai bakep-penang- malaysia</t>
  </si>
  <si>
    <t>604 5821214</t>
  </si>
  <si>
    <t>NHAN GIAY: HS CODE:4821909000</t>
  </si>
  <si>
    <t>SPECTRE</t>
  </si>
  <si>
    <t>KCN NGUYEN DUC CANH, BUI VIEN, THAI BINH</t>
  </si>
  <si>
    <t>MR CUONG: 0916 193 887</t>
  </si>
  <si>
    <t>SPLENDOUR</t>
  </si>
  <si>
    <t>DUONG SO 3, KCN NHON TRACH 1, HUYEN NHON TRACH, DONG NAI</t>
  </si>
  <si>
    <t>MS DENH</t>
  </si>
  <si>
    <t>Sporteam</t>
  </si>
  <si>
    <t>Cty TNHH 29/3
60 Me Nhu - Thanh Khe - Da Nang</t>
  </si>
  <si>
    <t>Ms Nhung: 0988 220087
Tel: 0511 37592 49</t>
  </si>
  <si>
    <t>SSV</t>
  </si>
  <si>
    <t>CUM CN HOANG DIEU, GIA LOC, HAI DUONG</t>
  </si>
  <si>
    <r>
      <t xml:space="preserve">nhãn Limited giao BaRom- KHTT
TTC-KHTT
</t>
    </r>
    <r>
      <rPr>
        <b/>
        <sz val="10"/>
        <color rgb="FFFF0000"/>
        <rFont val="Arial"/>
        <family val="2"/>
      </rPr>
      <t>CHUNG CTU</t>
    </r>
  </si>
  <si>
    <t>MR MINH: 0904 875 595</t>
  </si>
  <si>
    <t>SSV COLUMBIA</t>
  </si>
  <si>
    <t>MS AN: 0320 3718 301</t>
  </si>
  <si>
    <t>STAR FASHION</t>
  </si>
  <si>
    <t>LÔ 3, KHU CN PHÚ NGHĨA, HUYỆN CHƯƠNG MỸ, HÀ NỘI</t>
  </si>
  <si>
    <t>MS HUONG: 0987 873 437</t>
  </si>
  <si>
    <t>STARITE</t>
  </si>
  <si>
    <t>KCN BAU XEO-TRANG BOM-DONG NAI</t>
  </si>
  <si>
    <t>hien-0902-798358-061-8951160</t>
  </si>
  <si>
    <t>SUN CHANG</t>
  </si>
  <si>
    <t xml:space="preserve">LO CN5, KCN THACH THAT - QUOC OAI, HUYEN THACH THAT, HA NOI </t>
  </si>
  <si>
    <t>MS NGA: 0989 792 844</t>
  </si>
  <si>
    <t>SUN JADE</t>
  </si>
  <si>
    <t>LO B-KCN LỄ MÔN-TP. THANH HOA</t>
  </si>
  <si>
    <t>cho XNK confirm
TTC- KHTT</t>
  </si>
  <si>
    <t>31 3645391-DIEM-01686427989</t>
  </si>
  <si>
    <t>SUNRISE SMART SHIRT</t>
  </si>
  <si>
    <t>PLOT D6, KCN MY TRUNG, MY LOC, NAM DINH</t>
  </si>
  <si>
    <t>THAO 01297604668</t>
  </si>
  <si>
    <t>SUNRISE SPINNING</t>
  </si>
  <si>
    <t>LO C4 DUONG D4 KCN BAO MINH HUYEN VU BAN, TINH NAM DINH</t>
  </si>
  <si>
    <t>TADLACK</t>
  </si>
  <si>
    <t>Cao An commune, Cam Giang district, Hai Duong province, Vietnam.</t>
  </si>
  <si>
    <t>ms Dina:84-3203781074/ 84 1696855633</t>
  </si>
  <si>
    <t>TAE YANG</t>
  </si>
  <si>
    <t>PHO NOI A INDUSTRIAL ESTATE-TRUNG TRAC COMMUNE-VAN LAM DIST-HUNG YEN</t>
  </si>
  <si>
    <t>CTU- C.hoa</t>
  </si>
  <si>
    <t>TAL</t>
  </si>
  <si>
    <t>Binh Xuyen Industrial Zone, Binh Xuyen District, Vinh Phuc Province</t>
  </si>
  <si>
    <t>Emma /Christine  (+84) 2113 565 980.</t>
  </si>
  <si>
    <t>TAM QUAN</t>
  </si>
  <si>
    <t>CUM CN TAM QUAN, THI TRAN TAM QUAN, HOAI NHON, BINH DINH</t>
  </si>
  <si>
    <t>MS HOA: 0987 883 526</t>
  </si>
  <si>
    <t>TAM TIEN</t>
  </si>
  <si>
    <t>KCN CAU GAO, DAN PHUONG, HA NOI</t>
  </si>
  <si>
    <t>MS DIEP: 0904 488 303</t>
  </si>
  <si>
    <t xml:space="preserve">TAMDA </t>
  </si>
  <si>
    <t>BINH KIEU-DONG HAI WARD-HAI AN DIST-HAI PHONG</t>
  </si>
  <si>
    <t>MR NHAT-0313877528</t>
  </si>
  <si>
    <t>TAN BINH MINH</t>
  </si>
  <si>
    <t>TAN HA</t>
  </si>
  <si>
    <t>SO 2, DUONG TRUONG CHINH, PHU LY, HA NAM</t>
  </si>
  <si>
    <t>ATTN: MS. XUYEN XNK
0989 263 395</t>
  </si>
  <si>
    <t>TAN HOANG LONG</t>
  </si>
  <si>
    <t>MR THANH: 0982 035 790</t>
  </si>
  <si>
    <t>TAV</t>
  </si>
  <si>
    <t xml:space="preserve">
Lot4.KCN Nguyen Duc Canh. Tp Thai Binh.Tinh Thai Binh 
Att:Jacks Tuan( Phong XNK) Tel:+84 36 3846 788 Ext:219,Fax:36 3847 019</t>
  </si>
  <si>
    <t>Mr. Nguyen Van Hai:
  090 600 1643</t>
  </si>
  <si>
    <t>TAV EXPRESS</t>
  </si>
  <si>
    <t>LOT 4, KCN NGUYEN DUC CANH, THAI BINH</t>
  </si>
  <si>
    <t>THUY: 0123 664 2196</t>
  </si>
  <si>
    <t>TAV PVH</t>
  </si>
  <si>
    <t>YAYA: 036 3846 788 EXT:2</t>
  </si>
  <si>
    <t>TAY SON</t>
  </si>
  <si>
    <t>PHU XUAN, PHU PHONG, TAY SON, BINH DINH</t>
  </si>
  <si>
    <t>ANH QUANG: 0913 626 377</t>
  </si>
  <si>
    <t>TBS</t>
  </si>
  <si>
    <t>KM 85 + 300 QUỐC LỘ 10, XÃ TÂN BÌNH, TP.THÁI BÌNH, TỈNH THÁI BÌNH</t>
  </si>
  <si>
    <t>Ms.Hương (kế toán kho) 0948.180.088</t>
  </si>
  <si>
    <t>TDT INVESTMENT</t>
  </si>
  <si>
    <t>THUAN PHAP, DIEM THUY, PHU BINH, THAI NGUYEN</t>
  </si>
  <si>
    <t>TESORO WOOJIN</t>
  </si>
  <si>
    <t>​SO 14, DUONG AN DUONG VUONG, P. CHAM MAT, TP. HOA BINH</t>
  </si>
  <si>
    <t>Attn: Ms HANG 0915387383</t>
  </si>
  <si>
    <t>TEX GIANG</t>
  </si>
  <si>
    <t>BII-8 SECTION-D3 ST-TAN HUONG IZ-TIEN GIANG</t>
  </si>
  <si>
    <t>cho chi Tien cofirm di hang( vp tex-giang)</t>
  </si>
  <si>
    <t>bill ledway-Ms Phuoc-0984924564</t>
  </si>
  <si>
    <t>073 3 937274</t>
  </si>
  <si>
    <t>TEXMA</t>
  </si>
  <si>
    <t>NO32-2A RD-BIEN HOA IZ II-BIEN HOA-DONG NAI</t>
  </si>
  <si>
    <t>MS SUN-613 992951</t>
  </si>
  <si>
    <t>THAI ANH INVISTA</t>
  </si>
  <si>
    <t>437 DA NANG, HAI AN, HAI PHONG</t>
  </si>
  <si>
    <t>DONG DONG: 0978 999 981</t>
  </si>
  <si>
    <t>THAI BINH GARMENT</t>
  </si>
  <si>
    <t>128 QUANG TRUNG, THAI BINH</t>
  </si>
  <si>
    <t>MS HUONG: 0977 411 072</t>
  </si>
  <si>
    <t>THAI BINH STATE</t>
  </si>
  <si>
    <t>01 HAI BA TRUNG, THAI BINH</t>
  </si>
  <si>
    <t>MS DUNG: 036 3731 722</t>
  </si>
  <si>
    <t>THANG BINH</t>
  </si>
  <si>
    <t>HALAM-CHO DUOC INDUSTRIAL ZONE,
 THANG BINH DISTRICT, QUANG NAM</t>
  </si>
  <si>
    <t>Attn. Mr Nhi – 0905764660</t>
  </si>
  <si>
    <t>THANG LONG</t>
  </si>
  <si>
    <t>KM3-500-HUNG VUONG-PHU KHANH-THAI BINH</t>
  </si>
  <si>
    <t>VAN-03 63834219</t>
  </si>
  <si>
    <t>THANG LONG SHOES</t>
  </si>
  <si>
    <t>327 TO 45, HOANG VAN THU, HOANG MAI, HA NOI</t>
  </si>
  <si>
    <t>14525639+14525641+14525674+14525634</t>
  </si>
  <si>
    <t>THANH HUNG HAI PHONG</t>
  </si>
  <si>
    <t>KM16. DUONG 353, PHUONG MINH DUC, DO SON, HAI PHONG</t>
  </si>
  <si>
    <t>THANH TRI</t>
  </si>
  <si>
    <t>KM11 NATIONAL ROAD NO 1A  VAN DIEW TOWN - HA NOI</t>
  </si>
  <si>
    <t>Ms Huong/Ms Hong: 84-4-38615334
Tel: 0944 538 499</t>
  </si>
  <si>
    <t>THANH TRI  SALOMON</t>
  </si>
  <si>
    <t>THANH TRI THAI BINH</t>
  </si>
  <si>
    <t>K11, QL 1A, VAN DIEN, THANH TRI, HA NOI</t>
  </si>
  <si>
    <t>MS HANH: 0982 099 672
MS NGUYET: 0983 019 675</t>
  </si>
  <si>
    <t>THAO NGUYEN</t>
  </si>
  <si>
    <t>40 – To 4 – Khu I – Quan Toan – Hong Bang Hai Phong</t>
  </si>
  <si>
    <t>Tel: 0084 313 848050
Ms Phuong</t>
  </si>
  <si>
    <t>THE BLUES</t>
  </si>
  <si>
    <t>THEIN NAM</t>
  </si>
  <si>
    <t>GIAO HANG DEN KM SO 3, DUONG PHAM VAN DONG, PHUONG ANH DUNG, QUAN DUONG KINH, HAI PHONG,</t>
  </si>
  <si>
    <t xml:space="preserve"> NGUOI NHAN : TU 0939316239</t>
  </si>
  <si>
    <t>THIEN AN PHAT</t>
  </si>
  <si>
    <t>THUY DUONG-HUONG THUY-
TT HUE</t>
  </si>
  <si>
    <t>HANG TRUOC CHUNG TU</t>
  </si>
  <si>
    <t>MS CHI: 0935 930 434</t>
  </si>
  <si>
    <t>THIEN AN PHAT (nhan KOHL'S)</t>
  </si>
  <si>
    <t>DUONG SO 5, CUM CN LANG NGHE AN HOA, AN HOA, HUE</t>
  </si>
  <si>
    <t>CAM NHUNG: 0972 92 6363</t>
  </si>
  <si>
    <t>THIEN NAM</t>
  </si>
  <si>
    <t xml:space="preserve">Km số 3, đường Phạm Văn Đồng, Phường Anh Dũng, Quận Dương Kinh, Hải Phòng, </t>
  </si>
  <si>
    <t>nguoi nhan: Tu 0939316239</t>
  </si>
  <si>
    <t>thien quang</t>
  </si>
  <si>
    <t>No.49,871 Provincial Street,Go Luc Hamlet, Tan Dong Commune,Go Cong Dong District,Tien Giang</t>
  </si>
  <si>
    <t>ATTN: 073-3571779/78</t>
  </si>
  <si>
    <t>THINH DAT</t>
  </si>
  <si>
    <t>VAM HAMLET, BEN LUC, LONG AN</t>
  </si>
  <si>
    <t>MS DIEN: 0913 728 841</t>
  </si>
  <si>
    <t>THINH PHAT</t>
  </si>
  <si>
    <t>KM 07. 31 ROAD, DAI LAM VILLAGE, LANG GIANG DISTRICT, BAC GIANG PROVINCE</t>
  </si>
  <si>
    <t>Ms Hien  +84240383668</t>
  </si>
  <si>
    <t>THINH VUONG</t>
  </si>
  <si>
    <t>AP NHON HOA 1, XA DUC HOA THUONG, HUYEN DUC HOA, LONG AN</t>
  </si>
  <si>
    <t xml:space="preserve">MS NGAN: 0932384082 – 0909840213 </t>
  </si>
  <si>
    <t>THUAN THANH</t>
  </si>
  <si>
    <t>XA XUAN LAM, HUYEN THUAN THANH, TINH BAC NINH</t>
  </si>
  <si>
    <t>THUONG DINH</t>
  </si>
  <si>
    <t>277, NGUYEN TRAI ROAD,
 THANH XUAN, HA NOI</t>
  </si>
  <si>
    <t>ATTN: HUY 0904117795
 0904472347</t>
  </si>
  <si>
    <t>THUY KHUE</t>
  </si>
  <si>
    <t>THUYEN NGUYEN</t>
  </si>
  <si>
    <t>LO C 07(07-06),KCN TINH PHONG,X. TINH PHONG,H.SON TINH, QUANG NGAI</t>
  </si>
  <si>
    <t>Ms Oanh: 055 3674 888</t>
  </si>
  <si>
    <t>THYGESEN TEXTILE</t>
  </si>
  <si>
    <t>Tan Quang Commune, Van Lam Dist.. Hung Yen</t>
  </si>
  <si>
    <t>MS HIEN:  0903294379</t>
  </si>
  <si>
    <t>TIEN DAT</t>
  </si>
  <si>
    <t>QL1A, KHU VUC 7, P. BUI THI XUAN, QUY NHON, BINH DINH</t>
  </si>
  <si>
    <t>THU: 0983 400 399</t>
  </si>
  <si>
    <t>TIEN HUNG</t>
  </si>
  <si>
    <t>THI TRAN VUONG, TIEN LU, HUNG YEN</t>
  </si>
  <si>
    <t>MS NINH 0987 930 558/
 MR CUONG 0919 686 228</t>
  </si>
  <si>
    <t>TIEN HUNG GYMBOREE</t>
  </si>
  <si>
    <t>MANH CUONG: 0903 278 330</t>
  </si>
  <si>
    <t>TIEN LU</t>
  </si>
  <si>
    <t>BA HANG, THU SY, TIEN LU, HUNG YEN</t>
  </si>
  <si>
    <t xml:space="preserve">A Son-dt0321 3878878 </t>
  </si>
  <si>
    <t>TIEN NHI</t>
  </si>
  <si>
    <t>476 QL 1A, KHU PHO BINH CU, PHUONG 4, TP. TAN AN, LONG AN</t>
  </si>
  <si>
    <t>MS HONG-072 3 511 596</t>
  </si>
  <si>
    <t>TIEN SON THANH HOA</t>
  </si>
  <si>
    <t>NO 09, KCN BAC SON, BIM SON, THANH HOA</t>
  </si>
  <si>
    <t>MS HUONG: 0124 724 6666</t>
  </si>
  <si>
    <t>TIEN THANG</t>
  </si>
  <si>
    <t>LA BONG, HOA TIEN, HOA VANG, DA NANG</t>
  </si>
  <si>
    <t>hang chung ctu
TTC-KHTT</t>
  </si>
  <si>
    <t>TIEN THANH</t>
  </si>
  <si>
    <t>DUONG D3, KCN PHO NOI, VAN LAM, HUNG YEN</t>
  </si>
  <si>
    <t>MR GIAP: 0978 726 840</t>
  </si>
  <si>
    <t>TIEN TIEN</t>
  </si>
  <si>
    <t>234, PHUONG 9,TP.MY THO, TIEN GIANG</t>
  </si>
  <si>
    <t>MS THU: 0902 371 055</t>
  </si>
  <si>
    <t>234-SECTION 6-WARD 9-MY THO-TIEN GIANG</t>
  </si>
  <si>
    <t>MADAM PHAM THI DU: 84 738 512 012
MS TRANG: 84 733 851 201</t>
  </si>
  <si>
    <t>TIN TRUC</t>
  </si>
  <si>
    <t>Chi nhanh Cong Ty TNHH SAO VANG
Khu PhúThanh Tây- Phương Yên Thanh,
thi xa Uong Bi,tinh Quang Ninh</t>
  </si>
  <si>
    <t>HuỆ NHÂN-0903492407</t>
  </si>
  <si>
    <t>TIN TRUC MANGO</t>
  </si>
  <si>
    <t xml:space="preserve"> NHÀ MÁY MAY XK BÍCH SƠN, THÔN KIỂU, XA BICH DONG, VIET YEN, BAC GIANG</t>
  </si>
  <si>
    <t xml:space="preserve"> ATTN: VÂN ANH - 0979 435 405</t>
  </si>
  <si>
    <t>HAU: 0128 833 0267</t>
  </si>
  <si>
    <t>TINH LOI A&amp;F</t>
  </si>
  <si>
    <t>KCN NAM SACH, HAI DUONG</t>
  </si>
  <si>
    <t>HANG CHUNG CTU- NEU HANG GAP GIAO TRUOC</t>
  </si>
  <si>
    <t>MS NGA: 0987 820 658</t>
  </si>
  <si>
    <t>TINH LOI ANN TAYLOR</t>
  </si>
  <si>
    <t>KCN LAI VU, HAI DUONG</t>
  </si>
  <si>
    <t>Hao 0967465293</t>
  </si>
  <si>
    <t>HAO 0967465293</t>
  </si>
  <si>
    <t>TINH LOI GAP INC</t>
  </si>
  <si>
    <t>MS DUNG: 0963 528 138</t>
  </si>
  <si>
    <t>TINH LOI H&amp;M</t>
  </si>
  <si>
    <t>TINH LOI JC PENNEY</t>
  </si>
  <si>
    <t>TINH LOI KOHL</t>
  </si>
  <si>
    <t>THU 0982094023</t>
  </si>
  <si>
    <t>TINH LOI MANGO</t>
  </si>
  <si>
    <t>MS HANH 0168 2094 534</t>
  </si>
  <si>
    <t>TINH LOI NEXT</t>
  </si>
  <si>
    <t>LUAN 01674241088</t>
  </si>
  <si>
    <t>TINH LOI OLD NAVY</t>
  </si>
  <si>
    <t>TINH LOI TARGET</t>
  </si>
  <si>
    <t>PT12H</t>
  </si>
  <si>
    <t>HBU14495321+14497271+14494576+14495328+14495332+14458753</t>
  </si>
  <si>
    <t>TINH LOI UNIQLO</t>
  </si>
  <si>
    <t>TINH LOI UNIQLO NAM SACH</t>
  </si>
  <si>
    <t>KCN NAM SACH HAI DUONG</t>
  </si>
  <si>
    <t>HANH 01682094534</t>
  </si>
  <si>
    <t>TISU</t>
  </si>
  <si>
    <t>DUONG TS 13, KCN TIEN SON, TUONG GIANG, TU SON, BAC NINH</t>
  </si>
  <si>
    <t>NGOC LAN: 0975 852 685</t>
  </si>
  <si>
    <t>TNG  JC PENNEY</t>
  </si>
  <si>
    <t>GIAO TNG 4, XUONG 4, KHU B, KCN SONG CONG, SONG CONG, THAI NGUYEN</t>
  </si>
  <si>
    <t>hang giao truoc</t>
  </si>
  <si>
    <t>MR TUNG: 0916 629 986</t>
  </si>
  <si>
    <t>TNG 1 C&amp;A</t>
  </si>
  <si>
    <t>160 MINH CAU, THAI NGUYEN</t>
  </si>
  <si>
    <t>Phan Trang Phone: +84 1258 006 626</t>
  </si>
  <si>
    <t>TNG 1 COLUMBIA</t>
  </si>
  <si>
    <t>MY 01693796888</t>
  </si>
  <si>
    <t>TNG 1 DECATHLON</t>
  </si>
  <si>
    <t>MY: 0168 547 6223</t>
  </si>
  <si>
    <t>TNG 4</t>
  </si>
  <si>
    <t>01677 564 575 MR HOANG</t>
  </si>
  <si>
    <t>TNG BAC CAN</t>
  </si>
  <si>
    <t>434/1 BAC CAN THAI NGUYEN</t>
  </si>
  <si>
    <t>MS GRACE 0904 043 828</t>
  </si>
  <si>
    <t>TNG BILL PAN PACIFIC</t>
  </si>
  <si>
    <t>MS HUONG THU KHO: 0913 873 007</t>
  </si>
  <si>
    <t>TNG C&amp;A</t>
  </si>
  <si>
    <t>221 Thong Nhat, Thai Nguyen</t>
  </si>
  <si>
    <t>TRANG: 01685 151 959</t>
  </si>
  <si>
    <t>TNG CN VIET DUC</t>
  </si>
  <si>
    <t>MS HUYEN: 0983 911 440
MS NHUNG: 0984 063 748</t>
  </si>
  <si>
    <t>TNG CN VIET THAI</t>
  </si>
  <si>
    <t>Thanh Tuan:0915 311 775
nguoi lien he : cho cs confim</t>
  </si>
  <si>
    <t>TNG INVESTMENT</t>
  </si>
  <si>
    <t>TIEN HOI COMMUNE. DAI TU DISTRICT, THAI NGUYEN</t>
  </si>
  <si>
    <t>Ms. Ngọc - 01693029385</t>
  </si>
  <si>
    <t>TNG MACKAYS</t>
  </si>
  <si>
    <t>0169 302 9385</t>
  </si>
  <si>
    <t>CHI NHANH MAY PHU BINH, KHA SON, PHU BINH, THAI NGUYEN</t>
  </si>
  <si>
    <t>hang chung tu</t>
  </si>
  <si>
    <t>01688372595 Mai</t>
  </si>
  <si>
    <t>TNG MUJI</t>
  </si>
  <si>
    <t>160 MINH CAU THAI NGUYEN</t>
  </si>
  <si>
    <t>MS VAN 0966438333</t>
  </si>
  <si>
    <t>TNG PHU BINH 1</t>
  </si>
  <si>
    <t>MR LANH 0987731294</t>
  </si>
  <si>
    <t>TNG PHU BINH 3</t>
  </si>
  <si>
    <t>TNG PHU BINH 4</t>
  </si>
  <si>
    <t>01679255184</t>
  </si>
  <si>
    <t>TNG PRIMARK - GEORGE- TESCO</t>
  </si>
  <si>
    <t>VINH: 0949 832 845</t>
  </si>
  <si>
    <t>TNG PXVN</t>
  </si>
  <si>
    <t>TNG SONG CONG 1</t>
  </si>
  <si>
    <t>SONG CONG 1, KHU B, KCN SONG CONG, THAI NGUYEN</t>
  </si>
  <si>
    <t>QUANG HUNG: 0977 008 544</t>
  </si>
  <si>
    <t>TNG SONG CONG 2</t>
  </si>
  <si>
    <t>SONG CONG 2, KHU B, KCN SONG CONG, THAI NGUYEN</t>
  </si>
  <si>
    <t>PHUONG: 0280 3509 724</t>
  </si>
  <si>
    <t>Chi nhánh SC2- TNG Thái Nguyên xin thông báo lịch nghỉ lễ Quốc Khánh 2/9/2015. Chi nhánh sẽ bắt đầu nghỉ từ ngày 2/9/2015 đến hết ngày 6/9/2015</t>
  </si>
  <si>
    <t>TNG SONG CONG 3</t>
  </si>
  <si>
    <t>SONG CONG 3, KHU B, KCN SONG CONG, THAI NGUYEN</t>
  </si>
  <si>
    <t>THANH TRA: 0169 266 1597</t>
  </si>
  <si>
    <t>TNG SONG CONG 4</t>
  </si>
  <si>
    <t>TNG CHI NHANH SONG CONG 4, KHU B, KCN SONG CONG, TP SONG CONG, THAI NGUYEN</t>
  </si>
  <si>
    <t>MS TRANG: 01258006626</t>
  </si>
  <si>
    <t>TNG VIET DUC</t>
  </si>
  <si>
    <t>Ngoc Duong _ 01693029385</t>
  </si>
  <si>
    <t>TOAN CAU SONG TOAN</t>
  </si>
  <si>
    <t>17B, AP SUOI CAO, PHUOC DONG, GO DAU, TAY NINH</t>
  </si>
  <si>
    <t>MS THAO: 0166 234 2174</t>
  </si>
  <si>
    <t>TRANG SUC LIAAN</t>
  </si>
  <si>
    <t>KCN DONG VAN I, DUY TIEN, HA NAM</t>
  </si>
  <si>
    <t>TRUNG PHAT</t>
  </si>
  <si>
    <t>243B Long Hội, Giao Long,
Châu Thành, Tỉnh Bến Tre</t>
  </si>
  <si>
    <t>ATTN: MR THINH/ MR VIET
075. 3636373</t>
  </si>
  <si>
    <t>TRUONG AN</t>
  </si>
  <si>
    <t>10-HO SEN-LE CHAN-HAI PHONG</t>
  </si>
  <si>
    <t>MS HUONG(P.KH)-031 2213149</t>
  </si>
  <si>
    <t>TRUONG SON</t>
  </si>
  <si>
    <t>313 Da Nang-Ngo Quyen-Hai Phong</t>
  </si>
  <si>
    <t>MR SON: 0909 360 793</t>
  </si>
  <si>
    <t>TRUONG SON FACTORY</t>
  </si>
  <si>
    <t>NGA 4 DONG SON, KENH GIANG, THUY NGUYEN, HAI PHONG</t>
  </si>
  <si>
    <t>MS NGUYET: 0984 364 206</t>
  </si>
  <si>
    <t>TRUONG SON GARMENT</t>
  </si>
  <si>
    <t>402 ST- HOA NGHIA-DUONG KINH-HAI PHONG</t>
  </si>
  <si>
    <t>MR BINH: 0904 659 810</t>
  </si>
  <si>
    <t>Bill to: ARMONDI (UK) LTD</t>
  </si>
  <si>
    <t>TRUONG THANG</t>
  </si>
  <si>
    <t>Ms ly: 0912927880</t>
  </si>
  <si>
    <t>TUAN DAT</t>
  </si>
  <si>
    <t>KCN TRUONG XUAN, TAM KY, QUANG NAM</t>
  </si>
  <si>
    <t>TRAN THI DUNG
0510 3841154</t>
  </si>
  <si>
    <t>TUAN DAT PVH</t>
  </si>
  <si>
    <t>TUAN THANG</t>
  </si>
  <si>
    <t>MS THOA: 01666 416 647</t>
  </si>
  <si>
    <t>TUNGTEX FASHION ANN TAYLOR</t>
  </si>
  <si>
    <t>LOT A2, DUONG SO 2, KCN THUAN DAO, BEN LUC, LONG AN</t>
  </si>
  <si>
    <t>MS HANG: 0124 4466 005</t>
  </si>
  <si>
    <t>TUNGTEX SOC TRANG</t>
  </si>
  <si>
    <t>LO H, KCN AN HIEP, XA AN HIEP, CHAU THANH, SOC TRANG</t>
  </si>
  <si>
    <t>ATTN:Kim Tuyến: 0947 48 2299</t>
  </si>
  <si>
    <t>TY XUAN</t>
  </si>
  <si>
    <t>KHU CON NGHIEP HOA PHU-VINH LONG</t>
  </si>
  <si>
    <t>0166 444 3755- MS THUY</t>
  </si>
  <si>
    <t>UNICO BAC GIANG</t>
  </si>
  <si>
    <t>TAN DAN, YEN DUNG, BAC GIANG</t>
  </si>
  <si>
    <t xml:space="preserve">MS HUE: 0240 3768 467
</t>
  </si>
  <si>
    <t>UNICO LL BEAN</t>
  </si>
  <si>
    <t>HANG CTU-</t>
  </si>
  <si>
    <t>MS HUYEN: 0987 397 984- L L BEAN</t>
  </si>
  <si>
    <t>UNICO YEN BAI</t>
  </si>
  <si>
    <t>KCN AU LAU XA AU LAU, THANH PHO YEN BAI, TINH YEN BAI</t>
  </si>
  <si>
    <t>UNISOLL</t>
  </si>
  <si>
    <t>BI, BII, BIII, BIV SECTION,  GIAO LONG INDUSTRIAL ZONE PHASE II,AN PHUOC COMMUNE, CHAU THANH DISTRICT, BEN TRE PROVINCE</t>
  </si>
  <si>
    <t>Tel: 84-75- 3635600   Fax: 84-75- 3635601</t>
  </si>
  <si>
    <t>UNITED SWIMWEAR LAND'S END</t>
  </si>
  <si>
    <t>LOT C1, KCN  SUOI DAU, CAM LAM, KHANH HOA</t>
  </si>
  <si>
    <t>TTC-DV Nhat Tinh</t>
  </si>
  <si>
    <t>Britney: 09 3737 9409</t>
  </si>
  <si>
    <t>UNO</t>
  </si>
  <si>
    <t>Quang Minh Park, Me Linh Dist,
 Ha Noi</t>
  </si>
  <si>
    <t>CTU- C.Trang</t>
  </si>
  <si>
    <t>Attn: Maria :(0906 216 229)
04 358 60 656</t>
  </si>
  <si>
    <t>V.J.ONE</t>
  </si>
  <si>
    <t>HONG CHAU, DONG HUNG, THAI BINH</t>
  </si>
  <si>
    <t>JS LEE/ SUSAN/ PHUONG: 0363 898 643</t>
  </si>
  <si>
    <t>V.J.ONE WALMART</t>
  </si>
  <si>
    <t>SOAI: 0985 097 881</t>
  </si>
  <si>
    <t>Valley View</t>
  </si>
  <si>
    <t>no1,street 2, Da Nang IZ, An Don, An Hai Bac, Son Tra, Da Nang</t>
  </si>
  <si>
    <t>Ms Hanh : 0511 3935 666</t>
  </si>
  <si>
    <t>VAN HA MASS HITEK</t>
  </si>
  <si>
    <t>QL 45, 12, VAN HA, THIEU HOA, THANH HOA</t>
  </si>
  <si>
    <t>MAI KA: 037 3842 746</t>
  </si>
  <si>
    <t>VAN LACCK</t>
  </si>
  <si>
    <t>CUM CN NGOC HOI, THANH TRI, HA NOI</t>
  </si>
  <si>
    <t>MS HUONG: 0919 388 668</t>
  </si>
  <si>
    <t>VAN PHU</t>
  </si>
  <si>
    <t>PHU LAM VILLALE-VAN PHU COMMUNE, NHO QUAN DISTRICT,NINH BINH PROVINE</t>
  </si>
  <si>
    <t>01634.540.895
HUONG( Mr Cường: 0963.877.688     or Mr Phú: 0989.302.482)</t>
  </si>
  <si>
    <t>VAN TAI SO 5</t>
  </si>
  <si>
    <t>NGA 3 QUAN BAU, TP VINH, NGHE AN</t>
  </si>
  <si>
    <t>MR VINH: 0988 911 154</t>
  </si>
  <si>
    <t>VAST APPAREL</t>
  </si>
  <si>
    <t>A5,6,7,B1,2 TAM DAN INDUSTRIAL ZONE, PHU NINH DISTRICT, QUANG NAM PROVINCE</t>
  </si>
  <si>
    <t>DAN SHIPPING MARK THEO TUNG DON HANG</t>
  </si>
  <si>
    <t>THUY TIEN 84 5103 810 797</t>
  </si>
  <si>
    <t>Venture International JSC</t>
  </si>
  <si>
    <t>Km40, Highway 5A, Lai Cach commune, Cam Giang District, Hai Duong province, Vietnam</t>
  </si>
  <si>
    <t>Hau: 043 8528 084</t>
  </si>
  <si>
    <t>VENTURE INVISTA</t>
  </si>
  <si>
    <t>ROOM 317-320, BLOCK E1, TRUNG TU DIPLOMATIC COMPOUND, 6 DANG VAN NGU, DONG DA, HA NOI</t>
  </si>
  <si>
    <t>MS HONG: 04 3852 8084</t>
  </si>
  <si>
    <t>VERT FASHION</t>
  </si>
  <si>
    <t>KIM TRANG, VIET LAP, TAN YEN, BAC GIANG</t>
  </si>
  <si>
    <t>GIAO HANG CHUNG CTU
SO DN# LEN BILL</t>
  </si>
  <si>
    <t>NGAN: 0976 558 930</t>
  </si>
  <si>
    <t>VESTON VINH BAO</t>
  </si>
  <si>
    <t>KCN TAN LIEN, TAN LIEN, VINH BAO, HAI PHONG</t>
  </si>
  <si>
    <t>0313 899023</t>
  </si>
  <si>
    <t>VI GARMENT</t>
  </si>
  <si>
    <t>651HIGHWAY 1A-THU TUU 1-TAN KHANH-TAN AN-LONG AN</t>
  </si>
  <si>
    <t>VI HOANG</t>
  </si>
  <si>
    <t>SO 5 HOANG HOA THAM, NAM DINH</t>
  </si>
  <si>
    <t>MS PHUONG 0916 073 087</t>
  </si>
  <si>
    <t>VIEBA</t>
  </si>
  <si>
    <t>DI SU-MY HAO-HUNG YEN</t>
  </si>
  <si>
    <t>C VAN: 0917 490 248</t>
  </si>
  <si>
    <t>VIEGARMENT CO</t>
  </si>
  <si>
    <t>846-848 BINH GIA , VUNG TAU CITY</t>
  </si>
  <si>
    <t>064 3 848 372/ 3 848 178
KIM THANH: P KH- XNK( 0908 300 222)</t>
  </si>
  <si>
    <t>VIET AN</t>
  </si>
  <si>
    <t>CHAM ANH-313 654942-MR HA</t>
  </si>
  <si>
    <t>226 LE LAI, NGO QUYEN, HAI PHONG</t>
  </si>
  <si>
    <t>VIET AN HN</t>
  </si>
  <si>
    <t>SO 5 NGUYEN DUY CHINH STR-BAN DAO LINH DAM-HOANG MAI-HA NOI</t>
  </si>
  <si>
    <t>LE VAN HUNG-436418764</t>
  </si>
  <si>
    <t>VIET AN VAT</t>
  </si>
  <si>
    <t>KM 1, DUONG PHAM VAN DONG, DUONG KINH, HAI PHONG</t>
  </si>
  <si>
    <t>PRIMARK</t>
  </si>
  <si>
    <t>MS THUY:  0904 370 273</t>
  </si>
  <si>
    <t>viet anh</t>
  </si>
  <si>
    <t>KM30, HIGHWAY 5, BACH SON, MY HAO, HUNG YEN</t>
  </si>
  <si>
    <t>PHUONG 0986336338</t>
  </si>
  <si>
    <t>VIET ANH</t>
  </si>
  <si>
    <t>KM 30-HIGHWAY 5-BACH SAM-MY HAO-HUNG YEN</t>
  </si>
  <si>
    <t>PHUONG: 098 633 6338
-321-394 5427-4-221 295 22
0978 492 795</t>
  </si>
  <si>
    <t>leevietanh@vnn.vn</t>
  </si>
  <si>
    <t>VIET GARMENT</t>
  </si>
  <si>
    <t>QUANG MINH INDUSTRIAL PARK, ME LINH, VINH PHUC, VN</t>
  </si>
  <si>
    <t>Thai Hoang Gia 0972-515-163</t>
  </si>
  <si>
    <t>VIET HUNG</t>
  </si>
  <si>
    <t>KM10-10 RD-DONG HOP-DONG HUNG TOWN-THAI BINH</t>
  </si>
  <si>
    <t>XUAN NHU-036 851255</t>
  </si>
  <si>
    <t>VIET LONG</t>
  </si>
  <si>
    <t>THI TRAN AN BAI, QUYNH PHU, THAI BINH</t>
  </si>
  <si>
    <t>MS THUYEN: 0987 254 242</t>
  </si>
  <si>
    <t>VIET NAM CHUNG JYE</t>
  </si>
  <si>
    <t>QUYNH PHUC INDUSTRIAL PARK, PHUC THANH COMMUNE, KIMTHANH DIST</t>
  </si>
  <si>
    <t>VIET NAM CHUNG JYE NINH BINH</t>
  </si>
  <si>
    <t>KHANH NHAC INDUSTRIAL PARK, KHANH NHAC, YEN KHANH DIST, NINH BINH PROVINCE</t>
  </si>
  <si>
    <t>viet nam garment</t>
  </si>
  <si>
    <t>LOT A2 A3 A4, KCN BA THIEN 2, THIEN KE, BINH XUYEN, VINH PHUC</t>
  </si>
  <si>
    <t xml:space="preserve"> EMMA 84 211 3565 982</t>
  </si>
  <si>
    <t>VIET PACIFIC APPAREL</t>
  </si>
  <si>
    <t>10 THANH BINH, MO LAO, HA DONG, HA NOI</t>
  </si>
  <si>
    <t>MS THUY 0966 608 665</t>
  </si>
  <si>
    <t>VIET PACIFIC CLOTHING</t>
  </si>
  <si>
    <t>Hoà Đình, Phường Võ Cường,
TP Bắc Ninh, tỉnh Bắc Ninh</t>
  </si>
  <si>
    <t>MS WARI: 0906 682 696</t>
  </si>
  <si>
    <t>VIET PACIFIC INVISTA</t>
  </si>
  <si>
    <t>HOA DINH, VO CUONG, BAC NINH</t>
  </si>
  <si>
    <t>Ms Quynh / Ms Huong: 
(84) 241-828673 or 828674</t>
  </si>
  <si>
    <t>VIET PAN PACIFIC</t>
  </si>
  <si>
    <t>Lô A2, CN1, Cụm công nghiệp vừa và nhỏ Từ Liêm, Minh Khai, Bắc Từ Liêm, Hà nội</t>
  </si>
  <si>
    <t>VIET PAN PACIFIC NAM DINH</t>
  </si>
  <si>
    <t>Thon Giao Cu trung, xa Dong Son, huyen Nam Truc, Nam Dinh</t>
  </si>
  <si>
    <t>VIET PAN PACIFIC THANH HOA</t>
  </si>
  <si>
    <t>Ha Son Industrial Land Zone, Ngoc Lac Town, Ngoc Lac District, Thanh Hoa Province</t>
  </si>
  <si>
    <t>Mr. Lee: 037 895 8555/ 037 895 8556</t>
  </si>
  <si>
    <t>VIET PHAT</t>
  </si>
  <si>
    <t>KM52-HIGHWAY 5-BINH HAN DIST-HAI DUONG</t>
  </si>
  <si>
    <t>0320 3857258</t>
  </si>
  <si>
    <t>VIET PHAT GARMENT</t>
  </si>
  <si>
    <t>Thanh Khe Village, Nam Cuong Commune, eNam Truc District, Nam Dlnh Provinc</t>
  </si>
  <si>
    <t>Binh 0965194668</t>
  </si>
  <si>
    <t>VIET TEX</t>
  </si>
  <si>
    <t>35 NGO QUYEN STR - THO QUANG WARD - SON TRA DIS- DANANG CITY</t>
  </si>
  <si>
    <t>Attn: Ms. Huyen: 84 3925725</t>
  </si>
  <si>
    <t>VIET THAI</t>
  </si>
  <si>
    <t>NO 100-QUANG TRUNG ST-THAI BINH</t>
  </si>
  <si>
    <t>MS NGA- 0988 962 901</t>
  </si>
  <si>
    <t>VIET THANH</t>
  </si>
  <si>
    <t>Lo B3-B4, khu cong nghiep Giao Long, CHAU THANH BEN TRE</t>
  </si>
  <si>
    <t>VIET THIEN</t>
  </si>
  <si>
    <t>KHU DONG SOC, VU DI, VINH TUONG, VINH PHUC</t>
  </si>
  <si>
    <t>MR MINH: 0962 921 401</t>
  </si>
  <si>
    <t>VIET VUONG 2</t>
  </si>
  <si>
    <t>LO 12, KCN DIEN NAM - DIEN NGOC, DIEN BAN, QUANG NAM</t>
  </si>
  <si>
    <t>LIEN: 0979 738 462</t>
  </si>
  <si>
    <t>VIETNAM SHOES</t>
  </si>
  <si>
    <t>KCN DONG XUYEN-P. RACH DUA-TP VUNG TAU</t>
  </si>
  <si>
    <t>VINA CKGF</t>
  </si>
  <si>
    <t>Khu 6, Go Don, Xa Huong Lung, Huyen Cam Khe, , Tinh Phu tho</t>
  </si>
  <si>
    <t>VINA EHWA</t>
  </si>
  <si>
    <t>MS VAN ANH: 0986 101 911</t>
  </si>
  <si>
    <t>VINA GIO</t>
  </si>
  <si>
    <t>THANH DIEN CHAU THANH, TAY NINH</t>
  </si>
  <si>
    <t>VINA KOREA</t>
  </si>
  <si>
    <t>CN 13, KHAI QUANG INDUSTRIAL SUB ZONE, 
VINH PHUC TOWN,
 VINH PHUC</t>
  </si>
  <si>
    <t>cho xnk confirm</t>
  </si>
  <si>
    <t>Mr. Woo (Kyeong Hoon, Woo) 
+84-93-688-5694</t>
  </si>
  <si>
    <t>VINA KUMYANG</t>
  </si>
  <si>
    <t>LO 14, KCN KHAI QUANG, VINH YEN, VINH PHUC</t>
  </si>
  <si>
    <t>ATTN: HUYEN 0972 421 468</t>
  </si>
  <si>
    <t>VINA KYUNG SEUNG</t>
  </si>
  <si>
    <t>khu 6, Đồn Tây, Xã Thanh Vinh, Thị Xã Phú Thọ, Phú Thọ</t>
  </si>
  <si>
    <t>giao hang truoc-C.Trang -GIAO DAI SON</t>
  </si>
  <si>
    <t>HA: 0982 063 216</t>
  </si>
  <si>
    <t>VINA KYUNG SEUNG ANN TAYLOR</t>
  </si>
  <si>
    <t>ATTN: HA 0982 063 216</t>
  </si>
  <si>
    <t>VINAEHWA</t>
  </si>
  <si>
    <t>OA1, KCN HAPRO, XA LE CHI. GIA LAM, HA NOI</t>
  </si>
  <si>
    <r>
      <t> </t>
    </r>
    <r>
      <rPr>
        <sz val="10"/>
        <color rgb="FF222222"/>
        <rFont val="Times New Roman"/>
        <family val="1"/>
      </rPr>
      <t>Hieu: </t>
    </r>
    <r>
      <rPr>
        <sz val="11"/>
        <color rgb="FF1155CC"/>
        <rFont val="Calibri"/>
        <family val="2"/>
      </rPr>
      <t>043556 0751</t>
    </r>
    <r>
      <rPr>
        <sz val="12"/>
        <color rgb="FF222222"/>
        <rFont val="Times New Roman"/>
        <family val="1"/>
      </rPr>
      <t>/ </t>
    </r>
    <r>
      <rPr>
        <sz val="12"/>
        <color rgb="FF1155CC"/>
        <rFont val="Times New Roman"/>
        <family val="1"/>
      </rPr>
      <t>0979629 323</t>
    </r>
    <r>
      <rPr>
        <sz val="10"/>
        <color rgb="FF222222"/>
        <rFont val="Calibri"/>
        <family val="2"/>
      </rPr>
      <t>. </t>
    </r>
  </si>
  <si>
    <t>VINATEX BONG SON</t>
  </si>
  <si>
    <t>LO A6, CUM CN BONG SON, THI TRAN BONG SON, HOAI NHON, BINH DINH</t>
  </si>
  <si>
    <t>MS LAM: 0982690662</t>
  </si>
  <si>
    <t>VINATEX DA NANG</t>
  </si>
  <si>
    <t>25 TRAN QUY CAP- DA NANG
(MS.PHUONG: 0935 214 921)</t>
  </si>
  <si>
    <t>Bill:Ledway-HIEU-511863757-0914104121-MS QUYEN</t>
  </si>
  <si>
    <t>vinatex da nang 1</t>
  </si>
  <si>
    <t>88 THANH SON, THANH BINH, HAI CHAU, DA NANG</t>
  </si>
  <si>
    <t>Luu 0934075159</t>
  </si>
  <si>
    <t>VINATEX DA NANG 1</t>
  </si>
  <si>
    <t>88 DUONG THANH SON, QUAN HAI CHAU, DA NANG</t>
  </si>
  <si>
    <t>CHI LIEU: 0934075159</t>
  </si>
  <si>
    <t>VINATEX DA NANG 3</t>
  </si>
  <si>
    <t>ROAD 3, HOA KHANH IZ, LINH CHIEU, DA NANG</t>
  </si>
  <si>
    <t>MS HUONG: 0909923767- 47300806.EXT:2209</t>
  </si>
  <si>
    <t>VINATEX HANO</t>
  </si>
  <si>
    <t>25/33 alley linh nam-mai dong -hoang mai-ha noi</t>
  </si>
  <si>
    <t>Huyen-0987763767
04- 8624611</t>
  </si>
  <si>
    <t>VINATEX HUONG TRA</t>
  </si>
  <si>
    <t>LO CN3, CUM CN TU HA, TU HA, HUONG TRA, THUA THIEN HUE</t>
  </si>
  <si>
    <t xml:space="preserve"> CHI TRANG : 0128 253 8980 </t>
  </si>
  <si>
    <t>VINATEX KIEN GIANG</t>
  </si>
  <si>
    <t>Ngã ba Lộ Quẹo, ấp An Hòa, xã Định An, H. Gò Quao, Kien Giang</t>
  </si>
  <si>
    <t>TIEN 0907072122</t>
  </si>
  <si>
    <t>VINATEX QUOC TE</t>
  </si>
  <si>
    <t>VINATEX TU NGHIA</t>
  </si>
  <si>
    <t>LO A8, CUM CN LA HA, THI TRAN LA HA, TU NGHIA, QUANG NGAI</t>
  </si>
  <si>
    <t>MR VU: 0936 383 610</t>
  </si>
  <si>
    <t>VINATEX TUYEN QUANG</t>
  </si>
  <si>
    <t>KCN PHUC UNG, HUYEN SON DUONG, TUYEN QUANG</t>
  </si>
  <si>
    <t>VINATEXIMEX</t>
  </si>
  <si>
    <t>20 LINH NAM, HOANG MAI, HA NOI</t>
  </si>
  <si>
    <t>A NAM/ A SA: 04 3633 5518</t>
  </si>
  <si>
    <t>VINEX TRADE</t>
  </si>
  <si>
    <t>6TH FL- NO.478-MINH KHAI-HA NOI</t>
  </si>
  <si>
    <t>MS HUONG: 0989 709 898/ MS VAN ANH: 0986 101 911</t>
  </si>
  <si>
    <t>VINH LONG</t>
  </si>
  <si>
    <t>ADIDAS PLANNING DEPT-B1 BUILDING-HOA PHU IP-VINH LONG</t>
  </si>
  <si>
    <t>VINH NHON</t>
  </si>
  <si>
    <t>1768 Duong 30-4, Phuong 12, Vung Tau City, VunG TAU</t>
  </si>
  <si>
    <t>VINH PHU SHOE</t>
  </si>
  <si>
    <t>2187A, DAI LO HUNG VUONG, GIA CAM, VIET TRI, PHU THO</t>
  </si>
  <si>
    <t>MS HUONG: 0916 027 183</t>
  </si>
  <si>
    <t>MRS NGA: 0976 064 468</t>
  </si>
  <si>
    <t>VINH PHUC INVISTA</t>
  </si>
  <si>
    <t>THUY VINH: 0912 971 875</t>
  </si>
  <si>
    <t>VINH THINH</t>
  </si>
  <si>
    <t>SO 11-PHO PHAM SU MENH-HAI DUONG</t>
  </si>
  <si>
    <t>NGUYEN DUC THINH
0320 846679</t>
  </si>
  <si>
    <t>VINH YEN SHOES</t>
  </si>
  <si>
    <t>DONG DA, VINH YEN, VINH PHUC</t>
  </si>
  <si>
    <t>MS HAI 0976940881</t>
  </si>
  <si>
    <t>vit garment</t>
  </si>
  <si>
    <t>QUANG MINH INDUSTRIAL PARK, ME LINH, HA NOI</t>
  </si>
  <si>
    <t>Ms Trang - 0987910882</t>
  </si>
  <si>
    <t>VIVA GARMENT</t>
  </si>
  <si>
    <t>KCN DONG SOC, VU DI, VINH TUONG, VINH PHUC</t>
  </si>
  <si>
    <t>Ms Lai Yen - 84-168-353 0089</t>
  </si>
  <si>
    <t>VIVA VINA</t>
  </si>
  <si>
    <t>DUC LAP THUONG, DUC HOA, LONG AN</t>
  </si>
  <si>
    <t>TRUC LINH: 072 3813 925</t>
  </si>
  <si>
    <t>VMC</t>
  </si>
  <si>
    <t>AP THANH PHUOC-X THANH DIEN-H CHAU THANH-TAY NINH</t>
  </si>
  <si>
    <t xml:space="preserve"> MS TRIẾN-0987881105</t>
  </si>
  <si>
    <t>VMC HOANG GIA</t>
  </si>
  <si>
    <t>MS. TRIEN/ MS.TIEN: 066-3785516/19</t>
  </si>
  <si>
    <t>VN HARIM</t>
  </si>
  <si>
    <t>LOT 39-40-42 DUONG N2, KCN AN XA, NAM DINH</t>
  </si>
  <si>
    <t>MR DONG: 0168 357 3889</t>
  </si>
  <si>
    <t>VN KNITWEAR</t>
  </si>
  <si>
    <t>DUONG SO 3, KCN HOA KHANH, HOA KHANH, LIEN CHIEU, DA NANG</t>
  </si>
  <si>
    <t>MS DAN CHAN: 0905 067 288</t>
  </si>
  <si>
    <t>VN MOC BAI</t>
  </si>
  <si>
    <t>KHU TM HIEP THANH, MOC BAI, BEN CAU, TAY NINH</t>
  </si>
  <si>
    <t>cho XNK confirm- PHAT DUNG NGUOI LIEN HE+ CTU</t>
  </si>
  <si>
    <t>VN SHOE</t>
  </si>
  <si>
    <t>CLARK-THAO(lan-0938414697
ROPORT:HANG-64-612002
WOL:ms huynh-bpdh- 0933 714 959</t>
  </si>
  <si>
    <t>CHI THAI GIAO</t>
  </si>
  <si>
    <t>VN SHOE 1</t>
  </si>
  <si>
    <t>CÔNG TY SX GIÀY UY VIỆT, KCN CHÂU ĐỨC, XÃ SUỐI NGHỆ, HUYỆN CHÂU ĐỨC, TỈNH BRVT</t>
  </si>
  <si>
    <t>Hà (Purchasing)- SDT ​0985.852.147</t>
  </si>
  <si>
    <t>VP ANH CANH</t>
  </si>
  <si>
    <t>377 PHUC TAN, HOAN KIEM, HA NOI</t>
  </si>
  <si>
    <t>NETCO- NOTE TREN BILL " DT TRUOC KHI GIAO"</t>
  </si>
  <si>
    <t>ANH CANH: 0908 700 628</t>
  </si>
  <si>
    <t>VP AVERY HA NOI</t>
  </si>
  <si>
    <t>NGOC 0913835253</t>
  </si>
  <si>
    <t>VP BAC HA HN</t>
  </si>
  <si>
    <t>421A, HOANG QUOC VIET, CAU GIAY, HA NOI</t>
  </si>
  <si>
    <t>VP ELEGANCE</t>
  </si>
  <si>
    <t>Nha 11, day A11, Đàm Trấu, Bạch Đằng, Hai Bà Trưng, Hà Nội</t>
  </si>
  <si>
    <t>Attn: Ly - 04 3 984 58 27</t>
  </si>
  <si>
    <t>VP JENSMART</t>
  </si>
  <si>
    <t>TANG 5, TOA NHA PN, NGO 61/4, LAC TRUNG, HA NOI</t>
  </si>
  <si>
    <t>MR QUY: 0913 687 786</t>
  </si>
  <si>
    <t>VP POONG IN HN</t>
  </si>
  <si>
    <t>ROOM 1503, VINACONEX BUILDING, HH-2, PHU HUNG, TU LIEM, HA NOI</t>
  </si>
  <si>
    <t>HA: 0904 255 236</t>
  </si>
  <si>
    <t>VP XNK THUY KHUE</t>
  </si>
  <si>
    <t>A2, PHU DIEN, TU LIEM, HA NOI</t>
  </si>
  <si>
    <t>MR DAT 0904 093 481</t>
  </si>
  <si>
    <t>VP YOUNG SHIN</t>
  </si>
  <si>
    <t>Lo 6, biet thu 5, Ban dao linh dam
, phuong Hoang Liet, Q. Hoang mai, Hn</t>
  </si>
  <si>
    <t>Van anh 0914796794</t>
  </si>
  <si>
    <t>THANH BINH, MO LAO, HA DONG, HA NOI</t>
  </si>
  <si>
    <t>MS ANH/ MS HUONG: 04 3384 7131</t>
  </si>
  <si>
    <t>VPDD Land’N Sea</t>
  </si>
  <si>
    <t>Lô 15 – Đông Bắc Ga – Đường Dương Đình Nghệ - Phường Đông Thọ - Thành Phố Thanh Hóa</t>
  </si>
  <si>
    <t>Mr Nhiên – 0976.108.468 or 0918.511.768</t>
  </si>
  <si>
    <t>VPDD TINH LOI</t>
  </si>
  <si>
    <t>Nhà N5, khu D, 25 Láng Hạ-HA NOI</t>
  </si>
  <si>
    <t xml:space="preserve">Bui Hanh : 0435141523 </t>
  </si>
  <si>
    <t>VPI</t>
  </si>
  <si>
    <t>572 XUONG GIANG, BAC GIANG</t>
  </si>
  <si>
    <t>MAI: 0989 422 094</t>
  </si>
  <si>
    <t>VPP WANLI</t>
  </si>
  <si>
    <t>LO 3.3, 3.4, KCN DO SON, TAN THANH, DUONG KINH, HAI PHONG</t>
  </si>
  <si>
    <t>MS NET: 031 3816 628</t>
  </si>
  <si>
    <t>VUNG TAU ORIENT NIKE</t>
  </si>
  <si>
    <t>11 ROAD, KCN DONG XUYEN, RACH DUA, VUNG TAU</t>
  </si>
  <si>
    <t>giao hang chung HD</t>
  </si>
  <si>
    <t>064-3614598- MS TRAM/ MS THANH</t>
  </si>
  <si>
    <t>WAN BANG</t>
  </si>
  <si>
    <t>Lo 71A, 72A, 78A, 79 KCN Long Giang xa Tan Lap 1, Huyen Tan Phuoc Tỉnh Tien Giang</t>
  </si>
  <si>
    <t xml:space="preserve"> Quyen  0166 283 3991</t>
  </si>
  <si>
    <t>WESTFIELD</t>
  </si>
  <si>
    <t>LOT CN07, KCN TAN LIEN, VINH BAO, HAI PHONG</t>
  </si>
  <si>
    <t>VN GEN CHO CONFIM</t>
  </si>
  <si>
    <t>MS HOA: 0904 325 299</t>
  </si>
  <si>
    <t>WESTFIELD MANGO</t>
  </si>
  <si>
    <t>HANG CHUNG CTU- A DUNG
Viet so DN# len Bill</t>
  </si>
  <si>
    <t>WIN VINA</t>
  </si>
  <si>
    <t>AP BINH TIEN 2, XA DUC HOA HA, DUC HOA, LONG AN</t>
  </si>
  <si>
    <t>MR TAN: 0918 514 693</t>
  </si>
  <si>
    <t>WINNERS VINA</t>
  </si>
  <si>
    <t>XOM 6, NGA MY, NGA SON, THANH HOA</t>
  </si>
  <si>
    <t>HUE: 0128 207 5950</t>
  </si>
  <si>
    <t>WOO JIN II</t>
  </si>
  <si>
    <t>WOO JIN PVH</t>
  </si>
  <si>
    <t>HANG CHUNG CHUNG TU
PHAT DUNG NGUOI LIEN HE</t>
  </si>
  <si>
    <t>MR JUNG/ MS HUONG
0313 768 800</t>
  </si>
  <si>
    <t>WOOIN VINA</t>
  </si>
  <si>
    <t xml:space="preserve">THAP HONG KY INDUSTRIAL GROUP, DIEN CHAU, NGHE AN
NGHE AN"            
</t>
  </si>
  <si>
    <t>X28 DA NANG</t>
  </si>
  <si>
    <t xml:space="preserve">67 DUY TAN – TP DA NANG </t>
  </si>
  <si>
    <t>VAT giao hang truoc</t>
  </si>
  <si>
    <t>Anh Hoa-TPKH-0983618595</t>
  </si>
  <si>
    <t>XÍ NGHIỆP MAY XUẤT KHẨU KHẢI HOÀN ANH SƠN</t>
  </si>
  <si>
    <t>Khố 4 Thị Trấn Anh Sơn, Huyện Anh Sơn , Tỉnh Nghệ An</t>
  </si>
  <si>
    <t>Ms Trang: 0962067377 / 0947608683</t>
  </si>
  <si>
    <t>XK DHA</t>
  </si>
  <si>
    <t>BICH HOA, THANH OAI HA NOI</t>
  </si>
  <si>
    <t>HUONG 0978629537</t>
  </si>
  <si>
    <t>XN MAY AN GIANG</t>
  </si>
  <si>
    <t>DUONG TRAN HUNG DAO, P. PHU MY, TP LONG XUYEN, AN GIANG</t>
  </si>
  <si>
    <t>Kim Loan: Tel       :   0763 834709 Mobile :   0946.621900</t>
  </si>
  <si>
    <t>XN MAY BAO LOC</t>
  </si>
  <si>
    <t>54 PHAM NGOC THACH, P. LOC PHAT, TP. BAO LOC, LAM DONG</t>
  </si>
  <si>
    <t>QUANG DAO: 0977 647 346</t>
  </si>
  <si>
    <t>Y&amp;J</t>
  </si>
  <si>
    <t>A1-A3 KCN Minh Hung Han Quoc, Huyen Chon Thanh, Tinh Binh Phuoc</t>
  </si>
  <si>
    <t>Dieu Suong  0974 014 491</t>
  </si>
  <si>
    <t>A1-A3, KCN MINH HUNG HAN QUOC, CHON THANH, BINH PHUOC</t>
  </si>
  <si>
    <t>THUAN/ SUONG: 0651 3644 660</t>
  </si>
  <si>
    <t>YA2</t>
  </si>
  <si>
    <t>NO. 1028 OF CT5 MY DINH, 
ME TRI, TU LIEM, HA NOI</t>
  </si>
  <si>
    <t>MR CHOI – 04 7855637 –
 04 33546592</t>
  </si>
  <si>
    <t>YAKJIN SAIGON</t>
  </si>
  <si>
    <t>NO F5, F6, F7, F8, F9, F10 KCN BAC DONG PHU, TAN PHU, DONG PHU, BINH PHUOC</t>
  </si>
  <si>
    <t>QUYNH ANH: 0935 471 807</t>
  </si>
  <si>
    <t>YAKJIN VIETNAM</t>
  </si>
  <si>
    <t>NO.B6,THUY VAN IZ,VIET TRI,PHU THO,VIET NAM</t>
  </si>
  <si>
    <t>YAMANI</t>
  </si>
  <si>
    <t>Đường đê vòng, Quy Phú, Nam Hồng, Nam Trực, Nam Định</t>
  </si>
  <si>
    <t>Tuyen Vu (035 0391 6899)</t>
  </si>
  <si>
    <t>YAZ</t>
  </si>
  <si>
    <t>NO.22, BAI SAY AREA, HA CAU WARD, HA DONG DIST, HA NOI</t>
  </si>
  <si>
    <t>Ms Hue - 0982 671 779</t>
  </si>
  <si>
    <t>YEN OF LONDON</t>
  </si>
  <si>
    <t>YEN VIEN</t>
  </si>
  <si>
    <t>NO.488 HA HUY TAP ROAD-YEN VIEN TOWNLET-GIA LAM</t>
  </si>
  <si>
    <t>CHI HANG- HUONG-4.8271433</t>
  </si>
  <si>
    <t>YES VINA</t>
  </si>
  <si>
    <t>KIEN BAI-THUY NGUYEN- HAI PHONG</t>
  </si>
  <si>
    <t>MS THUY: 0906 055 862</t>
  </si>
  <si>
    <t>YMUV</t>
  </si>
  <si>
    <t>Lot AIII - 1,5 Tan Huong IZ, Tan Huong Ward, Chau Thanh Dist, Tien Giang Province</t>
  </si>
  <si>
    <t>YONEDA</t>
  </si>
  <si>
    <t>LOT J10, KCN NOMURA HAI PHONG, AN DUONG, HAI PHONG</t>
  </si>
  <si>
    <t>HUONG XNK: 031 3743 308</t>
  </si>
  <si>
    <t>YOUME</t>
  </si>
  <si>
    <t>KCN Đồng Văn, DUy Tiên, Hà Nam</t>
  </si>
  <si>
    <t>SĐT : 0918 820 286/ 0912 831 566</t>
  </si>
  <si>
    <t>HOA XA INDUSTRIAL PARK-NAM DINH CITY</t>
  </si>
  <si>
    <t>YOUNGONE BAC GIANG</t>
  </si>
  <si>
    <t>KCN DINH TRAM, VIET YEN BAC GIANG</t>
  </si>
  <si>
    <t>YOUNGONE HUNG YEN</t>
  </si>
  <si>
    <t>Ta Thuong Hamlet- Chinh Nghia commune- Kim Dong District-Hung Yen Province</t>
  </si>
  <si>
    <t>0978 870 978</t>
  </si>
  <si>
    <t>YOUNGONE NIKE</t>
  </si>
  <si>
    <t>NEU HANG NIKE THI TU NGAY 28-CUOI MOI THANG SE K GIAO HANG</t>
  </si>
  <si>
    <t>XUAN DUONG: 0936 296 270</t>
  </si>
  <si>
    <t>YOUNGONE NORTHFACE</t>
  </si>
  <si>
    <t>THUY: 0943 368 244</t>
  </si>
  <si>
    <t>YOUNGONE PATAGONIA ( Giao hang tai kho xuong 2)</t>
  </si>
  <si>
    <t>Nguoi nhan : Ms Phuong/Ms Dinh : 0936308665</t>
  </si>
  <si>
    <t>YOUNGSHIN HANOI OFFICE</t>
  </si>
  <si>
    <t>LO 6, BIET THU 5, BAN DAO LINH DA, QUAN HOANG MAI, HA NOI</t>
  </si>
  <si>
    <t>ATTN: TRA LINH 04 3 6419228</t>
  </si>
  <si>
    <t>YS VINA</t>
  </si>
  <si>
    <t>DUC NGAI 1, DUC LAP THUONG, DUC HOA, LONG AN</t>
  </si>
  <si>
    <t>MR NHUT: 0942404338</t>
  </si>
  <si>
    <t>YSS</t>
  </si>
  <si>
    <t>THUY: 0350 3819 198</t>
  </si>
  <si>
    <t>YUN GARMENT</t>
  </si>
  <si>
    <t>room No 172- I9, Building, Lane 13,
Khuat Duy Tien, Thanh Xuan, Ha Noi</t>
  </si>
  <si>
    <t>YURI ABC DA NANG</t>
  </si>
  <si>
    <t>DUONG SO 6, KCN HOA KHANH, LIEN CHIEU, DA NANG</t>
  </si>
  <si>
    <t>MS UYEN: 0904 094 549</t>
  </si>
  <si>
    <t>MAY HAI MANGO</t>
  </si>
  <si>
    <t>viet thai</t>
  </si>
  <si>
    <t>14339591+14339654</t>
  </si>
  <si>
    <t>may 29-03</t>
  </si>
  <si>
    <t>HANG MAU</t>
  </si>
  <si>
    <t>C.MƠ: 0903677386</t>
  </si>
  <si>
    <t>14300439+14300440+ 14310635</t>
  </si>
  <si>
    <t>Winners vina</t>
  </si>
  <si>
    <t>makalot</t>
  </si>
  <si>
    <t>14124639-4+14124642-4+14124644-4</t>
  </si>
  <si>
    <t>NIEN HSING</t>
  </si>
  <si>
    <t>MAPLE CHI NHANH PEONY</t>
  </si>
  <si>
    <t>SAO VANG THAI BINH 1</t>
  </si>
  <si>
    <t>VINA KNF</t>
  </si>
  <si>
    <t>SO 15, DUONG 7, VSIP BAC NINH, PHU CHAN, TU SON, BAC NINH</t>
  </si>
  <si>
    <t>HAMLET 1&amp;2, CO PHUC TOWN, TRAN YEN, YEN BAI</t>
  </si>
  <si>
    <t>Số 8 Dốc ÔNg Phật, Phường Bùi Thị Xuân, TP Qui Nhơn, Binh Dinh</t>
  </si>
  <si>
    <t>ROSVIET</t>
  </si>
  <si>
    <t>KHU 11, PHUONG BINH HAN, TP HAI DUONG</t>
  </si>
  <si>
    <t>So 460 , duong Minh Khai , Phuong Vinh Tuy, Quan Hai Ba Trung, Thanh Pho Ha Noi, Viet Nam</t>
  </si>
  <si>
    <t>P603 TẦNG 1, TÒA NHÀ CT5, KĐT MỸ ĐÌNH MỄ TRÌ, HA NOI</t>
  </si>
  <si>
    <t>DAC SAN XUAT KHAU QUANG NAM</t>
  </si>
  <si>
    <t>Khoi pho Cau Ha, Phuong Dien Ngoc, Thi xa Dien Ban, Tinh Quang Nam</t>
  </si>
  <si>
    <t>VIET PAN PACIFIC WORLD</t>
  </si>
  <si>
    <t>QUANG VINH</t>
  </si>
  <si>
    <t>SO 14, XOM 5, BAT TRANG, GIA LAM, HA NOI</t>
  </si>
  <si>
    <t>TY THANH</t>
  </si>
  <si>
    <t>CI BAO</t>
  </si>
  <si>
    <t>KCN SUOI TRE. LONG KHANH, DONG NAI</t>
  </si>
  <si>
    <t>TNG PHU BINH 3 MANGO</t>
  </si>
  <si>
    <t>PEARL GLOBAL</t>
  </si>
  <si>
    <t>THON NUM, XA DINH TRI, TP BAC GIANG, TINH BAC GIANG</t>
  </si>
  <si>
    <t>HUONG CANH, BINH XUYEN, VINH PHUC</t>
  </si>
  <si>
    <t>EVERGREEN SHOES</t>
  </si>
  <si>
    <t>LOC TRU, TIEN THANG, TIEN LANG, HAI PHONG</t>
  </si>
  <si>
    <t>MASEON GLOBAL</t>
  </si>
  <si>
    <t>Alley.8-Vinh Thanh Village-Vinh Loc Dist-Thanh Hoa Province</t>
  </si>
  <si>
    <t>18 DUONG TRAN HUNG DAO, LONG XUYEN, AN GIANG</t>
  </si>
  <si>
    <t>KHU PHO 4, TT BA TRI, HUYEN BA TRI, BEN TRE</t>
  </si>
  <si>
    <t>THANH PHAT</t>
  </si>
  <si>
    <t>THUONG CAM, VU LAC, THAI BINH</t>
  </si>
  <si>
    <t>My Nghe Xanh</t>
  </si>
  <si>
    <t>YOUNGS LONG MA</t>
  </si>
  <si>
    <t>DONG HUNG, YEN THO, Y YEN, VU BAN, NAM DINH</t>
  </si>
  <si>
    <t>DONA STANDARD</t>
  </si>
  <si>
    <t>DET MAY PHU HOA AN</t>
  </si>
  <si>
    <t>KCN PHU BAI, THUA THIEN, HUE</t>
  </si>
  <si>
    <t>SUNRISE SPORT</t>
  </si>
  <si>
    <t>HOANG THANH, HOANG HOA, THANH HOA</t>
  </si>
  <si>
    <t>MINH DUC</t>
  </si>
  <si>
    <t>Ke Village, Minh Duc Commune, Viet Yen District, BAC GIANG</t>
  </si>
  <si>
    <t>JY VINA</t>
  </si>
  <si>
    <t>NGHIA HUAN, MY THANH, GIONG TROM, BEN TRE</t>
  </si>
  <si>
    <t>TEXHONG THAI BINH</t>
  </si>
  <si>
    <t>MAXPORT NAM DINH</t>
  </si>
  <si>
    <t>QUOC LO 10, LOC VUONG, TP NAM DINH</t>
  </si>
  <si>
    <t>HENRY COTTONS GOLF VINA INSAN</t>
  </si>
  <si>
    <t>MY CAU, TAN MY, BAC GIANG</t>
  </si>
  <si>
    <t>KIM DO</t>
  </si>
  <si>
    <t>KRD IMPORTS</t>
  </si>
  <si>
    <t>TAKSON HUE</t>
  </si>
  <si>
    <t>LOT K2, KCN PHU BAI, PHU BAI, HUONG THUY, HUE</t>
  </si>
  <si>
    <t>HOA PHONG</t>
  </si>
  <si>
    <t>SO 511, KHU QH DAT O, THON KIEU DONG, HONG THAI, AN DUONG, HAI PHONG</t>
  </si>
  <si>
    <t>THANG LONG INVESTMENT</t>
  </si>
  <si>
    <t>DET KIM SMART SHIRTS</t>
  </si>
  <si>
    <t>RICH WAY</t>
  </si>
  <si>
    <t>KCN KY SON, TU KY, HAI DUONG</t>
  </si>
  <si>
    <t>VN GOLDEN VICTORY</t>
  </si>
  <si>
    <t>DONG KY, NGHIA MINH, NGHIA HUNG, NAM DINH</t>
  </si>
  <si>
    <t>FWKK</t>
  </si>
  <si>
    <t>DOI TRAI QUAN, SON DAONG, LAP THACH, VINH PHUC</t>
  </si>
  <si>
    <t>GG VINA</t>
  </si>
  <si>
    <t>SO 226 PHO LE LAI, PHUONG MAY CHAI, QUAN NGO QUYEN, HAI PHONG</t>
  </si>
  <si>
    <t>KCN PHUC KHANH, PHU KHANH, THAI BINH</t>
  </si>
  <si>
    <t>THON KHUAN RANG, PHUC UNG, SON DUONG</t>
  </si>
  <si>
    <t>PS VINA</t>
  </si>
  <si>
    <t>CONG NGHIEP NGU KIM FORTRESS VN</t>
  </si>
  <si>
    <t>DUONG TRAN THU DO, KCN PHUC KHANH, THAI BINH</t>
  </si>
  <si>
    <t>SO 8, DUONG THANH BAC, TP BAC NINH</t>
  </si>
  <si>
    <t>NHUNG HA 0936361585</t>
  </si>
  <si>
    <t>DU DUC SAMPLE</t>
  </si>
  <si>
    <t>NGA 0932055799</t>
  </si>
  <si>
    <t>CUM CN BAC TUY PHONG, THON LAC TRI- PHU LAC, HUYEN TUY PHONG, TINH BINH THUAN</t>
  </si>
  <si>
    <t>BINH THUAN NHA BE XN MAY TUY PHONG</t>
  </si>
  <si>
    <t>SANG INH VINA</t>
  </si>
  <si>
    <t>HAMLET 2, HOA HUNG, XUYEN MOC, BA RIA VUNG TAU</t>
  </si>
  <si>
    <t>DO GO NGHIA TIN</t>
  </si>
  <si>
    <t>PHUOC AN, TUY PHUOC, BINH DINH</t>
  </si>
  <si>
    <t>VINH PHUC QUANG NAM</t>
  </si>
  <si>
    <t>LOT A4/2, KCN TRUONG XUAN, TAM KY, QUANG NAM</t>
  </si>
  <si>
    <t>NYG</t>
  </si>
  <si>
    <t>SMART SHIRTS GARMENT</t>
  </si>
  <si>
    <t>KCN VAN TRUNG, VIET YEN, BAC GIANG</t>
  </si>
  <si>
    <t>3/2 JOINT STOCK COMPANY</t>
  </si>
  <si>
    <t>DET 8-3 CHI NHANH MINH KHAI</t>
  </si>
  <si>
    <t>THU 0986595339</t>
  </si>
  <si>
    <t>NY HOA VIET</t>
  </si>
  <si>
    <t>CHAU TU, CHAU LOC, HAU LOC, THANH HOA</t>
  </si>
  <si>
    <t>MR VIET 0975 669 994</t>
  </si>
  <si>
    <t>MAY IN 1 THANG 5</t>
  </si>
  <si>
    <t>SO 37, NGO 67, PHO DUC GIANG, QUAN LONG BIEN, HANOI</t>
  </si>
  <si>
    <t>MY NGHE THANG LONG</t>
  </si>
  <si>
    <t>164 TON DUC THANG, PHUONG HANG BOT, QUAN DONG DA, HA NOI</t>
  </si>
  <si>
    <t>Dương - 0916 271 369</t>
  </si>
  <si>
    <t>ANH HAI 0975602247</t>
  </si>
  <si>
    <t>XUAN TRUONG, NAM DINH</t>
  </si>
  <si>
    <t>VINAEHWA HN</t>
  </si>
  <si>
    <t>Phú Keo, xã Kim San, huyện Gia Lâm, thành phố Hà Nội</t>
  </si>
  <si>
    <t>Chị Vân Anh - 0986.101.911</t>
  </si>
  <si>
    <t>HOA 0966 356 988</t>
  </si>
  <si>
    <t>Ms Bich Nga 0945 078 558</t>
  </si>
  <si>
    <t>THIEU DO</t>
  </si>
  <si>
    <t>XA THIEU DO, HUYEN THIEU HOA, TINH THANH HOA</t>
  </si>
  <si>
    <t>MY NGHE SHINE</t>
  </si>
  <si>
    <t>KCN DONG VAN I, XA DUY MINH, DUY TIEN, HA NAM</t>
  </si>
  <si>
    <t>VICTOR 01693219399</t>
  </si>
  <si>
    <t>DET 8 3 CHI NHANH MINH KHAI</t>
  </si>
  <si>
    <t>HA 0985 852 147</t>
  </si>
  <si>
    <t>VINEX SPOL</t>
  </si>
  <si>
    <t xml:space="preserve"> 6th Floor,  No.478 Minh Khai Str,Hai Ba Trung Dist, Hanoi  </t>
  </si>
  <si>
    <t>LO C, KCN LONG KHANH, BINH LOC, LONG KHANH,
DONG NAI</t>
  </si>
  <si>
    <t>SUNGJIN VINA</t>
  </si>
  <si>
    <t>Lô A2 KCN Hòa Phú, ấp Thạnh Hưng, xã Hòa Phú, 
huyện Long Hồ, tỉnh Vĩnh Long</t>
  </si>
  <si>
    <t>Truc 0935623592</t>
  </si>
  <si>
    <t xml:space="preserve">TINH LOI 2 GAP INC </t>
  </si>
  <si>
    <t>TINH LOI 2 OLD NAVY</t>
  </si>
  <si>
    <t>THONG NHAT GARMENT</t>
  </si>
  <si>
    <t>THONG NHAT, THU SY WARD, TIEN LU DISTRICT, HUNG YEN</t>
  </si>
  <si>
    <t>ANTONIA</t>
  </si>
  <si>
    <t>Khu Cn Tam Diep, thanh pho Tam Diep, tinh Ninh Binh</t>
  </si>
  <si>
    <t>MERKAVA</t>
  </si>
  <si>
    <t>KCN LOC SON, BAO LOC, LAM DONG</t>
  </si>
  <si>
    <t>DUONG SO 3 - KCN AN DON, P AN HAI BAC, Q. SON TRA, DA NANG</t>
  </si>
  <si>
    <t>PHONG DIEN IZ-PHONG DIEN DIST- TT HUE</t>
  </si>
  <si>
    <t>Mrs.  Merry/Huong +84-0989709898</t>
  </si>
  <si>
    <t>ANH TRI 01633973037 HOAC HUONG 0973532565</t>
  </si>
  <si>
    <t>MS HUYEN: 01656235789</t>
  </si>
  <si>
    <t>MS ROBIN 0985509049</t>
  </si>
  <si>
    <t>PHONG PHU QUANG TRI</t>
  </si>
  <si>
    <t>KCN DIEN SANH, HUYEN HAI LANG, QUANG TRI</t>
  </si>
  <si>
    <t>HIEU 098 378 6458</t>
  </si>
  <si>
    <t>GGS HA NOI</t>
  </si>
  <si>
    <t>Lau 2, Toa nha Simco, 28 Pham Hung, Quan Nam Tu Liem, HA NOI</t>
  </si>
  <si>
    <t>2rd Floor, ICT Building 02-9A Lot, Hoang Mai I.Z, Hoang Mai Dist., Hanoi, Viet Nam.</t>
  </si>
  <si>
    <t>VINATEX INTERNATIONAL</t>
  </si>
  <si>
    <t>LUONG NHUNG HA 0936 361 585</t>
  </si>
  <si>
    <t>SON HA DUY XUYEN</t>
  </si>
  <si>
    <t>CUM CN TAY AN, XA DUY TRUNG, HUYEN DUY XUYEN, TINH QUANG NAM</t>
  </si>
  <si>
    <t>MS KIM CHUNG 0903471391</t>
  </si>
  <si>
    <t>HUONG 0989481786</t>
  </si>
  <si>
    <t>VIET PACIFIC</t>
  </si>
  <si>
    <t>HA THANH</t>
  </si>
  <si>
    <t>HAI AN, QUYNH NGUYEN, QUYNH PHU, THAI BINH</t>
  </si>
  <si>
    <t>MICRAFTS</t>
  </si>
  <si>
    <t>SO 32B, DUONG DOI NHAN, BA DINH, HA NOI</t>
  </si>
  <si>
    <t>PHUONG MAI 0964 309 166</t>
  </si>
  <si>
    <t>WATER 0988 269 723</t>
  </si>
  <si>
    <t>TINH LOI RALPH</t>
  </si>
  <si>
    <t>MS HUONG 0982094023</t>
  </si>
  <si>
    <t>FIVE STARS</t>
  </si>
  <si>
    <t>CUM CN BINH NGUYEN, XA BINH NGUYEN, HUYEN BINH SON, QUANG NGAI</t>
  </si>
  <si>
    <t>PRETTY VINA</t>
  </si>
  <si>
    <t>KCN HOA MAC, DUY TIEN, HA NAM</t>
  </si>
  <si>
    <t>JOHN 01656201930</t>
  </si>
  <si>
    <t>MINH 0968 536 659</t>
  </si>
  <si>
    <t>NHU (PURCHASING) 0973729049</t>
  </si>
  <si>
    <t>VINA MTP</t>
  </si>
  <si>
    <t>So 1, Hem 9, Duong Nguyen Trai, Khu Pho 7, Phuong 3, Tay Ninh</t>
  </si>
  <si>
    <t>Toản (0963783402)</t>
  </si>
  <si>
    <t>SEBANG CHAIN VINA</t>
  </si>
  <si>
    <t>DUONG D2, KCN HOA MAC, DUY TIEN, HA NAM</t>
  </si>
  <si>
    <t>MAXCORE</t>
  </si>
  <si>
    <t>HOA XA, UNG HOA, HA NOI</t>
  </si>
  <si>
    <t>KIARA</t>
  </si>
  <si>
    <t>PHU AN, CAT THANH, TRUC NINH, NAM DINH</t>
  </si>
  <si>
    <t>TINH LOI BLOCK 4</t>
  </si>
  <si>
    <t>DET VINH PHUC HA NOI</t>
  </si>
  <si>
    <t>HA THANH FASHION</t>
  </si>
  <si>
    <t>NGOC LAM, HOANG THANH, HIEP HOA, BAC GIANG</t>
  </si>
  <si>
    <t>THOA 0909 850 599</t>
  </si>
  <si>
    <t>C&amp;J FASHION</t>
  </si>
  <si>
    <t>LE THUONG, CHAU CAN, PHU XUYEN, HA NOI</t>
  </si>
  <si>
    <t>JULIE REN</t>
  </si>
  <si>
    <t>LOT NO.A4, 13-14, THANH THANH CONG INDUSTRIAL PARK, AN HOA COMMUNE, TRANG BANG, TAY NINH</t>
  </si>
  <si>
    <t>THIEN SON HUNG YEN</t>
  </si>
  <si>
    <t>THON NAM SON, XA THIEN PHIEN, HUYEN TIEN LU
TINH HUNG YEN</t>
  </si>
  <si>
    <t>VINA CAPITAL</t>
  </si>
  <si>
    <t>SO 6, THI SON, KIM BANG, HA NAM</t>
  </si>
  <si>
    <t>TUAN 01299232551</t>
  </si>
  <si>
    <t>AMARA</t>
  </si>
  <si>
    <t>THANH HUNG</t>
  </si>
  <si>
    <t>BAO LY, PHU BINH, THAI NGUYEN</t>
  </si>
  <si>
    <t>HIEU 0978 504 407</t>
  </si>
  <si>
    <t>MS NU 0915224482</t>
  </si>
  <si>
    <t>SING LUN KINH BAC</t>
  </si>
  <si>
    <t>CONG TY TNHH 888</t>
  </si>
  <si>
    <t>Thôn Hợp Phương, Xã Quảng Hợp, Huyện Quảng Xương, Thanh Hoá</t>
  </si>
  <si>
    <t>Bùi Anh/Tracy 01649102382 MsMai 01688372595</t>
  </si>
  <si>
    <t>N3, KCN THANH THANH CONG, AN HOA, TRANG BANG, TAY NINH</t>
  </si>
  <si>
    <t>HOA 0968747693</t>
  </si>
  <si>
    <t>CIBAO</t>
  </si>
  <si>
    <t>N 5 SUOI TRE, LONG KHANH, DONG NAI</t>
  </si>
  <si>
    <t>90 TAY SON, QUY NHON, BINH DINH</t>
  </si>
  <si>
    <t>GO DAI THANH BINH DINH</t>
  </si>
  <si>
    <t>VN DITECH</t>
  </si>
  <si>
    <t>169/2/1, THAI HA STREET, DONG DA, HA NOI</t>
  </si>
  <si>
    <t>MR HOAI 0934206639</t>
  </si>
  <si>
    <t>DAC RANG</t>
  </si>
  <si>
    <t>SUOI CAO, PHUOC DONG, GO DAU, TAY NINH</t>
  </si>
  <si>
    <t>THUY 01626621770</t>
  </si>
  <si>
    <t>CREATIVE SOURCE</t>
  </si>
  <si>
    <t>LO CN2 VA CN3 CUM CN MINH LANG, XA MINH LANG,
HUYEN VU THU, TINH THAI BINH</t>
  </si>
  <si>
    <t>MR PHAT 0946642386</t>
  </si>
  <si>
    <t>WINGA VN</t>
  </si>
  <si>
    <t>NO 18, LOT 18, RESETTLEMENT AREA, LONG BIEN, HA NOI</t>
  </si>
  <si>
    <t>PAROSY</t>
  </si>
  <si>
    <t>CUM CN DUYEN THAI, QUOC LO 1A, THUONG TIN, HA NOI</t>
  </si>
  <si>
    <t>CP TU VAN KINH DOANH HA NOI</t>
  </si>
  <si>
    <t>KHTT-NETCO</t>
  </si>
  <si>
    <t>SO 7, DUONG VO THI SAU, PHUONG VINH NGUYEN, TP NHA TRANG, TINH KHANH HOA</t>
  </si>
  <si>
    <t>RYHYING VN</t>
  </si>
  <si>
    <t>301 VU XUAN THIEU, PHUC LOI, LONG BIEN, HA NOI</t>
  </si>
  <si>
    <t>PHU SINH</t>
  </si>
  <si>
    <t>MAO DONG, HO TUNG MAU, AN THI, HUNG YEN</t>
  </si>
  <si>
    <t>MS HUYEN 0987822611</t>
  </si>
  <si>
    <t>MAY KYUNG VIET</t>
  </si>
  <si>
    <t>KCN PHO NOI A, LAC HONG, VAN LAM. HUNG YEN</t>
  </si>
  <si>
    <t>CHI HIEN 0963096743</t>
  </si>
  <si>
    <t>LÔ IX-1, IX-2, IX-3, IX-4 KCN MỸ XUÂN B1- TIẾN HÙNG, 
XÃ MỸ XUÂN, HUYỆN TÂN THÀNH, BRVT</t>
  </si>
  <si>
    <t>MAY KINH BAC</t>
  </si>
  <si>
    <t>DUONG THANH BAC, TP BAC NINH</t>
  </si>
  <si>
    <t>DUC ANH 0943700291</t>
  </si>
  <si>
    <t>YEN MY</t>
  </si>
  <si>
    <t>GIAI PHAM, YEN MY, HUNG YEN</t>
  </si>
  <si>
    <t>MS THUY 0987094465</t>
  </si>
  <si>
    <t>REGINA MIRACLE KHO C</t>
  </si>
  <si>
    <t>SO 109, DUONG SO 6, VSIP HAI PHONG</t>
  </si>
  <si>
    <t>MS THAO 0906204459</t>
  </si>
  <si>
    <t>FORVIET</t>
  </si>
  <si>
    <t>VINH HONG, BINH GIANG, HAI DUONG</t>
  </si>
  <si>
    <t>HIEN 0320 3773333</t>
  </si>
  <si>
    <t>SUMMIT</t>
  </si>
  <si>
    <t>LO D3, D4, D5 KCN PHUC KHANH, THAI BINH</t>
  </si>
  <si>
    <t>HA TRAN 0962171056</t>
  </si>
  <si>
    <t>THON THUONG DONG, XA HIEN KHANH,
 HUYEN VU BAN, NAM DINH</t>
  </si>
  <si>
    <t>HOA THO QUANG NGAI</t>
  </si>
  <si>
    <t>DUONG SO 6, LO C6, KCN TINH PHONG, QUANG NGAI</t>
  </si>
  <si>
    <t>LUU 0908099619</t>
  </si>
  <si>
    <t>NONG 0918.981.539</t>
  </si>
  <si>
    <t>HA NOI TEXTILE NGHE AN</t>
  </si>
  <si>
    <t>KCN NAM GIANG, NAM DAN, NGHE AN</t>
  </si>
  <si>
    <t>MS HUONG 0919190266</t>
  </si>
  <si>
    <t>KCN LAI VU- HAI DUONG</t>
  </si>
  <si>
    <t>HOA DO 3</t>
  </si>
  <si>
    <t xml:space="preserve"> Thôn An Lạc - xã An Dục - huyện Quỳnh Phụ - Tỉnh Thái Bình</t>
  </si>
  <si>
    <t>VU 01635538000</t>
  </si>
  <si>
    <t>NAM DINH ENTER B</t>
  </si>
  <si>
    <t>DUONG SO 6, LO 4, KCN NAM DIEN NGOC, QUANG NAM</t>
  </si>
  <si>
    <t>NGA 0934 038 532</t>
  </si>
  <si>
    <t>NV APPAREL</t>
  </si>
  <si>
    <t>353  PHAM VAN DONG RD-ANH DUNG VILLAGE-DUONG KINH DIST-HAI PHONG</t>
  </si>
  <si>
    <t>YEN 0982 909 111</t>
  </si>
  <si>
    <t>LO C1, KCN BINH HOA, XA BINH HOA, CHAU THANH, AN GIANG</t>
  </si>
  <si>
    <t>NGAN 0974 412 073</t>
  </si>
  <si>
    <t>SMART SHIRTS</t>
  </si>
  <si>
    <t>ES PART G2 + G3 + G7 + G8, BAO MINH INDUSTRIAL PARK, VU BAN DISTRICT, NAM DINH PROVI</t>
  </si>
  <si>
    <t>KIM AU, DANG XA, GIA LAM, HA NOI</t>
  </si>
  <si>
    <t>44 AN TRUNG 1, QUAN SON TRA, TP DA NANG</t>
  </si>
  <si>
    <t>SPORT TEAM</t>
  </si>
  <si>
    <t>KCN Thuan Yen - P. Hoa Thuan - TP. Tam Ky - Quang Nam</t>
  </si>
  <si>
    <t>SUSAN 0902936733</t>
  </si>
  <si>
    <t>FASHION GARMENT</t>
  </si>
  <si>
    <t>TAM THANG INDUSTRIAL ZONE, TAM KY CITY, QUANG NAM</t>
  </si>
  <si>
    <t>VINEX SPLO</t>
  </si>
  <si>
    <t>TUAN ANH 0966543689</t>
  </si>
  <si>
    <t>VINATEX TEXTILE</t>
  </si>
  <si>
    <t>Thôn 2- Xã Đông mỹ- Thanh Trì - Hà Nội</t>
  </si>
  <si>
    <t>chị Thơm 0986 371 045</t>
  </si>
  <si>
    <t>3rd Floor, ICT Building/ 02-9A Lot, Vinh Hoang I.Z. Hoang Van Thu Ward, Hoang Mai Dist., Hanoi, Viet Nam.</t>
  </si>
  <si>
    <t>VAN PHONG MAKALOT</t>
  </si>
  <si>
    <t>TANG 8, TOA NHA HCC, 28 LY THUONG KIET, HUE</t>
  </si>
  <si>
    <t>BUI VIEN, KCN NGUYEN DUC CANH, TRAN HUNG DAO, THAI BINH</t>
  </si>
  <si>
    <t>CUSTOMER</t>
  </si>
  <si>
    <t>FILE SCAN</t>
  </si>
  <si>
    <t>URGENT</t>
  </si>
  <si>
    <t>PT16H</t>
  </si>
  <si>
    <t>VIETSTAR</t>
  </si>
  <si>
    <t>CTY TU VAN KINH DOANH HA NOI</t>
  </si>
  <si>
    <t>HANEX HUE</t>
  </si>
  <si>
    <t>LO C-3, KCN PHU BAI, HUONG THUY, HUE</t>
  </si>
  <si>
    <t>TIANYE OUTDOOR</t>
  </si>
  <si>
    <t>NHA XUONG F4, LO DAT CN9 CN10, KCN PHU THAI, KIM THANH, HAI DUONG</t>
  </si>
  <si>
    <t>HOAN VINH</t>
  </si>
  <si>
    <t>108 QL 1A, TAN PHU, TAN LY TAY, CHAU THANH, TIEN GIANG</t>
  </si>
  <si>
    <t>DAT DANG</t>
  </si>
  <si>
    <t>DONG PHUONG, DONG HUNG, THAI BINH</t>
  </si>
  <si>
    <t>KEE EUN</t>
  </si>
  <si>
    <t>0935 089 833</t>
  </si>
  <si>
    <t>HB SO 22654095-1</t>
  </si>
  <si>
    <t>NA001658469</t>
  </si>
  <si>
    <t>HANESBRAND HUNG YEN</t>
  </si>
  <si>
    <t>KIM DONG CHINH NGHIA, HUNG YEN</t>
  </si>
  <si>
    <t>NA001658470</t>
  </si>
  <si>
    <t>SHILLA GLOVIS</t>
  </si>
  <si>
    <t>CHO MOI, LONG HOA, GO CONG, TIEN GIANG</t>
  </si>
  <si>
    <t>Ms Phung 01687770829</t>
  </si>
  <si>
    <t>SMART SHIRTS HAI HAU</t>
  </si>
  <si>
    <t>HAMLET 4-5, HAI HA VILLAGE, HAI HAU, NAM DINH</t>
  </si>
  <si>
    <t>TINH LOI RALPH LAUREN</t>
  </si>
  <si>
    <t>MAXPORT 6</t>
  </si>
  <si>
    <t>NANG TINH, NAM DINH</t>
  </si>
  <si>
    <t>NHAT 0944 747 267</t>
  </si>
  <si>
    <t>K+K FASHION</t>
  </si>
  <si>
    <t>SO 208, DUONG LAM SON, HUYEN NONG CONG, THANH HOA</t>
  </si>
  <si>
    <t>SWIMAX</t>
  </si>
  <si>
    <t>VAN PHU, PHU LA, HA DONG, HA NOI</t>
  </si>
  <si>
    <t>THẢO kho : 0162.803.5191</t>
  </si>
  <si>
    <t>POU LI TIMBERLAND</t>
  </si>
  <si>
    <t>MAY CAM RANH</t>
  </si>
  <si>
    <t>Tổ Dân Phố Hòa Do 6B, Phường Cam Phúc Bắc, TP.Cam Ranh, Tỉnh.Khánh Hòa</t>
  </si>
  <si>
    <t>Ms Duyen 0935456607</t>
  </si>
  <si>
    <t>VIET TRI GARMENT</t>
  </si>
  <si>
    <t>MRS LINH 0966.326.926</t>
  </si>
  <si>
    <t>VIET THUAN</t>
  </si>
  <si>
    <t>DUONG N5A, KCN HOA XA, MY XA, NAM DINH</t>
  </si>
  <si>
    <t>HANG 0166 944 0509</t>
  </si>
  <si>
    <t>HANESBRANDS KHO 95</t>
  </si>
  <si>
    <t>HANESBRANDS KHO 91</t>
  </si>
  <si>
    <t>HANESBRANDS KHO 90</t>
  </si>
  <si>
    <t>REGINA MIRACLE NHA MAY C</t>
  </si>
  <si>
    <t>NAM TIEP</t>
  </si>
  <si>
    <t>LO 20+23+24, CUM CN AN XA, TP NAM DINH</t>
  </si>
  <si>
    <t>DAT 0943334596</t>
  </si>
  <si>
    <t>STS VINA</t>
  </si>
  <si>
    <t>NO 32/39 TUC MAC, LOC VUONG, NAM DINH</t>
  </si>
  <si>
    <t>TUAN 0913227271</t>
  </si>
  <si>
    <t>KHU DO THI MOI YEN HOA, CAU GIAY, HA NOI</t>
  </si>
  <si>
    <t>KCN SUOI TRE, LONG KHANH, DONG NAI</t>
  </si>
  <si>
    <t>TEL: +84-2513- 647 870~-7 MR BOB</t>
  </si>
  <si>
    <t>SON HA HUE</t>
  </si>
  <si>
    <t>KCN PHU DA, TT PHU DA, HUYEN PHU VANG, HUE</t>
  </si>
  <si>
    <t xml:space="preserve">Ms Lụa 01689245630 hoặc Ms Luyến  0989.328.565 </t>
  </si>
  <si>
    <t>CUONG 0906945724</t>
  </si>
  <si>
    <t>DU DUC RFID</t>
  </si>
  <si>
    <t>FROM :  AVERY DENNISON RIS VIETNAM CO,. LTD</t>
  </si>
  <si>
    <t>Lot E01 Trung Tam Road, LHIP, Can Giuoc,Long An, Vietnam</t>
  </si>
  <si>
    <t>Tel :84 837763776</t>
  </si>
  <si>
    <t xml:space="preserve">TO: </t>
  </si>
  <si>
    <t xml:space="preserve">Carton No: </t>
  </si>
  <si>
    <t>ATTN :</t>
  </si>
  <si>
    <t>MADE IN VIET NAM</t>
  </si>
  <si>
    <t>SAMPO VINA</t>
  </si>
  <si>
    <t>SCAVI HUE SAMPLE</t>
  </si>
  <si>
    <t>HA PHONG 1</t>
  </si>
  <si>
    <t>HA PHONG 4</t>
  </si>
  <si>
    <t>HA PHONG 3</t>
  </si>
  <si>
    <t>YOUNGONE PATAGONIA</t>
  </si>
  <si>
    <t>HOAN 0123 777 0192</t>
  </si>
  <si>
    <t>ALERON</t>
  </si>
  <si>
    <t>BEST BASE</t>
  </si>
  <si>
    <t>YEGIN VINA</t>
  </si>
  <si>
    <t>PUNGKOOK LONG AN</t>
  </si>
  <si>
    <t>HA PHONG 2</t>
  </si>
  <si>
    <t>SAE-A VINA</t>
  </si>
  <si>
    <t>YOUNGONE SMARTWOOL</t>
  </si>
  <si>
    <t>MTV KAP VINA</t>
  </si>
  <si>
    <t>ALERON PUMA</t>
  </si>
  <si>
    <t>YOUNGONE PEARL</t>
  </si>
  <si>
    <t>OSPINTER</t>
  </si>
  <si>
    <t>SONG HONG WALMART 1</t>
  </si>
  <si>
    <t>DONG HAI</t>
  </si>
  <si>
    <t>BOOK VIETTEL GOI ANH NAM 01679630423</t>
  </si>
  <si>
    <t>BOOK VNPT GIAO NHANH GOI ANH TUNG 01267325818</t>
  </si>
  <si>
    <t>NEU CO NOTE GIAO BAROM, BOOK BAROM MAIL, SAU 2H CHUYEN SANG NGAY MAI BOOK</t>
  </si>
  <si>
    <t>THON DANH THUONG, DANH THANG, HIEP HOA, BAC GIANG</t>
  </si>
  <si>
    <t>MY QUYEN 01689119259</t>
  </si>
  <si>
    <t>NHO CHECK MAIL CS GUI CONFIRM KH BOOK VIETSTAR LAY HANG (PUMA LH MIA.NGUYEN, ADIDAS LH HIEN.TRAN, NIKE LH SALLY.NGUYEN)</t>
  </si>
  <si>
    <t>HANG GEN NHAN FIGS CHO EMAIL CONFIRM GIAO HANG CUA CS</t>
  </si>
  <si>
    <t xml:space="preserve">HANG VAT BOOK NEWPOST(NOTE PICK SLIT VIETTEL LAY HANG)
HANG GEN BOOK MAIL KERRY HANG TUAN VAO THU 4 BOOK SHIP DUONG BO </t>
  </si>
  <si>
    <t>GIAO QUANG NAM</t>
  </si>
  <si>
    <t>XNK GUI MAIL BAO KH DEN LAY</t>
  </si>
  <si>
    <t>NHAN NIKE CHO CS CONFIRM MAIL MOI GIAO HANG- GIAO BANG NETCO
IN PKL TU MAIL CUA CS, KEM THEO DE GIAO HANG</t>
  </si>
  <si>
    <t>NHAN TARGET CHO CS CONFIRM MAIL FW HANJIN HOAC DAESUN</t>
  </si>
  <si>
    <t>DONG LA, HONG QUANG, THANH MIEN, HAI DUONG</t>
  </si>
  <si>
    <t>LO 35, 36, KCX LINH TRUNG III, TRANG BANG, TAY NINH</t>
  </si>
  <si>
    <t>LANH: 0965 359 389
KIEU NHI: 0166 238 9971</t>
  </si>
  <si>
    <t>HANG CHUNG HOA DON, NHAN INVISTA KHONG CO HOA DON</t>
  </si>
  <si>
    <t>CHO CS CONFIRM SHIPMODE (WALMART LH CS MILEY, NHAN TARGET LH CS JUDY)</t>
  </si>
  <si>
    <t>NHAN COACH DOI CS GUI MAIL CONFIRM KH DEN LAY, NHAN CON LAI GIAO BINH THUONG, IN PACKING LIST VA BB BAN GIAO MAIL CS GIAO KEM HOA DON SAU KHI GIAO HANG 1 NGAY</t>
  </si>
  <si>
    <t>NHAN MACY GIAO NETCO, CON LAI NHAN ANN TAYLOR KHACH HANG DEN LAY</t>
  </si>
  <si>
    <t>NGOC LAC, THANH HOA</t>
  </si>
  <si>
    <t>MS HUE 0978672392</t>
  </si>
  <si>
    <t>LO 36A-371, KCN LONG GIANG, TAN PHUOC, TIEN GIANG</t>
  </si>
  <si>
    <t xml:space="preserve">khu B, R.1, Cum Cong nghiep Loi Binh Nhon, xa Loi Binh Nhon, thanh pho Tan An, Tinh Long An
</t>
  </si>
  <si>
    <t>THO VUC, TRIEU SON, THANH HOA</t>
  </si>
  <si>
    <t>LO A1, KCN HAPRO, XA LE CHI, GIA LAM, HA NOI</t>
  </si>
  <si>
    <t>BOOK VNPT GOI ANH TUNG 01267325818</t>
  </si>
  <si>
    <t>HANG KEM HD+KH THANH TOAN, NHAN INVISTA KHONG CO HOA DON</t>
  </si>
  <si>
    <t>KCN NAM SACH , HAI DUONG</t>
  </si>
  <si>
    <t>GIANG: 01687887348</t>
  </si>
  <si>
    <t>KCN PHONG DIEN-HUE</t>
  </si>
  <si>
    <t>CHI DIEM: 0905 855 169</t>
  </si>
  <si>
    <t>MAI:01666019960</t>
  </si>
  <si>
    <t>MS.NA: 097 8894 809</t>
  </si>
  <si>
    <t>MS. VAN  ANH: 0166 8064 718</t>
  </si>
  <si>
    <t>TANG 7, TOA NHA HL, LO A2B, DUONG DUY TAN, P. DICH VONG HAU, CAU GIAY, HA NOI</t>
  </si>
  <si>
    <t>MS HAI 0983035723</t>
  </si>
  <si>
    <t>PHAM THAM 0948021425</t>
  </si>
  <si>
    <t>LO BI-5-6-7-8, KCN TAN HUONG, TAN HUONG, CHAU THANH, TIEN GIANG</t>
  </si>
  <si>
    <t>MS HELEN 0165 6565 432</t>
  </si>
  <si>
    <t>HOA 0350 670 570</t>
  </si>
  <si>
    <t>TANG 7, TOA NHA LILAMA, LE VAN LUONG, TU LIEM, HA NOI</t>
  </si>
  <si>
    <t>MS. LINH: 0989955012</t>
  </si>
  <si>
    <t>132 NGUYEN VAN CU, P. NGOC TRAO, TX. BIM SON, T.THANH HOA</t>
  </si>
  <si>
    <t>MS. MINH THUY 0937948294</t>
  </si>
  <si>
    <t>DU DUC KHU A</t>
  </si>
  <si>
    <t>BOOK MAIL PHUONG DONG LAY HANG, SHIP TIET KIEM, NEU CS CO BAO SHIP AIR THI BOOK SHIP AIR</t>
  </si>
  <si>
    <t>HANG 01693460264</t>
  </si>
  <si>
    <t>Row Labels</t>
  </si>
  <si>
    <t>Grand Total</t>
  </si>
  <si>
    <t>CS BOOK MAC DEN LAY HANG</t>
  </si>
  <si>
    <t>CS BOOK MAC DEN LAY HANG VAO SANG THU 6 HANG TUAN</t>
  </si>
  <si>
    <t>HANESBRANDS KHO 96</t>
  </si>
  <si>
    <t>ALERON CLARK</t>
  </si>
  <si>
    <t>SWIMAX THANH HOA</t>
  </si>
  <si>
    <t>THO NGUYEN, THO XUAN, THANH HOA</t>
  </si>
  <si>
    <t>COMBINE VOI HANG DREAM MEKONG, CHO CS CONFIRM SD: VNPT</t>
  </si>
  <si>
    <t>THANH XUYEN 4 HAMLET, TRUNG THANH COMMUNE,PHO YEN DISTRICT,THAI NGUYEN PROVINCE</t>
  </si>
  <si>
    <t>YOUNGONE PXVN</t>
  </si>
  <si>
    <t>HONG 0989895311</t>
  </si>
  <si>
    <t>MAY TBT</t>
  </si>
  <si>
    <t>KM24 - TL390 XA THANH HAI - H.THANH HA-T. HAI DUONG</t>
  </si>
  <si>
    <t>NHUNG: 01649606408</t>
  </si>
  <si>
    <t>neu don hang tren 50kg, goi CS xac nhan, duoi 50kg giao netco</t>
  </si>
  <si>
    <t>HANG VN GEN KHDL (TRU NHAN MACY'S), HANG VAT GIAO NETCO</t>
  </si>
  <si>
    <t>DIA CHI DUNG</t>
  </si>
  <si>
    <t>J-PACK</t>
  </si>
  <si>
    <t>J-PACK TRADING CO.,LTD REPRESENTATIVE OFFICE IN HANOI
ROOM#1205,FLOOR 12 TH,BUILDING 17T5,TRUNG HOA NHAN CHINH URBAN AREA, THANH XUAN DISTRICT, HANOI CITY, VIETNAM</t>
  </si>
  <si>
    <t>MS.NHUNG: TEL: 84-4-6281-5371</t>
  </si>
  <si>
    <t>hang giao truoc, KEM PKL CHI TIET</t>
  </si>
  <si>
    <t>HANG CHUNG HOA DON, KEM PKL CHI TIET</t>
  </si>
  <si>
    <t>HANG GEN NHAN FIGS CHO EMAIL CONFIRM GIAO HANG CUA CS, KEM PKL CHI TIET (DECATHLON)</t>
  </si>
  <si>
    <t>HANG KEM HD</t>
  </si>
  <si>
    <t>HANG CHUNG CTU, COMBINE GIAO HANG THU 5 HANG TUAN BANG TRUCK</t>
  </si>
  <si>
    <t>na001735491</t>
  </si>
  <si>
    <t>na001735492</t>
  </si>
  <si>
    <t>na001735493</t>
  </si>
  <si>
    <t>na001735494</t>
  </si>
  <si>
    <t>na001735495</t>
  </si>
  <si>
    <t>TUNG: 0912 864 545</t>
  </si>
  <si>
    <t>na001735496</t>
  </si>
  <si>
    <t>na001735497</t>
  </si>
  <si>
    <t>1 PHONG BI DN DA DONG MOC</t>
  </si>
  <si>
    <t>na001735498</t>
  </si>
  <si>
    <t>na001735500</t>
  </si>
  <si>
    <t>na001735188</t>
  </si>
  <si>
    <t>na001735189</t>
  </si>
  <si>
    <t>na001735190</t>
  </si>
  <si>
    <t>na001735191</t>
  </si>
  <si>
    <t>na001735192</t>
  </si>
  <si>
    <t>na001735193</t>
  </si>
  <si>
    <t>na001735194</t>
  </si>
  <si>
    <t>na001735195</t>
  </si>
  <si>
    <t>na001735196</t>
  </si>
  <si>
    <t>na001735197</t>
  </si>
  <si>
    <t>na001735198</t>
  </si>
  <si>
    <t>na001735199</t>
  </si>
  <si>
    <t>na001735200</t>
  </si>
  <si>
    <t>na002185201</t>
  </si>
  <si>
    <t>na002185202</t>
  </si>
  <si>
    <t>na002185203</t>
  </si>
  <si>
    <t>na002185204</t>
  </si>
  <si>
    <t>na002185205</t>
  </si>
  <si>
    <t>na002185206</t>
  </si>
  <si>
    <t>na002185207</t>
  </si>
  <si>
    <t>na002185208</t>
  </si>
  <si>
    <t>na002185209</t>
  </si>
  <si>
    <t>na002185210</t>
  </si>
  <si>
    <t>na002185211</t>
  </si>
  <si>
    <t>na002185212</t>
  </si>
  <si>
    <t>23924882-1</t>
  </si>
  <si>
    <t>na002185213</t>
  </si>
  <si>
    <t>na002185214</t>
  </si>
  <si>
    <t>na002185215</t>
  </si>
  <si>
    <t>na002185216</t>
  </si>
  <si>
    <t>KIEM HOA Hải Quan Mỹ Tho -Tiền Giang XONG GIAO</t>
  </si>
  <si>
    <t>na002185217</t>
  </si>
  <si>
    <t>na002185218</t>
  </si>
  <si>
    <t>na002185219</t>
  </si>
  <si>
    <t>na002185220</t>
  </si>
  <si>
    <t>na002185221</t>
  </si>
  <si>
    <t>na002185222</t>
  </si>
  <si>
    <t>na002185223</t>
  </si>
  <si>
    <t>na002185225</t>
  </si>
  <si>
    <t xml:space="preserve"> Nguyen Thi Trang Dai
 Factory Planning Dept
(84) 905 441 906</t>
  </si>
  <si>
    <t>na002185226</t>
  </si>
  <si>
    <t>HB24068272 -1</t>
  </si>
  <si>
    <t>na002185227</t>
  </si>
  <si>
    <t>na002185228</t>
  </si>
  <si>
    <t>NA002184682</t>
  </si>
  <si>
    <t>NA002184683</t>
  </si>
  <si>
    <t>NA002184684</t>
  </si>
  <si>
    <t>na002185229</t>
  </si>
  <si>
    <t>na002185230</t>
  </si>
  <si>
    <t>na002185231</t>
  </si>
  <si>
    <t>na002185232</t>
  </si>
  <si>
    <t>na002185233</t>
  </si>
  <si>
    <t>na002185234</t>
  </si>
  <si>
    <t>HB 23341862-1</t>
  </si>
  <si>
    <t>HB 23341862-2</t>
  </si>
  <si>
    <t>HB 23341862-3</t>
  </si>
  <si>
    <t>HB 23341862-4</t>
  </si>
  <si>
    <t>HB 23341862-5</t>
  </si>
  <si>
    <t>HB 23341866-1</t>
  </si>
  <si>
    <t>na002185224</t>
  </si>
  <si>
    <t>HB 23413601-2</t>
  </si>
  <si>
    <t>na002185235</t>
  </si>
  <si>
    <t>TRUCK ETA 8/5</t>
  </si>
  <si>
    <t>PHU CAP LAY HANG 30/4 300.000VND</t>
  </si>
  <si>
    <t>23622014-8+9+10</t>
  </si>
  <si>
    <t>na002184058</t>
  </si>
  <si>
    <t>MR TUNG 0912864545</t>
  </si>
  <si>
    <t>na002185236</t>
  </si>
  <si>
    <t>na002185237</t>
  </si>
  <si>
    <t>na002185238</t>
  </si>
  <si>
    <t>na002185239</t>
  </si>
  <si>
    <t>na002185240</t>
  </si>
  <si>
    <t>24153244-2</t>
  </si>
  <si>
    <t>24153245-1+2</t>
  </si>
  <si>
    <t>na002185241</t>
  </si>
  <si>
    <t>na002185242</t>
  </si>
  <si>
    <t>na002185243</t>
  </si>
  <si>
    <t>na002185244</t>
  </si>
  <si>
    <t>na002185245</t>
  </si>
  <si>
    <t>na002185246</t>
  </si>
  <si>
    <t>na002185247</t>
  </si>
  <si>
    <t>na002185248</t>
  </si>
  <si>
    <t>na002185249</t>
  </si>
  <si>
    <t>na002185250</t>
  </si>
  <si>
    <t>na002185251</t>
  </si>
  <si>
    <t>na002185252</t>
  </si>
  <si>
    <t>na002185253</t>
  </si>
  <si>
    <t>na002185254</t>
  </si>
  <si>
    <t>na002185255</t>
  </si>
  <si>
    <t>na002185256</t>
  </si>
  <si>
    <t>na002185257</t>
  </si>
  <si>
    <t>na002185258</t>
  </si>
  <si>
    <t>na002185259</t>
  </si>
  <si>
    <t>na002185260</t>
  </si>
  <si>
    <t>na002185261</t>
  </si>
  <si>
    <t>na002185262</t>
  </si>
  <si>
    <t>na002185263</t>
  </si>
  <si>
    <t>na002185264</t>
  </si>
  <si>
    <t>na002185265</t>
  </si>
  <si>
    <t>na002185266</t>
  </si>
  <si>
    <t>na002185267</t>
  </si>
  <si>
    <t>na002185268</t>
  </si>
  <si>
    <t>na002185269</t>
  </si>
  <si>
    <t>na002185270</t>
  </si>
  <si>
    <t>na002185271</t>
  </si>
  <si>
    <t>na002185272</t>
  </si>
  <si>
    <t>na002185273</t>
  </si>
  <si>
    <t>na002185274</t>
  </si>
  <si>
    <t>na002185275</t>
  </si>
  <si>
    <t>na002185276</t>
  </si>
  <si>
    <t>na002185277</t>
  </si>
  <si>
    <t>na002185278</t>
  </si>
  <si>
    <t>na002185279</t>
  </si>
  <si>
    <t>na002185280</t>
  </si>
  <si>
    <t>na002185281</t>
  </si>
  <si>
    <t>na002185282</t>
  </si>
  <si>
    <t>na002185283</t>
  </si>
  <si>
    <t>na002185284</t>
  </si>
  <si>
    <t>na002185285</t>
  </si>
  <si>
    <t>na002185286</t>
  </si>
  <si>
    <t>na002185287</t>
  </si>
  <si>
    <t>KIEM HOA HAI QUAN LONG HAU XONG GIAO</t>
  </si>
  <si>
    <t>na002185288</t>
  </si>
  <si>
    <t>na002185289</t>
  </si>
  <si>
    <t>TUYET 0942 542 000</t>
  </si>
  <si>
    <t>HANG BU</t>
  </si>
  <si>
    <t>1 PHONG BI CUA CS HOLLY</t>
  </si>
  <si>
    <t>na002185290</t>
  </si>
  <si>
    <t>na002185291</t>
  </si>
  <si>
    <t>na002185293</t>
  </si>
  <si>
    <t>na002185292</t>
  </si>
  <si>
    <t>na002185294</t>
  </si>
  <si>
    <t>na002185295</t>
  </si>
  <si>
    <t>KEM TO KHAI HQ</t>
  </si>
  <si>
    <t>na002185296</t>
  </si>
  <si>
    <t>na002185297</t>
  </si>
  <si>
    <t>na002185298</t>
  </si>
  <si>
    <t>na002185299</t>
  </si>
  <si>
    <t>na002185300</t>
  </si>
  <si>
    <t>na002185301</t>
  </si>
  <si>
    <t>TINH LOI UNIQLO BLOCK 2</t>
  </si>
  <si>
    <t>HANH: 01682094534</t>
  </si>
  <si>
    <t>KHO BLOCK 2, KCN NAM SACH, HAI DUONG</t>
  </si>
  <si>
    <t>GIAO KHO BLOCK 2</t>
  </si>
  <si>
    <t>na002185302</t>
  </si>
  <si>
    <t>na002185303</t>
  </si>
  <si>
    <t>na002185304</t>
  </si>
  <si>
    <t>na002185305</t>
  </si>
  <si>
    <t>na002185306</t>
  </si>
  <si>
    <t>na002185307</t>
  </si>
  <si>
    <t>na002185308</t>
  </si>
  <si>
    <t>na002185309</t>
  </si>
  <si>
    <t>1 KIEN HANG CUA CS LEON NGUYEN</t>
  </si>
  <si>
    <t>na002185310</t>
  </si>
  <si>
    <t>na002185311</t>
  </si>
  <si>
    <t>na002185312</t>
  </si>
  <si>
    <t>na002185313</t>
  </si>
  <si>
    <t>na002185314</t>
  </si>
  <si>
    <t>na002185315</t>
  </si>
  <si>
    <t>na002185316</t>
  </si>
  <si>
    <t>na002184907</t>
  </si>
  <si>
    <t>na002184908</t>
  </si>
  <si>
    <t>na002184905</t>
  </si>
  <si>
    <t>na002184906</t>
  </si>
  <si>
    <t>na002184903</t>
  </si>
  <si>
    <t>na002184904</t>
  </si>
  <si>
    <t>na002184901</t>
  </si>
  <si>
    <t>CP 3/2-BQP</t>
  </si>
  <si>
    <t>THON 8, XA BA TRAI, BA VI - HA NOI</t>
  </si>
  <si>
    <t>LUAN: 01684145759</t>
  </si>
  <si>
    <t>na002184902</t>
  </si>
  <si>
    <t>na002184899</t>
  </si>
  <si>
    <t>TRUCK ETA 7/5</t>
  </si>
  <si>
    <t>na002184900</t>
  </si>
  <si>
    <t>HB 23928262-1</t>
  </si>
  <si>
    <t>na002184897</t>
  </si>
  <si>
    <t>na002184898</t>
  </si>
  <si>
    <t>na002184895</t>
  </si>
  <si>
    <t>na002184896</t>
  </si>
  <si>
    <t>na002184893</t>
  </si>
  <si>
    <t>na002184894</t>
  </si>
  <si>
    <t>na002184891</t>
  </si>
  <si>
    <t>na002184892</t>
  </si>
  <si>
    <t>na002184889</t>
  </si>
  <si>
    <t>na002184890</t>
  </si>
  <si>
    <t>na002184887</t>
  </si>
  <si>
    <t>na002184888</t>
  </si>
  <si>
    <t>na002184885</t>
  </si>
  <si>
    <t>na002184886</t>
  </si>
  <si>
    <t>HB 24140294-1</t>
  </si>
  <si>
    <t>na002184883</t>
  </si>
  <si>
    <t>na002184884</t>
  </si>
  <si>
    <t>na002184881</t>
  </si>
  <si>
    <t>1 PHONG BI CHUNG TU GIAO HANG NGAY 3/5</t>
  </si>
  <si>
    <t>na002184882</t>
  </si>
  <si>
    <t>na002184879</t>
  </si>
  <si>
    <t>1098176582
(DI TRUOC SO#24244730)</t>
  </si>
  <si>
    <t>na002184880</t>
  </si>
  <si>
    <t>na002184877</t>
  </si>
  <si>
    <t>HB-23405174</t>
  </si>
  <si>
    <t>HB 23356772-1</t>
  </si>
  <si>
    <t>na002184878</t>
  </si>
  <si>
    <t>THAM 0948021425</t>
  </si>
  <si>
    <t>HB 23427980-2</t>
  </si>
  <si>
    <t>na002184875</t>
  </si>
  <si>
    <t>HB 23427975-2</t>
  </si>
  <si>
    <t>HB 23427942-2</t>
  </si>
  <si>
    <t>HB 23427946-2</t>
  </si>
  <si>
    <t>HB 23427979-2</t>
  </si>
  <si>
    <t>URGENT
X9</t>
  </si>
  <si>
    <t>na002184876</t>
  </si>
  <si>
    <t>na002184873</t>
  </si>
  <si>
    <t>na002184874</t>
  </si>
  <si>
    <t>na002184871</t>
  </si>
  <si>
    <t>TRUCK ETA 5/5</t>
  </si>
  <si>
    <t>na002184872</t>
  </si>
  <si>
    <t>na002184869</t>
  </si>
  <si>
    <t>na002184870</t>
  </si>
  <si>
    <t>na002184867</t>
  </si>
  <si>
    <t>na002184868</t>
  </si>
  <si>
    <t>na002184865</t>
  </si>
  <si>
    <t>na002184866</t>
  </si>
  <si>
    <t>na002184863</t>
  </si>
  <si>
    <t>na002184864</t>
  </si>
  <si>
    <t>na002184861</t>
  </si>
  <si>
    <t>na002184862</t>
  </si>
  <si>
    <t>na002184859</t>
  </si>
  <si>
    <t>na002184860</t>
  </si>
  <si>
    <t>na002184857</t>
  </si>
  <si>
    <t>na002184858</t>
  </si>
  <si>
    <t>na002184855</t>
  </si>
  <si>
    <t>na002184856</t>
  </si>
  <si>
    <t>na002184853</t>
  </si>
  <si>
    <t>na002184854</t>
  </si>
  <si>
    <t>na002184851</t>
  </si>
  <si>
    <t>KEM 2 BO PHONG BI CHUNG TU 660+164</t>
  </si>
  <si>
    <t>KEM 1 PHONG BI CHUNG TU</t>
  </si>
  <si>
    <t>na002184852</t>
  </si>
  <si>
    <t>HB23250041-3</t>
  </si>
  <si>
    <t>HB22522027-7</t>
  </si>
  <si>
    <t>HB23767318-1</t>
  </si>
  <si>
    <t>HB23767318-2</t>
  </si>
  <si>
    <t>HB23767306-3</t>
  </si>
  <si>
    <t>HB23767306-1</t>
  </si>
  <si>
    <t>HB23767306-4</t>
  </si>
  <si>
    <t>na002184850</t>
  </si>
  <si>
    <t>na002184849</t>
  </si>
  <si>
    <t>na002184847</t>
  </si>
  <si>
    <t>na002184848</t>
  </si>
  <si>
    <t>na002185200</t>
  </si>
  <si>
    <t>na002185197</t>
  </si>
  <si>
    <t>na002185198</t>
  </si>
  <si>
    <t>na002185195</t>
  </si>
  <si>
    <t>na002185196</t>
  </si>
  <si>
    <t>na002185193</t>
  </si>
  <si>
    <t>na002185194</t>
  </si>
  <si>
    <t>na002185191</t>
  </si>
  <si>
    <t>na002185192</t>
  </si>
  <si>
    <t>na002185189</t>
  </si>
  <si>
    <t>na002185190</t>
  </si>
  <si>
    <t>na002185187</t>
  </si>
  <si>
    <t>na002185188</t>
  </si>
  <si>
    <t>na002185185</t>
  </si>
  <si>
    <t>na002185186</t>
  </si>
  <si>
    <t>na002185183</t>
  </si>
  <si>
    <t>na002185184</t>
  </si>
  <si>
    <t>na002185181</t>
  </si>
  <si>
    <t>na002185182</t>
  </si>
  <si>
    <t>na002185179</t>
  </si>
  <si>
    <t>na002185180</t>
  </si>
  <si>
    <t>na002185177</t>
  </si>
  <si>
    <t>na002185178</t>
  </si>
  <si>
    <t>na002185175</t>
  </si>
  <si>
    <t>na002185176</t>
  </si>
  <si>
    <t>na002185173</t>
  </si>
  <si>
    <t>na002185174</t>
  </si>
  <si>
    <t>na002185171</t>
  </si>
  <si>
    <t>na002185172</t>
  </si>
  <si>
    <t>na002185169</t>
  </si>
  <si>
    <t>na002185170</t>
  </si>
  <si>
    <t>na002185167</t>
  </si>
  <si>
    <t>na002185168</t>
  </si>
  <si>
    <t>na002185165</t>
  </si>
  <si>
    <t>na002185166</t>
  </si>
  <si>
    <t>na002185163</t>
  </si>
  <si>
    <t>na002185164</t>
  </si>
  <si>
    <t>na002185161</t>
  </si>
  <si>
    <t>na002185162</t>
  </si>
  <si>
    <t>na002185159</t>
  </si>
  <si>
    <t>na002185160</t>
  </si>
  <si>
    <t>na002185157</t>
  </si>
  <si>
    <t>LIEN HE GIAO HANG ANH TIN  090 700 9502</t>
  </si>
  <si>
    <t>CHU Y GIAO CHO A TIN</t>
  </si>
  <si>
    <t>na002185158</t>
  </si>
  <si>
    <t>na002185155</t>
  </si>
  <si>
    <t>na002185156</t>
  </si>
  <si>
    <t>1 PHONG BI CUA CS</t>
  </si>
  <si>
    <t>na002185153</t>
  </si>
  <si>
    <t>na002185154</t>
  </si>
  <si>
    <t>URGENT
1 PHONG BI CUA CS NAM LE</t>
  </si>
  <si>
    <t>na002185151</t>
  </si>
  <si>
    <t>na002185152</t>
  </si>
  <si>
    <t>na002185149</t>
  </si>
  <si>
    <t>na002185150</t>
  </si>
  <si>
    <t>na002185147</t>
  </si>
  <si>
    <t>na002185148</t>
  </si>
  <si>
    <t>na002185145</t>
  </si>
  <si>
    <t>na002185146</t>
  </si>
  <si>
    <t>na002185143</t>
  </si>
  <si>
    <t>HB23728717-6</t>
  </si>
  <si>
    <t>na002185144</t>
  </si>
  <si>
    <t>TRUCK ETA 9/5</t>
  </si>
  <si>
    <t>na002185141</t>
  </si>
  <si>
    <t>na002185142</t>
  </si>
  <si>
    <t>NA002185139</t>
  </si>
  <si>
    <t>na002185140</t>
  </si>
  <si>
    <t>na002185137</t>
  </si>
  <si>
    <t>HB24007262-1</t>
  </si>
  <si>
    <t>na002185138</t>
  </si>
  <si>
    <t>na002185135</t>
  </si>
  <si>
    <t>HB22869336-1</t>
  </si>
  <si>
    <t>na002185136</t>
  </si>
  <si>
    <t>na002185133</t>
  </si>
  <si>
    <t>na002185134</t>
  </si>
  <si>
    <t>na002185131</t>
  </si>
  <si>
    <t>na002185132</t>
  </si>
  <si>
    <t>na002185129</t>
  </si>
  <si>
    <t>na002185130</t>
  </si>
  <si>
    <t>na002185127</t>
  </si>
  <si>
    <t>na002185128</t>
  </si>
  <si>
    <t>na002185125</t>
  </si>
  <si>
    <t>SDT 0973133632</t>
  </si>
  <si>
    <t>na002185126</t>
  </si>
  <si>
    <t>na002185123</t>
  </si>
  <si>
    <t>na002185124</t>
  </si>
  <si>
    <t>na002185121</t>
  </si>
  <si>
    <t>na002185122</t>
  </si>
  <si>
    <t>GIAO KHO MAU</t>
  </si>
  <si>
    <t>na002185119</t>
  </si>
  <si>
    <t>na002185120</t>
  </si>
  <si>
    <t>na002185117</t>
  </si>
  <si>
    <t>na002185118</t>
  </si>
  <si>
    <t>na002185115</t>
  </si>
  <si>
    <t>na002185116</t>
  </si>
  <si>
    <t>na002185113</t>
  </si>
  <si>
    <t>na002185114</t>
  </si>
  <si>
    <t>na002185112</t>
  </si>
  <si>
    <t>na002185109</t>
  </si>
  <si>
    <t>na002185110</t>
  </si>
  <si>
    <t>na002185107</t>
  </si>
  <si>
    <t>na002185108</t>
  </si>
  <si>
    <t>HB 23894673-3</t>
  </si>
  <si>
    <t>na002185105</t>
  </si>
  <si>
    <t>na002185106</t>
  </si>
  <si>
    <t>na002185103</t>
  </si>
  <si>
    <t>na002185104</t>
  </si>
  <si>
    <t>na002185101</t>
  </si>
  <si>
    <t>na002185102</t>
  </si>
  <si>
    <t>na002185099</t>
  </si>
  <si>
    <t>na002185100</t>
  </si>
  <si>
    <t>na002185097</t>
  </si>
  <si>
    <t>na002185098</t>
  </si>
  <si>
    <t>na002185095</t>
  </si>
  <si>
    <t>na002185096</t>
  </si>
  <si>
    <t>na002185093</t>
  </si>
  <si>
    <t>na002185094</t>
  </si>
  <si>
    <t>na002185091</t>
  </si>
  <si>
    <t>1093646961R</t>
  </si>
  <si>
    <t>na002185092</t>
  </si>
  <si>
    <t>na002185089</t>
  </si>
  <si>
    <t>na002185049</t>
  </si>
  <si>
    <t>na002185050</t>
  </si>
  <si>
    <t>KEM 1 BO CT 24254601</t>
  </si>
  <si>
    <t>na002185047</t>
  </si>
  <si>
    <t>URGENT
KEM 1 BO CT 23875418</t>
  </si>
  <si>
    <t>na002185048</t>
  </si>
  <si>
    <t>na002185045</t>
  </si>
  <si>
    <t>na002185046</t>
  </si>
  <si>
    <t>na002185043</t>
  </si>
  <si>
    <t>na002185044</t>
  </si>
  <si>
    <t>na002185041</t>
  </si>
  <si>
    <t>na002185042</t>
  </si>
  <si>
    <t>TAM VIET</t>
  </si>
  <si>
    <t>NO. 1 TAN THUY STREET, PHUC DONG WARD, LONG BIEN DISTRICT, HANOI-----VN</t>
  </si>
  <si>
    <t>na002185039</t>
  </si>
  <si>
    <t>na002185040</t>
  </si>
  <si>
    <t>na002185037</t>
  </si>
  <si>
    <t>na002185038</t>
  </si>
  <si>
    <t>na002185035</t>
  </si>
  <si>
    <t>na002185036</t>
  </si>
  <si>
    <t>na002185033</t>
  </si>
  <si>
    <t>na002185034</t>
  </si>
  <si>
    <t>na002185031</t>
  </si>
  <si>
    <t>na002185032</t>
  </si>
  <si>
    <t>na002185029</t>
  </si>
  <si>
    <t>na002185876</t>
  </si>
  <si>
    <t>na002185877</t>
  </si>
  <si>
    <t>HUNG VIET</t>
  </si>
  <si>
    <t>na002185878</t>
  </si>
  <si>
    <t>na002185879</t>
  </si>
  <si>
    <t>HANG XOT LAI 24076540-1</t>
  </si>
  <si>
    <t>na002185880</t>
  </si>
  <si>
    <t>na002185881</t>
  </si>
  <si>
    <t>na002185882</t>
  </si>
  <si>
    <t>na002185883</t>
  </si>
  <si>
    <t>HB23586665-1</t>
  </si>
  <si>
    <t>na002185884</t>
  </si>
  <si>
    <t>HB23827434-1</t>
  </si>
  <si>
    <t>na002185885</t>
  </si>
  <si>
    <t>HB 23855859-1</t>
  </si>
  <si>
    <t>HB 23855866-1</t>
  </si>
  <si>
    <t>na002185886</t>
  </si>
  <si>
    <t>HB 23413596-1</t>
  </si>
  <si>
    <t>HB 23413601-9</t>
  </si>
  <si>
    <t>HB 23413601-3</t>
  </si>
  <si>
    <t>HB 23413601-11</t>
  </si>
  <si>
    <t>na002185887</t>
  </si>
  <si>
    <t>HB23969807-1</t>
  </si>
  <si>
    <t>na002185888</t>
  </si>
  <si>
    <t>XUONG9</t>
  </si>
  <si>
    <t>na002185889</t>
  </si>
  <si>
    <t>na002185890</t>
  </si>
  <si>
    <t>HB 23945615-1</t>
  </si>
  <si>
    <t>HB 23767368-1</t>
  </si>
  <si>
    <t>HB 24143268-1</t>
  </si>
  <si>
    <t>na002185891</t>
  </si>
  <si>
    <t>HB 23426833-1</t>
  </si>
  <si>
    <t>na002185892</t>
  </si>
  <si>
    <t>HB 23687926-1</t>
  </si>
  <si>
    <t>na002185893</t>
  </si>
  <si>
    <t>HB 24020779-1</t>
  </si>
  <si>
    <t>na002185894</t>
  </si>
  <si>
    <t>HB 23166461-1</t>
  </si>
  <si>
    <t>na002185895</t>
  </si>
  <si>
    <t>HB 23676644-1</t>
  </si>
  <si>
    <t>na002185896</t>
  </si>
  <si>
    <t>HB 23426874-3</t>
  </si>
  <si>
    <t>na002185897</t>
  </si>
  <si>
    <t>HB 23426854-3</t>
  </si>
  <si>
    <t>na002185898</t>
  </si>
  <si>
    <t>HB 23940984-1</t>
  </si>
  <si>
    <t>na002185899</t>
  </si>
  <si>
    <t>HB 23586665-2</t>
  </si>
  <si>
    <t>na002185900</t>
  </si>
  <si>
    <t>HB 22883963-1</t>
  </si>
  <si>
    <t>na002185901</t>
  </si>
  <si>
    <t>HB 22953235-9</t>
  </si>
  <si>
    <t>na002185902</t>
  </si>
  <si>
    <t>HB 22948578-1</t>
  </si>
  <si>
    <t>X9</t>
  </si>
  <si>
    <t>na002185903</t>
  </si>
  <si>
    <t>HB 23767318-4</t>
  </si>
  <si>
    <t>na002185904</t>
  </si>
  <si>
    <t>1 PHONG BI DN DONG MOC GUI TONY</t>
  </si>
  <si>
    <t>na002185905</t>
  </si>
  <si>
    <t>1 PHONG BI CUA CS JUDY</t>
  </si>
  <si>
    <t>na002185907</t>
  </si>
  <si>
    <t>TUYET: 0942542000</t>
  </si>
  <si>
    <t>na002185906</t>
  </si>
  <si>
    <t>na002185908</t>
  </si>
  <si>
    <t>na002185909</t>
  </si>
  <si>
    <t>na002185910</t>
  </si>
  <si>
    <t>na002185911</t>
  </si>
  <si>
    <t>na002185912</t>
  </si>
  <si>
    <t>na002185913</t>
  </si>
  <si>
    <t>na002185914</t>
  </si>
  <si>
    <t>na002185915</t>
  </si>
  <si>
    <t>na002185916</t>
  </si>
  <si>
    <t>na002185917</t>
  </si>
  <si>
    <t>na002185918</t>
  </si>
  <si>
    <t>na002185919</t>
  </si>
  <si>
    <t>na002184054</t>
  </si>
  <si>
    <t>PHU CAP LAY HANG DEM 300.000VND</t>
  </si>
  <si>
    <t>24218999-1</t>
  </si>
  <si>
    <t>na002185920</t>
  </si>
  <si>
    <t>na002185921</t>
  </si>
  <si>
    <t>na002185922</t>
  </si>
  <si>
    <t>na002185923</t>
  </si>
  <si>
    <t>na002185924</t>
  </si>
  <si>
    <t>na002185925</t>
  </si>
  <si>
    <t>na002185926</t>
  </si>
  <si>
    <t>na002185927</t>
  </si>
  <si>
    <t>na002185928</t>
  </si>
  <si>
    <t>na002185782</t>
  </si>
  <si>
    <t>na002185783</t>
  </si>
  <si>
    <t>na002185784</t>
  </si>
  <si>
    <t>KEM 1 BO Chung tu</t>
  </si>
  <si>
    <t>na002185785</t>
  </si>
  <si>
    <t>na002185786</t>
  </si>
  <si>
    <t>na002185787</t>
  </si>
  <si>
    <t>Đồng Văn I Industrial Area - Duy Tiên - Hà Nam</t>
  </si>
  <si>
    <t>na002185788</t>
  </si>
  <si>
    <t>na002185789</t>
  </si>
  <si>
    <t>na002185790</t>
  </si>
  <si>
    <t>na002185791</t>
  </si>
  <si>
    <t>na002185792</t>
  </si>
  <si>
    <t>na002185793</t>
  </si>
  <si>
    <t>na002185794</t>
  </si>
  <si>
    <t>na002185795</t>
  </si>
  <si>
    <t>na002185796</t>
  </si>
  <si>
    <t>na002185797</t>
  </si>
  <si>
    <t>na002185798</t>
  </si>
  <si>
    <t>na002185799</t>
  </si>
  <si>
    <t>na002185800</t>
  </si>
  <si>
    <t>CHI DANG 0984388614
THUAN: 0167 814 8714</t>
  </si>
  <si>
    <t>na002185801</t>
  </si>
  <si>
    <t>na002185802</t>
  </si>
  <si>
    <t>na002185803</t>
  </si>
  <si>
    <t>1099160290
24269867-1+2+3</t>
  </si>
  <si>
    <t>na002185804</t>
  </si>
  <si>
    <t>na002185805</t>
  </si>
  <si>
    <t>SIGMA VN</t>
  </si>
  <si>
    <t>AV-AVI, KCN GIAO LONG II, AN PHUOC, CHAU THANH, BEN TRE</t>
  </si>
  <si>
    <t>na002185806</t>
  </si>
  <si>
    <t>na002185807</t>
  </si>
  <si>
    <t>na002185808</t>
  </si>
  <si>
    <t>na002185809</t>
  </si>
  <si>
    <t>na002185810</t>
  </si>
  <si>
    <t>na002185811</t>
  </si>
  <si>
    <t>na002185812</t>
  </si>
  <si>
    <t xml:space="preserve"> HB SO#24157173-3</t>
  </si>
  <si>
    <t>na002185813</t>
  </si>
  <si>
    <t>na002185814</t>
  </si>
  <si>
    <t>na002185815</t>
  </si>
  <si>
    <t>na002185816</t>
  </si>
  <si>
    <t>na002185817</t>
  </si>
  <si>
    <t>URGENT
HD 231</t>
  </si>
  <si>
    <t>na002185818</t>
  </si>
  <si>
    <t>na002185819</t>
  </si>
  <si>
    <t>na002185820</t>
  </si>
  <si>
    <t>na002185821</t>
  </si>
  <si>
    <t>na002185822</t>
  </si>
  <si>
    <t>na002185823</t>
  </si>
  <si>
    <t>na002185824</t>
  </si>
  <si>
    <t xml:space="preserve">NA002184027  </t>
  </si>
  <si>
    <t>LAY HANG CHU NHAT PHU CAP 300000</t>
  </si>
  <si>
    <t>24348437-1</t>
  </si>
  <si>
    <t>na002185825</t>
  </si>
  <si>
    <t>na002185826</t>
  </si>
  <si>
    <t>na002185827</t>
  </si>
  <si>
    <t>na002185829</t>
  </si>
  <si>
    <t>na002185830</t>
  </si>
  <si>
    <t>na002185831</t>
  </si>
  <si>
    <t>na002185832</t>
  </si>
  <si>
    <t>na002185833</t>
  </si>
  <si>
    <t>na002185834</t>
  </si>
  <si>
    <t>na002185835</t>
  </si>
  <si>
    <t>na002185836</t>
  </si>
  <si>
    <t>na002185837</t>
  </si>
  <si>
    <t>na002185838</t>
  </si>
  <si>
    <t>na002185839</t>
  </si>
  <si>
    <t>na002185840</t>
  </si>
  <si>
    <t>na002185841</t>
  </si>
  <si>
    <t>na002185842</t>
  </si>
  <si>
    <t>na002185843</t>
  </si>
  <si>
    <t>na002185844</t>
  </si>
  <si>
    <t>PHUONG: 01656565432</t>
  </si>
  <si>
    <t>na002185845</t>
  </si>
  <si>
    <t>na002185846</t>
  </si>
  <si>
    <t>na002185847</t>
  </si>
  <si>
    <t>na002185848</t>
  </si>
  <si>
    <t>na002185849</t>
  </si>
  <si>
    <t>KEM 1 BO CHUNG TU 24318169</t>
  </si>
  <si>
    <t>na002185850</t>
  </si>
  <si>
    <t>KEM 1 BO CHUNG TU 24257916</t>
  </si>
  <si>
    <t>na002185851</t>
  </si>
  <si>
    <t>na002185852</t>
  </si>
  <si>
    <t>na002185853</t>
  </si>
  <si>
    <t>TRUCK ETA 12/3</t>
  </si>
  <si>
    <t>1 PHONG BI DONG MOC DN</t>
  </si>
  <si>
    <t>na002185854</t>
  </si>
  <si>
    <t>1 PHONG BI CUA CS QUACH HOA</t>
  </si>
  <si>
    <t>na001655824</t>
  </si>
  <si>
    <t>MS MAI 0977 215 462</t>
  </si>
  <si>
    <t xml:space="preserve">MS Thuy – MR (pp5@nyhoaviet.com)
NY Hoa Viet Co, Ltd
Mobile:0974 195 205
</t>
  </si>
  <si>
    <t>na002185855</t>
  </si>
  <si>
    <t>na002185856</t>
  </si>
  <si>
    <t>na002185327</t>
  </si>
  <si>
    <t>na002185326</t>
  </si>
  <si>
    <t>na002185330</t>
  </si>
  <si>
    <t>na002185329</t>
  </si>
  <si>
    <t>1800642 : Xom Ngoi Cheo, Xa Nam Hoa, Huyen Dong Hy, Tinh Thai Nguyen-----VN</t>
  </si>
  <si>
    <t>DG VN</t>
  </si>
  <si>
    <t>ATTN : TRAN QUANG TUAN - Tel 0913-227271</t>
  </si>
  <si>
    <t>na002185332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</si>
</sst>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 #,##0_-;_-* &quot;-&quot;_-;_-@_-"/>
    <numFmt numFmtId="165" formatCode="_-* #,##0.00_-;\-* #,##0.00_-;_-* &quot;-&quot;??_-;_-@_-"/>
    <numFmt numFmtId="166" formatCode="_-* #,##0.00\ _₫_-;\-* #,##0.00\ _₫_-;_-* &quot;-&quot;??\ _₫_-;_-@_-"/>
  </numFmts>
  <fonts count="114">
    <font>
      <sz val="11"/>
      <color theme="1"/>
      <name val="Calibri"/>
      <family val="2"/>
      <scheme val="minor"/>
    </font>
    <font>
      <sz val="11"/>
      <color theme="1"/>
      <name val="Calibri"/>
      <family val="2"/>
      <scheme val="minor"/>
    </font>
    <font>
      <b/>
      <sz val="11"/>
      <color theme="1"/>
      <name val="Calibri"/>
      <family val="2"/>
      <scheme val="minor"/>
    </font>
    <font>
      <b/>
      <sz val="11"/>
      <name val="Times New Roman"/>
      <family val="1"/>
    </font>
    <font>
      <sz val="11"/>
      <color theme="1"/>
      <name val="Times New Roman"/>
      <family val="1"/>
    </font>
    <font>
      <b/>
      <sz val="11"/>
      <color rgb="FFFF0000"/>
      <name val="Times New Roman"/>
      <family val="1"/>
    </font>
    <font>
      <sz val="10"/>
      <name val="Times New Roman"/>
      <family val="1"/>
    </font>
    <font>
      <sz val="10"/>
      <color indexed="18"/>
      <name val="Arial"/>
      <family val="2"/>
    </font>
    <font>
      <b/>
      <sz val="10"/>
      <color indexed="20"/>
      <name val="Arial"/>
      <family val="2"/>
    </font>
    <font>
      <b/>
      <sz val="10"/>
      <name val="Times New Roman"/>
      <family val="1"/>
    </font>
    <font>
      <sz val="10"/>
      <color indexed="62"/>
      <name val="Times New Roman"/>
      <family val="1"/>
    </font>
    <font>
      <b/>
      <sz val="10"/>
      <color indexed="60"/>
      <name val="Arial"/>
      <family val="2"/>
    </font>
    <font>
      <b/>
      <sz val="10"/>
      <color indexed="12"/>
      <name val="Times New Roman"/>
      <family val="1"/>
    </font>
    <font>
      <sz val="10"/>
      <color indexed="12"/>
      <name val="Times New Roman"/>
      <family val="1"/>
    </font>
    <font>
      <b/>
      <sz val="10"/>
      <color indexed="18"/>
      <name val="Arial"/>
      <family val="2"/>
    </font>
    <font>
      <b/>
      <sz val="10"/>
      <color indexed="60"/>
      <name val="Times New Roman"/>
      <family val="1"/>
    </font>
    <font>
      <b/>
      <sz val="10"/>
      <name val="Arial"/>
      <family val="2"/>
    </font>
    <font>
      <b/>
      <sz val="10"/>
      <color indexed="14"/>
      <name val="Arial"/>
      <family val="2"/>
    </font>
    <font>
      <sz val="10"/>
      <name val="Arial"/>
      <family val="2"/>
    </font>
    <font>
      <b/>
      <sz val="10"/>
      <color indexed="12"/>
      <name val="Arial"/>
      <family val="2"/>
    </font>
    <font>
      <sz val="10"/>
      <color indexed="12"/>
      <name val="Arial"/>
      <family val="2"/>
    </font>
    <font>
      <sz val="12"/>
      <name val="Arial"/>
      <family val="2"/>
    </font>
    <font>
      <b/>
      <sz val="9"/>
      <name val="Arial"/>
      <family val="2"/>
    </font>
    <font>
      <sz val="10"/>
      <color rgb="FF0000FF"/>
      <name val="Tahoma"/>
      <family val="2"/>
    </font>
    <font>
      <b/>
      <sz val="10"/>
      <color indexed="10"/>
      <name val="Arial"/>
      <family val="2"/>
    </font>
    <font>
      <b/>
      <sz val="10"/>
      <color indexed="8"/>
      <name val="Arial"/>
      <family val="2"/>
    </font>
    <font>
      <sz val="12"/>
      <color rgb="FF000000"/>
      <name val="Arial"/>
      <family val="2"/>
    </font>
    <font>
      <sz val="12"/>
      <color rgb="FF1155CC"/>
      <name val="Arial"/>
      <family val="2"/>
    </font>
    <font>
      <b/>
      <sz val="8"/>
      <name val="Arial"/>
      <family val="2"/>
    </font>
    <font>
      <b/>
      <sz val="10"/>
      <color rgb="FF222222"/>
      <name val="Arial"/>
      <family val="2"/>
    </font>
    <font>
      <sz val="10"/>
      <color rgb="FF222222"/>
      <name val="Arial"/>
      <family val="2"/>
    </font>
    <font>
      <u/>
      <sz val="12"/>
      <color indexed="12"/>
      <name val="Times New Roman"/>
      <family val="1"/>
    </font>
    <font>
      <b/>
      <sz val="10"/>
      <color rgb="FFFF0000"/>
      <name val="Arial"/>
      <family val="2"/>
    </font>
    <font>
      <b/>
      <sz val="12"/>
      <name val="Times New Roman"/>
      <family val="1"/>
    </font>
    <font>
      <b/>
      <sz val="10"/>
      <color indexed="48"/>
      <name val="Arial"/>
      <family val="2"/>
    </font>
    <font>
      <sz val="12"/>
      <color rgb="FF222222"/>
      <name val="Arial"/>
      <family val="2"/>
    </font>
    <font>
      <sz val="10"/>
      <color indexed="8"/>
      <name val="Arial"/>
      <family val="2"/>
    </font>
    <font>
      <sz val="10"/>
      <name val="Sans-serif"/>
    </font>
    <font>
      <sz val="11"/>
      <name val="Calibri"/>
      <family val="2"/>
    </font>
    <font>
      <sz val="10"/>
      <color indexed="10"/>
      <name val="Arial"/>
      <family val="2"/>
    </font>
    <font>
      <b/>
      <sz val="13.5"/>
      <color rgb="FF003300"/>
      <name val="Arial"/>
      <family val="2"/>
    </font>
    <font>
      <sz val="10"/>
      <color indexed="10"/>
      <name val="Verdana"/>
      <family val="2"/>
    </font>
    <font>
      <sz val="12"/>
      <name val="Times New Roman"/>
      <family val="1"/>
    </font>
    <font>
      <sz val="10"/>
      <color rgb="FF000000"/>
      <name val="Arial"/>
      <family val="2"/>
    </font>
    <font>
      <sz val="25"/>
      <name val="Arial"/>
      <family val="2"/>
    </font>
    <font>
      <sz val="12"/>
      <color rgb="FF1F497D"/>
      <name val="Arial"/>
      <family val="2"/>
    </font>
    <font>
      <b/>
      <sz val="10"/>
      <color indexed="20"/>
      <name val="Verdana"/>
      <family val="2"/>
    </font>
    <font>
      <b/>
      <i/>
      <sz val="10"/>
      <color indexed="10"/>
      <name val="VNI-Times"/>
    </font>
    <font>
      <b/>
      <i/>
      <sz val="10"/>
      <color indexed="21"/>
      <name val="Arial"/>
      <family val="2"/>
    </font>
    <font>
      <sz val="10"/>
      <name val="Calibri"/>
      <family val="2"/>
    </font>
    <font>
      <sz val="7.5"/>
      <name val="Arial"/>
      <family val="2"/>
    </font>
    <font>
      <b/>
      <vertAlign val="superscript"/>
      <sz val="10"/>
      <color indexed="12"/>
      <name val="Times New Roman"/>
      <family val="1"/>
    </font>
    <font>
      <sz val="10"/>
      <color indexed="18"/>
      <name val="Times New Roman"/>
      <family val="1"/>
    </font>
    <font>
      <sz val="10"/>
      <name val="Verdana"/>
      <family val="2"/>
    </font>
    <font>
      <i/>
      <sz val="11"/>
      <color rgb="FF1F497D"/>
      <name val="Arial"/>
      <family val="2"/>
    </font>
    <font>
      <sz val="10"/>
      <color rgb="FF263238"/>
      <name val="Arial"/>
      <family val="2"/>
    </font>
    <font>
      <b/>
      <sz val="11"/>
      <name val="Arial"/>
      <family val="2"/>
    </font>
    <font>
      <b/>
      <sz val="10"/>
      <color indexed="16"/>
      <name val="Times New Roman"/>
      <family val="1"/>
    </font>
    <font>
      <b/>
      <sz val="10"/>
      <color indexed="10"/>
      <name val="Tahoma"/>
      <family val="2"/>
    </font>
    <font>
      <sz val="30"/>
      <name val="Arial"/>
      <family val="2"/>
    </font>
    <font>
      <b/>
      <sz val="10"/>
      <name val="新細明體"/>
    </font>
    <font>
      <sz val="10"/>
      <color rgb="FF000080"/>
      <name val="Arial"/>
      <family val="2"/>
    </font>
    <font>
      <b/>
      <sz val="9"/>
      <color rgb="FF222222"/>
      <name val="Times New Roman"/>
      <family val="1"/>
    </font>
    <font>
      <sz val="9"/>
      <color rgb="FF222222"/>
      <name val="Arial"/>
      <family val="2"/>
    </font>
    <font>
      <sz val="12"/>
      <color rgb="FF000000"/>
      <name val="Times New Roman"/>
      <family val="1"/>
    </font>
    <font>
      <sz val="10"/>
      <name val="Courier New"/>
      <family val="3"/>
    </font>
    <font>
      <b/>
      <sz val="10"/>
      <color indexed="20"/>
      <name val="Times New Roman"/>
      <family val="1"/>
    </font>
    <font>
      <b/>
      <sz val="10"/>
      <color indexed="20"/>
      <name val="Calibri"/>
      <family val="2"/>
    </font>
    <font>
      <sz val="12"/>
      <color rgb="FF3F8080"/>
      <name val="Arial"/>
      <family val="2"/>
    </font>
    <font>
      <sz val="11"/>
      <name val="Arial"/>
      <family val="2"/>
    </font>
    <font>
      <b/>
      <sz val="12"/>
      <name val="Arial"/>
      <family val="2"/>
    </font>
    <font>
      <sz val="14"/>
      <name val="Times New Roman"/>
      <family val="1"/>
    </font>
    <font>
      <sz val="10"/>
      <color rgb="FF222222"/>
      <name val="Times New Roman"/>
      <family val="1"/>
    </font>
    <font>
      <sz val="11"/>
      <color rgb="FF1155CC"/>
      <name val="Calibri"/>
      <family val="2"/>
    </font>
    <font>
      <sz val="12"/>
      <color rgb="FF222222"/>
      <name val="Times New Roman"/>
      <family val="1"/>
    </font>
    <font>
      <sz val="12"/>
      <color rgb="FF1155CC"/>
      <name val="Times New Roman"/>
      <family val="1"/>
    </font>
    <font>
      <sz val="10"/>
      <color rgb="FF222222"/>
      <name val="Calibri"/>
      <family val="2"/>
    </font>
    <font>
      <b/>
      <sz val="9"/>
      <color rgb="FF1F497D"/>
      <name val="Calibri"/>
      <family val="2"/>
    </font>
    <font>
      <sz val="11"/>
      <color rgb="FF1F497D"/>
      <name val="Calibri"/>
      <family val="2"/>
    </font>
    <font>
      <i/>
      <sz val="10"/>
      <name val="Arial"/>
      <family val="2"/>
    </font>
    <font>
      <b/>
      <sz val="8"/>
      <color indexed="81"/>
      <name val="Tahoma"/>
      <family val="2"/>
    </font>
    <font>
      <sz val="8"/>
      <color indexed="81"/>
      <name val="Tahoma"/>
      <family val="2"/>
    </font>
    <font>
      <b/>
      <sz val="11"/>
      <color theme="1"/>
      <name val="Times New Roman"/>
      <family val="1"/>
    </font>
    <font>
      <b/>
      <sz val="11"/>
      <color theme="3"/>
      <name val="Times New Roman"/>
      <family val="1"/>
    </font>
    <font>
      <b/>
      <sz val="30"/>
      <color theme="1"/>
      <name val="Times New Roman"/>
      <family val="1"/>
    </font>
    <font>
      <sz val="20"/>
      <name val="Arial"/>
      <family val="2"/>
    </font>
    <font>
      <sz val="10"/>
      <color theme="1"/>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charset val="163"/>
    </font>
    <font>
      <sz val="12"/>
      <name val="新細明體"/>
      <family val="1"/>
      <charset val="136"/>
    </font>
    <font>
      <sz val="11"/>
      <color indexed="8"/>
      <name val="Calibri"/>
      <family val="2"/>
    </font>
    <font>
      <sz val="18"/>
      <color theme="1"/>
      <name val="Calibri"/>
      <family val="2"/>
      <scheme val="minor"/>
    </font>
    <font>
      <sz val="10"/>
      <name val="MS Sans Serif"/>
      <family val="2"/>
    </font>
    <font>
      <u/>
      <sz val="11"/>
      <color theme="10"/>
      <name val="Calibri"/>
      <family val="2"/>
    </font>
    <font>
      <b/>
      <sz val="25"/>
      <name val="Arial"/>
      <family val="2"/>
    </font>
    <font>
      <b/>
      <sz val="15"/>
      <name val="Arial"/>
      <family val="2"/>
    </font>
    <font>
      <sz val="15"/>
      <name val="Arial"/>
      <family val="2"/>
    </font>
    <font>
      <sz val="50"/>
      <name val="Arial"/>
      <family val="2"/>
    </font>
    <font>
      <sz val="12"/>
      <color rgb="FF9C0006"/>
      <name val="Times New Roman"/>
      <family val="1"/>
    </font>
    <font>
      <sz val="10"/>
      <color theme="1"/>
      <name val="1099144281"/>
    </font>
  </fonts>
  <fills count="42">
    <fill>
      <patternFill patternType="none"/>
    </fill>
    <fill>
      <patternFill patternType="gray125"/>
    </fill>
    <fill>
      <patternFill patternType="solid">
        <fgColor indexed="42"/>
        <bgColor indexed="64"/>
      </patternFill>
    </fill>
    <fill>
      <patternFill patternType="solid">
        <fgColor theme="0"/>
        <bgColor indexed="64"/>
      </patternFill>
    </fill>
    <fill>
      <patternFill patternType="solid">
        <fgColor indexed="41"/>
        <bgColor indexed="64"/>
      </patternFill>
    </fill>
    <fill>
      <patternFill patternType="solid">
        <fgColor rgb="FFFF000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7CE"/>
        <bgColor indexed="64"/>
      </patternFill>
    </fill>
  </fills>
  <borders count="2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bottom style="thin">
        <color indexed="64"/>
      </bottom>
      <diagonal/>
    </border>
    <border>
      <left/>
      <right style="double">
        <color indexed="64"/>
      </right>
      <top/>
      <bottom/>
      <diagonal/>
    </border>
    <border>
      <left style="double">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diagonal style="hair">
        <color auto="1"/>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472">
    <xf numFmtId="0" fontId="0" fillId="0" borderId="0"/>
    <xf numFmtId="43" fontId="1" fillId="0" borderId="0" applyFont="0" applyFill="0" applyBorder="0" applyAlignment="0" applyProtection="0"/>
    <xf numFmtId="0" fontId="1" fillId="0" borderId="0"/>
    <xf numFmtId="0" fontId="31" fillId="0" borderId="0" applyNumberFormat="0" applyFill="0" applyBorder="0" applyAlignment="0" applyProtection="0">
      <alignment vertical="top"/>
      <protection locked="0"/>
    </xf>
    <xf numFmtId="0" fontId="1" fillId="0" borderId="0"/>
    <xf numFmtId="0" fontId="1" fillId="0" borderId="0"/>
    <xf numFmtId="0" fontId="1" fillId="0" borderId="0"/>
    <xf numFmtId="0" fontId="42" fillId="0" borderId="0"/>
    <xf numFmtId="0" fontId="1" fillId="0" borderId="0"/>
    <xf numFmtId="0" fontId="18" fillId="0" borderId="20" quotePrefix="1">
      <alignment horizontal="justify" vertical="justify" textRotation="255" wrapText="1" justifyLastLine="1"/>
      <protection hidden="1"/>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8" fillId="0" borderId="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01" fillId="20" borderId="0" applyNumberFormat="0" applyBorder="0" applyAlignment="0" applyProtection="0"/>
    <xf numFmtId="0" fontId="101" fillId="20" borderId="0" applyNumberFormat="0" applyBorder="0" applyAlignment="0" applyProtection="0"/>
    <xf numFmtId="0" fontId="101" fillId="20" borderId="0" applyNumberFormat="0" applyBorder="0" applyAlignment="0" applyProtection="0"/>
    <xf numFmtId="0" fontId="101" fillId="20" borderId="0" applyNumberFormat="0" applyBorder="0" applyAlignment="0" applyProtection="0"/>
    <xf numFmtId="0" fontId="101" fillId="20" borderId="0" applyNumberFormat="0" applyBorder="0" applyAlignment="0" applyProtection="0"/>
    <xf numFmtId="0" fontId="101" fillId="20" borderId="0" applyNumberFormat="0" applyBorder="0" applyAlignment="0" applyProtection="0"/>
    <xf numFmtId="0" fontId="101" fillId="20" borderId="0" applyNumberFormat="0" applyBorder="0" applyAlignment="0" applyProtection="0"/>
    <xf numFmtId="0" fontId="101" fillId="24" borderId="0" applyNumberFormat="0" applyBorder="0" applyAlignment="0" applyProtection="0"/>
    <xf numFmtId="0" fontId="101" fillId="24" borderId="0" applyNumberFormat="0" applyBorder="0" applyAlignment="0" applyProtection="0"/>
    <xf numFmtId="0" fontId="101" fillId="24" borderId="0" applyNumberFormat="0" applyBorder="0" applyAlignment="0" applyProtection="0"/>
    <xf numFmtId="0" fontId="101" fillId="24" borderId="0" applyNumberFormat="0" applyBorder="0" applyAlignment="0" applyProtection="0"/>
    <xf numFmtId="0" fontId="101" fillId="24" borderId="0" applyNumberFormat="0" applyBorder="0" applyAlignment="0" applyProtection="0"/>
    <xf numFmtId="0" fontId="101" fillId="24" borderId="0" applyNumberFormat="0" applyBorder="0" applyAlignment="0" applyProtection="0"/>
    <xf numFmtId="0" fontId="101" fillId="24" borderId="0" applyNumberFormat="0" applyBorder="0" applyAlignment="0" applyProtection="0"/>
    <xf numFmtId="0" fontId="101" fillId="28" borderId="0" applyNumberFormat="0" applyBorder="0" applyAlignment="0" applyProtection="0"/>
    <xf numFmtId="0" fontId="101" fillId="28" borderId="0" applyNumberFormat="0" applyBorder="0" applyAlignment="0" applyProtection="0"/>
    <xf numFmtId="0" fontId="101" fillId="28" borderId="0" applyNumberFormat="0" applyBorder="0" applyAlignment="0" applyProtection="0"/>
    <xf numFmtId="0" fontId="101" fillId="28" borderId="0" applyNumberFormat="0" applyBorder="0" applyAlignment="0" applyProtection="0"/>
    <xf numFmtId="0" fontId="101" fillId="28" borderId="0" applyNumberFormat="0" applyBorder="0" applyAlignment="0" applyProtection="0"/>
    <xf numFmtId="0" fontId="101" fillId="28" borderId="0" applyNumberFormat="0" applyBorder="0" applyAlignment="0" applyProtection="0"/>
    <xf numFmtId="0" fontId="101" fillId="28"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2"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101" fillId="40" borderId="0" applyNumberFormat="0" applyBorder="0" applyAlignment="0" applyProtection="0"/>
    <xf numFmtId="0" fontId="101" fillId="40" borderId="0" applyNumberFormat="0" applyBorder="0" applyAlignment="0" applyProtection="0"/>
    <xf numFmtId="0" fontId="101" fillId="40" borderId="0" applyNumberFormat="0" applyBorder="0" applyAlignment="0" applyProtection="0"/>
    <xf numFmtId="0" fontId="101" fillId="40" borderId="0" applyNumberFormat="0" applyBorder="0" applyAlignment="0" applyProtection="0"/>
    <xf numFmtId="0" fontId="101" fillId="40" borderId="0" applyNumberFormat="0" applyBorder="0" applyAlignment="0" applyProtection="0"/>
    <xf numFmtId="0" fontId="101" fillId="40" borderId="0" applyNumberFormat="0" applyBorder="0" applyAlignment="0" applyProtection="0"/>
    <xf numFmtId="0" fontId="101" fillId="40" borderId="0" applyNumberFormat="0" applyBorder="0" applyAlignment="0" applyProtection="0"/>
    <xf numFmtId="0" fontId="101" fillId="17" borderId="0" applyNumberFormat="0" applyBorder="0" applyAlignment="0" applyProtection="0"/>
    <xf numFmtId="0" fontId="101" fillId="17" borderId="0" applyNumberFormat="0" applyBorder="0" applyAlignment="0" applyProtection="0"/>
    <xf numFmtId="0" fontId="101" fillId="17" borderId="0" applyNumberFormat="0" applyBorder="0" applyAlignment="0" applyProtection="0"/>
    <xf numFmtId="0" fontId="101" fillId="17" borderId="0" applyNumberFormat="0" applyBorder="0" applyAlignment="0" applyProtection="0"/>
    <xf numFmtId="0" fontId="101" fillId="17" borderId="0" applyNumberFormat="0" applyBorder="0" applyAlignment="0" applyProtection="0"/>
    <xf numFmtId="0" fontId="101" fillId="17" borderId="0" applyNumberFormat="0" applyBorder="0" applyAlignment="0" applyProtection="0"/>
    <xf numFmtId="0" fontId="101" fillId="17" borderId="0" applyNumberFormat="0" applyBorder="0" applyAlignment="0" applyProtection="0"/>
    <xf numFmtId="0" fontId="101" fillId="21" borderId="0" applyNumberFormat="0" applyBorder="0" applyAlignment="0" applyProtection="0"/>
    <xf numFmtId="0" fontId="101" fillId="21" borderId="0" applyNumberFormat="0" applyBorder="0" applyAlignment="0" applyProtection="0"/>
    <xf numFmtId="0" fontId="101" fillId="21" borderId="0" applyNumberFormat="0" applyBorder="0" applyAlignment="0" applyProtection="0"/>
    <xf numFmtId="0" fontId="101" fillId="21" borderId="0" applyNumberFormat="0" applyBorder="0" applyAlignment="0" applyProtection="0"/>
    <xf numFmtId="0" fontId="101" fillId="21" borderId="0" applyNumberFormat="0" applyBorder="0" applyAlignment="0" applyProtection="0"/>
    <xf numFmtId="0" fontId="101" fillId="21" borderId="0" applyNumberFormat="0" applyBorder="0" applyAlignment="0" applyProtection="0"/>
    <xf numFmtId="0" fontId="101" fillId="21" borderId="0" applyNumberFormat="0" applyBorder="0" applyAlignment="0" applyProtection="0"/>
    <xf numFmtId="0" fontId="101" fillId="25" borderId="0" applyNumberFormat="0" applyBorder="0" applyAlignment="0" applyProtection="0"/>
    <xf numFmtId="0" fontId="101" fillId="25" borderId="0" applyNumberFormat="0" applyBorder="0" applyAlignment="0" applyProtection="0"/>
    <xf numFmtId="0" fontId="101" fillId="25" borderId="0" applyNumberFormat="0" applyBorder="0" applyAlignment="0" applyProtection="0"/>
    <xf numFmtId="0" fontId="101" fillId="25" borderId="0" applyNumberFormat="0" applyBorder="0" applyAlignment="0" applyProtection="0"/>
    <xf numFmtId="0" fontId="101" fillId="25" borderId="0" applyNumberFormat="0" applyBorder="0" applyAlignment="0" applyProtection="0"/>
    <xf numFmtId="0" fontId="101" fillId="25" borderId="0" applyNumberFormat="0" applyBorder="0" applyAlignment="0" applyProtection="0"/>
    <xf numFmtId="0" fontId="101" fillId="25" borderId="0" applyNumberFormat="0" applyBorder="0" applyAlignment="0" applyProtection="0"/>
    <xf numFmtId="0" fontId="101" fillId="29" borderId="0" applyNumberFormat="0" applyBorder="0" applyAlignment="0" applyProtection="0"/>
    <xf numFmtId="0" fontId="101" fillId="29" borderId="0" applyNumberFormat="0" applyBorder="0" applyAlignment="0" applyProtection="0"/>
    <xf numFmtId="0" fontId="101" fillId="29" borderId="0" applyNumberFormat="0" applyBorder="0" applyAlignment="0" applyProtection="0"/>
    <xf numFmtId="0" fontId="101" fillId="29" borderId="0" applyNumberFormat="0" applyBorder="0" applyAlignment="0" applyProtection="0"/>
    <xf numFmtId="0" fontId="101" fillId="29" borderId="0" applyNumberFormat="0" applyBorder="0" applyAlignment="0" applyProtection="0"/>
    <xf numFmtId="0" fontId="101" fillId="29" borderId="0" applyNumberFormat="0" applyBorder="0" applyAlignment="0" applyProtection="0"/>
    <xf numFmtId="0" fontId="101" fillId="29"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3"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101" fillId="37" borderId="0" applyNumberFormat="0" applyBorder="0" applyAlignment="0" applyProtection="0"/>
    <xf numFmtId="0" fontId="92" fillId="11" borderId="0" applyNumberFormat="0" applyBorder="0" applyAlignment="0" applyProtection="0"/>
    <xf numFmtId="0" fontId="92" fillId="11" borderId="0" applyNumberFormat="0" applyBorder="0" applyAlignment="0" applyProtection="0"/>
    <xf numFmtId="0" fontId="92" fillId="11" borderId="0" applyNumberFormat="0" applyBorder="0" applyAlignment="0" applyProtection="0"/>
    <xf numFmtId="0" fontId="92" fillId="11" borderId="0" applyNumberFormat="0" applyBorder="0" applyAlignment="0" applyProtection="0"/>
    <xf numFmtId="0" fontId="92" fillId="11" borderId="0" applyNumberFormat="0" applyBorder="0" applyAlignment="0" applyProtection="0"/>
    <xf numFmtId="0" fontId="92" fillId="11" borderId="0" applyNumberFormat="0" applyBorder="0" applyAlignment="0" applyProtection="0"/>
    <xf numFmtId="0" fontId="92" fillId="11" borderId="0" applyNumberFormat="0" applyBorder="0" applyAlignment="0" applyProtection="0"/>
    <xf numFmtId="0" fontId="96" fillId="14" borderId="14" applyNumberFormat="0" applyAlignment="0" applyProtection="0"/>
    <xf numFmtId="0" fontId="96" fillId="14" borderId="14" applyNumberFormat="0" applyAlignment="0" applyProtection="0"/>
    <xf numFmtId="0" fontId="96" fillId="14" borderId="14" applyNumberFormat="0" applyAlignment="0" applyProtection="0"/>
    <xf numFmtId="0" fontId="96" fillId="14" borderId="14" applyNumberFormat="0" applyAlignment="0" applyProtection="0"/>
    <xf numFmtId="0" fontId="96" fillId="14" borderId="14" applyNumberFormat="0" applyAlignment="0" applyProtection="0"/>
    <xf numFmtId="0" fontId="96" fillId="14" borderId="14" applyNumberFormat="0" applyAlignment="0" applyProtection="0"/>
    <xf numFmtId="0" fontId="96" fillId="14" borderId="14" applyNumberFormat="0" applyAlignment="0" applyProtection="0"/>
    <xf numFmtId="0" fontId="98" fillId="15" borderId="17" applyNumberFormat="0" applyAlignment="0" applyProtection="0"/>
    <xf numFmtId="0" fontId="98" fillId="15" borderId="17" applyNumberFormat="0" applyAlignment="0" applyProtection="0"/>
    <xf numFmtId="0" fontId="98" fillId="15" borderId="17" applyNumberFormat="0" applyAlignment="0" applyProtection="0"/>
    <xf numFmtId="0" fontId="98" fillId="15" borderId="17" applyNumberFormat="0" applyAlignment="0" applyProtection="0"/>
    <xf numFmtId="0" fontId="98" fillId="15" borderId="17" applyNumberFormat="0" applyAlignment="0" applyProtection="0"/>
    <xf numFmtId="0" fontId="98" fillId="15" borderId="17" applyNumberFormat="0" applyAlignment="0" applyProtection="0"/>
    <xf numFmtId="0" fontId="98" fillId="15" borderId="17" applyNumberFormat="0" applyAlignment="0" applyProtection="0"/>
    <xf numFmtId="164" fontId="10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165" fontId="103" fillId="0" borderId="0" applyFont="0" applyFill="0" applyBorder="0" applyAlignment="0" applyProtection="0">
      <alignment vertical="center"/>
    </xf>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91" fillId="10" borderId="0" applyNumberFormat="0" applyBorder="0" applyAlignment="0" applyProtection="0"/>
    <xf numFmtId="0" fontId="91" fillId="10" borderId="0" applyNumberFormat="0" applyBorder="0" applyAlignment="0" applyProtection="0"/>
    <xf numFmtId="0" fontId="91" fillId="10" borderId="0" applyNumberFormat="0" applyBorder="0" applyAlignment="0" applyProtection="0"/>
    <xf numFmtId="0" fontId="91" fillId="10" borderId="0" applyNumberFormat="0" applyBorder="0" applyAlignment="0" applyProtection="0"/>
    <xf numFmtId="0" fontId="91" fillId="10" borderId="0" applyNumberFormat="0" applyBorder="0" applyAlignment="0" applyProtection="0"/>
    <xf numFmtId="0" fontId="91" fillId="10" borderId="0" applyNumberFormat="0" applyBorder="0" applyAlignment="0" applyProtection="0"/>
    <xf numFmtId="0" fontId="91" fillId="10" borderId="0" applyNumberFormat="0" applyBorder="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8" fillId="0" borderId="11" applyNumberFormat="0" applyFill="0" applyAlignment="0" applyProtection="0"/>
    <xf numFmtId="0" fontId="89" fillId="0" borderId="12" applyNumberFormat="0" applyFill="0" applyAlignment="0" applyProtection="0"/>
    <xf numFmtId="0" fontId="89" fillId="0" borderId="12" applyNumberFormat="0" applyFill="0" applyAlignment="0" applyProtection="0"/>
    <xf numFmtId="0" fontId="89" fillId="0" borderId="12" applyNumberFormat="0" applyFill="0" applyAlignment="0" applyProtection="0"/>
    <xf numFmtId="0" fontId="89" fillId="0" borderId="12" applyNumberFormat="0" applyFill="0" applyAlignment="0" applyProtection="0"/>
    <xf numFmtId="0" fontId="89" fillId="0" borderId="12" applyNumberFormat="0" applyFill="0" applyAlignment="0" applyProtection="0"/>
    <xf numFmtId="0" fontId="89" fillId="0" borderId="12" applyNumberFormat="0" applyFill="0" applyAlignment="0" applyProtection="0"/>
    <xf numFmtId="0" fontId="89" fillId="0" borderId="12" applyNumberFormat="0" applyFill="0" applyAlignment="0" applyProtection="0"/>
    <xf numFmtId="0" fontId="90" fillId="0" borderId="13" applyNumberFormat="0" applyFill="0" applyAlignment="0" applyProtection="0"/>
    <xf numFmtId="0" fontId="90" fillId="0" borderId="13" applyNumberFormat="0" applyFill="0" applyAlignment="0" applyProtection="0"/>
    <xf numFmtId="0" fontId="90" fillId="0" borderId="13" applyNumberFormat="0" applyFill="0" applyAlignment="0" applyProtection="0"/>
    <xf numFmtId="0" fontId="90" fillId="0" borderId="13" applyNumberFormat="0" applyFill="0" applyAlignment="0" applyProtection="0"/>
    <xf numFmtId="0" fontId="90" fillId="0" borderId="13" applyNumberFormat="0" applyFill="0" applyAlignment="0" applyProtection="0"/>
    <xf numFmtId="0" fontId="90" fillId="0" borderId="13" applyNumberFormat="0" applyFill="0" applyAlignment="0" applyProtection="0"/>
    <xf numFmtId="0" fontId="90" fillId="0" borderId="13" applyNumberFormat="0" applyFill="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4" fillId="13" borderId="14" applyNumberFormat="0" applyAlignment="0" applyProtection="0"/>
    <xf numFmtId="0" fontId="94" fillId="13" borderId="14" applyNumberFormat="0" applyAlignment="0" applyProtection="0"/>
    <xf numFmtId="0" fontId="94" fillId="13" borderId="14" applyNumberFormat="0" applyAlignment="0" applyProtection="0"/>
    <xf numFmtId="0" fontId="94" fillId="13" borderId="14" applyNumberFormat="0" applyAlignment="0" applyProtection="0"/>
    <xf numFmtId="0" fontId="94" fillId="13" borderId="14" applyNumberFormat="0" applyAlignment="0" applyProtection="0"/>
    <xf numFmtId="0" fontId="94" fillId="13" borderId="14" applyNumberFormat="0" applyAlignment="0" applyProtection="0"/>
    <xf numFmtId="0" fontId="94" fillId="13" borderId="14" applyNumberFormat="0" applyAlignment="0" applyProtection="0"/>
    <xf numFmtId="0" fontId="97" fillId="0" borderId="16" applyNumberFormat="0" applyFill="0" applyAlignment="0" applyProtection="0"/>
    <xf numFmtId="0" fontId="97" fillId="0" borderId="16" applyNumberFormat="0" applyFill="0" applyAlignment="0" applyProtection="0"/>
    <xf numFmtId="0" fontId="97" fillId="0" borderId="16" applyNumberFormat="0" applyFill="0" applyAlignment="0" applyProtection="0"/>
    <xf numFmtId="0" fontId="97" fillId="0" borderId="16" applyNumberFormat="0" applyFill="0" applyAlignment="0" applyProtection="0"/>
    <xf numFmtId="0" fontId="97" fillId="0" borderId="16" applyNumberFormat="0" applyFill="0" applyAlignment="0" applyProtection="0"/>
    <xf numFmtId="0" fontId="97" fillId="0" borderId="16" applyNumberFormat="0" applyFill="0" applyAlignment="0" applyProtection="0"/>
    <xf numFmtId="0" fontId="97" fillId="0" borderId="16" applyNumberFormat="0" applyFill="0" applyAlignment="0" applyProtection="0"/>
    <xf numFmtId="0" fontId="93" fillId="12" borderId="0" applyNumberFormat="0" applyBorder="0" applyAlignment="0" applyProtection="0"/>
    <xf numFmtId="0" fontId="93" fillId="12" borderId="0" applyNumberFormat="0" applyBorder="0" applyAlignment="0" applyProtection="0"/>
    <xf numFmtId="0" fontId="93" fillId="12" borderId="0" applyNumberFormat="0" applyBorder="0" applyAlignment="0" applyProtection="0"/>
    <xf numFmtId="0" fontId="93" fillId="12" borderId="0" applyNumberFormat="0" applyBorder="0" applyAlignment="0" applyProtection="0"/>
    <xf numFmtId="0" fontId="93" fillId="12" borderId="0" applyNumberFormat="0" applyBorder="0" applyAlignment="0" applyProtection="0"/>
    <xf numFmtId="0" fontId="93" fillId="12" borderId="0" applyNumberFormat="0" applyBorder="0" applyAlignment="0" applyProtection="0"/>
    <xf numFmtId="0" fontId="93" fillId="12" borderId="0" applyNumberFormat="0" applyBorder="0" applyAlignment="0" applyProtection="0"/>
    <xf numFmtId="0" fontId="104" fillId="0" borderId="0"/>
    <xf numFmtId="0" fontId="104" fillId="0" borderId="0"/>
    <xf numFmtId="0" fontId="104" fillId="0" borderId="0"/>
    <xf numFmtId="0" fontId="1" fillId="0" borderId="0"/>
    <xf numFmtId="0" fontId="104" fillId="0" borderId="0"/>
    <xf numFmtId="0" fontId="104" fillId="0" borderId="0"/>
    <xf numFmtId="0" fontId="104" fillId="0" borderId="0"/>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05" fillId="0" borderId="0"/>
    <xf numFmtId="0" fontId="18" fillId="0" borderId="20" quotePrefix="1">
      <alignment horizontal="justify" vertical="justify" textRotation="255" wrapText="1" justifyLastLine="1"/>
      <protection hidden="1"/>
    </xf>
    <xf numFmtId="0" fontId="103" fillId="0" borderId="0">
      <alignment vertical="center"/>
    </xf>
    <xf numFmtId="0" fontId="105" fillId="0" borderId="0"/>
    <xf numFmtId="0" fontId="105" fillId="0" borderId="0"/>
    <xf numFmtId="0" fontId="18" fillId="0" borderId="0"/>
    <xf numFmtId="0" fontId="105" fillId="0" borderId="0"/>
    <xf numFmtId="0" fontId="18" fillId="0" borderId="0">
      <alignment vertical="top"/>
    </xf>
    <xf numFmtId="0" fontId="104" fillId="0" borderId="0"/>
    <xf numFmtId="0" fontId="104" fillId="0" borderId="0"/>
    <xf numFmtId="0" fontId="18" fillId="0" borderId="0"/>
    <xf numFmtId="0" fontId="104" fillId="16" borderId="18" applyNumberFormat="0" applyFont="0" applyAlignment="0" applyProtection="0"/>
    <xf numFmtId="0" fontId="104" fillId="16" borderId="18" applyNumberFormat="0" applyFont="0" applyAlignment="0" applyProtection="0"/>
    <xf numFmtId="0" fontId="104" fillId="16" borderId="18" applyNumberFormat="0" applyFont="0" applyAlignment="0" applyProtection="0"/>
    <xf numFmtId="0" fontId="104" fillId="16" borderId="18" applyNumberFormat="0" applyFont="0" applyAlignment="0" applyProtection="0"/>
    <xf numFmtId="0" fontId="104" fillId="16" borderId="18" applyNumberFormat="0" applyFont="0" applyAlignment="0" applyProtection="0"/>
    <xf numFmtId="0" fontId="104" fillId="16" borderId="18" applyNumberFormat="0" applyFont="0" applyAlignment="0" applyProtection="0"/>
    <xf numFmtId="0" fontId="1" fillId="16" borderId="18" applyNumberFormat="0" applyFont="0" applyAlignment="0" applyProtection="0"/>
    <xf numFmtId="0" fontId="95" fillId="14" borderId="15" applyNumberFormat="0" applyAlignment="0" applyProtection="0"/>
    <xf numFmtId="0" fontId="95" fillId="14" borderId="15" applyNumberFormat="0" applyAlignment="0" applyProtection="0"/>
    <xf numFmtId="0" fontId="95" fillId="14" borderId="15" applyNumberFormat="0" applyAlignment="0" applyProtection="0"/>
    <xf numFmtId="0" fontId="95" fillId="14" borderId="15" applyNumberFormat="0" applyAlignment="0" applyProtection="0"/>
    <xf numFmtId="0" fontId="95" fillId="14" borderId="15" applyNumberFormat="0" applyAlignment="0" applyProtection="0"/>
    <xf numFmtId="0" fontId="95" fillId="14" borderId="15" applyNumberFormat="0" applyAlignment="0" applyProtection="0"/>
    <xf numFmtId="0" fontId="95" fillId="14" borderId="15" applyNumberFormat="0" applyAlignment="0" applyProtection="0"/>
    <xf numFmtId="9" fontId="18" fillId="0" borderId="0" applyFont="0" applyFill="0" applyBorder="0" applyAlignment="0" applyProtection="0"/>
    <xf numFmtId="0" fontId="10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2"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18" fillId="0" borderId="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5" fontId="103" fillId="0" borderId="0" applyFont="0" applyFill="0" applyBorder="0" applyAlignment="0" applyProtection="0">
      <alignment vertical="center"/>
    </xf>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107" fillId="0" borderId="0" applyNumberFormat="0" applyFill="0" applyBorder="0" applyAlignment="0" applyProtection="0">
      <alignment vertical="top"/>
      <protection locked="0"/>
    </xf>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 fillId="0" borderId="0"/>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21" fillId="0" borderId="0"/>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8" fillId="0" borderId="20" quotePrefix="1">
      <alignment horizontal="justify" vertical="justify" textRotation="255" wrapText="1" justifyLastLine="1"/>
      <protection hidden="1"/>
    </xf>
    <xf numFmtId="0" fontId="18" fillId="0" borderId="0"/>
    <xf numFmtId="0" fontId="18" fillId="0" borderId="0"/>
    <xf numFmtId="0" fontId="18" fillId="0" borderId="20" quotePrefix="1">
      <alignment horizontal="justify" vertical="justify" textRotation="255" wrapText="1" justifyLastLine="1"/>
      <protection hidden="1"/>
    </xf>
    <xf numFmtId="0" fontId="18" fillId="0" borderId="0"/>
    <xf numFmtId="0" fontId="18" fillId="0" borderId="20" quotePrefix="1">
      <alignment horizontal="justify" vertical="justify" textRotation="255" wrapText="1" justifyLastLine="1"/>
      <protection hidden="1"/>
    </xf>
    <xf numFmtId="0" fontId="18" fillId="0" borderId="0"/>
    <xf numFmtId="0" fontId="18" fillId="0" borderId="20" quotePrefix="1">
      <alignment horizontal="justify" vertical="justify" textRotation="255" wrapText="1" justifyLastLine="1"/>
      <protection hidden="1"/>
    </xf>
    <xf numFmtId="0" fontId="18" fillId="0" borderId="0"/>
    <xf numFmtId="0" fontId="18" fillId="0" borderId="20" quotePrefix="1">
      <alignment horizontal="justify" vertical="justify" textRotation="255" wrapText="1" justifyLastLine="1"/>
      <protection hidden="1"/>
    </xf>
    <xf numFmtId="166"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0" fontId="1" fillId="0" borderId="0"/>
  </cellStyleXfs>
  <cellXfs count="288">
    <xf numFmtId="0" fontId="0" fillId="0" borderId="0" xfId="0"/>
    <xf numFmtId="0" fontId="6" fillId="0" borderId="0" xfId="0" applyFont="1" applyAlignment="1">
      <alignment vertical="center" wrapText="1"/>
    </xf>
    <xf numFmtId="0" fontId="7" fillId="0" borderId="3" xfId="0" applyFont="1" applyBorder="1" applyAlignment="1"/>
    <xf numFmtId="0" fontId="7" fillId="0" borderId="4" xfId="0" applyFont="1" applyBorder="1" applyAlignment="1"/>
    <xf numFmtId="0" fontId="9" fillId="4" borderId="0" xfId="0" applyFont="1" applyFill="1" applyAlignment="1">
      <alignment horizontal="center" vertical="center"/>
    </xf>
    <xf numFmtId="0" fontId="6" fillId="0" borderId="0" xfId="0" applyFont="1"/>
    <xf numFmtId="0" fontId="10" fillId="0" borderId="0" xfId="0" applyFont="1"/>
    <xf numFmtId="0" fontId="11" fillId="0" borderId="0" xfId="0" applyFont="1"/>
    <xf numFmtId="0" fontId="9" fillId="0" borderId="0" xfId="0" applyFont="1" applyAlignment="1">
      <alignment horizontal="center" vertical="center"/>
    </xf>
    <xf numFmtId="0" fontId="7" fillId="0" borderId="0" xfId="0" applyFont="1" applyBorder="1" applyAlignment="1"/>
    <xf numFmtId="0" fontId="15"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xf numFmtId="0" fontId="18" fillId="0" borderId="0" xfId="0" applyFont="1" applyAlignment="1">
      <alignment horizontal="center" vertical="center" wrapText="1"/>
    </xf>
    <xf numFmtId="0" fontId="8" fillId="0" borderId="0" xfId="0" applyFont="1" applyAlignment="1">
      <alignment horizontal="center"/>
    </xf>
    <xf numFmtId="0" fontId="9" fillId="0" borderId="0" xfId="0" applyFont="1" applyAlignment="1">
      <alignment horizontal="center" vertical="center" wrapText="1"/>
    </xf>
    <xf numFmtId="0" fontId="6" fillId="0" borderId="0" xfId="0" applyFont="1" applyAlignment="1">
      <alignment horizontal="center" vertical="center" wrapText="1"/>
    </xf>
    <xf numFmtId="0" fontId="16" fillId="2" borderId="1" xfId="0" applyFont="1" applyFill="1" applyBorder="1" applyAlignment="1">
      <alignment horizontal="center" vertical="center" wrapText="1"/>
    </xf>
    <xf numFmtId="0" fontId="6" fillId="0" borderId="0" xfId="0" applyFont="1" applyBorder="1" applyAlignment="1">
      <alignment vertical="center" wrapText="1"/>
    </xf>
    <xf numFmtId="0" fontId="6" fillId="0" borderId="2" xfId="0" applyFont="1" applyBorder="1" applyAlignment="1">
      <alignment vertical="center" wrapText="1"/>
    </xf>
    <xf numFmtId="0" fontId="16"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2" xfId="0" applyFont="1" applyBorder="1" applyAlignment="1">
      <alignment horizontal="left" vertical="center" wrapText="1"/>
    </xf>
    <xf numFmtId="0" fontId="6" fillId="0" borderId="2" xfId="0" applyFont="1" applyBorder="1" applyAlignment="1">
      <alignment horizontal="center" vertical="center" wrapText="1"/>
    </xf>
    <xf numFmtId="0" fontId="16" fillId="0" borderId="2" xfId="0" applyNumberFormat="1" applyFont="1" applyBorder="1" applyAlignment="1">
      <alignment horizontal="center" vertical="center" wrapText="1"/>
    </xf>
    <xf numFmtId="0" fontId="16" fillId="0" borderId="2" xfId="0" applyFont="1" applyFill="1" applyBorder="1" applyAlignment="1">
      <alignment horizontal="center" vertical="center" wrapText="1"/>
    </xf>
    <xf numFmtId="0" fontId="19" fillId="0" borderId="2" xfId="0" applyFont="1" applyBorder="1" applyAlignment="1">
      <alignment vertical="center" wrapText="1"/>
    </xf>
    <xf numFmtId="0" fontId="18" fillId="0" borderId="2" xfId="0" applyFont="1" applyFill="1" applyBorder="1" applyAlignment="1">
      <alignment horizontal="center" vertical="center" wrapText="1"/>
    </xf>
    <xf numFmtId="0" fontId="18" fillId="0" borderId="2" xfId="0" applyFont="1" applyBorder="1" applyAlignment="1">
      <alignment vertical="center" wrapText="1"/>
    </xf>
    <xf numFmtId="0" fontId="16" fillId="0" borderId="2" xfId="0" applyFont="1" applyBorder="1" applyAlignment="1">
      <alignment horizontal="left" vertical="center" wrapText="1"/>
    </xf>
    <xf numFmtId="0" fontId="18" fillId="0" borderId="0" xfId="0" applyFont="1" applyAlignment="1">
      <alignment horizontal="left" vertical="center" wrapText="1"/>
    </xf>
    <xf numFmtId="0" fontId="16" fillId="5" borderId="2" xfId="0" applyFont="1" applyFill="1" applyBorder="1" applyAlignment="1">
      <alignment horizontal="center" vertical="center" wrapText="1"/>
    </xf>
    <xf numFmtId="0" fontId="20" fillId="0" borderId="2" xfId="0" applyFont="1" applyBorder="1" applyAlignment="1">
      <alignment horizontal="center" vertical="center" wrapText="1"/>
    </xf>
    <xf numFmtId="0" fontId="21" fillId="0" borderId="2" xfId="0" applyFont="1" applyBorder="1" applyAlignment="1">
      <alignment vertical="center"/>
    </xf>
    <xf numFmtId="0" fontId="9" fillId="0" borderId="6" xfId="0" applyFont="1" applyBorder="1" applyAlignment="1">
      <alignment horizontal="center"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23" fillId="0" borderId="2" xfId="0" applyFont="1" applyBorder="1"/>
    <xf numFmtId="0" fontId="18" fillId="0" borderId="2" xfId="0" applyFont="1" applyBorder="1" applyAlignment="1">
      <alignment horizontal="left" vertical="center"/>
    </xf>
    <xf numFmtId="0" fontId="25" fillId="0" borderId="2" xfId="0" applyFont="1" applyBorder="1" applyAlignment="1">
      <alignment horizontal="center" vertical="center" wrapText="1"/>
    </xf>
    <xf numFmtId="2" fontId="18" fillId="0" borderId="2" xfId="0" applyNumberFormat="1" applyFont="1" applyBorder="1" applyAlignment="1">
      <alignment horizontal="center" vertical="center" wrapText="1"/>
    </xf>
    <xf numFmtId="0" fontId="9" fillId="0" borderId="4" xfId="0" applyFont="1" applyBorder="1" applyAlignment="1">
      <alignment horizontal="center" vertical="center" wrapText="1"/>
    </xf>
    <xf numFmtId="0" fontId="18" fillId="0" borderId="2" xfId="0" quotePrefix="1" applyFont="1" applyBorder="1" applyAlignment="1">
      <alignment horizontal="left" vertical="center" wrapText="1"/>
    </xf>
    <xf numFmtId="0" fontId="18" fillId="0" borderId="2" xfId="0" applyFont="1" applyBorder="1" applyAlignment="1">
      <alignment vertical="center"/>
    </xf>
    <xf numFmtId="0" fontId="18" fillId="0" borderId="2" xfId="0" applyFont="1" applyBorder="1"/>
    <xf numFmtId="0" fontId="18" fillId="0" borderId="4" xfId="0" applyFont="1" applyBorder="1" applyAlignment="1">
      <alignment vertical="center"/>
    </xf>
    <xf numFmtId="0" fontId="26" fillId="0" borderId="2" xfId="0" applyFont="1" applyBorder="1" applyAlignment="1">
      <alignment horizontal="left" vertical="center" wrapText="1"/>
    </xf>
    <xf numFmtId="0" fontId="9" fillId="5" borderId="4" xfId="0" applyFont="1" applyFill="1" applyBorder="1" applyAlignment="1">
      <alignment horizontal="center" vertical="center" wrapText="1"/>
    </xf>
    <xf numFmtId="0" fontId="16" fillId="0" borderId="2" xfId="0" applyNumberFormat="1" applyFont="1" applyBorder="1" applyAlignment="1">
      <alignment horizontal="center" vertical="center"/>
    </xf>
    <xf numFmtId="0" fontId="16" fillId="0" borderId="4" xfId="0" applyFont="1" applyFill="1" applyBorder="1" applyAlignment="1">
      <alignment horizontal="center" vertical="center" wrapText="1"/>
    </xf>
    <xf numFmtId="0" fontId="18" fillId="0" borderId="2" xfId="0" applyFont="1" applyBorder="1" applyAlignment="1">
      <alignment wrapText="1"/>
    </xf>
    <xf numFmtId="0" fontId="28" fillId="0" borderId="2" xfId="0" applyFont="1" applyBorder="1" applyAlignment="1">
      <alignment horizontal="center" vertical="center" wrapText="1"/>
    </xf>
    <xf numFmtId="0" fontId="16" fillId="0" borderId="2" xfId="0" applyFont="1" applyBorder="1" applyAlignment="1">
      <alignment horizontal="center" vertical="center"/>
    </xf>
    <xf numFmtId="0" fontId="18" fillId="0" borderId="4" xfId="0" applyFont="1" applyBorder="1" applyAlignment="1">
      <alignment vertical="center" wrapText="1"/>
    </xf>
    <xf numFmtId="0" fontId="24" fillId="0" borderId="2" xfId="0" applyFont="1" applyBorder="1" applyAlignment="1">
      <alignment horizontal="center" vertical="center" wrapText="1"/>
    </xf>
    <xf numFmtId="0" fontId="23" fillId="0" borderId="2" xfId="0" applyFont="1" applyBorder="1" applyAlignment="1">
      <alignment vertical="center"/>
    </xf>
    <xf numFmtId="0" fontId="21" fillId="0" borderId="2" xfId="2" applyFont="1" applyBorder="1" applyAlignment="1">
      <alignment vertical="center"/>
    </xf>
    <xf numFmtId="0" fontId="29" fillId="0" borderId="2" xfId="0" applyFont="1" applyBorder="1" applyAlignment="1">
      <alignment vertical="center" wrapText="1"/>
    </xf>
    <xf numFmtId="0" fontId="30" fillId="0" borderId="2" xfId="0" applyFont="1" applyBorder="1" applyAlignment="1">
      <alignment wrapText="1"/>
    </xf>
    <xf numFmtId="0" fontId="18" fillId="0" borderId="2" xfId="0" applyFont="1" applyBorder="1" applyAlignment="1">
      <alignment horizontal="center" vertical="center"/>
    </xf>
    <xf numFmtId="0" fontId="9" fillId="0" borderId="8" xfId="0" applyFont="1" applyBorder="1" applyAlignment="1">
      <alignment horizontal="center" vertical="center" wrapText="1"/>
    </xf>
    <xf numFmtId="0" fontId="6" fillId="0" borderId="8" xfId="0" applyFont="1" applyBorder="1" applyAlignment="1">
      <alignment vertical="center" wrapText="1"/>
    </xf>
    <xf numFmtId="0" fontId="18" fillId="0" borderId="4" xfId="0" applyFont="1" applyBorder="1" applyAlignment="1">
      <alignment wrapText="1"/>
    </xf>
    <xf numFmtId="0" fontId="16" fillId="0" borderId="6" xfId="0" applyFont="1" applyBorder="1" applyAlignment="1">
      <alignment horizontal="center" vertical="center" wrapText="1"/>
    </xf>
    <xf numFmtId="0" fontId="6" fillId="0" borderId="4" xfId="0" applyFont="1" applyBorder="1" applyAlignment="1">
      <alignment vertical="center" wrapText="1"/>
    </xf>
    <xf numFmtId="0" fontId="32" fillId="0" borderId="2" xfId="0" applyFont="1" applyBorder="1" applyAlignment="1">
      <alignment horizontal="center" vertical="center" wrapText="1"/>
    </xf>
    <xf numFmtId="0" fontId="22" fillId="0" borderId="4" xfId="0" applyFont="1" applyBorder="1" applyAlignment="1">
      <alignment horizontal="center" vertical="center" wrapText="1"/>
    </xf>
    <xf numFmtId="0" fontId="18" fillId="0" borderId="0" xfId="0" applyFont="1" applyBorder="1" applyAlignment="1">
      <alignment horizontal="center" vertical="center" wrapText="1"/>
    </xf>
    <xf numFmtId="0" fontId="25" fillId="0" borderId="4" xfId="0" applyFont="1" applyBorder="1" applyAlignment="1">
      <alignment horizontal="center" vertical="center" wrapText="1"/>
    </xf>
    <xf numFmtId="0" fontId="9" fillId="0" borderId="4" xfId="0" applyFont="1" applyFill="1" applyBorder="1" applyAlignment="1">
      <alignment horizontal="center" vertical="center" wrapText="1"/>
    </xf>
    <xf numFmtId="0" fontId="9" fillId="0" borderId="2" xfId="0" applyFont="1" applyFill="1" applyBorder="1" applyAlignment="1">
      <alignment vertical="center" wrapText="1"/>
    </xf>
    <xf numFmtId="0" fontId="33" fillId="6" borderId="2" xfId="0" applyFont="1" applyFill="1" applyBorder="1" applyAlignment="1">
      <alignment vertical="center" wrapText="1"/>
    </xf>
    <xf numFmtId="0" fontId="34" fillId="0" borderId="2" xfId="0" applyFont="1" applyBorder="1" applyAlignment="1">
      <alignment horizontal="center" vertical="center" wrapText="1"/>
    </xf>
    <xf numFmtId="17" fontId="16" fillId="0" borderId="2" xfId="0" applyNumberFormat="1" applyFont="1" applyBorder="1" applyAlignment="1">
      <alignment horizontal="center" vertical="center" wrapText="1"/>
    </xf>
    <xf numFmtId="0" fontId="16" fillId="0" borderId="4" xfId="0" applyFont="1" applyBorder="1" applyAlignment="1">
      <alignment horizontal="center" vertical="center" wrapText="1"/>
    </xf>
    <xf numFmtId="0" fontId="0" fillId="0" borderId="2" xfId="0" applyBorder="1" applyAlignment="1">
      <alignment horizontal="center" vertical="center" wrapText="1"/>
    </xf>
    <xf numFmtId="0" fontId="18" fillId="0" borderId="2" xfId="4" applyFont="1" applyBorder="1" applyAlignment="1">
      <alignment vertical="center"/>
    </xf>
    <xf numFmtId="0" fontId="30" fillId="0" borderId="2" xfId="0" applyFont="1" applyBorder="1" applyAlignment="1">
      <alignment horizontal="center" vertical="center"/>
    </xf>
    <xf numFmtId="0" fontId="35" fillId="0" borderId="2" xfId="0" applyFont="1" applyBorder="1" applyAlignment="1">
      <alignment horizontal="center" vertical="center"/>
    </xf>
    <xf numFmtId="0" fontId="18" fillId="0" borderId="2" xfId="0" applyFont="1" applyBorder="1" applyAlignment="1">
      <alignment horizontal="center" wrapText="1"/>
    </xf>
    <xf numFmtId="0" fontId="36" fillId="0" borderId="2" xfId="0" applyFont="1" applyBorder="1" applyAlignment="1">
      <alignment horizontal="left" wrapText="1" indent="1"/>
    </xf>
    <xf numFmtId="0" fontId="37" fillId="0" borderId="2" xfId="0" applyFont="1" applyBorder="1" applyAlignment="1">
      <alignment vertical="center" wrapText="1"/>
    </xf>
    <xf numFmtId="0" fontId="9" fillId="5" borderId="2" xfId="0" applyFont="1" applyFill="1" applyBorder="1" applyAlignment="1">
      <alignment horizontal="center" vertical="center" wrapText="1"/>
    </xf>
    <xf numFmtId="0" fontId="38" fillId="0" borderId="2" xfId="0" applyFont="1" applyBorder="1" applyAlignment="1">
      <alignment horizontal="center" vertical="center"/>
    </xf>
    <xf numFmtId="0" fontId="7" fillId="0" borderId="2" xfId="0" applyFont="1" applyBorder="1" applyAlignment="1">
      <alignment horizontal="center" wrapText="1"/>
    </xf>
    <xf numFmtId="0" fontId="39" fillId="0" borderId="2" xfId="0" applyFont="1" applyBorder="1" applyAlignment="1">
      <alignment wrapText="1"/>
    </xf>
    <xf numFmtId="0" fontId="7" fillId="0" borderId="2" xfId="0" applyFont="1" applyBorder="1" applyAlignment="1">
      <alignment wrapText="1"/>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40" fillId="0" borderId="2" xfId="0" applyFont="1" applyBorder="1"/>
    <xf numFmtId="0" fontId="41" fillId="0" borderId="2" xfId="0" applyFont="1" applyBorder="1" applyAlignment="1">
      <alignment horizontal="center" vertical="center" wrapText="1"/>
    </xf>
    <xf numFmtId="0" fontId="9" fillId="0" borderId="0" xfId="0" applyFont="1" applyBorder="1" applyAlignment="1">
      <alignment horizontal="center" vertical="center" wrapText="1"/>
    </xf>
    <xf numFmtId="0" fontId="42" fillId="0" borderId="2" xfId="0" applyFont="1" applyBorder="1" applyAlignment="1">
      <alignment vertical="center"/>
    </xf>
    <xf numFmtId="0" fontId="6" fillId="6" borderId="0" xfId="0" applyFont="1" applyFill="1" applyAlignment="1">
      <alignment vertical="center" wrapText="1"/>
    </xf>
    <xf numFmtId="0" fontId="18" fillId="0" borderId="0" xfId="0" applyFont="1" applyBorder="1" applyAlignment="1">
      <alignment vertical="center" wrapText="1"/>
    </xf>
    <xf numFmtId="0" fontId="16" fillId="0" borderId="0" xfId="0" applyFont="1" applyFill="1" applyBorder="1" applyAlignment="1">
      <alignment horizontal="center" vertical="center" wrapText="1"/>
    </xf>
    <xf numFmtId="0" fontId="36" fillId="0" borderId="2" xfId="0" applyFont="1" applyBorder="1" applyAlignment="1">
      <alignment horizontal="center" vertical="center" wrapText="1"/>
    </xf>
    <xf numFmtId="0" fontId="24" fillId="0" borderId="0" xfId="0" applyFont="1" applyBorder="1" applyAlignment="1">
      <alignment horizontal="center" vertical="center" wrapText="1"/>
    </xf>
    <xf numFmtId="0" fontId="25" fillId="0" borderId="0" xfId="0" applyFont="1" applyBorder="1" applyAlignment="1">
      <alignment horizontal="center" vertical="center" wrapText="1"/>
    </xf>
    <xf numFmtId="0" fontId="18" fillId="0" borderId="0" xfId="0" applyFont="1" applyBorder="1" applyAlignment="1">
      <alignment wrapText="1"/>
    </xf>
    <xf numFmtId="0" fontId="43" fillId="0" borderId="0" xfId="0" applyFont="1" applyBorder="1" applyAlignment="1"/>
    <xf numFmtId="0" fontId="18" fillId="0" borderId="2" xfId="5" applyFont="1" applyFill="1" applyBorder="1" applyAlignment="1">
      <alignment vertical="top" wrapText="1"/>
    </xf>
    <xf numFmtId="0" fontId="44" fillId="0" borderId="0" xfId="5" applyFont="1" applyFill="1" applyBorder="1" applyAlignment="1">
      <alignment vertical="top" wrapText="1"/>
    </xf>
    <xf numFmtId="0" fontId="16" fillId="0" borderId="0" xfId="0" applyFont="1" applyBorder="1" applyAlignment="1">
      <alignment horizontal="center" vertical="center" wrapText="1"/>
    </xf>
    <xf numFmtId="0" fontId="45" fillId="0" borderId="2" xfId="0" applyFont="1" applyBorder="1" applyAlignment="1">
      <alignment horizontal="left" vertical="center"/>
    </xf>
    <xf numFmtId="0" fontId="46" fillId="0" borderId="2" xfId="0" applyFont="1" applyBorder="1" applyAlignment="1">
      <alignment horizontal="center" vertical="center" wrapText="1"/>
    </xf>
    <xf numFmtId="0" fontId="20" fillId="0" borderId="2" xfId="0" applyFont="1" applyBorder="1" applyAlignment="1">
      <alignment horizontal="left" vertical="center" wrapText="1"/>
    </xf>
    <xf numFmtId="0" fontId="14" fillId="0" borderId="0" xfId="0" applyFont="1" applyBorder="1" applyAlignment="1">
      <alignment horizontal="center" vertical="center" wrapText="1"/>
    </xf>
    <xf numFmtId="0" fontId="28" fillId="0" borderId="2" xfId="0" quotePrefix="1" applyFont="1" applyFill="1" applyBorder="1" applyAlignment="1">
      <alignment vertical="top" wrapText="1"/>
    </xf>
    <xf numFmtId="0" fontId="47" fillId="0" borderId="2" xfId="0" applyFont="1" applyBorder="1" applyAlignment="1">
      <alignment wrapText="1"/>
    </xf>
    <xf numFmtId="0" fontId="48" fillId="0" borderId="2" xfId="0" applyFont="1" applyBorder="1"/>
    <xf numFmtId="0" fontId="18" fillId="0" borderId="0" xfId="0" applyFont="1" applyFill="1" applyBorder="1" applyAlignment="1">
      <alignment horizontal="center" vertical="center" wrapText="1"/>
    </xf>
    <xf numFmtId="0" fontId="49" fillId="0" borderId="2" xfId="0" applyFont="1" applyBorder="1"/>
    <xf numFmtId="0" fontId="19" fillId="0" borderId="2" xfId="0" applyFont="1" applyBorder="1"/>
    <xf numFmtId="0" fontId="30" fillId="6" borderId="2" xfId="0" applyFont="1" applyFill="1" applyBorder="1"/>
    <xf numFmtId="0" fontId="18" fillId="6" borderId="2"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8" fillId="6" borderId="2" xfId="0" applyFont="1" applyFill="1" applyBorder="1" applyAlignment="1">
      <alignment horizontal="left" vertical="center" wrapText="1"/>
    </xf>
    <xf numFmtId="0" fontId="52" fillId="0" borderId="2" xfId="0" applyFont="1" applyBorder="1" applyAlignment="1">
      <alignment wrapText="1"/>
    </xf>
    <xf numFmtId="0" fontId="53" fillId="0" borderId="2" xfId="0" applyFont="1" applyBorder="1" applyAlignment="1">
      <alignment wrapText="1"/>
    </xf>
    <xf numFmtId="0" fontId="7" fillId="0" borderId="2" xfId="0" applyFont="1" applyBorder="1" applyAlignment="1">
      <alignment horizontal="left" vertical="center" indent="8"/>
    </xf>
    <xf numFmtId="0" fontId="20" fillId="0" borderId="2" xfId="0" applyFont="1" applyBorder="1" applyAlignment="1">
      <alignment vertical="center" wrapText="1"/>
    </xf>
    <xf numFmtId="0" fontId="32" fillId="0" borderId="2" xfId="0" applyFont="1" applyFill="1" applyBorder="1" applyAlignment="1">
      <alignment horizontal="center" vertical="center" wrapText="1"/>
    </xf>
    <xf numFmtId="0" fontId="9" fillId="5" borderId="0" xfId="0" applyFont="1" applyFill="1" applyAlignment="1">
      <alignment horizontal="center" vertical="center" wrapText="1"/>
    </xf>
    <xf numFmtId="0" fontId="54" fillId="0" borderId="2" xfId="0" applyFont="1" applyBorder="1" applyAlignment="1">
      <alignment vertical="center"/>
    </xf>
    <xf numFmtId="0" fontId="53" fillId="0" borderId="2" xfId="0" applyFont="1" applyBorder="1" applyAlignment="1">
      <alignment horizontal="center" vertical="center" wrapText="1"/>
    </xf>
    <xf numFmtId="0" fontId="9" fillId="6" borderId="0" xfId="0" applyFont="1" applyFill="1" applyAlignment="1">
      <alignment vertical="center" wrapText="1"/>
    </xf>
    <xf numFmtId="0" fontId="14" fillId="0" borderId="0" xfId="0" applyFont="1" applyBorder="1" applyAlignment="1">
      <alignment horizontal="center" vertical="center"/>
    </xf>
    <xf numFmtId="0" fontId="35" fillId="0" borderId="2" xfId="0" quotePrefix="1" applyFont="1" applyBorder="1" applyAlignment="1">
      <alignment horizontal="left" vertical="center"/>
    </xf>
    <xf numFmtId="0" fontId="0" fillId="0" borderId="2" xfId="0" applyBorder="1" applyAlignment="1">
      <alignment vertical="center" wrapText="1"/>
    </xf>
    <xf numFmtId="0" fontId="0" fillId="0" borderId="2" xfId="0" quotePrefix="1" applyBorder="1" applyAlignment="1">
      <alignment wrapText="1"/>
    </xf>
    <xf numFmtId="0" fontId="22" fillId="0" borderId="0" xfId="0" applyFont="1" applyBorder="1" applyAlignment="1">
      <alignment horizontal="center" vertical="center" wrapText="1"/>
    </xf>
    <xf numFmtId="0" fontId="6" fillId="0" borderId="9" xfId="0" applyFont="1" applyBorder="1" applyAlignment="1">
      <alignment vertical="center" wrapText="1"/>
    </xf>
    <xf numFmtId="0" fontId="18" fillId="0" borderId="0" xfId="0" applyFont="1" applyAlignment="1">
      <alignment vertical="center" wrapText="1"/>
    </xf>
    <xf numFmtId="43" fontId="6" fillId="0" borderId="0" xfId="1" applyFont="1" applyAlignment="1">
      <alignment vertical="center" wrapText="1"/>
    </xf>
    <xf numFmtId="0" fontId="59" fillId="0" borderId="0" xfId="0" applyFont="1" applyBorder="1" applyAlignment="1"/>
    <xf numFmtId="0" fontId="18" fillId="0" borderId="0" xfId="0" applyFont="1" applyBorder="1" applyAlignment="1">
      <alignment vertical="top" wrapText="1"/>
    </xf>
    <xf numFmtId="0" fontId="0" fillId="0" borderId="0" xfId="0" applyBorder="1" applyAlignment="1">
      <alignment horizontal="center" vertical="center" wrapText="1"/>
    </xf>
    <xf numFmtId="0" fontId="66" fillId="7" borderId="2" xfId="0" applyFont="1" applyFill="1" applyBorder="1" applyAlignment="1">
      <alignment wrapText="1"/>
    </xf>
    <xf numFmtId="0" fontId="67" fillId="0" borderId="2" xfId="0" applyFont="1" applyBorder="1"/>
    <xf numFmtId="0" fontId="16" fillId="0" borderId="0" xfId="0" applyFont="1" applyAlignment="1">
      <alignment vertical="center" wrapText="1"/>
    </xf>
    <xf numFmtId="0" fontId="69" fillId="0" borderId="0" xfId="0" applyFont="1" applyBorder="1" applyAlignment="1">
      <alignment vertical="top" wrapText="1"/>
    </xf>
    <xf numFmtId="0" fontId="9" fillId="6" borderId="0" xfId="0" applyFont="1" applyFill="1" applyBorder="1" applyAlignment="1">
      <alignment horizontal="center" vertical="center" wrapText="1"/>
    </xf>
    <xf numFmtId="0" fontId="19" fillId="0" borderId="0" xfId="0" applyFont="1" applyBorder="1" applyAlignment="1">
      <alignment horizontal="center" vertical="center" wrapText="1"/>
    </xf>
    <xf numFmtId="0" fontId="18" fillId="0" borderId="0" xfId="0" applyFont="1" applyBorder="1" applyAlignment="1">
      <alignment vertical="center"/>
    </xf>
    <xf numFmtId="0" fontId="30" fillId="0" borderId="2" xfId="0" applyFont="1" applyBorder="1" applyAlignment="1">
      <alignment vertical="center" wrapText="1"/>
    </xf>
    <xf numFmtId="0" fontId="24" fillId="0" borderId="4" xfId="0" applyFont="1" applyBorder="1" applyAlignment="1">
      <alignment horizontal="center" vertical="center"/>
    </xf>
    <xf numFmtId="0" fontId="31" fillId="0" borderId="2" xfId="3" applyBorder="1" applyAlignment="1" applyProtection="1">
      <alignment vertical="center" wrapText="1"/>
    </xf>
    <xf numFmtId="0" fontId="16" fillId="0" borderId="2" xfId="0" applyFont="1" applyFill="1" applyBorder="1" applyAlignment="1">
      <alignment horizontal="left" vertical="center" wrapText="1"/>
    </xf>
    <xf numFmtId="0" fontId="43" fillId="0" borderId="2" xfId="0" applyFont="1" applyBorder="1" applyAlignment="1">
      <alignment horizontal="left" vertical="center" wrapText="1"/>
    </xf>
    <xf numFmtId="0" fontId="16" fillId="0" borderId="2" xfId="0" applyFont="1" applyBorder="1"/>
    <xf numFmtId="0" fontId="12" fillId="0" borderId="2" xfId="0" applyFont="1" applyBorder="1" applyAlignment="1">
      <alignment wrapText="1"/>
    </xf>
    <xf numFmtId="0" fontId="19" fillId="0" borderId="2" xfId="0" applyFont="1" applyBorder="1" applyAlignment="1">
      <alignment wrapText="1"/>
    </xf>
    <xf numFmtId="0" fontId="7" fillId="0" borderId="2" xfId="0" applyFont="1" applyBorder="1"/>
    <xf numFmtId="0" fontId="30" fillId="0" borderId="2" xfId="0" applyFont="1" applyBorder="1"/>
    <xf numFmtId="0" fontId="31" fillId="0" borderId="2" xfId="3" applyBorder="1" applyAlignment="1" applyProtection="1">
      <alignment horizontal="left" vertical="center" wrapText="1"/>
    </xf>
    <xf numFmtId="0" fontId="55" fillId="6" borderId="2" xfId="0" applyFont="1" applyFill="1" applyBorder="1"/>
    <xf numFmtId="0" fontId="18" fillId="7" borderId="2" xfId="0" applyFont="1" applyFill="1" applyBorder="1" applyAlignment="1">
      <alignment horizontal="center" vertical="center" wrapText="1"/>
    </xf>
    <xf numFmtId="0" fontId="18" fillId="7" borderId="2" xfId="0" applyFont="1" applyFill="1" applyBorder="1" applyAlignment="1">
      <alignment vertical="center" wrapText="1"/>
    </xf>
    <xf numFmtId="0" fontId="56" fillId="0" borderId="2" xfId="0" applyFont="1" applyBorder="1" applyAlignment="1">
      <alignment horizontal="center" vertical="center" wrapText="1"/>
    </xf>
    <xf numFmtId="0" fontId="6" fillId="0" borderId="2" xfId="0" applyFont="1" applyBorder="1" applyAlignment="1">
      <alignment wrapText="1"/>
    </xf>
    <xf numFmtId="0" fontId="55" fillId="0" borderId="2" xfId="0" applyFont="1" applyBorder="1" applyAlignment="1">
      <alignment wrapText="1"/>
    </xf>
    <xf numFmtId="0" fontId="7" fillId="0" borderId="2" xfId="0" applyFont="1" applyBorder="1" applyAlignment="1">
      <alignment horizontal="left" wrapText="1" indent="8"/>
    </xf>
    <xf numFmtId="0" fontId="0" fillId="0" borderId="2" xfId="0" applyBorder="1" applyAlignment="1">
      <alignment vertical="center"/>
    </xf>
    <xf numFmtId="0" fontId="57" fillId="0" borderId="2" xfId="0" applyFont="1" applyBorder="1" applyAlignment="1">
      <alignment wrapText="1"/>
    </xf>
    <xf numFmtId="0" fontId="57" fillId="0" borderId="2" xfId="0" applyFont="1" applyBorder="1" applyAlignment="1">
      <alignment vertical="center"/>
    </xf>
    <xf numFmtId="0" fontId="58" fillId="0" borderId="2" xfId="0" applyFont="1" applyBorder="1" applyAlignment="1">
      <alignment wrapText="1"/>
    </xf>
    <xf numFmtId="0" fontId="31" fillId="0" borderId="2" xfId="3" applyBorder="1" applyAlignment="1" applyProtection="1">
      <alignment horizontal="left" vertical="center"/>
    </xf>
    <xf numFmtId="0" fontId="0" fillId="0" borderId="2" xfId="0" applyBorder="1" applyAlignment="1">
      <alignment wrapText="1"/>
    </xf>
    <xf numFmtId="0" fontId="18" fillId="0" borderId="2" xfId="0" applyFont="1" applyBorder="1" applyAlignment="1">
      <alignment vertical="top" wrapText="1"/>
    </xf>
    <xf numFmtId="0" fontId="29" fillId="0" borderId="2" xfId="0" applyFont="1" applyBorder="1" applyAlignment="1">
      <alignment horizontal="center" vertical="center"/>
    </xf>
    <xf numFmtId="0" fontId="16" fillId="2" borderId="2" xfId="0" applyFont="1" applyFill="1" applyBorder="1" applyAlignment="1">
      <alignment horizontal="center" vertical="center" wrapText="1"/>
    </xf>
    <xf numFmtId="0" fontId="60" fillId="0" borderId="2" xfId="0" applyFont="1" applyBorder="1" applyAlignment="1">
      <alignment wrapText="1"/>
    </xf>
    <xf numFmtId="0" fontId="60" fillId="0" borderId="2" xfId="0" applyFont="1" applyBorder="1"/>
    <xf numFmtId="0" fontId="16" fillId="0" borderId="2" xfId="0" applyFont="1" applyBorder="1" applyAlignment="1">
      <alignment wrapText="1"/>
    </xf>
    <xf numFmtId="0" fontId="61" fillId="0" borderId="2" xfId="0" applyFont="1" applyBorder="1"/>
    <xf numFmtId="0" fontId="62" fillId="0" borderId="2" xfId="0" applyFont="1" applyBorder="1" applyAlignment="1">
      <alignment horizontal="center" vertical="center"/>
    </xf>
    <xf numFmtId="0" fontId="63" fillId="0" borderId="2" xfId="0" applyFont="1" applyBorder="1" applyAlignment="1">
      <alignment vertical="center" wrapText="1"/>
    </xf>
    <xf numFmtId="0" fontId="64" fillId="0" borderId="2" xfId="6" applyFont="1" applyBorder="1" applyAlignment="1">
      <alignment vertical="top" wrapText="1"/>
    </xf>
    <xf numFmtId="0" fontId="31" fillId="0" borderId="2" xfId="3" applyBorder="1" applyAlignment="1" applyProtection="1"/>
    <xf numFmtId="0" fontId="0" fillId="0" borderId="2" xfId="0" applyBorder="1" applyAlignment="1">
      <alignment horizontal="center" vertical="center"/>
    </xf>
    <xf numFmtId="0" fontId="65" fillId="0" borderId="2" xfId="0" applyFont="1" applyBorder="1"/>
    <xf numFmtId="0" fontId="8" fillId="0" borderId="2" xfId="0" applyFont="1" applyBorder="1" applyAlignment="1">
      <alignment horizontal="center" vertical="center" wrapText="1"/>
    </xf>
    <xf numFmtId="0" fontId="68" fillId="0" borderId="2" xfId="0" applyFont="1" applyBorder="1" applyAlignment="1">
      <alignment horizontal="center" vertical="center" wrapText="1"/>
    </xf>
    <xf numFmtId="0" fontId="14" fillId="0" borderId="2" xfId="0" applyFont="1" applyBorder="1"/>
    <xf numFmtId="0" fontId="69" fillId="0" borderId="2" xfId="0" applyFont="1" applyBorder="1" applyAlignment="1">
      <alignment vertical="top" wrapText="1"/>
    </xf>
    <xf numFmtId="0" fontId="21" fillId="0" borderId="2" xfId="0" applyFont="1" applyFill="1" applyBorder="1" applyAlignment="1">
      <alignment horizontal="center" vertical="center" wrapText="1"/>
    </xf>
    <xf numFmtId="0" fontId="30" fillId="0" borderId="2" xfId="0" applyFont="1" applyBorder="1" applyAlignment="1">
      <alignment vertical="center"/>
    </xf>
    <xf numFmtId="16" fontId="16" fillId="0" borderId="2" xfId="0" applyNumberFormat="1" applyFont="1" applyBorder="1" applyAlignment="1">
      <alignment horizontal="center" vertical="center" wrapText="1"/>
    </xf>
    <xf numFmtId="0" fontId="42" fillId="0" borderId="2" xfId="0" quotePrefix="1" applyFont="1" applyBorder="1" applyAlignment="1">
      <alignment vertical="center"/>
    </xf>
    <xf numFmtId="0" fontId="18" fillId="0" borderId="2" xfId="0" applyFont="1" applyBorder="1" applyAlignment="1">
      <alignment horizontal="left" vertical="center" wrapText="1" indent="1"/>
    </xf>
    <xf numFmtId="0" fontId="70" fillId="0" borderId="2" xfId="0" applyFont="1" applyBorder="1" applyAlignment="1">
      <alignment horizontal="center" vertical="center" wrapText="1"/>
    </xf>
    <xf numFmtId="0" fontId="69" fillId="0" borderId="2" xfId="0" applyFont="1" applyBorder="1"/>
    <xf numFmtId="0" fontId="71" fillId="0" borderId="2" xfId="7" applyFont="1" applyBorder="1" applyAlignment="1">
      <alignment horizontal="left" vertical="top"/>
    </xf>
    <xf numFmtId="0" fontId="65" fillId="0" borderId="2" xfId="0" applyFont="1" applyBorder="1" applyAlignment="1">
      <alignment wrapText="1"/>
    </xf>
    <xf numFmtId="0" fontId="65" fillId="0" borderId="2" xfId="0" applyFont="1" applyBorder="1" applyAlignment="1">
      <alignment vertical="center" wrapText="1"/>
    </xf>
    <xf numFmtId="0" fontId="43" fillId="0" borderId="2" xfId="0" applyFont="1" applyBorder="1" applyAlignment="1">
      <alignment wrapText="1"/>
    </xf>
    <xf numFmtId="0" fontId="24" fillId="7" borderId="2" xfId="0" applyFont="1" applyFill="1" applyBorder="1" applyAlignment="1">
      <alignment wrapText="1"/>
    </xf>
    <xf numFmtId="0" fontId="35" fillId="0" borderId="2" xfId="0" applyFont="1" applyBorder="1" applyAlignment="1">
      <alignment vertical="center"/>
    </xf>
    <xf numFmtId="0" fontId="77" fillId="0" borderId="2" xfId="0" applyFont="1" applyBorder="1" applyAlignment="1">
      <alignment vertical="center" wrapText="1"/>
    </xf>
    <xf numFmtId="0" fontId="78" fillId="0" borderId="2" xfId="0" applyFont="1" applyBorder="1" applyAlignment="1">
      <alignment vertical="center" wrapText="1"/>
    </xf>
    <xf numFmtId="0" fontId="20" fillId="0" borderId="2" xfId="0" applyFont="1" applyBorder="1" applyAlignment="1">
      <alignment wrapText="1"/>
    </xf>
    <xf numFmtId="0" fontId="20" fillId="0" borderId="2" xfId="0" applyFont="1" applyBorder="1"/>
    <xf numFmtId="0" fontId="7" fillId="0" borderId="2" xfId="0" applyFont="1" applyBorder="1" applyAlignment="1">
      <alignment horizontal="left" vertical="center" wrapText="1"/>
    </xf>
    <xf numFmtId="0" fontId="79" fillId="0" borderId="2" xfId="0" applyFont="1" applyBorder="1" applyAlignment="1">
      <alignment horizontal="center" vertical="center" wrapText="1"/>
    </xf>
    <xf numFmtId="0" fontId="31" fillId="8" borderId="2" xfId="3" applyFill="1" applyBorder="1" applyAlignment="1" applyProtection="1">
      <alignment vertical="center" wrapText="1"/>
    </xf>
    <xf numFmtId="0" fontId="3" fillId="9" borderId="2" xfId="0" applyFont="1" applyFill="1" applyBorder="1" applyAlignment="1">
      <alignment horizontal="center" vertical="center" wrapText="1"/>
    </xf>
    <xf numFmtId="0" fontId="82" fillId="9"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83" fillId="9" borderId="2"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82" fillId="0" borderId="0" xfId="0" applyFont="1" applyAlignment="1">
      <alignment horizontal="center" vertical="center"/>
    </xf>
    <xf numFmtId="0" fontId="82" fillId="0" borderId="0" xfId="0" applyFont="1" applyAlignment="1">
      <alignment horizontal="center" vertical="center" wrapText="1"/>
    </xf>
    <xf numFmtId="0" fontId="82" fillId="0" borderId="0" xfId="0" applyFont="1"/>
    <xf numFmtId="0" fontId="82" fillId="0" borderId="0" xfId="0" applyFont="1" applyAlignment="1">
      <alignment vertical="center"/>
    </xf>
    <xf numFmtId="0" fontId="82" fillId="0" borderId="2" xfId="0" applyFont="1" applyBorder="1" applyAlignment="1">
      <alignment horizontal="center" vertical="center"/>
    </xf>
    <xf numFmtId="0" fontId="82" fillId="0" borderId="2" xfId="0" applyFont="1" applyBorder="1" applyAlignment="1">
      <alignment horizontal="center" vertical="center" wrapText="1"/>
    </xf>
    <xf numFmtId="0" fontId="5" fillId="0" borderId="2" xfId="0" applyFont="1" applyBorder="1" applyAlignment="1">
      <alignment horizontal="center" vertical="center" wrapText="1"/>
    </xf>
    <xf numFmtId="0" fontId="43" fillId="0" borderId="0" xfId="0" applyFont="1" applyAlignment="1">
      <alignment wrapText="1"/>
    </xf>
    <xf numFmtId="0" fontId="5" fillId="0" borderId="0" xfId="0" applyFont="1" applyAlignment="1">
      <alignment horizontal="center" vertical="center" wrapText="1"/>
    </xf>
    <xf numFmtId="0" fontId="18" fillId="3" borderId="2" xfId="0" applyFont="1" applyFill="1" applyBorder="1" applyAlignment="1">
      <alignment horizontal="center" vertical="center" wrapText="1"/>
    </xf>
    <xf numFmtId="0" fontId="0" fillId="0" borderId="2" xfId="0" applyBorder="1"/>
    <xf numFmtId="0" fontId="4" fillId="0" borderId="2" xfId="0" applyFont="1" applyBorder="1" applyAlignment="1">
      <alignment horizontal="center" vertical="center" wrapText="1"/>
    </xf>
    <xf numFmtId="0" fontId="83" fillId="0" borderId="0" xfId="0" applyFont="1" applyAlignment="1">
      <alignment horizontal="center" vertical="center" wrapText="1"/>
    </xf>
    <xf numFmtId="0" fontId="83" fillId="0" borderId="2" xfId="0" applyFont="1" applyBorder="1" applyAlignment="1">
      <alignment horizontal="center" vertical="center" wrapText="1"/>
    </xf>
    <xf numFmtId="0" fontId="4" fillId="0" borderId="0" xfId="0" applyFont="1" applyAlignment="1">
      <alignment horizontal="center" vertical="center" wrapText="1"/>
    </xf>
    <xf numFmtId="16" fontId="5" fillId="0" borderId="2" xfId="0" applyNumberFormat="1" applyFont="1" applyBorder="1" applyAlignment="1">
      <alignment horizontal="center" vertical="center" wrapText="1"/>
    </xf>
    <xf numFmtId="0" fontId="86" fillId="0" borderId="2" xfId="0" applyFont="1" applyBorder="1" applyAlignment="1">
      <alignment wrapText="1"/>
    </xf>
    <xf numFmtId="0" fontId="18" fillId="0" borderId="6" xfId="0" applyFont="1" applyBorder="1" applyAlignment="1">
      <alignment vertical="center" wrapText="1"/>
    </xf>
    <xf numFmtId="0" fontId="6" fillId="3" borderId="2" xfId="0" applyFont="1" applyFill="1" applyBorder="1" applyAlignment="1">
      <alignment vertical="center" wrapText="1"/>
    </xf>
    <xf numFmtId="0" fontId="16" fillId="3" borderId="2" xfId="0" applyFont="1" applyFill="1" applyBorder="1" applyAlignment="1">
      <alignment horizontal="center" vertical="center" wrapText="1"/>
    </xf>
    <xf numFmtId="0" fontId="18" fillId="3" borderId="2" xfId="0" applyFont="1" applyFill="1" applyBorder="1" applyAlignment="1">
      <alignment horizontal="left" vertical="center" wrapText="1"/>
    </xf>
    <xf numFmtId="0" fontId="9" fillId="3" borderId="0" xfId="0" applyFont="1" applyFill="1" applyAlignment="1">
      <alignment horizontal="center" vertical="center" wrapText="1"/>
    </xf>
    <xf numFmtId="0" fontId="6" fillId="3" borderId="0" xfId="0" applyFont="1" applyFill="1" applyAlignment="1">
      <alignment vertical="center" wrapText="1"/>
    </xf>
    <xf numFmtId="0" fontId="18" fillId="0" borderId="10" xfId="0" applyFont="1" applyBorder="1" applyAlignment="1">
      <alignment wrapText="1"/>
    </xf>
    <xf numFmtId="0" fontId="18" fillId="0" borderId="9" xfId="0" applyFont="1" applyBorder="1" applyAlignment="1">
      <alignment wrapText="1"/>
    </xf>
    <xf numFmtId="0" fontId="55" fillId="0" borderId="2" xfId="0" applyFont="1" applyBorder="1" applyAlignment="1">
      <alignment horizontal="center" vertical="center" wrapText="1"/>
    </xf>
    <xf numFmtId="0" fontId="108" fillId="0" borderId="21" xfId="0" applyFont="1" applyBorder="1" applyAlignment="1">
      <alignment horizontal="left"/>
    </xf>
    <xf numFmtId="0" fontId="109" fillId="0" borderId="22" xfId="0" applyFont="1" applyBorder="1"/>
    <xf numFmtId="0" fontId="109" fillId="0" borderId="23" xfId="0" applyFont="1" applyBorder="1"/>
    <xf numFmtId="0" fontId="0" fillId="0" borderId="10" xfId="0" applyBorder="1" applyAlignment="1">
      <alignment horizontal="center" vertical="center"/>
    </xf>
    <xf numFmtId="0" fontId="83" fillId="0" borderId="0" xfId="0" applyFont="1" applyBorder="1" applyAlignment="1">
      <alignment horizontal="center" vertical="center" wrapText="1"/>
    </xf>
    <xf numFmtId="0" fontId="99" fillId="0" borderId="0" xfId="0" applyFont="1" applyBorder="1"/>
    <xf numFmtId="0" fontId="99" fillId="6" borderId="0" xfId="0" applyFont="1" applyFill="1"/>
    <xf numFmtId="0" fontId="85" fillId="0" borderId="10" xfId="0" applyFont="1" applyBorder="1" applyAlignment="1">
      <alignment horizontal="left"/>
    </xf>
    <xf numFmtId="0" fontId="110" fillId="0" borderId="0" xfId="0" applyFont="1" applyBorder="1"/>
    <xf numFmtId="0" fontId="110" fillId="0" borderId="9" xfId="0" applyFont="1" applyBorder="1"/>
    <xf numFmtId="0" fontId="0" fillId="0" borderId="0" xfId="0" applyBorder="1" applyAlignment="1">
      <alignment horizontal="center" vertical="center"/>
    </xf>
    <xf numFmtId="0" fontId="110" fillId="0" borderId="9" xfId="0" applyFont="1" applyBorder="1" applyAlignment="1">
      <alignment horizontal="center"/>
    </xf>
    <xf numFmtId="0" fontId="0" fillId="0" borderId="0" xfId="0" applyBorder="1"/>
    <xf numFmtId="0" fontId="110" fillId="0" borderId="10" xfId="0" applyFont="1" applyBorder="1"/>
    <xf numFmtId="0" fontId="108" fillId="0" borderId="10" xfId="0" applyFont="1" applyBorder="1"/>
    <xf numFmtId="0" fontId="108" fillId="0" borderId="0" xfId="0" applyFont="1" applyBorder="1"/>
    <xf numFmtId="0" fontId="109" fillId="0" borderId="0" xfId="0" applyFont="1" applyBorder="1"/>
    <xf numFmtId="0" fontId="109" fillId="0" borderId="9" xfId="0" applyFont="1" applyBorder="1"/>
    <xf numFmtId="0" fontId="0" fillId="0" borderId="10" xfId="0" applyBorder="1"/>
    <xf numFmtId="0" fontId="85" fillId="0" borderId="10" xfId="0" applyFont="1" applyBorder="1"/>
    <xf numFmtId="0" fontId="85" fillId="0" borderId="0" xfId="0" applyFont="1" applyBorder="1"/>
    <xf numFmtId="0" fontId="85" fillId="0" borderId="9" xfId="0" applyFont="1" applyBorder="1"/>
    <xf numFmtId="0" fontId="85" fillId="0" borderId="10" xfId="0" applyFont="1" applyBorder="1" applyAlignment="1">
      <alignment vertical="top"/>
    </xf>
    <xf numFmtId="0" fontId="85" fillId="0" borderId="10" xfId="0" applyFont="1" applyBorder="1" applyAlignment="1">
      <alignment horizontal="left" vertical="top" wrapText="1"/>
    </xf>
    <xf numFmtId="0" fontId="85" fillId="0" borderId="0" xfId="0" applyFont="1" applyBorder="1" applyAlignment="1">
      <alignment horizontal="left" vertical="top" wrapText="1"/>
    </xf>
    <xf numFmtId="0" fontId="85" fillId="0" borderId="9" xfId="0" applyFont="1" applyBorder="1" applyAlignment="1">
      <alignment horizontal="left" vertical="top" wrapText="1"/>
    </xf>
    <xf numFmtId="0" fontId="110" fillId="0" borderId="24" xfId="0" applyFont="1" applyBorder="1"/>
    <xf numFmtId="0" fontId="110" fillId="0" borderId="25" xfId="0" applyFont="1" applyBorder="1"/>
    <xf numFmtId="0" fontId="110" fillId="0" borderId="26" xfId="0" applyFont="1" applyBorder="1"/>
    <xf numFmtId="0" fontId="12" fillId="0" borderId="0" xfId="0" applyFont="1" applyBorder="1" applyAlignment="1">
      <alignment horizontal="center"/>
    </xf>
    <xf numFmtId="0" fontId="0" fillId="0" borderId="0" xfId="0" applyAlignment="1">
      <alignment horizontal="left"/>
    </xf>
    <xf numFmtId="0" fontId="0" fillId="0" borderId="0" xfId="0" applyAlignment="1">
      <alignment horizontal="left" indent="1"/>
    </xf>
    <xf numFmtId="0" fontId="57" fillId="0" borderId="2" xfId="0" applyFont="1" applyBorder="1" applyAlignment="1">
      <alignment vertical="center" wrapText="1"/>
    </xf>
    <xf numFmtId="0" fontId="0" fillId="0" borderId="0" xfId="0" pivotButton="1"/>
    <xf numFmtId="22" fontId="82" fillId="0" borderId="0" xfId="0" applyNumberFormat="1" applyFont="1"/>
    <xf numFmtId="0" fontId="112" fillId="41" borderId="27" xfId="0" applyFont="1" applyFill="1" applyBorder="1" applyAlignment="1">
      <alignment wrapText="1"/>
    </xf>
    <xf numFmtId="0" fontId="112" fillId="41" borderId="28" xfId="0" applyFont="1" applyFill="1" applyBorder="1" applyAlignment="1">
      <alignment wrapText="1"/>
    </xf>
    <xf numFmtId="0" fontId="113" fillId="0" borderId="2" xfId="0" applyFont="1" applyBorder="1" applyAlignment="1">
      <alignment horizontal="center" vertical="center" wrapText="1"/>
    </xf>
    <xf numFmtId="0" fontId="84" fillId="0" borderId="0" xfId="0" applyFont="1" applyAlignment="1">
      <alignment horizontal="center" vertical="center"/>
    </xf>
    <xf numFmtId="0" fontId="8" fillId="4" borderId="3" xfId="0" applyFont="1" applyFill="1" applyBorder="1" applyAlignment="1">
      <alignment horizontal="center"/>
    </xf>
    <xf numFmtId="0" fontId="8" fillId="4" borderId="4" xfId="0" applyFont="1" applyFill="1" applyBorder="1" applyAlignment="1">
      <alignment horizontal="center"/>
    </xf>
    <xf numFmtId="0" fontId="12" fillId="0" borderId="5" xfId="0" applyFont="1" applyBorder="1" applyAlignment="1">
      <alignment horizontal="center"/>
    </xf>
    <xf numFmtId="0" fontId="12" fillId="0" borderId="0" xfId="0" applyFont="1" applyBorder="1" applyAlignment="1">
      <alignment horizontal="center"/>
    </xf>
    <xf numFmtId="0" fontId="14" fillId="0" borderId="0" xfId="0" applyFont="1" applyBorder="1" applyAlignment="1">
      <alignment horizontal="center"/>
    </xf>
    <xf numFmtId="0" fontId="111" fillId="0" borderId="0" xfId="0" applyFont="1" applyBorder="1" applyAlignment="1">
      <alignment horizontal="center"/>
    </xf>
    <xf numFmtId="0" fontId="111" fillId="0" borderId="9" xfId="0" applyFont="1" applyBorder="1" applyAlignment="1">
      <alignment horizontal="center"/>
    </xf>
    <xf numFmtId="14" fontId="85" fillId="0" borderId="10" xfId="0" applyNumberFormat="1" applyFont="1" applyBorder="1" applyAlignment="1">
      <alignment horizontal="left" vertical="center" wrapText="1"/>
    </xf>
    <xf numFmtId="0" fontId="85" fillId="0" borderId="0" xfId="0" applyFont="1" applyBorder="1" applyAlignment="1">
      <alignment horizontal="left" vertical="center" wrapText="1"/>
    </xf>
    <xf numFmtId="0" fontId="85" fillId="0" borderId="9" xfId="0" applyFont="1" applyBorder="1" applyAlignment="1">
      <alignment horizontal="left" vertical="center" wrapText="1"/>
    </xf>
    <xf numFmtId="0" fontId="85" fillId="0" borderId="0" xfId="0" applyFont="1" applyBorder="1" applyAlignment="1">
      <alignment horizontal="left" vertical="top" wrapText="1"/>
    </xf>
    <xf numFmtId="0" fontId="85" fillId="0" borderId="9" xfId="0" applyFont="1" applyBorder="1" applyAlignment="1">
      <alignment horizontal="left" vertical="top" wrapText="1"/>
    </xf>
  </cellXfs>
  <cellStyles count="472">
    <cellStyle name="_Copy of Daily order tracking ( harcopies receive )2010-2011" xfId="11"/>
    <cellStyle name="_Copy of ORDER 4046706-Maxhill" xfId="12"/>
    <cellStyle name="_ODER 4570726.XLS" xfId="13"/>
    <cellStyle name="_ODER 4718896" xfId="14"/>
    <cellStyle name="_ORDER 3262528-Maxhill" xfId="15"/>
    <cellStyle name="_ORDER 3316860 (177)-Maxhill" xfId="16"/>
    <cellStyle name="_ORDER 3316860-Maxhill" xfId="17"/>
    <cellStyle name="_ORDER 3512203 -Maxhill" xfId="18"/>
    <cellStyle name="_ORDER 3578701 -Maxhill" xfId="19"/>
    <cellStyle name="_ORDER 3578701 -Maxhill(169)" xfId="20"/>
    <cellStyle name="_ORDER 3590126 -Maxhill" xfId="21"/>
    <cellStyle name="_ORDER 3680496 -Maxhill" xfId="22"/>
    <cellStyle name="_ORDER 3771493 -Maxhill" xfId="23"/>
    <cellStyle name="_ORDER 3808341 -Maxhill" xfId="24"/>
    <cellStyle name="_ORDER 3849261 -Maxhill" xfId="25"/>
    <cellStyle name="_ORDER 3890895 -Maxhill" xfId="26"/>
    <cellStyle name="_ORDER 3925323-Maxhill" xfId="27"/>
    <cellStyle name="_ORDER 4083314-Maxhill" xfId="28"/>
    <cellStyle name="_ORDER 4108111-Maxhill" xfId="29"/>
    <cellStyle name="_ORDER 4154526-Maxhill-Avery" xfId="30"/>
    <cellStyle name="_ORDER 4200928-Maxhill" xfId="31"/>
    <cellStyle name="_ORDER 4217964-new sc" xfId="32"/>
    <cellStyle name="_ORDER 4228663-new" xfId="33"/>
    <cellStyle name="_ORDER 4244210-Maxhill-newform" xfId="34"/>
    <cellStyle name="_ORDER 4269624-Maxhill-newform" xfId="35"/>
    <cellStyle name="_ORDER 4280701-Maxhill-newform" xfId="36"/>
    <cellStyle name="_ORDER 4301446-Maxhill-newform" xfId="37"/>
    <cellStyle name="_ORDER 4304032-Maxhill-newform" xfId="38"/>
    <cellStyle name="_ORDER 4328693-Maxhill-newform" xfId="39"/>
    <cellStyle name="_ORDER 4342995-Maxhill-Avery" xfId="40"/>
    <cellStyle name="_ORDER 4346167-Maxhill-newform" xfId="41"/>
    <cellStyle name="_ORDER 4349702-Maxhill-Avery" xfId="42"/>
    <cellStyle name="_ORDER 4349982-Maxhill-Avery" xfId="43"/>
    <cellStyle name="_ORDER 4368689-Maxhill-Avery" xfId="44"/>
    <cellStyle name="_ORDER 4368815-Maxhill-Avery" xfId="45"/>
    <cellStyle name="_ORDER 4372417-Maxhill-Avery" xfId="46"/>
    <cellStyle name="_ORDER 4378071-Maxhill-Avery" xfId="47"/>
    <cellStyle name="_ORDER 4378341-Maxhill-Avery" xfId="48"/>
    <cellStyle name="_ORDER 4385614-Maxhill-Avery" xfId="49"/>
    <cellStyle name="_ORDER 4410976-Maxhill-Avery" xfId="50"/>
    <cellStyle name="_ORDER 4570634" xfId="51"/>
    <cellStyle name="_ORDER 4608689" xfId="52"/>
    <cellStyle name="_ORDER 4935836" xfId="53"/>
    <cellStyle name="_ORDER NO.4190714" xfId="54"/>
    <cellStyle name="_ORDER NO.4190714_ORDER 6948667 MOI- AVERY" xfId="55"/>
    <cellStyle name="_ORDER NO.4190714_ORDER 6995825 MOI- AVERY" xfId="56"/>
    <cellStyle name="_ORDER NO.4190714_ORDER 7011509 MOI- AVERY" xfId="57"/>
    <cellStyle name="_ORDER NO.4190714_ORDER 7031670 MOI- AVERY" xfId="58"/>
    <cellStyle name="_ORDER NO.4190714_ORDER 7077166  MOI- AVERY" xfId="59"/>
    <cellStyle name="_ORDER NO.4190714_ORDER 7091218  MOI- AVERY" xfId="60"/>
    <cellStyle name="_ORDER NO.4190714_ORDER 7125971  MOI- AVERY" xfId="61"/>
    <cellStyle name="20% - Accent1 2" xfId="62"/>
    <cellStyle name="20% - Accent1 3" xfId="63"/>
    <cellStyle name="20% - Accent1 4" xfId="64"/>
    <cellStyle name="20% - Accent1 5" xfId="65"/>
    <cellStyle name="20% - Accent1 6" xfId="66"/>
    <cellStyle name="20% - Accent1 7" xfId="67"/>
    <cellStyle name="20% - Accent1 8" xfId="68"/>
    <cellStyle name="20% - Accent2 2" xfId="69"/>
    <cellStyle name="20% - Accent2 3" xfId="70"/>
    <cellStyle name="20% - Accent2 4" xfId="71"/>
    <cellStyle name="20% - Accent2 5" xfId="72"/>
    <cellStyle name="20% - Accent2 6" xfId="73"/>
    <cellStyle name="20% - Accent2 7" xfId="74"/>
    <cellStyle name="20% - Accent2 8" xfId="75"/>
    <cellStyle name="20% - Accent3 2" xfId="76"/>
    <cellStyle name="20% - Accent3 3" xfId="77"/>
    <cellStyle name="20% - Accent3 4" xfId="78"/>
    <cellStyle name="20% - Accent3 5" xfId="79"/>
    <cellStyle name="20% - Accent3 6" xfId="80"/>
    <cellStyle name="20% - Accent3 7" xfId="81"/>
    <cellStyle name="20% - Accent3 8" xfId="82"/>
    <cellStyle name="20% - Accent4 2" xfId="83"/>
    <cellStyle name="20% - Accent4 3" xfId="84"/>
    <cellStyle name="20% - Accent4 4" xfId="85"/>
    <cellStyle name="20% - Accent4 5" xfId="86"/>
    <cellStyle name="20% - Accent4 6" xfId="87"/>
    <cellStyle name="20% - Accent4 7" xfId="88"/>
    <cellStyle name="20% - Accent4 8" xfId="89"/>
    <cellStyle name="20% - Accent5 2" xfId="90"/>
    <cellStyle name="20% - Accent5 3" xfId="91"/>
    <cellStyle name="20% - Accent5 4" xfId="92"/>
    <cellStyle name="20% - Accent5 5" xfId="93"/>
    <cellStyle name="20% - Accent5 6" xfId="94"/>
    <cellStyle name="20% - Accent5 7" xfId="95"/>
    <cellStyle name="20% - Accent5 8" xfId="96"/>
    <cellStyle name="20% - Accent6 2" xfId="97"/>
    <cellStyle name="20% - Accent6 3" xfId="98"/>
    <cellStyle name="20% - Accent6 4" xfId="99"/>
    <cellStyle name="20% - Accent6 5" xfId="100"/>
    <cellStyle name="20% - Accent6 6" xfId="101"/>
    <cellStyle name="20% - Accent6 7" xfId="102"/>
    <cellStyle name="20% - Accent6 8" xfId="103"/>
    <cellStyle name="32B12" xfId="104"/>
    <cellStyle name="40% - Accent1 2" xfId="105"/>
    <cellStyle name="40% - Accent1 3" xfId="106"/>
    <cellStyle name="40% - Accent1 4" xfId="107"/>
    <cellStyle name="40% - Accent1 5" xfId="108"/>
    <cellStyle name="40% - Accent1 6" xfId="109"/>
    <cellStyle name="40% - Accent1 7" xfId="110"/>
    <cellStyle name="40% - Accent1 8" xfId="111"/>
    <cellStyle name="40% - Accent2 2" xfId="112"/>
    <cellStyle name="40% - Accent2 3" xfId="113"/>
    <cellStyle name="40% - Accent2 4" xfId="114"/>
    <cellStyle name="40% - Accent2 5" xfId="115"/>
    <cellStyle name="40% - Accent2 6" xfId="116"/>
    <cellStyle name="40% - Accent2 7" xfId="117"/>
    <cellStyle name="40% - Accent2 8" xfId="118"/>
    <cellStyle name="40% - Accent3 2" xfId="119"/>
    <cellStyle name="40% - Accent3 3" xfId="120"/>
    <cellStyle name="40% - Accent3 4" xfId="121"/>
    <cellStyle name="40% - Accent3 5" xfId="122"/>
    <cellStyle name="40% - Accent3 6" xfId="123"/>
    <cellStyle name="40% - Accent3 7" xfId="124"/>
    <cellStyle name="40% - Accent3 8" xfId="125"/>
    <cellStyle name="40% - Accent4 2" xfId="126"/>
    <cellStyle name="40% - Accent4 3" xfId="127"/>
    <cellStyle name="40% - Accent4 4" xfId="128"/>
    <cellStyle name="40% - Accent4 5" xfId="129"/>
    <cellStyle name="40% - Accent4 6" xfId="130"/>
    <cellStyle name="40% - Accent4 7" xfId="131"/>
    <cellStyle name="40% - Accent4 8" xfId="132"/>
    <cellStyle name="40% - Accent5 2" xfId="133"/>
    <cellStyle name="40% - Accent5 3" xfId="134"/>
    <cellStyle name="40% - Accent5 4" xfId="135"/>
    <cellStyle name="40% - Accent5 5" xfId="136"/>
    <cellStyle name="40% - Accent5 6" xfId="137"/>
    <cellStyle name="40% - Accent5 7" xfId="138"/>
    <cellStyle name="40% - Accent5 8" xfId="139"/>
    <cellStyle name="40% - Accent6 2" xfId="140"/>
    <cellStyle name="40% - Accent6 3" xfId="141"/>
    <cellStyle name="40% - Accent6 4" xfId="142"/>
    <cellStyle name="40% - Accent6 5" xfId="143"/>
    <cellStyle name="40% - Accent6 6" xfId="144"/>
    <cellStyle name="40% - Accent6 7" xfId="145"/>
    <cellStyle name="40% - Accent6 8" xfId="146"/>
    <cellStyle name="60% - Accent1 2" xfId="147"/>
    <cellStyle name="60% - Accent1 3" xfId="148"/>
    <cellStyle name="60% - Accent1 4" xfId="149"/>
    <cellStyle name="60% - Accent1 5" xfId="150"/>
    <cellStyle name="60% - Accent1 6" xfId="151"/>
    <cellStyle name="60% - Accent1 7" xfId="152"/>
    <cellStyle name="60% - Accent1 8" xfId="153"/>
    <cellStyle name="60% - Accent2 2" xfId="154"/>
    <cellStyle name="60% - Accent2 3" xfId="155"/>
    <cellStyle name="60% - Accent2 4" xfId="156"/>
    <cellStyle name="60% - Accent2 5" xfId="157"/>
    <cellStyle name="60% - Accent2 6" xfId="158"/>
    <cellStyle name="60% - Accent2 7" xfId="159"/>
    <cellStyle name="60% - Accent2 8" xfId="160"/>
    <cellStyle name="60% - Accent3 2" xfId="161"/>
    <cellStyle name="60% - Accent3 3" xfId="162"/>
    <cellStyle name="60% - Accent3 4" xfId="163"/>
    <cellStyle name="60% - Accent3 5" xfId="164"/>
    <cellStyle name="60% - Accent3 6" xfId="165"/>
    <cellStyle name="60% - Accent3 7" xfId="166"/>
    <cellStyle name="60% - Accent3 8" xfId="167"/>
    <cellStyle name="60% - Accent4 2" xfId="168"/>
    <cellStyle name="60% - Accent4 3" xfId="169"/>
    <cellStyle name="60% - Accent4 4" xfId="170"/>
    <cellStyle name="60% - Accent4 5" xfId="171"/>
    <cellStyle name="60% - Accent4 6" xfId="172"/>
    <cellStyle name="60% - Accent4 7" xfId="173"/>
    <cellStyle name="60% - Accent4 8" xfId="174"/>
    <cellStyle name="60% - Accent5 2" xfId="175"/>
    <cellStyle name="60% - Accent5 3" xfId="176"/>
    <cellStyle name="60% - Accent5 4" xfId="177"/>
    <cellStyle name="60% - Accent5 5" xfId="178"/>
    <cellStyle name="60% - Accent5 6" xfId="179"/>
    <cellStyle name="60% - Accent5 7" xfId="180"/>
    <cellStyle name="60% - Accent5 8" xfId="181"/>
    <cellStyle name="60% - Accent6 2" xfId="182"/>
    <cellStyle name="60% - Accent6 3" xfId="183"/>
    <cellStyle name="60% - Accent6 4" xfId="184"/>
    <cellStyle name="60% - Accent6 5" xfId="185"/>
    <cellStyle name="60% - Accent6 6" xfId="186"/>
    <cellStyle name="60% - Accent6 7" xfId="187"/>
    <cellStyle name="60% - Accent6 8" xfId="188"/>
    <cellStyle name="Accent1 2" xfId="189"/>
    <cellStyle name="Accent1 3" xfId="190"/>
    <cellStyle name="Accent1 4" xfId="191"/>
    <cellStyle name="Accent1 5" xfId="192"/>
    <cellStyle name="Accent1 6" xfId="193"/>
    <cellStyle name="Accent1 7" xfId="194"/>
    <cellStyle name="Accent1 8" xfId="195"/>
    <cellStyle name="Accent2 2" xfId="196"/>
    <cellStyle name="Accent2 3" xfId="197"/>
    <cellStyle name="Accent2 4" xfId="198"/>
    <cellStyle name="Accent2 5" xfId="199"/>
    <cellStyle name="Accent2 6" xfId="200"/>
    <cellStyle name="Accent2 7" xfId="201"/>
    <cellStyle name="Accent2 8" xfId="202"/>
    <cellStyle name="Accent3 2" xfId="203"/>
    <cellStyle name="Accent3 3" xfId="204"/>
    <cellStyle name="Accent3 4" xfId="205"/>
    <cellStyle name="Accent3 5" xfId="206"/>
    <cellStyle name="Accent3 6" xfId="207"/>
    <cellStyle name="Accent3 7" xfId="208"/>
    <cellStyle name="Accent3 8" xfId="209"/>
    <cellStyle name="Accent4 2" xfId="210"/>
    <cellStyle name="Accent4 3" xfId="211"/>
    <cellStyle name="Accent4 4" xfId="212"/>
    <cellStyle name="Accent4 5" xfId="213"/>
    <cellStyle name="Accent4 6" xfId="214"/>
    <cellStyle name="Accent4 7" xfId="215"/>
    <cellStyle name="Accent4 8" xfId="216"/>
    <cellStyle name="Accent5 2" xfId="217"/>
    <cellStyle name="Accent5 3" xfId="218"/>
    <cellStyle name="Accent5 4" xfId="219"/>
    <cellStyle name="Accent5 5" xfId="220"/>
    <cellStyle name="Accent5 6" xfId="221"/>
    <cellStyle name="Accent5 7" xfId="222"/>
    <cellStyle name="Accent5 8" xfId="223"/>
    <cellStyle name="Accent6 2" xfId="224"/>
    <cellStyle name="Accent6 3" xfId="225"/>
    <cellStyle name="Accent6 4" xfId="226"/>
    <cellStyle name="Accent6 5" xfId="227"/>
    <cellStyle name="Accent6 6" xfId="228"/>
    <cellStyle name="Accent6 7" xfId="229"/>
    <cellStyle name="Accent6 8" xfId="230"/>
    <cellStyle name="Bad 2" xfId="231"/>
    <cellStyle name="Bad 3" xfId="232"/>
    <cellStyle name="Bad 4" xfId="233"/>
    <cellStyle name="Bad 5" xfId="234"/>
    <cellStyle name="Bad 6" xfId="235"/>
    <cellStyle name="Bad 7" xfId="236"/>
    <cellStyle name="Bad 8" xfId="237"/>
    <cellStyle name="Calculation 2" xfId="238"/>
    <cellStyle name="Calculation 3" xfId="239"/>
    <cellStyle name="Calculation 4" xfId="240"/>
    <cellStyle name="Calculation 5" xfId="241"/>
    <cellStyle name="Calculation 6" xfId="242"/>
    <cellStyle name="Calculation 7" xfId="243"/>
    <cellStyle name="Calculation 8" xfId="244"/>
    <cellStyle name="Check Cell 2" xfId="245"/>
    <cellStyle name="Check Cell 3" xfId="246"/>
    <cellStyle name="Check Cell 4" xfId="247"/>
    <cellStyle name="Check Cell 5" xfId="248"/>
    <cellStyle name="Check Cell 6" xfId="249"/>
    <cellStyle name="Check Cell 7" xfId="250"/>
    <cellStyle name="Check Cell 8" xfId="251"/>
    <cellStyle name="Comma" xfId="1" builtinId="3"/>
    <cellStyle name="Comma [0] 2" xfId="252"/>
    <cellStyle name="Comma 10" xfId="253"/>
    <cellStyle name="Comma 11" xfId="254"/>
    <cellStyle name="Comma 12" xfId="397"/>
    <cellStyle name="Comma 13" xfId="398"/>
    <cellStyle name="Comma 14" xfId="399"/>
    <cellStyle name="Comma 15" xfId="466"/>
    <cellStyle name="Comma 16" xfId="400"/>
    <cellStyle name="Comma 2" xfId="255"/>
    <cellStyle name="Comma 2 10" xfId="256"/>
    <cellStyle name="Comma 2 2" xfId="257"/>
    <cellStyle name="Comma 2 2 2" xfId="258"/>
    <cellStyle name="Comma 2 3" xfId="259"/>
    <cellStyle name="Comma 2 3 2" xfId="260"/>
    <cellStyle name="Comma 2 4" xfId="261"/>
    <cellStyle name="Comma 2 5" xfId="467"/>
    <cellStyle name="Comma 3" xfId="262"/>
    <cellStyle name="Comma 3 10" xfId="401"/>
    <cellStyle name="Comma 3 11" xfId="402"/>
    <cellStyle name="Comma 3 12" xfId="403"/>
    <cellStyle name="Comma 3 13" xfId="404"/>
    <cellStyle name="Comma 3 14" xfId="405"/>
    <cellStyle name="Comma 3 15" xfId="406"/>
    <cellStyle name="Comma 3 16" xfId="407"/>
    <cellStyle name="Comma 3 17" xfId="408"/>
    <cellStyle name="Comma 3 18" xfId="409"/>
    <cellStyle name="Comma 3 19" xfId="410"/>
    <cellStyle name="Comma 3 2" xfId="411"/>
    <cellStyle name="Comma 3 20" xfId="412"/>
    <cellStyle name="Comma 3 21" xfId="413"/>
    <cellStyle name="Comma 3 22" xfId="414"/>
    <cellStyle name="Comma 3 23" xfId="415"/>
    <cellStyle name="Comma 3 24" xfId="416"/>
    <cellStyle name="Comma 3 25" xfId="417"/>
    <cellStyle name="Comma 3 26" xfId="418"/>
    <cellStyle name="Comma 3 27" xfId="419"/>
    <cellStyle name="Comma 3 28" xfId="420"/>
    <cellStyle name="Comma 3 29" xfId="421"/>
    <cellStyle name="Comma 3 3" xfId="422"/>
    <cellStyle name="Comma 3 30" xfId="423"/>
    <cellStyle name="Comma 3 31" xfId="424"/>
    <cellStyle name="Comma 3 32" xfId="425"/>
    <cellStyle name="Comma 3 33" xfId="426"/>
    <cellStyle name="Comma 3 34" xfId="427"/>
    <cellStyle name="Comma 3 35" xfId="428"/>
    <cellStyle name="Comma 3 36" xfId="429"/>
    <cellStyle name="Comma 3 37" xfId="430"/>
    <cellStyle name="Comma 3 38" xfId="431"/>
    <cellStyle name="Comma 3 39" xfId="432"/>
    <cellStyle name="Comma 3 4" xfId="433"/>
    <cellStyle name="Comma 3 40" xfId="434"/>
    <cellStyle name="Comma 3 5" xfId="435"/>
    <cellStyle name="Comma 3 6" xfId="436"/>
    <cellStyle name="Comma 3 7" xfId="437"/>
    <cellStyle name="Comma 3 8" xfId="438"/>
    <cellStyle name="Comma 3 9" xfId="439"/>
    <cellStyle name="Comma 4" xfId="263"/>
    <cellStyle name="Comma 4 2" xfId="468"/>
    <cellStyle name="Comma 5" xfId="264"/>
    <cellStyle name="Comma 5 2" xfId="469"/>
    <cellStyle name="Comma 6" xfId="265"/>
    <cellStyle name="Comma 6 2" xfId="470"/>
    <cellStyle name="Comma 7" xfId="266"/>
    <cellStyle name="Comma 8" xfId="267"/>
    <cellStyle name="Comma 9" xfId="268"/>
    <cellStyle name="Explanatory Text 2" xfId="269"/>
    <cellStyle name="Explanatory Text 3" xfId="270"/>
    <cellStyle name="Explanatory Text 4" xfId="271"/>
    <cellStyle name="Explanatory Text 5" xfId="272"/>
    <cellStyle name="Explanatory Text 6" xfId="273"/>
    <cellStyle name="Explanatory Text 7" xfId="274"/>
    <cellStyle name="Explanatory Text 8" xfId="275"/>
    <cellStyle name="Good 2" xfId="276"/>
    <cellStyle name="Good 3" xfId="277"/>
    <cellStyle name="Good 4" xfId="278"/>
    <cellStyle name="Good 5" xfId="279"/>
    <cellStyle name="Good 6" xfId="280"/>
    <cellStyle name="Good 7" xfId="281"/>
    <cellStyle name="Good 8" xfId="282"/>
    <cellStyle name="Heading 1 2" xfId="283"/>
    <cellStyle name="Heading 1 3" xfId="284"/>
    <cellStyle name="Heading 1 4" xfId="285"/>
    <cellStyle name="Heading 1 5" xfId="286"/>
    <cellStyle name="Heading 1 6" xfId="287"/>
    <cellStyle name="Heading 1 7" xfId="288"/>
    <cellStyle name="Heading 1 8" xfId="289"/>
    <cellStyle name="Heading 2 2" xfId="290"/>
    <cellStyle name="Heading 2 3" xfId="291"/>
    <cellStyle name="Heading 2 4" xfId="292"/>
    <cellStyle name="Heading 2 5" xfId="293"/>
    <cellStyle name="Heading 2 6" xfId="294"/>
    <cellStyle name="Heading 2 7" xfId="295"/>
    <cellStyle name="Heading 2 8" xfId="296"/>
    <cellStyle name="Heading 3 2" xfId="297"/>
    <cellStyle name="Heading 3 3" xfId="298"/>
    <cellStyle name="Heading 3 4" xfId="299"/>
    <cellStyle name="Heading 3 5" xfId="300"/>
    <cellStyle name="Heading 3 6" xfId="301"/>
    <cellStyle name="Heading 3 7" xfId="302"/>
    <cellStyle name="Heading 3 8" xfId="303"/>
    <cellStyle name="Heading 4 2" xfId="304"/>
    <cellStyle name="Heading 4 3" xfId="305"/>
    <cellStyle name="Heading 4 4" xfId="306"/>
    <cellStyle name="Heading 4 5" xfId="307"/>
    <cellStyle name="Heading 4 6" xfId="308"/>
    <cellStyle name="Heading 4 7" xfId="309"/>
    <cellStyle name="Heading 4 8" xfId="310"/>
    <cellStyle name="Hyperlink" xfId="3" builtinId="8"/>
    <cellStyle name="Hyperlink 2" xfId="440"/>
    <cellStyle name="Input 2" xfId="311"/>
    <cellStyle name="Input 3" xfId="312"/>
    <cellStyle name="Input 4" xfId="313"/>
    <cellStyle name="Input 5" xfId="314"/>
    <cellStyle name="Input 6" xfId="315"/>
    <cellStyle name="Input 7" xfId="316"/>
    <cellStyle name="Input 8" xfId="317"/>
    <cellStyle name="Linked Cell 2" xfId="318"/>
    <cellStyle name="Linked Cell 3" xfId="319"/>
    <cellStyle name="Linked Cell 4" xfId="320"/>
    <cellStyle name="Linked Cell 5" xfId="321"/>
    <cellStyle name="Linked Cell 6" xfId="322"/>
    <cellStyle name="Linked Cell 7" xfId="323"/>
    <cellStyle name="Linked Cell 8" xfId="324"/>
    <cellStyle name="Neutral 2" xfId="325"/>
    <cellStyle name="Neutral 3" xfId="326"/>
    <cellStyle name="Neutral 4" xfId="327"/>
    <cellStyle name="Neutral 5" xfId="328"/>
    <cellStyle name="Neutral 6" xfId="329"/>
    <cellStyle name="Neutral 7" xfId="330"/>
    <cellStyle name="Neutral 8" xfId="331"/>
    <cellStyle name="Normal" xfId="0" builtinId="0"/>
    <cellStyle name="Normal 10" xfId="441"/>
    <cellStyle name="Normal 11" xfId="442"/>
    <cellStyle name="Normal 112" xfId="332"/>
    <cellStyle name="Normal 116" xfId="333"/>
    <cellStyle name="Normal 117" xfId="4"/>
    <cellStyle name="Normal 119" xfId="334"/>
    <cellStyle name="Normal 12" xfId="335"/>
    <cellStyle name="Normal 12 2" xfId="443"/>
    <cellStyle name="Normal 12 3" xfId="444"/>
    <cellStyle name="Normal 122" xfId="336"/>
    <cellStyle name="Normal 13" xfId="445"/>
    <cellStyle name="Normal 13 2" xfId="446"/>
    <cellStyle name="Normal 13 3" xfId="471"/>
    <cellStyle name="Normal 133" xfId="5"/>
    <cellStyle name="Normal 14" xfId="447"/>
    <cellStyle name="Normal 15" xfId="448"/>
    <cellStyle name="Normal 161" xfId="337"/>
    <cellStyle name="Normal 19" xfId="338"/>
    <cellStyle name="Normal 2" xfId="6"/>
    <cellStyle name="Normal 2 10" xfId="339"/>
    <cellStyle name="Normal 2 11" xfId="449"/>
    <cellStyle name="Normal 2 12" xfId="450"/>
    <cellStyle name="Normal 2 13" xfId="9"/>
    <cellStyle name="Normal 2 2" xfId="340"/>
    <cellStyle name="Normal 2 2 2" xfId="341"/>
    <cellStyle name="Normal 2 2 2 5" xfId="342"/>
    <cellStyle name="Normal 2 2 2 5 2" xfId="343"/>
    <cellStyle name="Normal 2 3" xfId="344"/>
    <cellStyle name="Normal 2 3 2" xfId="345"/>
    <cellStyle name="Normal 2 3 3" xfId="10"/>
    <cellStyle name="Normal 2 4" xfId="346"/>
    <cellStyle name="Normal 2 4 2" xfId="451"/>
    <cellStyle name="Normal 2 5" xfId="452"/>
    <cellStyle name="Normal 2 6" xfId="453"/>
    <cellStyle name="Normal 2 7" xfId="454"/>
    <cellStyle name="Normal 2 8" xfId="455"/>
    <cellStyle name="Normal 2 9" xfId="456"/>
    <cellStyle name="Normal 24" xfId="347"/>
    <cellStyle name="Normal 3" xfId="348"/>
    <cellStyle name="Normal 3 2" xfId="349"/>
    <cellStyle name="Normal 3 2 14" xfId="7"/>
    <cellStyle name="Normal 3 2 2" xfId="350"/>
    <cellStyle name="Normal 3 2 2 2" xfId="457"/>
    <cellStyle name="Normal 3 3" xfId="351"/>
    <cellStyle name="Normal 4" xfId="352"/>
    <cellStyle name="Normal 4 2" xfId="353"/>
    <cellStyle name="Normal 4 2 2" xfId="354"/>
    <cellStyle name="Normal 4 3" xfId="458"/>
    <cellStyle name="Normal 5" xfId="459"/>
    <cellStyle name="Normal 5 2" xfId="460"/>
    <cellStyle name="Normal 58" xfId="355"/>
    <cellStyle name="Normal 6" xfId="8"/>
    <cellStyle name="Normal 6 2" xfId="462"/>
    <cellStyle name="Normal 6 3" xfId="461"/>
    <cellStyle name="Normal 7" xfId="2"/>
    <cellStyle name="Normal 7 2" xfId="463"/>
    <cellStyle name="Normal 75" xfId="356"/>
    <cellStyle name="Normal 78" xfId="357"/>
    <cellStyle name="Normal 8" xfId="358"/>
    <cellStyle name="Normal 8 2" xfId="464"/>
    <cellStyle name="Normal 9" xfId="465"/>
    <cellStyle name="Note 2" xfId="359"/>
    <cellStyle name="Note 3" xfId="360"/>
    <cellStyle name="Note 4" xfId="361"/>
    <cellStyle name="Note 5" xfId="362"/>
    <cellStyle name="Note 6" xfId="363"/>
    <cellStyle name="Note 7" xfId="364"/>
    <cellStyle name="Note 8" xfId="365"/>
    <cellStyle name="Output 2" xfId="366"/>
    <cellStyle name="Output 3" xfId="367"/>
    <cellStyle name="Output 4" xfId="368"/>
    <cellStyle name="Output 5" xfId="369"/>
    <cellStyle name="Output 6" xfId="370"/>
    <cellStyle name="Output 7" xfId="371"/>
    <cellStyle name="Output 8" xfId="372"/>
    <cellStyle name="Percent 2" xfId="373"/>
    <cellStyle name="Style 1" xfId="374"/>
    <cellStyle name="Title 2" xfId="375"/>
    <cellStyle name="Title 3" xfId="376"/>
    <cellStyle name="Title 4" xfId="377"/>
    <cellStyle name="Title 5" xfId="378"/>
    <cellStyle name="Title 6" xfId="379"/>
    <cellStyle name="Title 7" xfId="380"/>
    <cellStyle name="Title 8" xfId="381"/>
    <cellStyle name="Total 2" xfId="382"/>
    <cellStyle name="Total 3" xfId="383"/>
    <cellStyle name="Total 4" xfId="384"/>
    <cellStyle name="Total 5" xfId="385"/>
    <cellStyle name="Total 6" xfId="386"/>
    <cellStyle name="Total 7" xfId="387"/>
    <cellStyle name="Total 8" xfId="388"/>
    <cellStyle name="Warning Text 2" xfId="389"/>
    <cellStyle name="Warning Text 3" xfId="390"/>
    <cellStyle name="Warning Text 4" xfId="391"/>
    <cellStyle name="Warning Text 5" xfId="392"/>
    <cellStyle name="Warning Text 6" xfId="393"/>
    <cellStyle name="Warning Text 7" xfId="394"/>
    <cellStyle name="Warning Text 8" xfId="395"/>
    <cellStyle name="一般_CustomerList" xfId="396"/>
  </cellStyles>
  <dxfs count="5027">
    <dxf>
      <font>
        <color rgb="FF9C0006"/>
      </font>
      <fill>
        <patternFill>
          <bgColor rgb="FFFFC7CE"/>
        </patternFill>
      </fill>
    </dxf>
    <dxf>
      <font>
        <color rgb="FF9C0006"/>
      </font>
      <fill>
        <patternFill>
          <bgColor rgb="FFFFC7CE"/>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auto="1"/>
      </font>
      <fill>
        <patternFill>
          <bgColor indexed="42"/>
        </patternFill>
      </fill>
    </dxf>
    <dxf>
      <font>
        <condense val="0"/>
        <extend val="0"/>
        <color indexed="14"/>
      </font>
      <fill>
        <patternFill patternType="none">
          <bgColor indexed="65"/>
        </patternFill>
      </fill>
    </dxf>
    <dxf>
      <font>
        <condense val="0"/>
        <extend val="0"/>
        <color indexed="17"/>
      </font>
      <fill>
        <patternFill patternType="none">
          <bgColor indexed="65"/>
        </patternFill>
      </fill>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font>
      <fill>
        <patternFill>
          <bgColor theme="6" tint="0.59996337778862885"/>
        </patternFill>
      </fill>
    </dxf>
    <dxf>
      <font>
        <b/>
        <i val="0"/>
        <color theme="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font>
      <fill>
        <patternFill>
          <bgColor theme="6" tint="0.59996337778862885"/>
        </patternFill>
      </fill>
    </dxf>
    <dxf>
      <font>
        <b/>
        <i val="0"/>
        <color rgb="FFFF000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34341</xdr:rowOff>
    </xdr:to>
    <xdr:grpSp>
      <xdr:nvGrpSpPr>
        <xdr:cNvPr id="2" name="Group 1"/>
        <xdr:cNvGrpSpPr>
          <a:grpSpLocks noChangeAspect="1"/>
        </xdr:cNvGrpSpPr>
      </xdr:nvGrpSpPr>
      <xdr:grpSpPr bwMode="auto">
        <a:xfrm>
          <a:off x="0" y="0"/>
          <a:ext cx="2286000" cy="857301"/>
          <a:chOff x="0" y="4"/>
          <a:chExt cx="220" cy="91"/>
        </a:xfrm>
      </xdr:grpSpPr>
      <xdr:sp macro="" textlink="">
        <xdr:nvSpPr>
          <xdr:cNvPr id="3" name="AutoShape 5"/>
          <xdr:cNvSpPr>
            <a:spLocks noChangeAspect="1" noChangeArrowheads="1"/>
          </xdr:cNvSpPr>
        </xdr:nvSpPr>
        <xdr:spPr bwMode="auto">
          <a:xfrm>
            <a:off x="0" y="4"/>
            <a:ext cx="220" cy="91"/>
          </a:xfrm>
          <a:prstGeom prst="rect">
            <a:avLst/>
          </a:prstGeom>
          <a:solidFill>
            <a:srgbClr val="FFFFFF"/>
          </a:solidFill>
          <a:ln w="9525">
            <a:noFill/>
            <a:miter lim="800000"/>
            <a:headEnd/>
            <a:tailEnd/>
          </a:ln>
        </xdr:spPr>
      </xdr:sp>
      <xdr:pic>
        <xdr:nvPicPr>
          <xdr:cNvPr id="4"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4"/>
            <a:ext cx="220" cy="91"/>
          </a:xfrm>
          <a:prstGeom prst="rect">
            <a:avLst/>
          </a:prstGeom>
          <a:solidFill>
            <a:srgbClr val="FFFFFF"/>
          </a:solid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34341</xdr:rowOff>
    </xdr:to>
    <xdr:grpSp>
      <xdr:nvGrpSpPr>
        <xdr:cNvPr id="5" name="Group 4"/>
        <xdr:cNvGrpSpPr>
          <a:grpSpLocks noChangeAspect="1"/>
        </xdr:cNvGrpSpPr>
      </xdr:nvGrpSpPr>
      <xdr:grpSpPr bwMode="auto">
        <a:xfrm>
          <a:off x="0" y="0"/>
          <a:ext cx="2286000" cy="857301"/>
          <a:chOff x="0" y="4"/>
          <a:chExt cx="220" cy="91"/>
        </a:xfrm>
      </xdr:grpSpPr>
      <xdr:sp macro="" textlink="">
        <xdr:nvSpPr>
          <xdr:cNvPr id="6" name="AutoShape 5"/>
          <xdr:cNvSpPr>
            <a:spLocks noChangeAspect="1" noChangeArrowheads="1"/>
          </xdr:cNvSpPr>
        </xdr:nvSpPr>
        <xdr:spPr bwMode="auto">
          <a:xfrm>
            <a:off x="0" y="4"/>
            <a:ext cx="220" cy="91"/>
          </a:xfrm>
          <a:prstGeom prst="rect">
            <a:avLst/>
          </a:prstGeom>
          <a:solidFill>
            <a:srgbClr val="FFFFFF"/>
          </a:solidFill>
          <a:ln w="9525">
            <a:noFill/>
            <a:miter lim="800000"/>
            <a:headEnd/>
            <a:tailEnd/>
          </a:ln>
        </xdr:spPr>
      </xdr:sp>
      <xdr:pic>
        <xdr:nvPicPr>
          <xdr:cNvPr id="7"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0" y="4"/>
            <a:ext cx="220" cy="91"/>
          </a:xfrm>
          <a:prstGeom prst="rect">
            <a:avLst/>
          </a:prstGeom>
          <a:solidFill>
            <a:srgbClr val="FFFFFF"/>
          </a:solidFill>
          <a:ln w="9525">
            <a:noFill/>
            <a:miter lim="800000"/>
            <a:headEnd/>
            <a:tailEnd/>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Logistics\Shipping%20Share\SHIPMENT%20LIST\SHIPMENT%20LIST-%20HANG%20GOI%20TRONG%20NUOC\2018\Copy%20of%20Copy%20of%20QUYEN%20SHIPMENT%20-%20APRIL-%20HANG%20GOI%20TRONG%20NUO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Logistics\Shipping%20Share\SHIPMENT%20LIST\SHIPMENT%20LIST-%20HANG%20GOI%20TRONG%20NUOC\2018\MS.QUYEN%20SHIPMENT%20-MAY-%20HANG%20GOI%20TRONG%20NU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NEED VAT"/>
      <sheetName val="VN GEN"/>
      <sheetName val="Tem"/>
      <sheetName val="DSKH"/>
      <sheetName val="KHACH DEN LAY VAT"/>
      <sheetName val="KHACH DEN LAY GEN"/>
      <sheetName val="FORWARDER"/>
      <sheetName val="GHEP SO SO"/>
      <sheetName val="Tem (2)"/>
    </sheetNames>
    <sheetDataSet>
      <sheetData sheetId="0"/>
      <sheetData sheetId="1"/>
      <sheetData sheetId="2"/>
      <sheetData sheetId="3">
        <row r="1">
          <cell r="B1" t="str">
            <v>Dang Thi Vui:</v>
          </cell>
          <cell r="C1" t="str">
            <v xml:space="preserve"> 0986 839 625</v>
          </cell>
          <cell r="D1" t="str">
            <v>ITG- PP, CUONG NGOAN ( HOLD HANG)</v>
          </cell>
          <cell r="E1">
            <v>0</v>
          </cell>
        </row>
        <row r="2">
          <cell r="B2" t="str">
            <v>Ngo Tuyet Nhung:</v>
          </cell>
          <cell r="C2" t="str">
            <v xml:space="preserve"> 0904 299 904</v>
          </cell>
          <cell r="D2" t="str">
            <v>Truong Thanh</v>
          </cell>
          <cell r="E2" t="str">
            <v>08 6271 4849</v>
          </cell>
        </row>
        <row r="3">
          <cell r="B3" t="str">
            <v>Nguyen Phuong Thao:</v>
          </cell>
          <cell r="C3" t="str">
            <v xml:space="preserve"> 0904 107 207</v>
          </cell>
          <cell r="D3" t="str">
            <v>HA BAC - Huyen Trang:( pxnk)0989 894 846</v>
          </cell>
          <cell r="E3">
            <v>0</v>
          </cell>
        </row>
        <row r="4">
          <cell r="B4">
            <v>0</v>
          </cell>
          <cell r="C4" t="str">
            <v>CUSTOMERS</v>
          </cell>
          <cell r="D4">
            <v>0</v>
          </cell>
          <cell r="E4">
            <v>0</v>
          </cell>
        </row>
        <row r="5">
          <cell r="B5">
            <v>0</v>
          </cell>
          <cell r="C5" t="str">
            <v>TAT CA NHUNG DON HANG REGENT MANGO GIAO TRUOC 12H</v>
          </cell>
          <cell r="D5">
            <v>0</v>
          </cell>
          <cell r="E5">
            <v>0</v>
          </cell>
        </row>
        <row r="6">
          <cell r="B6" t="str">
            <v xml:space="preserve">ITG- PHONG PHU (247 </v>
          </cell>
          <cell r="C6" t="str">
            <v>LH: Anh Toan: 0985 001 135</v>
          </cell>
          <cell r="D6" t="str">
            <v>ACCOUNT 2980</v>
          </cell>
          <cell r="E6">
            <v>0</v>
          </cell>
        </row>
        <row r="7">
          <cell r="B7" t="str">
            <v>XL</v>
          </cell>
          <cell r="C7" t="str">
            <v>60x40x27</v>
          </cell>
          <cell r="D7" t="str">
            <v>D</v>
          </cell>
          <cell r="E7" t="str">
            <v>41 x28x 13</v>
          </cell>
        </row>
        <row r="8">
          <cell r="B8" t="str">
            <v>A</v>
          </cell>
          <cell r="C8" t="str">
            <v>43 x30x 29</v>
          </cell>
          <cell r="D8" t="str">
            <v>E</v>
          </cell>
          <cell r="E8" t="str">
            <v>41 x28x 9</v>
          </cell>
        </row>
        <row r="9">
          <cell r="B9" t="str">
            <v>B</v>
          </cell>
          <cell r="C9" t="str">
            <v>43 x25x 29</v>
          </cell>
          <cell r="D9" t="str">
            <v>F</v>
          </cell>
          <cell r="E9" t="str">
            <v>27 x21x 9</v>
          </cell>
        </row>
        <row r="10">
          <cell r="B10" t="str">
            <v>C</v>
          </cell>
          <cell r="C10" t="str">
            <v>43 x19x 29</v>
          </cell>
          <cell r="D10" t="str">
            <v>G</v>
          </cell>
          <cell r="E10" t="str">
            <v>27 x11x 9</v>
          </cell>
        </row>
        <row r="11">
          <cell r="B11" t="str">
            <v>CUSTOMERS</v>
          </cell>
          <cell r="C11" t="str">
            <v>ADDRESS</v>
          </cell>
          <cell r="D11" t="str">
            <v>FORWARDER</v>
          </cell>
          <cell r="E11" t="str">
            <v>ATTN</v>
          </cell>
        </row>
        <row r="12">
          <cell r="B12" t="str">
            <v xml:space="preserve">                                                                                                                                                                                                                                                                                                                                                                                                                                                                                                                                                                                                                                                                                                                                                                                                                                                                                                                                                                                                                                                                                                                                                                                                                                                                                                                                                                                                                                                                                                                                                                                                                                                                                                                                                                                                                                                                                                                                                                                                                                                                                                                                                                                                                                                                                                                                                                                                                                                                                                                                                                                                                                                                                                                                                                                                                                                                                                                                                                                                                                                                                                                                                                                                                                                                                                                                                                                                                                                                                                                                                                                                                                                                                                                                                                                                                                                                                                                                                                                                                                                                                                                                                                                                                                                                                                                                                                                                                                                                                                                                                                                                                                                                                                                                                                                                                                                                                                                                                                                                                                                                                                                                                                                                                                                                                                                                                                                                                                                                                                                                                                                                                                                                                                                                                                                                                                                                                                                                                                                                                                                                                                                                                                                                                                                                                                                                                                                                                                                                                                                                                                                                                                                                                                                                                                                                                                                                                                                                                                                                                                                                                                                                                                                                                                                                                                                                                                                                                                                                                                                                                                                                                                                                                                                                                                                                                                                                                                                                                                                                                                                                                                                                                                                                                                                                                                                                                                                                                                                                                                                                                                                                                                                                                                                                                                                                                                                                                                                                                                                                                                                                                                                                                                                                                </v>
          </cell>
          <cell r="C12" t="str">
            <v>PLOT CN5, KCN THACH THAT - QUOC OAI, THACH THAT, HA NOI</v>
          </cell>
          <cell r="D12" t="str">
            <v>HANG CHUNG CTU</v>
          </cell>
          <cell r="E12" t="str">
            <v>NGA: 0989 792 844</v>
          </cell>
        </row>
        <row r="13">
          <cell r="B13" t="str">
            <v xml:space="preserve"> J LAND</v>
          </cell>
          <cell r="C13" t="str">
            <v>RM 701, 7TH FLOOR, NOZA BLDL, CAU GIAY, HA NOI</v>
          </cell>
          <cell r="D13">
            <v>0</v>
          </cell>
          <cell r="E13" t="str">
            <v>*JLAND KOREA - HANOI REPRESENTATIVE OFFICE
*FLOOR # 7, LILAMA 10 BUILDING
TO HUU STR, TRUNG VAN ,  TU LIEM, HA NOI
TEL: 84-4-916 28 58 18/ 84-4-37676652 (107)
Ms. Scarlet</v>
          </cell>
        </row>
        <row r="14">
          <cell r="B14" t="str">
            <v>OSPINTER</v>
          </cell>
          <cell r="C14" t="str">
            <v>TANG 7, TOA NHA LILAMA, LE VAN LUONG, TU LIEM, HA NOI</v>
          </cell>
          <cell r="D14">
            <v>0</v>
          </cell>
          <cell r="E14" t="str">
            <v>MS. LINH: 0989955012</v>
          </cell>
        </row>
        <row r="15">
          <cell r="B15" t="str">
            <v xml:space="preserve"> Kho Chien Thang</v>
          </cell>
          <cell r="C15" t="str">
            <v>Cong ty Co phan may Ho Guom
Km 22,thi tran Ban- Hung Yen</v>
          </cell>
          <cell r="D15">
            <v>0</v>
          </cell>
          <cell r="E15" t="str">
            <v>Ms Ha: 0972 749 720</v>
          </cell>
        </row>
        <row r="16">
          <cell r="B16" t="str">
            <v xml:space="preserve"> KOSVI</v>
          </cell>
          <cell r="C16" t="str">
            <v xml:space="preserve"> Ấp Long Phú ,Xã Phước Thái, Huyện Long Thành, Đồng Nai  </v>
          </cell>
          <cell r="D16" t="str">
            <v>KHTT-TTC</v>
          </cell>
          <cell r="E16" t="str">
            <v xml:space="preserve">CINDY DT: 0613 542 971 Fax: 0613 542 973 </v>
          </cell>
        </row>
        <row r="17">
          <cell r="B17" t="str">
            <v>PS VINA</v>
          </cell>
          <cell r="C17" t="str">
            <v xml:space="preserve">KCN Gia Lễ, huyện Đông Hưng, Tỉnh Thái Bình </v>
          </cell>
          <cell r="D17">
            <v>0</v>
          </cell>
          <cell r="E17">
            <v>0</v>
          </cell>
        </row>
        <row r="18">
          <cell r="B18" t="str">
            <v>MTV KAP VINA</v>
          </cell>
          <cell r="C18" t="str">
            <v>LO BI-5-6-7-8, KCN TAN HUONG, TAN HUONG, CHAU THANH, TIEN GIANG</v>
          </cell>
          <cell r="D18">
            <v>0</v>
          </cell>
          <cell r="E18">
            <v>0</v>
          </cell>
        </row>
        <row r="19">
          <cell r="B19" t="str">
            <v xml:space="preserve"> Robot TOSY</v>
          </cell>
          <cell r="C19" t="str">
            <v xml:space="preserve">TANG 4,  81 LE VAN LUONG, NHAN CHINH, QUAN THANH XUAN, HA NOI
</v>
          </cell>
          <cell r="D19">
            <v>0</v>
          </cell>
          <cell r="E19" t="str">
            <v xml:space="preserve">ATT: Nguyễn Hà Ngân
SDT: 0989220255                                  TEL: 04 62753387           </v>
          </cell>
        </row>
        <row r="20">
          <cell r="B20" t="str">
            <v xml:space="preserve"> THANH TRUNG</v>
          </cell>
          <cell r="C20" t="str">
            <v xml:space="preserve">DUONG THIEN HAMLET ，TRUC NOI COMMUNE TRUC NINH DISTRICT NAM DINH PROVINCE </v>
          </cell>
          <cell r="D20">
            <v>0</v>
          </cell>
          <cell r="E20" t="str">
            <v>MS THANH: 0915398241</v>
          </cell>
        </row>
        <row r="21">
          <cell r="B21" t="str">
            <v xml:space="preserve"> TNG CN MAY PHU BINH 2</v>
          </cell>
          <cell r="C21" t="str">
            <v>KHA SON, PHU BINH, THAI NGUYEN</v>
          </cell>
          <cell r="D21">
            <v>0</v>
          </cell>
          <cell r="E21" t="str">
            <v>0969722242 OR 01674682318</v>
          </cell>
        </row>
        <row r="22">
          <cell r="B22" t="str">
            <v>28 DA NANG</v>
          </cell>
          <cell r="C22" t="str">
            <v>67 DUY TAN, DA NANG</v>
          </cell>
          <cell r="D22" t="str">
            <v>HANG GEN NHAN FIGS CHO EMAIL CONFIRM GIAO HANG CUA CS</v>
          </cell>
          <cell r="E22">
            <v>0</v>
          </cell>
        </row>
        <row r="23">
          <cell r="B23" t="str">
            <v>28 QUANG NGAI</v>
          </cell>
          <cell r="C23" t="str">
            <v>121 LE TRUNG DINH, PHUONG TRAN HUNG DAO, QUANG NGAI</v>
          </cell>
          <cell r="D23" t="str">
            <v>HANG KEM HD+KH THANH TOAN, NHAN INVISTA KHONG CO HOA DON</v>
          </cell>
          <cell r="E23" t="str">
            <v>NHU 0905100138</v>
          </cell>
        </row>
        <row r="24">
          <cell r="B24" t="str">
            <v>ACE</v>
          </cell>
          <cell r="C24" t="str">
            <v>KCN THUY VAN, VIET TRI, PHU THO</v>
          </cell>
          <cell r="D24">
            <v>0</v>
          </cell>
          <cell r="E24" t="str">
            <v>YB HAN: 210 857 742</v>
          </cell>
        </row>
        <row r="25">
          <cell r="B25" t="str">
            <v>ACE</v>
          </cell>
          <cell r="C25" t="str">
            <v>Thuy Van Industrial Zone, Viet Tri, Phu Tho</v>
          </cell>
          <cell r="D25">
            <v>0</v>
          </cell>
          <cell r="E25" t="str">
            <v>chi Nga - 0916887704</v>
          </cell>
        </row>
        <row r="26">
          <cell r="B26" t="str">
            <v>ADORA</v>
          </cell>
          <cell r="C26" t="str">
            <v>KCN TAM DIEP, TX TAM DIEP, NINH BINH</v>
          </cell>
          <cell r="D26" t="str">
            <v>cho XNK confirm</v>
          </cell>
          <cell r="E26" t="str">
            <v>Ms Tuyet - 0168 8363209</v>
          </cell>
        </row>
        <row r="27">
          <cell r="B27" t="str">
            <v>ADREM</v>
          </cell>
          <cell r="C27" t="str">
            <v>HUONG CANH, BINH XUYEN, VINH PHUC</v>
          </cell>
          <cell r="D27" t="str">
            <v>KH GOI FORWARDER VAO LAY</v>
          </cell>
          <cell r="E27" t="str">
            <v>MS HUYEN</v>
          </cell>
        </row>
        <row r="28">
          <cell r="B28" t="str">
            <v>ALL WELLS</v>
          </cell>
          <cell r="C28" t="str">
            <v>DUONG 81, TOC TIEN, TAN THANH, VUNG TAU</v>
          </cell>
          <cell r="D28" t="str">
            <v>NHO CHECK MAIL CS GUI CONFIRM KH BOOK VIETSTAR LAY HANG (PUMA LH MIA.NGUYEN, ADIDAS LH HIEN.TRAN, NIKE LH SALLY.NGUYEN)</v>
          </cell>
          <cell r="E28" t="str">
            <v>NONO ZHANG: 064 394 8437</v>
          </cell>
        </row>
        <row r="29">
          <cell r="B29" t="str">
            <v>ALLIANCE ONE</v>
          </cell>
          <cell r="C29" t="str">
            <v>B1, B2, B5-12, GIAO LONG IP, AN PHUOC, CHAU THANH, BEN TRE</v>
          </cell>
          <cell r="D29" t="str">
            <v>CTU</v>
          </cell>
          <cell r="E29" t="str">
            <v>Ms.Khanh – Thu Mua ( Kitty) 
0939 979 792</v>
          </cell>
        </row>
        <row r="30">
          <cell r="B30" t="str">
            <v>AMARA</v>
          </cell>
          <cell r="C30" t="str">
            <v>Thi tran Co Le, Huyen Truc Ninh, Tinh Nam Dinh</v>
          </cell>
          <cell r="D30">
            <v>0</v>
          </cell>
          <cell r="E30" t="str">
            <v>TUAN 01299232551</v>
          </cell>
        </row>
        <row r="31">
          <cell r="B31" t="str">
            <v>AN GIANG SAMHO</v>
          </cell>
          <cell r="C31" t="str">
            <v>LO C3, KCN BINH HOA, XA BINH HOA, HUYEN CHAU THANH, AN GIANG</v>
          </cell>
          <cell r="D31">
            <v>0</v>
          </cell>
          <cell r="E31">
            <v>0</v>
          </cell>
        </row>
        <row r="32">
          <cell r="B32" t="str">
            <v>AN HUNG</v>
          </cell>
          <cell r="C32" t="str">
            <v>231 NGUYỄN TẤT THÀNH-8TH- TUY HOA-PHU YÊN</v>
          </cell>
          <cell r="D32">
            <v>0</v>
          </cell>
          <cell r="E32" t="str">
            <v>MS DUONG-57 3 838180</v>
          </cell>
        </row>
        <row r="33">
          <cell r="B33" t="str">
            <v>AN NHON</v>
          </cell>
          <cell r="C33" t="str">
            <v>NHON HOA, AN NHON, BINH DINH PROVINCE</v>
          </cell>
          <cell r="D33">
            <v>0</v>
          </cell>
          <cell r="E33" t="str">
            <v>ANH LANG 0903 588 784</v>
          </cell>
        </row>
        <row r="34">
          <cell r="B34" t="str">
            <v>AN PHAT</v>
          </cell>
          <cell r="C34" t="str">
            <v>KCN TAM QUAN, HOAI NHON, BINH DINH</v>
          </cell>
          <cell r="D34">
            <v>0</v>
          </cell>
          <cell r="E34" t="str">
            <v>MS TY: 0917 021 577</v>
          </cell>
        </row>
        <row r="35">
          <cell r="B35" t="str">
            <v>SUMMIT</v>
          </cell>
          <cell r="C35" t="str">
            <v>LO D3, D4, D5 KCN PHUC KHANH, THAI BINH</v>
          </cell>
          <cell r="D35">
            <v>0</v>
          </cell>
          <cell r="E35" t="str">
            <v xml:space="preserve">Ms Lụa 01689245630 hoặc Ms Luyến  0989.328.565 </v>
          </cell>
        </row>
        <row r="36">
          <cell r="B36" t="str">
            <v>AN THANH</v>
          </cell>
          <cell r="C36" t="str">
            <v>Lo III-5&amp;III-6, KCN My Xuan B1– Tien Hung, xa My Xuan, Huyen Tan Thanh, tinh Ba Ria Vung Tau</v>
          </cell>
          <cell r="D36">
            <v>0</v>
          </cell>
          <cell r="E36" t="str">
            <v>THUY TIEN 01233 833 911</v>
          </cell>
        </row>
        <row r="37">
          <cell r="B37" t="str">
            <v>ANH CUONG</v>
          </cell>
          <cell r="C37" t="str">
            <v>XUAN TRUONG, XUAN TRUONG, NAM DINH</v>
          </cell>
          <cell r="D37" t="str">
            <v>HANG CHUNG CTU</v>
          </cell>
          <cell r="E37" t="str">
            <v>MR VI: 0912 377 481</v>
          </cell>
        </row>
        <row r="38">
          <cell r="B38" t="str">
            <v>ANH DUC GARMENT</v>
          </cell>
          <cell r="C38" t="str">
            <v>TIEN LY VILANGE, DON XA COMUNE, BINH LUC DISTRICT, PHU LY PROVINCE</v>
          </cell>
          <cell r="D38">
            <v>0</v>
          </cell>
          <cell r="E38" t="str">
            <v>ATTN: LUU 0982669798</v>
          </cell>
        </row>
        <row r="39">
          <cell r="B39" t="str">
            <v>ANH DUONG MH</v>
          </cell>
          <cell r="C39" t="str">
            <v>SO 6, LOT 4C, DUONG TRUNG YEN 10B, CAU GIAY, HA NOI</v>
          </cell>
          <cell r="D39">
            <v>0</v>
          </cell>
          <cell r="E39" t="str">
            <v>LAN ANH: 04 3784 3624</v>
          </cell>
        </row>
        <row r="40">
          <cell r="B40" t="str">
            <v>ANH TU</v>
          </cell>
          <cell r="C40" t="str">
            <v>THON NAM, DONG PHUONG, DONG HUNG, THAI BINH</v>
          </cell>
          <cell r="D40" t="str">
            <v>SHIPTO: PHU THO HANG CHUNG CTU</v>
          </cell>
          <cell r="E40" t="str">
            <v>0976 261 522</v>
          </cell>
        </row>
        <row r="41">
          <cell r="B41" t="str">
            <v>ANH VU</v>
          </cell>
          <cell r="C41" t="str">
            <v>THI TRAN BAN, YEN NHAN, MY HAO, HUNG YEN</v>
          </cell>
          <cell r="D41">
            <v>0</v>
          </cell>
          <cell r="E41" t="str">
            <v>MR BAC: 0982 533 778</v>
          </cell>
        </row>
        <row r="42">
          <cell r="B42" t="str">
            <v>ANNORA</v>
          </cell>
          <cell r="C42" t="str">
            <v>XUAN LAM, NGHI SON, TINH GIA, THANH HOA</v>
          </cell>
          <cell r="D42" t="str">
            <v>BOOK MAIL PHUONG DONG LAY HANG, SHIP TIET KIEM, NEU CS CO BAO SHIP AIR THI BOOK SHIP AIR</v>
          </cell>
          <cell r="E42" t="str">
            <v>MS HONG: 0936 077 359</v>
          </cell>
        </row>
        <row r="43">
          <cell r="B43" t="str">
            <v>ANNORA CONVERSE</v>
          </cell>
          <cell r="C43" t="str">
            <v>XUAN LAM, NGHI SON, TINH GIA, THANH HOA</v>
          </cell>
          <cell r="D43">
            <v>0</v>
          </cell>
          <cell r="E43" t="str">
            <v>KHANH HOA: 0123 84 74 588</v>
          </cell>
        </row>
        <row r="44">
          <cell r="B44" t="str">
            <v>AOCC</v>
          </cell>
          <cell r="C44" t="str">
            <v>XUAN TRUONG, XUAN TRUONG, NAM DINH</v>
          </cell>
          <cell r="D44">
            <v>0</v>
          </cell>
          <cell r="E44">
            <v>4</v>
          </cell>
        </row>
        <row r="45">
          <cell r="B45" t="str">
            <v>PAROSY</v>
          </cell>
          <cell r="C45" t="str">
            <v>CUM CN DUYEN THAI, QUOC LO 1A, THUONG TIN, HA NOI</v>
          </cell>
          <cell r="D45">
            <v>0</v>
          </cell>
          <cell r="E45">
            <v>0</v>
          </cell>
        </row>
        <row r="46">
          <cell r="B46" t="str">
            <v>Apache Footwear</v>
          </cell>
          <cell r="C46" t="str">
            <v>Lot 79,  Long Jiang Industrial Park, Tan Lap 1 Village, Tan Phuoc District, Tien Giang Province</v>
          </cell>
          <cell r="D46">
            <v>0</v>
          </cell>
          <cell r="E46" t="str">
            <v xml:space="preserve">Holly Nguyen +84 073 651 9999 Ext: 2105 </v>
          </cell>
        </row>
        <row r="47">
          <cell r="B47" t="str">
            <v>APEX</v>
          </cell>
          <cell r="C47" t="str">
            <v>DUONG SO 3, KCN TAM PHUOC, LONG THANH, DONG NAI</v>
          </cell>
          <cell r="D47">
            <v>0</v>
          </cell>
          <cell r="E47">
            <v>0</v>
          </cell>
        </row>
        <row r="48">
          <cell r="B48" t="str">
            <v>APPAREL TECH</v>
          </cell>
          <cell r="C48" t="str">
            <v>29T2 Building, 7th floor, Room No #707 Hoang Dao Thuy street, Cau Giay Dist, Hanoi</v>
          </cell>
          <cell r="D48">
            <v>0</v>
          </cell>
          <cell r="E48" t="str">
            <v>PHUONG ANH Tel: 0462820304/ 62820301</v>
          </cell>
        </row>
        <row r="49">
          <cell r="B49" t="str">
            <v>APPAREL TECH 1</v>
          </cell>
          <cell r="C49" t="str">
            <v>VAN DINH, UNG HOA, HA TAY</v>
          </cell>
          <cell r="D49" t="str">
            <v>CTU- NHAN TIMBERLAND</v>
          </cell>
          <cell r="E49" t="str">
            <v>KIM ANH: 0913 269 420</v>
          </cell>
        </row>
        <row r="50">
          <cell r="B50" t="str">
            <v>APPAREL TECH COLUMBIA</v>
          </cell>
          <cell r="C50" t="str">
            <v>707 -29 T2 HOANG DAO THUY, CAU GIAY, HA NOI</v>
          </cell>
          <cell r="D50" t="str">
            <v>HANG CHUNG CTU</v>
          </cell>
          <cell r="E50" t="str">
            <v>MS GIANG: 04 628 20304</v>
          </cell>
        </row>
        <row r="51">
          <cell r="B51" t="str">
            <v>APPAREL TECH VINH LOC</v>
          </cell>
          <cell r="C51" t="str">
            <v>VINH LONG, VINH LOC, THANH HOA</v>
          </cell>
          <cell r="D51">
            <v>0</v>
          </cell>
          <cell r="E51" t="str">
            <v>NONG 0918.981.539</v>
          </cell>
        </row>
        <row r="52">
          <cell r="B52" t="str">
            <v>APPAREL TECH VN</v>
          </cell>
          <cell r="C52" t="str">
            <v>TANG 3A TOA NHA PCCC1 MY DINH PLAZA 138 TRAN BINH TU LIEM, HA NOI</v>
          </cell>
          <cell r="D52">
            <v>0</v>
          </cell>
          <cell r="E52">
            <v>0</v>
          </cell>
        </row>
        <row r="53">
          <cell r="B53" t="str">
            <v>ARKSUN</v>
          </cell>
          <cell r="C53" t="str">
            <v>164 TON DUC THANG ST-DONG DA DIST- HANOI</v>
          </cell>
          <cell r="D53">
            <v>0</v>
          </cell>
          <cell r="E53" t="str">
            <v>MS YEN/BICH THAO-4 732198</v>
          </cell>
        </row>
        <row r="54">
          <cell r="B54" t="str">
            <v>MY NGHE THANG LONG</v>
          </cell>
          <cell r="C54" t="str">
            <v>164 TON DUC THANG, PHUONG HANG BOT, QUAN DONG DA, HA NOI</v>
          </cell>
          <cell r="D54">
            <v>0</v>
          </cell>
          <cell r="E54">
            <v>0</v>
          </cell>
        </row>
        <row r="55">
          <cell r="B55" t="str">
            <v>AROMA BAY</v>
          </cell>
          <cell r="C55" t="str">
            <v>Hung Dao Ward - Duong Kinh District
Hai Phong city</v>
          </cell>
          <cell r="D55">
            <v>0</v>
          </cell>
          <cell r="E55" t="str">
            <v>HUONG: 0904 358 105</v>
          </cell>
        </row>
        <row r="56">
          <cell r="B56" t="str">
            <v>ASEAN CANDLE</v>
          </cell>
          <cell r="C56" t="str">
            <v>Hung Dao Ward - Duong Kinh District
Hai Phong city</v>
          </cell>
          <cell r="D56">
            <v>0</v>
          </cell>
          <cell r="E56" t="str">
            <v>Tel: 0084 031 3 925001  - Ms Liz: 108</v>
          </cell>
        </row>
        <row r="57">
          <cell r="B57" t="str">
            <v>ASEAN LINK</v>
          </cell>
          <cell r="C57" t="str">
            <v>148 NGUYEN SON, LONG BIEN, HA NOI</v>
          </cell>
          <cell r="D57" t="str">
            <v>NETCO-KHTT</v>
          </cell>
          <cell r="E57" t="str">
            <v>MS THAO: 0904 280 159</v>
          </cell>
        </row>
        <row r="58">
          <cell r="B58" t="str">
            <v>SON HA HUE</v>
          </cell>
          <cell r="C58" t="str">
            <v>KCN PHU DA, TT PHU DA, HUYEN PHU VANG, HUE</v>
          </cell>
          <cell r="D58">
            <v>0</v>
          </cell>
          <cell r="E58">
            <v>0</v>
          </cell>
        </row>
        <row r="59">
          <cell r="B59" t="str">
            <v>ASG GLOBAL</v>
          </cell>
          <cell r="C59" t="str">
            <v xml:space="preserve">LOT 4, DUONG SO 6, KCN LONG HAU HOA BINH, NHI THANH, THU THUA, LONG AN </v>
          </cell>
          <cell r="D59">
            <v>0</v>
          </cell>
          <cell r="E59" t="str">
            <v>MR LEE: 0908 327 092</v>
          </cell>
        </row>
        <row r="60">
          <cell r="B60" t="str">
            <v>ASIA GARMENT</v>
          </cell>
          <cell r="C60" t="str">
            <v>LIEU HA, TAN LAP, YEN MY, HUNG YEN</v>
          </cell>
          <cell r="D60">
            <v>0</v>
          </cell>
          <cell r="E60">
            <v>0</v>
          </cell>
        </row>
        <row r="61">
          <cell r="B61" t="str">
            <v>AU VIET</v>
          </cell>
          <cell r="C61" t="str">
            <v xml:space="preserve"> Ap Thanh Hoa 1, xa tan Thanh Binh, huyen  Mo Cay Bac, tinh Ben Tre</v>
          </cell>
          <cell r="D61" t="str">
            <v>KHTT PHI VC</v>
          </cell>
          <cell r="E61" t="str">
            <v>Tran Thanh Dien - Phone: 0975.090.643</v>
          </cell>
        </row>
        <row r="62">
          <cell r="B62" t="str">
            <v>AURORA</v>
          </cell>
          <cell r="C62" t="str">
            <v>XA THIEN HUONG, THUY NGUYEN, HAI PHONG</v>
          </cell>
          <cell r="D62">
            <v>0</v>
          </cell>
          <cell r="E62" t="str">
            <v>MS GIANG: 0904 693 423</v>
          </cell>
        </row>
        <row r="63">
          <cell r="B63" t="str">
            <v>BAC GIANG</v>
          </cell>
          <cell r="C63" t="str">
            <v>349 GIAP HAI, PHO KE, TP BAC GIANG, BAC GIANG</v>
          </cell>
          <cell r="D63">
            <v>0</v>
          </cell>
          <cell r="E63" t="str">
            <v>NHUNG HONG: 0240 3558 156</v>
          </cell>
        </row>
        <row r="64">
          <cell r="B64" t="str">
            <v>BAC GIANG BILL YOUNGONE</v>
          </cell>
          <cell r="C64" t="str">
            <v>349 GIAP HAI, TP BAC GIANG, TINH BAC GIANG</v>
          </cell>
          <cell r="D64">
            <v>0</v>
          </cell>
          <cell r="E64" t="str">
            <v>MS VAN: 0240 3558 156</v>
          </cell>
        </row>
        <row r="65">
          <cell r="B65" t="str">
            <v>BAC GIANG GARMENT</v>
          </cell>
          <cell r="C65" t="str">
            <v>349 GIAP HAI, PHO KE, TP BAC GIANG, TINH BAC GIANG</v>
          </cell>
          <cell r="D65" t="str">
            <v>INVISTA</v>
          </cell>
          <cell r="E65" t="str">
            <v>0240 3558 156- NHUNG HONG</v>
          </cell>
        </row>
        <row r="66">
          <cell r="B66" t="str">
            <v>BAC HA</v>
          </cell>
          <cell r="C66" t="str">
            <v>Thanh Hà - Thanh Liêm - Hà Nam</v>
          </cell>
          <cell r="D66">
            <v>0</v>
          </cell>
          <cell r="E66" t="str">
            <v>Ms Hue :351-880122 -0985.980.025</v>
          </cell>
        </row>
        <row r="67">
          <cell r="B67" t="str">
            <v>BAC NINH</v>
          </cell>
          <cell r="C67" t="str">
            <v>02-NGUYEN VAN CU ST-BAC NINH</v>
          </cell>
          <cell r="D67">
            <v>0</v>
          </cell>
          <cell r="E67">
            <v>0</v>
          </cell>
        </row>
        <row r="68">
          <cell r="B68" t="str">
            <v>BACH NANG</v>
          </cell>
          <cell r="C68" t="str">
            <v>Cum Cong Nghiep Kim Sen, Kim Son, Dong Trieu, Quang Ninh</v>
          </cell>
          <cell r="D68">
            <v>0</v>
          </cell>
          <cell r="E68" t="str">
            <v>Hien Vu (  Sdt 0983363076)</v>
          </cell>
        </row>
        <row r="69">
          <cell r="B69" t="str">
            <v>BAN MAI INVISTA</v>
          </cell>
          <cell r="C69" t="str">
            <v>19 LE VAN HUU, QUAN HAI BA TRUNG, HA NOI</v>
          </cell>
          <cell r="D69">
            <v>0</v>
          </cell>
          <cell r="E69" t="str">
            <v>MS LINH: 04 3943 4839</v>
          </cell>
        </row>
        <row r="70">
          <cell r="B70" t="str">
            <v>BANDO VINA</v>
          </cell>
          <cell r="C70" t="str">
            <v>AP THANH PHUOC, XA THANH DIEN, HUYEN CHAU THANH, TINH TAY NINH</v>
          </cell>
          <cell r="D70" t="str">
            <v>CHO CONFIRM XNK
C.Trang
Viettel- KHTT</v>
          </cell>
          <cell r="E70" t="str">
            <v xml:space="preserve">  Anh Trinh: (XNK- 0988 107 774) OR Thu( 01227 540 890 )</v>
          </cell>
        </row>
        <row r="71">
          <cell r="B71" t="str">
            <v>BANDO VINA</v>
          </cell>
          <cell r="C71" t="str">
            <v>HUYEN CHAU THANH, TINH TAY NINH</v>
          </cell>
          <cell r="D71">
            <v>0</v>
          </cell>
          <cell r="E71">
            <v>0</v>
          </cell>
        </row>
        <row r="72">
          <cell r="B72" t="str">
            <v>CI BAO</v>
          </cell>
          <cell r="C72" t="str">
            <v>KCN SUOI TRE. LONG KHANH, DONG NAI</v>
          </cell>
          <cell r="D72">
            <v>0</v>
          </cell>
          <cell r="E72">
            <v>0</v>
          </cell>
        </row>
        <row r="73">
          <cell r="B73" t="str">
            <v>BAO HUNG</v>
          </cell>
          <cell r="C73" t="str">
            <v>THON TIEN THANG, XA BAO KHE, HUNG YEN</v>
          </cell>
          <cell r="D73" t="str">
            <v>HANG CHUNG CHUNG TU</v>
          </cell>
          <cell r="E73" t="str">
            <v>MR LOC 0979 888 064</v>
          </cell>
        </row>
        <row r="74">
          <cell r="B74" t="str">
            <v>BEEAHN</v>
          </cell>
          <cell r="C74" t="str">
            <v>THI TRAN TRAN CAO, PHU CU, HUNG YEN</v>
          </cell>
          <cell r="D74">
            <v>0</v>
          </cell>
          <cell r="E74" t="str">
            <v>PHUONG: 0986 702 913</v>
          </cell>
        </row>
        <row r="75">
          <cell r="B75" t="str">
            <v>BEESCO VINA</v>
          </cell>
          <cell r="C75" t="str">
            <v>Khu Cong Nghiep Chon Thanh II, Xa Thanh Tam, Huyen Chon Thanh, Binh Phuoc</v>
          </cell>
          <cell r="D75">
            <v>0</v>
          </cell>
          <cell r="E75" t="str">
            <v>TUNG +84 913 368181</v>
          </cell>
        </row>
        <row r="76">
          <cell r="B76" t="str">
            <v>BICH SON</v>
          </cell>
          <cell r="C76" t="str">
            <v>Thon Kieu- Xa Bich Son- Viet Yen- Bac Giang</v>
          </cell>
          <cell r="D76">
            <v>0</v>
          </cell>
          <cell r="E76" t="str">
            <v>Mr Nhan:0903 492 507</v>
          </cell>
        </row>
        <row r="77">
          <cell r="B77" t="str">
            <v>BIM SON</v>
          </cell>
          <cell r="C77" t="str">
            <v>75 NGUYEN HUE, TX BIM SON, THANH HOA</v>
          </cell>
          <cell r="D77">
            <v>0</v>
          </cell>
          <cell r="E77" t="str">
            <v>MR HAI: 0977 336 665</v>
          </cell>
        </row>
        <row r="78">
          <cell r="B78" t="str">
            <v>BINH MINH</v>
          </cell>
          <cell r="C78" t="str">
            <v>group10- Dong Hung town-Thai Binh</v>
          </cell>
          <cell r="D78">
            <v>0</v>
          </cell>
          <cell r="E78" t="str">
            <v>BUI DUC DU-363851271</v>
          </cell>
        </row>
        <row r="79">
          <cell r="B79" t="str">
            <v>BINH THUAN NHA BE</v>
          </cell>
          <cell r="C79" t="str">
            <v>204 DUONG THONG NHAT, TAN THIEN, LAGI, BINH THUAN</v>
          </cell>
          <cell r="D79">
            <v>0</v>
          </cell>
          <cell r="E79" t="str">
            <v>MR KHUONG: 062 3871 857
MR DUC: 0122 797 0975</v>
          </cell>
        </row>
        <row r="80">
          <cell r="B80" t="str">
            <v>BLUE GATE</v>
          </cell>
          <cell r="C80" t="str">
            <v>24A, NGUYEN TRUNG TRUC ST, BEN LUC, LONG AN</v>
          </cell>
          <cell r="D80">
            <v>0</v>
          </cell>
          <cell r="E80" t="str">
            <v xml:space="preserve">ATTN: TRANG </v>
          </cell>
        </row>
        <row r="81">
          <cell r="B81" t="str">
            <v>BO HSING</v>
          </cell>
          <cell r="C81" t="str">
            <v>LOT 2A, QL 1A, KCN HOA PHU, HOA PHU, LONG HO, VINH LONG</v>
          </cell>
          <cell r="D81">
            <v>0</v>
          </cell>
          <cell r="E81" t="str">
            <v>ARIEL MAO: 070 3962750</v>
          </cell>
        </row>
        <row r="82">
          <cell r="B82" t="str">
            <v>Bodynits Company Limited</v>
          </cell>
          <cell r="C82" t="str">
            <v>Binh Tien 2 Hamlet, Duc Hoa Ha Ward,Duc Hoa Dist., Long An Province, Vietnam</v>
          </cell>
          <cell r="D82">
            <v>0</v>
          </cell>
          <cell r="E82" t="str">
            <v xml:space="preserve">Main Line: (8472) 3817 988 OR (84)904 041 022 </v>
          </cell>
        </row>
        <row r="83">
          <cell r="B83" t="str">
            <v>BONG HONG</v>
          </cell>
          <cell r="C83" t="str">
            <v>01 La Van Tien, KV3 P. Ghenh Rang TP Quy Nhon, Binh Dinh</v>
          </cell>
          <cell r="D83" t="str">
            <v>NNTT</v>
          </cell>
          <cell r="E83" t="str">
            <v>THI 01203910284</v>
          </cell>
        </row>
        <row r="84">
          <cell r="B84" t="str">
            <v>BOOMIN</v>
          </cell>
          <cell r="C84" t="str">
            <v>XÃ MỸ XUÂN, HUYỆN TÂN THÀNH, VŨNG TÀU</v>
          </cell>
          <cell r="D84">
            <v>0</v>
          </cell>
          <cell r="E84" t="str">
            <v>DUNG: 0974 904 506</v>
          </cell>
        </row>
        <row r="85">
          <cell r="B85" t="str">
            <v>3/2 JOINT STOCK COMPANY</v>
          </cell>
          <cell r="C85" t="str">
            <v>So 35 Chua Thong- Son Loc-Son Tay -Ha Noi</v>
          </cell>
          <cell r="D85">
            <v>0</v>
          </cell>
          <cell r="E85" t="str">
            <v>ANH HAI 0975602247</v>
          </cell>
        </row>
        <row r="86">
          <cell r="B86" t="str">
            <v>BUREAU VERITAS</v>
          </cell>
          <cell r="C86" t="str">
            <v>LOT C7-C9,QUAN 2,KCN CAT LAI,HCM</v>
          </cell>
          <cell r="D86">
            <v>0</v>
          </cell>
          <cell r="E86" t="str">
            <v>0963000291</v>
          </cell>
        </row>
        <row r="87">
          <cell r="B87" t="str">
            <v>C&amp;H</v>
          </cell>
          <cell r="C87" t="str">
            <v>NO. 72 PHAN TRONG TUE ROAD, VAN DIEN TOWN, THANH TRI DISTRICT,HANOI CITY</v>
          </cell>
          <cell r="D87">
            <v>0</v>
          </cell>
          <cell r="E87" t="str">
            <v>THUY 04 62825908</v>
          </cell>
        </row>
        <row r="88">
          <cell r="B88" t="str">
            <v>C&amp;M VINA</v>
          </cell>
          <cell r="C88" t="str">
            <v>THANH CHUNG, PHON XUONG, YEN THE, BAC GIANG</v>
          </cell>
          <cell r="D88" t="str">
            <v>HANG CHUNG CTU</v>
          </cell>
          <cell r="E88" t="str">
            <v>MS LOI: 0987 108 511</v>
          </cell>
        </row>
        <row r="89">
          <cell r="B89" t="str">
            <v>NYG</v>
          </cell>
          <cell r="C89" t="str">
            <v>LO C, KCN LONG KHANH, BINH LOC, LONG KHANH,
DONG NAI</v>
          </cell>
          <cell r="D89">
            <v>0</v>
          </cell>
          <cell r="E89">
            <v>0</v>
          </cell>
        </row>
        <row r="90">
          <cell r="B90" t="str">
            <v>CAM HA</v>
          </cell>
          <cell r="C90" t="str">
            <v>448 HUNG VUONG, KHOI 3, PHUONG THANH HA, THANH PHOI HOI AN, QUANG NAM</v>
          </cell>
          <cell r="D90">
            <v>0</v>
          </cell>
          <cell r="E90" t="str">
            <v>MR.QUY: 0935 053 058</v>
          </cell>
        </row>
        <row r="91">
          <cell r="B91" t="str">
            <v>CAM HOANG</v>
          </cell>
          <cell r="C91" t="str">
            <v>NGOC LAC, THANH HOA</v>
          </cell>
          <cell r="D91">
            <v>0</v>
          </cell>
          <cell r="E91" t="str">
            <v>MS HUE 0978672392</v>
          </cell>
        </row>
        <row r="92">
          <cell r="B92" t="str">
            <v>CAN SPORT</v>
          </cell>
          <cell r="C92" t="str">
            <v>THUAN HOA, TRUONG MIT, DUONG MINH CHAU, TAY NINH</v>
          </cell>
          <cell r="D92" t="str">
            <v>27-31 HANG THANG KO GIAO</v>
          </cell>
          <cell r="E92" t="str">
            <v>Ms Linh 0926 589 590
Ms Hiệp 0162 732 2312 ( số nội bộ 532)</v>
          </cell>
        </row>
        <row r="93">
          <cell r="B93" t="str">
            <v>CANIFA</v>
          </cell>
          <cell r="C93" t="str">
            <v>PHONG 404 TANG 4 TOA NHA GP INVEST 170 LA THANH HA NOI</v>
          </cell>
          <cell r="D93">
            <v>0</v>
          </cell>
          <cell r="E93" t="str">
            <v>HIEN: 01667025274</v>
          </cell>
        </row>
        <row r="94">
          <cell r="B94" t="str">
            <v>CAP 1</v>
          </cell>
          <cell r="C94" t="str">
            <v>X.Giai Phạm-H.Yên Mỹ-Hưng Yên</v>
          </cell>
          <cell r="D94">
            <v>0</v>
          </cell>
          <cell r="E94" t="str">
            <v>Mr. Lê Hồng Hải-0321 3942 839</v>
          </cell>
        </row>
        <row r="95">
          <cell r="B95" t="str">
            <v>CF GLOBAL</v>
          </cell>
          <cell r="C95" t="str">
            <v>ROAD 430., VAN PHUC WARD,HA DONG DISTRICT, HA NOI CITY</v>
          </cell>
          <cell r="D95">
            <v>0</v>
          </cell>
          <cell r="E95" t="str">
            <v xml:space="preserve"> Mr.AN,Ms.TU Tel. 84-4-33512162  Fax: 84-4-33512163</v>
          </cell>
        </row>
        <row r="96">
          <cell r="B96" t="str">
            <v>MAY KYUNG VIET</v>
          </cell>
          <cell r="C96" t="str">
            <v>KCN PHO NOI A, LAC HONG, VAN LAM. HUNG YEN</v>
          </cell>
          <cell r="D96">
            <v>0</v>
          </cell>
          <cell r="E96" t="str">
            <v>CHI HIEN 0963096743</v>
          </cell>
        </row>
        <row r="97">
          <cell r="B97" t="str">
            <v>PHU SINH</v>
          </cell>
          <cell r="C97" t="str">
            <v>MAO DONG, HO TUNG MAU, AN THI, HUNG YEN</v>
          </cell>
          <cell r="D97">
            <v>0</v>
          </cell>
          <cell r="E97" t="str">
            <v>MS HUYEN 0987822611</v>
          </cell>
        </row>
        <row r="98">
          <cell r="B98" t="str">
            <v>CHIEN THANG</v>
          </cell>
          <cell r="C98" t="str">
            <v>22 THANH CONG, BA DINH, HA NOI</v>
          </cell>
          <cell r="D98">
            <v>0</v>
          </cell>
          <cell r="E98">
            <v>0</v>
          </cell>
        </row>
        <row r="99">
          <cell r="B99" t="str">
            <v>SUNGJIN VINA</v>
          </cell>
          <cell r="C99" t="str">
            <v>Lô A2 KCN Hòa Phú, ấp Thạnh Hưng, xã Hòa Phú, 
huyện Long Hồ, tỉnh Vĩnh Long</v>
          </cell>
          <cell r="D99">
            <v>0</v>
          </cell>
          <cell r="E99" t="str">
            <v>Truc 0935623592</v>
          </cell>
        </row>
        <row r="100">
          <cell r="B100" t="str">
            <v>CHIEN THANG MANUFACTURE</v>
          </cell>
          <cell r="C100" t="str">
            <v>KHOAI CHAU, KHOA CHAU, HUNG YEN</v>
          </cell>
          <cell r="D100" t="str">
            <v>SHIPTO: PHU THO HANG CHUNG CTU</v>
          </cell>
          <cell r="E100" t="str">
            <v>THO: 0977 353 074</v>
          </cell>
        </row>
        <row r="101">
          <cell r="B101" t="str">
            <v>CHIEN THANG YOUNG SHIN</v>
          </cell>
          <cell r="C101" t="str">
            <v>SO 22-THANH CONG ST-Q BA DINH-HA NOI</v>
          </cell>
          <cell r="D101">
            <v>0</v>
          </cell>
          <cell r="E101" t="str">
            <v>THU THUY-4 8312075</v>
          </cell>
        </row>
        <row r="102">
          <cell r="B102" t="str">
            <v>CHOI SHINS VINA</v>
          </cell>
          <cell r="C102" t="str">
            <v>236C NGUYEN TRUNG TRUC, MY PHONG, MY THO</v>
          </cell>
          <cell r="D102" t="str">
            <v>NHAN MACY GIAO NETCO, CON LAI NHAN ANN TAYLOR KHACH HANG DEN LAY</v>
          </cell>
          <cell r="E102">
            <v>0</v>
          </cell>
        </row>
        <row r="103">
          <cell r="B103" t="str">
            <v>COATS PHONG PHU</v>
          </cell>
          <cell r="C103" t="str">
            <v>KCN DET MAY PHO NOI B, YEN MY, HUNG YEN</v>
          </cell>
          <cell r="D103">
            <v>0</v>
          </cell>
          <cell r="E103" t="str">
            <v>ANH THIEN/ C. LUYEN: 0321 3972 868</v>
          </cell>
        </row>
        <row r="104">
          <cell r="B104" t="str">
            <v>My Nghe Xanh</v>
          </cell>
          <cell r="C104" t="str">
            <v>So 9, ngach 10, ngo 106, duong Hoang Quoc Viet, phuong Nghia Do, quan Cau Giay, Ha Noi</v>
          </cell>
          <cell r="D104">
            <v>0</v>
          </cell>
          <cell r="E104">
            <v>0</v>
          </cell>
        </row>
        <row r="105">
          <cell r="B105" t="str">
            <v>Công ty TNHH Đại Minh</v>
          </cell>
          <cell r="C105" t="str">
            <v>Đường số 2, KCN Hòa Cẩm, Cẩm Lệ, 
Đà Nẵng</v>
          </cell>
          <cell r="D105">
            <v>0</v>
          </cell>
          <cell r="E105" t="str">
            <v>Tel: 84- 511-3697640
Fax: 84-511- 3697 639</v>
          </cell>
        </row>
        <row r="106">
          <cell r="B106" t="str">
            <v>CONG TY TNHH SAO VANG</v>
          </cell>
          <cell r="C106" t="str">
            <v>Phu Thanh Tay area,Yen Thanh district，Uong Bi city，Quang Ninh provice</v>
          </cell>
          <cell r="D106">
            <v>0</v>
          </cell>
          <cell r="E106" t="str">
            <v>Do Thi Lanh-Phone: 0166 499 4645</v>
          </cell>
        </row>
        <row r="107">
          <cell r="B107" t="str">
            <v>CONTINUANCE</v>
          </cell>
          <cell r="C107" t="str">
            <v>KM43-QL5-LAI CACH-CAM GIANG-HAI DUONG</v>
          </cell>
          <cell r="D107">
            <v>0</v>
          </cell>
          <cell r="E107" t="str">
            <v>XIAO BI-320 3784469</v>
          </cell>
        </row>
        <row r="108">
          <cell r="B108" t="str">
            <v>CP SAN XUAT THE THAO</v>
          </cell>
          <cell r="C108" t="str">
            <v>PHONG 505 TANG 5, 83B, PHO LY THUONG KIET, TRAN HUNG DAO, HOAN KIEM, HA NOI</v>
          </cell>
          <cell r="D108">
            <v>0</v>
          </cell>
          <cell r="E108">
            <v>0</v>
          </cell>
        </row>
        <row r="109">
          <cell r="B109" t="str">
            <v>NAM SON</v>
          </cell>
          <cell r="C109" t="str">
            <v>KIM AU, DANG XA, GIA LAM, HA NOI</v>
          </cell>
          <cell r="D109">
            <v>0</v>
          </cell>
          <cell r="E109">
            <v>0</v>
          </cell>
        </row>
        <row r="110">
          <cell r="B110" t="str">
            <v>CREATIVE LIGHTS</v>
          </cell>
          <cell r="C110" t="str">
            <v>KM14, QL 5, THON THANG LOI, XA AN HUNG, AN DUONG, HAI PHONG</v>
          </cell>
          <cell r="D110">
            <v>0</v>
          </cell>
          <cell r="E110" t="str">
            <v>MS KHANH 0936144990</v>
          </cell>
        </row>
        <row r="111">
          <cell r="B111" t="str">
            <v>CREST APPAREL</v>
          </cell>
          <cell r="C111" t="str">
            <v>Tang 3, Toa nha 25 T1 Lo dat NO5 Du an KDT Dong Nam Tran Duy Hung, Phuong Trung Hoa, Quan Cau Giay, Thanh Pho Ha Noi</v>
          </cell>
          <cell r="D111">
            <v>0</v>
          </cell>
          <cell r="E111" t="str">
            <v>Mr Chung, Mobile: 0904211193</v>
          </cell>
        </row>
        <row r="112">
          <cell r="B112" t="str">
            <v>CRYSTAL MARTIN</v>
          </cell>
          <cell r="C112" t="str">
            <v>LOT R (R1) KCN QUANG CHAU, VIET YEN, BAC GIANG</v>
          </cell>
          <cell r="D112" t="str">
            <v>KEM PL CHI TIET DANH SO THU TU TREN KIEN HANG- CON NHAN H&amp;M LAM THEO FORM CS</v>
          </cell>
          <cell r="E112" t="str">
            <v>Thanh: 0982 175 182</v>
          </cell>
        </row>
        <row r="113">
          <cell r="B113" t="str">
            <v>CRYSTAL MARTIN GREEN OFFICE</v>
          </cell>
          <cell r="C113" t="str">
            <v>6 Floor, Green Office, Viet A Building, No.9 Duy Tan Street, Dich Vong Hau ward, Cau Giay District, Hanoi</v>
          </cell>
          <cell r="D113">
            <v>0</v>
          </cell>
          <cell r="E113">
            <v>0</v>
          </cell>
        </row>
        <row r="114">
          <cell r="B114" t="str">
            <v>SAE-A VINA</v>
          </cell>
          <cell r="C114" t="str">
            <v>TANG 7, TOA NHA HL, LO A2B, DUONG DUY TAN, P. DICH VONG HAU, CAU GIAY, HA NOI</v>
          </cell>
          <cell r="D114">
            <v>0</v>
          </cell>
          <cell r="E114" t="str">
            <v>MS HAI 0983035723</v>
          </cell>
        </row>
        <row r="115">
          <cell r="B115" t="str">
            <v>CTY CO PHAN 3/2</v>
          </cell>
          <cell r="C115" t="str">
            <v>35 CHUA THONG, SON LOC, SON TAY, HA NOI</v>
          </cell>
          <cell r="D115" t="str">
            <v>SHIPTO: PHU THO HANG CHUNG CTU</v>
          </cell>
          <cell r="E115" t="str">
            <v>ANH HAI 0975602247</v>
          </cell>
        </row>
        <row r="116">
          <cell r="B116" t="str">
            <v>CTY TU VAN KINH DOANH HA NOI</v>
          </cell>
          <cell r="C116" t="str">
            <v>Tang 3, toa nha 301 Vu Xuan Thieu- Quan Long Bien- Ha Noi</v>
          </cell>
          <cell r="D116">
            <v>0</v>
          </cell>
          <cell r="E116" t="str">
            <v>Mr. Khanh 0913 615 899</v>
          </cell>
        </row>
        <row r="117">
          <cell r="B117" t="str">
            <v>CTY GIAY DA XK TAY DO</v>
          </cell>
          <cell r="C117" t="str">
            <v>KCN TRA NOC, Q BINH THUY, TP CAN THO</v>
          </cell>
          <cell r="D117">
            <v>0</v>
          </cell>
          <cell r="E117" t="str">
            <v>TEL: 07103841925 (MS TRANG)</v>
          </cell>
        </row>
        <row r="118">
          <cell r="B118" t="str">
            <v>CTY MAY 3/2</v>
          </cell>
          <cell r="C118" t="str">
            <v>No 35 Chua Thong street, Son tay Town, 
Ha noi city, Viet Nam</v>
          </cell>
          <cell r="D118" t="str">
            <v>KHTT-TTC</v>
          </cell>
          <cell r="E118" t="str">
            <v>Tel: A Hai: 0975 602 247 
 Ms Nhung 0942 711333</v>
          </cell>
        </row>
        <row r="119">
          <cell r="B119" t="str">
            <v>CY VINA</v>
          </cell>
          <cell r="C119" t="str">
            <v>Lot N, Road 01, Long Duc IP, Tra Vinh city, Tra Vinh Province</v>
          </cell>
          <cell r="D119" t="str">
            <v>XNK GUI MAIL BAO KH DEN LAY</v>
          </cell>
          <cell r="E119">
            <v>0</v>
          </cell>
        </row>
        <row r="120">
          <cell r="B120" t="str">
            <v>DACOTEX</v>
          </cell>
          <cell r="C120" t="str">
            <v>71 PHAN DINH PHUNG-HUE</v>
          </cell>
          <cell r="D120">
            <v>0</v>
          </cell>
          <cell r="E120" t="str">
            <v>MR: 0908351057-0543820244</v>
          </cell>
        </row>
        <row r="121">
          <cell r="B121" t="str">
            <v>DAE SEUNG</v>
          </cell>
          <cell r="C121" t="str">
            <v>DONG LANG INDUSTRIAL ZONE,PHU NINH DIST.,PHU THO PROVINCE</v>
          </cell>
          <cell r="D121">
            <v>0</v>
          </cell>
          <cell r="E121">
            <v>0</v>
          </cell>
        </row>
        <row r="122">
          <cell r="B122" t="str">
            <v>DAE WOO PVH</v>
          </cell>
          <cell r="C122" t="str">
            <v>LOT 1-KHAI QUANG IZ-VINH YEN TOWN-VINH PHUC</v>
          </cell>
          <cell r="D122" t="str">
            <v>PHAT DUNG TEN NGUOI LIEN HE</v>
          </cell>
          <cell r="E122" t="str">
            <v>MR MIN SIK KOH: 0211 3726 070</v>
          </cell>
        </row>
        <row r="123">
          <cell r="B123" t="str">
            <v>DAEHAN GLOBAL</v>
          </cell>
          <cell r="C123" t="str">
            <v>NHAM SON, XA YEN LU, HUYEN YEN DUNG, BAC GIANG</v>
          </cell>
          <cell r="D123">
            <v>0</v>
          </cell>
          <cell r="E123">
            <v>0</v>
          </cell>
        </row>
        <row r="124">
          <cell r="B124" t="str">
            <v>DAI DUONG</v>
          </cell>
          <cell r="C124" t="str">
            <v>SO 2, DUONG AN TRI, HUNG VUONG, HONG BANG, HAI PHONG</v>
          </cell>
          <cell r="D124">
            <v>0</v>
          </cell>
          <cell r="E124" t="str">
            <v>MS NGAN: 0168 716 4858</v>
          </cell>
        </row>
        <row r="125">
          <cell r="B125" t="str">
            <v>DAI MINH 1</v>
          </cell>
          <cell r="C125" t="str">
            <v>DUONG SO 2, KCN HOA CAM, CAM LE, DA NANG</v>
          </cell>
          <cell r="D125" t="str">
            <v>CTU-NETCO-DN#AWB
ghi so DN len Bill</v>
          </cell>
          <cell r="E125" t="str">
            <v>MR TRUNG: 0945 215 438</v>
          </cell>
        </row>
        <row r="126">
          <cell r="B126" t="str">
            <v>DAI NGHIA</v>
          </cell>
          <cell r="C126" t="str">
            <v>THO SON DAI NGHIA MY DUC HA NOI</v>
          </cell>
          <cell r="D126">
            <v>0</v>
          </cell>
          <cell r="E126" t="str">
            <v>SON 0913218393</v>
          </cell>
        </row>
        <row r="127">
          <cell r="B127" t="str">
            <v>DAI THANH</v>
          </cell>
          <cell r="C127" t="str">
            <v>THON 2, PHUONG TRUNG TRACH, BO TRACH, QUANG BINH</v>
          </cell>
          <cell r="D127">
            <v>0</v>
          </cell>
          <cell r="E127" t="str">
            <v>MS NA/ MS KHANH 052 3610678</v>
          </cell>
        </row>
        <row r="128">
          <cell r="B128" t="str">
            <v>TY THANH</v>
          </cell>
          <cell r="C128" t="str">
            <v>KHU PHO 4, TT BA TRI, HUYEN BA TRI, BEN TRE</v>
          </cell>
          <cell r="D128">
            <v>0</v>
          </cell>
          <cell r="E128" t="str">
            <v>THOA 0909 850 599</v>
          </cell>
        </row>
        <row r="129">
          <cell r="B129" t="str">
            <v>DAI THANH FURNITURE</v>
          </cell>
          <cell r="C129" t="str">
            <v>Số 8 Dốc ÔNg Phật, Phường Bùi Thị Xuân, TP Qui Nhơn, Binh Dinh</v>
          </cell>
          <cell r="D129">
            <v>0</v>
          </cell>
          <cell r="E129" t="str">
            <v>MS NO: 0933 522 717</v>
          </cell>
        </row>
        <row r="130">
          <cell r="B130" t="str">
            <v>DAP CAU</v>
          </cell>
          <cell r="C130" t="str">
            <v>KHU 6, THI CAU, BAC NINH</v>
          </cell>
          <cell r="D130" t="str">
            <v>BILL SERIM GIAO HANG TRC
BILL YA SAINT CHUNG CTU</v>
          </cell>
          <cell r="E130">
            <v>0</v>
          </cell>
        </row>
        <row r="131">
          <cell r="B131" t="str">
            <v>DAP CAU YEN PHONG</v>
          </cell>
          <cell r="C131" t="str">
            <v>DONG TIEN, YEN PHONG, BAC NINH</v>
          </cell>
          <cell r="D131" t="str">
            <v>HANG CHUNG CTU</v>
          </cell>
          <cell r="E131" t="str">
            <v>MS LOAN: 0241 3821 603</v>
          </cell>
        </row>
        <row r="132">
          <cell r="B132" t="str">
            <v>DASAN</v>
          </cell>
          <cell r="C132" t="str">
            <v>KCN CHAU SON  -TX.PHU LY-HA NAM</v>
          </cell>
          <cell r="D132" t="str">
            <v>neu bil dasan thi KHTT-Bill H&amp;M thi minh thanh toan</v>
          </cell>
          <cell r="E132" t="str">
            <v>GẤM: 0974 285 495</v>
          </cell>
        </row>
        <row r="133">
          <cell r="B133" t="str">
            <v>DAUM &amp; JUNGAN</v>
          </cell>
          <cell r="C133" t="str">
            <v>KM5, HAMLET 4, MY HUNG COMMUNE, MY LOC  DIST, NAM DINH</v>
          </cell>
          <cell r="D133" t="str">
            <v>HANG CTU</v>
          </cell>
          <cell r="E133" t="str">
            <v>MRS DUNG: 0943 279 768</v>
          </cell>
        </row>
        <row r="134">
          <cell r="B134" t="str">
            <v>DAYEON BIJOU</v>
          </cell>
          <cell r="C134" t="str">
            <v>KCN Dong Van - Duy Tien - Ha Nam</v>
          </cell>
          <cell r="D134" t="str">
            <v>NETCO- NNTT</v>
          </cell>
          <cell r="E134" t="str">
            <v>0351 3587 559 - MS DIEM</v>
          </cell>
        </row>
        <row r="135">
          <cell r="B135" t="str">
            <v>DELTA GALIL</v>
          </cell>
          <cell r="C135" t="str">
            <v>Xa Cat Trinh, Huyen Phu Cat, Tinh Binh Dinh</v>
          </cell>
          <cell r="D135">
            <v>0</v>
          </cell>
          <cell r="E135" t="str">
            <v>TEL: Ms. Dung Tran 0907567926</v>
          </cell>
        </row>
        <row r="136">
          <cell r="B136" t="str">
            <v>C&amp;J FASHION</v>
          </cell>
          <cell r="C136" t="str">
            <v>LE THUONG, CHAU CAN, PHU XUYEN, HA NOI</v>
          </cell>
          <cell r="D136">
            <v>0</v>
          </cell>
          <cell r="E136" t="str">
            <v>JULIE REN</v>
          </cell>
        </row>
        <row r="137">
          <cell r="B137" t="str">
            <v>DELTA SPORT</v>
          </cell>
          <cell r="C137" t="str">
            <v>VINH SON, THI  TRAN BUT SON, HOANG HOA, THANH HOA</v>
          </cell>
          <cell r="D137" t="str">
            <v>HANG GIAO TRUOC</v>
          </cell>
          <cell r="E137" t="str">
            <v>MS.HUYỀN- TEL  0914 614 158</v>
          </cell>
        </row>
        <row r="138">
          <cell r="B138" t="str">
            <v>DEMCO VINA</v>
          </cell>
          <cell r="C138" t="str">
            <v>HB3, HB4, DUONG SO 5, KCN XUYEN A, MY HANH BAC, DUC HOA, LONG AN</v>
          </cell>
          <cell r="D138">
            <v>0</v>
          </cell>
          <cell r="E138">
            <v>0</v>
          </cell>
        </row>
        <row r="139">
          <cell r="B139" t="str">
            <v>DET 8 3</v>
          </cell>
          <cell r="C139" t="str">
            <v>KCN TAN LIEN, VINH BAO, HAI PHONG</v>
          </cell>
          <cell r="D139">
            <v>0</v>
          </cell>
          <cell r="E139">
            <v>0</v>
          </cell>
        </row>
        <row r="140">
          <cell r="B140" t="str">
            <v>DET 8 3 CHI NHANH TUYEN QUANG</v>
          </cell>
          <cell r="C140" t="str">
            <v>THON KHUAN RANG, PHUC UNG, SON DUONG</v>
          </cell>
          <cell r="D140">
            <v>0</v>
          </cell>
          <cell r="E140" t="str">
            <v>NHUNG HA 0936361585</v>
          </cell>
        </row>
        <row r="141">
          <cell r="B141" t="str">
            <v>DET 8 3 CHI NHANH MINH KHAI</v>
          </cell>
          <cell r="C141" t="str">
            <v>So 460 , duong Minh Khai , Phuong Vinh Tuy, Quan Hai Ba Trung, Thanh Pho Ha Noi, Viet Nam</v>
          </cell>
          <cell r="D141">
            <v>0</v>
          </cell>
          <cell r="E141" t="str">
            <v>NHUNG HA 0936361585</v>
          </cell>
        </row>
        <row r="142">
          <cell r="B142" t="str">
            <v>DET MAY HUE</v>
          </cell>
          <cell r="C142" t="str">
            <v>122 Duong Thieu Tuoc, P.Thuy Duong, TX Huong Thuy, Hue</v>
          </cell>
          <cell r="D142">
            <v>0</v>
          </cell>
          <cell r="E142" t="str">
            <v>TEL: 0934757461 A.Hoa</v>
          </cell>
        </row>
        <row r="143">
          <cell r="B143" t="str">
            <v>DET VINH PHUC</v>
          </cell>
          <cell r="C143" t="str">
            <v>115 DUONG VAN CAO, NAM DINH</v>
          </cell>
          <cell r="D143">
            <v>0</v>
          </cell>
          <cell r="E143" t="str">
            <v>MS THANH 0945107400</v>
          </cell>
        </row>
        <row r="144">
          <cell r="B144" t="str">
            <v>DHA BAC NINH</v>
          </cell>
          <cell r="C144" t="str">
            <v>ADD. TAODOI INDUSTRY AREA, THUA TOWN, LUONG TAI DISTRICT, BACNINH PROVINCE</v>
          </cell>
          <cell r="D144" t="str">
            <v>KHDL</v>
          </cell>
          <cell r="E144">
            <v>0</v>
          </cell>
        </row>
        <row r="145">
          <cell r="B145" t="str">
            <v>DIAMOND CLOTHING</v>
          </cell>
          <cell r="C145" t="str">
            <v>thon La Tinh- thi tran Tu Ky- Tinh Hai Duong</v>
          </cell>
          <cell r="D145">
            <v>0</v>
          </cell>
          <cell r="E145" t="str">
            <v>Anh Hoan:0904 376 582
Cham Anh: 0914 479 961- 03233 7471 816</v>
          </cell>
        </row>
        <row r="146">
          <cell r="B146" t="str">
            <v>DO BOI THONG NHAT</v>
          </cell>
          <cell r="C146" t="str">
            <v>LO C1, KCN SUOI DAU, HUYEN CAM LAM, KHANH HOA</v>
          </cell>
          <cell r="D146">
            <v>0</v>
          </cell>
          <cell r="E146" t="str">
            <v>MS PHUNG: 0905676882</v>
          </cell>
        </row>
        <row r="147">
          <cell r="B147" t="str">
            <v>DOAN KET</v>
          </cell>
          <cell r="C147" t="str">
            <v>Km 25, Quoc Lo 6A, KCN Phu Nghia, Xa Phu Nghia, Huyen Chuong My, Tp. Ha Noi</v>
          </cell>
          <cell r="D147">
            <v>0</v>
          </cell>
          <cell r="E147">
            <v>0</v>
          </cell>
        </row>
        <row r="148">
          <cell r="B148" t="str">
            <v>DOMEX QUANG NAM</v>
          </cell>
          <cell r="C148" t="str">
            <v>Lot B/B1, Ha Lam Industrial Group, Duoc Market,Binh Phuc Commune, Thang Binh Dist, Quang Nam Province, Viet Nam</v>
          </cell>
          <cell r="D148">
            <v>0</v>
          </cell>
          <cell r="E148" t="str">
            <v>TEL : (+84)510 3665696   EXT : 892, HP : (+84)1268 540 595, chi Huong  01268 540 595</v>
          </cell>
        </row>
        <row r="149">
          <cell r="B149" t="str">
            <v>DONA STANDARD</v>
          </cell>
          <cell r="C149" t="str">
            <v>KCN XUAN LOC, XUAN LOC, DONG NAI</v>
          </cell>
          <cell r="D149" t="str">
            <v>giao hang chung HD
ngay 27-31HANG THANG KHONG GIAO HANG</v>
          </cell>
          <cell r="E149" t="str">
            <v>LAM: 0122 829 5960
LINH:0908-902-983</v>
          </cell>
        </row>
        <row r="150">
          <cell r="B150" t="str">
            <v>DONG ANH</v>
          </cell>
          <cell r="C150" t="str">
            <v>Area 37, Donganh town, Hanoi</v>
          </cell>
          <cell r="D150" t="str">
            <v>TTC-KHTT
WOLVERINE-NETCO- KHTT</v>
          </cell>
          <cell r="E150" t="str">
            <v>Gap chi Vinh :  0982 338 322
CHI THUY 0987 224 977</v>
          </cell>
        </row>
        <row r="151">
          <cell r="B151" t="str">
            <v>DONG DO</v>
          </cell>
          <cell r="C151" t="str">
            <v>AN KHANH-HOAI DUC-HA NOI</v>
          </cell>
          <cell r="D151">
            <v>0</v>
          </cell>
          <cell r="E151" t="str">
            <v>MS CHI-04 33845920-0903436958</v>
          </cell>
        </row>
        <row r="152">
          <cell r="B152" t="str">
            <v>DONG HUNG XN MAY 10</v>
          </cell>
          <cell r="C152" t="str">
            <v>KHU 2, TT DONG HUNG, DONG HUNG, THAI BINH</v>
          </cell>
          <cell r="D152">
            <v>0</v>
          </cell>
          <cell r="E152" t="str">
            <v>A TUAN: 0934363126</v>
          </cell>
        </row>
        <row r="153">
          <cell r="B153" t="str">
            <v>DONG IN</v>
          </cell>
          <cell r="C153" t="str">
            <v>LONG TAN, DAT DO,BA RIA VUNG TAU</v>
          </cell>
          <cell r="D153" t="str">
            <v>HANG GIAO TRUOC</v>
          </cell>
          <cell r="E153" t="str">
            <v>MS VY: 0933 150 071</v>
          </cell>
        </row>
        <row r="154">
          <cell r="B154" t="str">
            <v>DONG LUC</v>
          </cell>
          <cell r="C154" t="str">
            <v>130HA DINH-THANH XUAN -HA NOI</v>
          </cell>
          <cell r="D154">
            <v>0</v>
          </cell>
          <cell r="E154" t="str">
            <v>ng phuong thanh-0983 168 601-4 3 5588418-126</v>
          </cell>
        </row>
        <row r="155">
          <cell r="B155" t="str">
            <v>DONG MY</v>
          </cell>
          <cell r="C155" t="str">
            <v>THON 2, XA DONG MY, THANH TRI, HA NOI</v>
          </cell>
          <cell r="D155">
            <v>0</v>
          </cell>
          <cell r="E155" t="str">
            <v>ATTN: MS MAI 0989153376</v>
          </cell>
        </row>
        <row r="156">
          <cell r="B156" t="str">
            <v>DONG PHUONG VUNG TAU</v>
          </cell>
          <cell r="C156" t="str">
            <v>DUONG 11, KCN DONG XUYEN, P RACH DUA, VUNG TAU</v>
          </cell>
          <cell r="D156" t="str">
            <v>CHUNG HD</v>
          </cell>
          <cell r="E156">
            <v>0</v>
          </cell>
        </row>
        <row r="157">
          <cell r="B157" t="str">
            <v>DONG TAI</v>
          </cell>
          <cell r="C157" t="str">
            <v>PHU THAI-KIM THANH-HAI DUONG</v>
          </cell>
          <cell r="D157">
            <v>0</v>
          </cell>
          <cell r="E157" t="str">
            <v>MS NGUYEN THU 032 3722061</v>
          </cell>
        </row>
        <row r="158">
          <cell r="B158" t="str">
            <v>DONG TAI PUNTO</v>
          </cell>
          <cell r="C158" t="str">
            <v>PHU THAI-KIM THANH-HAI DUONG</v>
          </cell>
          <cell r="D158" t="str">
            <v>HANG CHUNG CTU</v>
          </cell>
          <cell r="E158" t="str">
            <v>MS HUONG: 0903 281 280</v>
          </cell>
        </row>
        <row r="159">
          <cell r="B159" t="str">
            <v>DOS TEX</v>
          </cell>
          <cell r="C159" t="str">
            <v>Phố Nối B IZ, My Hao, Yen My, Hung Yen</v>
          </cell>
          <cell r="D159">
            <v>0</v>
          </cell>
          <cell r="E159" t="str">
            <v>Attn: Ms Nga/ Ms Thanh: 0321 3589165</v>
          </cell>
        </row>
        <row r="160">
          <cell r="B160" t="str">
            <v>DOU POWER</v>
          </cell>
          <cell r="C160" t="str">
            <v>LO 15-16 KCX LINH TRUNG III, TRANG BANG, TAY NINH</v>
          </cell>
          <cell r="D160">
            <v>0</v>
          </cell>
          <cell r="E160">
            <v>0</v>
          </cell>
        </row>
        <row r="161">
          <cell r="B161" t="str">
            <v>DREAM MEKONG</v>
          </cell>
          <cell r="C161" t="str">
            <v>AP AN THAI, XA AN CU, HUYEN CAI BE, TIEN GIANG</v>
          </cell>
          <cell r="D161">
            <v>0</v>
          </cell>
          <cell r="E161">
            <v>0</v>
          </cell>
        </row>
        <row r="162">
          <cell r="B162" t="str">
            <v>DREAM PLASTIC</v>
          </cell>
          <cell r="C162" t="str">
            <v>PLOT C, KCN CHAU SON, PHU LY, HA NAM</v>
          </cell>
          <cell r="D162">
            <v>0</v>
          </cell>
          <cell r="E162" t="str">
            <v>NHI: 0967 681 295</v>
          </cell>
        </row>
        <row r="163">
          <cell r="B163" t="str">
            <v>DU DUC RFID</v>
          </cell>
          <cell r="C163" t="str">
            <v>LO BIV, CI-10, KCN TAN HUONG, CHAU THANH, TIEN GIANG</v>
          </cell>
          <cell r="D163">
            <v>0</v>
          </cell>
          <cell r="E163" t="str">
            <v>CUONG 0906945724</v>
          </cell>
        </row>
        <row r="164">
          <cell r="B164" t="str">
            <v>DU DUC</v>
          </cell>
          <cell r="C164" t="str">
            <v>LO BIV, CI-10, KCN TAN HUONG, CHAU THANH, TIEN GIANG</v>
          </cell>
          <cell r="D164">
            <v>0</v>
          </cell>
          <cell r="E164" t="str">
            <v>MY QUYEN 01689119259</v>
          </cell>
        </row>
        <row r="165">
          <cell r="B165" t="str">
            <v>YEGIN VINA</v>
          </cell>
          <cell r="C165" t="str">
            <v>LO 36A-371, KCN LONG GIANG, TAN PHUOC, TIEN GIANG</v>
          </cell>
          <cell r="D165">
            <v>0</v>
          </cell>
          <cell r="E165">
            <v>0</v>
          </cell>
        </row>
        <row r="166">
          <cell r="B166" t="str">
            <v>DU DUC SAMPLE</v>
          </cell>
          <cell r="C166" t="str">
            <v>LO BIV, CI-10, KCN TAN HUONG, CHAU THANH, TIEN GIANG</v>
          </cell>
          <cell r="D166">
            <v>0</v>
          </cell>
          <cell r="E166" t="str">
            <v>NGA 0932055799</v>
          </cell>
        </row>
        <row r="167">
          <cell r="B167" t="str">
            <v>DUC GIANG</v>
          </cell>
          <cell r="C167" t="str">
            <v>59 DUC GIANG STREET-LONG BIEN DISTRICT, HA NOI</v>
          </cell>
          <cell r="D167">
            <v>0</v>
          </cell>
          <cell r="E167">
            <v>0</v>
          </cell>
        </row>
        <row r="168">
          <cell r="B168" t="str">
            <v>DUC GIANG C&amp;A</v>
          </cell>
          <cell r="C168" t="str">
            <v>59 DUC GIANG, LONG BIEN, HA NOI</v>
          </cell>
          <cell r="D168" t="str">
            <v>HANG CHUNG TU</v>
          </cell>
          <cell r="E168" t="str">
            <v>MS THUONG: 0982 155 567</v>
          </cell>
        </row>
        <row r="169">
          <cell r="B169" t="str">
            <v>DUC GIANG INVISTA</v>
          </cell>
          <cell r="C169" t="str">
            <v>59 DUC GIANG, LONG BIEN, HA NOI</v>
          </cell>
          <cell r="D169">
            <v>0</v>
          </cell>
          <cell r="E169" t="str">
            <v>MR HOAM: 04 3827 2159</v>
          </cell>
        </row>
        <row r="170">
          <cell r="B170" t="str">
            <v>DUC GIANG
(GARMENT 10)</v>
          </cell>
          <cell r="C170" t="str">
            <v>59 DUC GIANG STREET-LONG BIEN DISTRICT, HA NOI</v>
          </cell>
          <cell r="D170">
            <v>0</v>
          </cell>
          <cell r="E170" t="str">
            <v>Ms Lan Huong: +84 43 6556501 / 3 8272159</v>
          </cell>
        </row>
        <row r="171">
          <cell r="B171" t="str">
            <v>DUC THANH 2</v>
          </cell>
          <cell r="C171" t="str">
            <v>18 DUONG TRAN HUNG DAO, LONG XUYEN, AN GIANG</v>
          </cell>
          <cell r="D171" t="str">
            <v>hang chung ctu
NETCO-KHTT</v>
          </cell>
          <cell r="E171" t="str">
            <v xml:space="preserve"> A Nghia 0906989914</v>
          </cell>
        </row>
        <row r="172">
          <cell r="B172" t="str">
            <v>DYNAMIC</v>
          </cell>
          <cell r="C172" t="str">
            <v>31A, DUONG NGUYEN THI BAY, P6, TP TAN AN, LONG AN</v>
          </cell>
          <cell r="D172">
            <v>0</v>
          </cell>
          <cell r="E172" t="str">
            <v>JEEVA: 0914 908 993</v>
          </cell>
        </row>
        <row r="173">
          <cell r="B173" t="str">
            <v>THANH PHAT</v>
          </cell>
          <cell r="C173" t="str">
            <v>THUONG CAM, VU LAC, THAI BINH</v>
          </cell>
          <cell r="D173">
            <v>0</v>
          </cell>
          <cell r="E173">
            <v>0</v>
          </cell>
        </row>
        <row r="174">
          <cell r="B174" t="str">
            <v>E TOP</v>
          </cell>
          <cell r="C174" t="str">
            <v>LÔ IX-1, IX-2, IX-3, IX-4 KCN MỸ XUÂN B1- TIẾN HÙNG, 
XÃ MỸ XUÂN, HUYỆN TÂN THÀNH, BRVT</v>
          </cell>
          <cell r="D174" t="str">
            <v>CHO XNK CONFIRM</v>
          </cell>
          <cell r="E174" t="str">
            <v>MS KIEU: 0169 408 4737</v>
          </cell>
        </row>
        <row r="175">
          <cell r="B175" t="str">
            <v>ECO TANK</v>
          </cell>
          <cell r="C175" t="str">
            <v>QUI TRINH, QUI NHI, CAI LAY, TIEN GIANG</v>
          </cell>
          <cell r="D175">
            <v>0</v>
          </cell>
          <cell r="E175">
            <v>0</v>
          </cell>
        </row>
        <row r="176">
          <cell r="B176" t="str">
            <v>CONG NGHIEP NGU KIM FORTRESS VN</v>
          </cell>
          <cell r="C176" t="str">
            <v>DUONG TRAN THU DO, KCN PHUC KHANH, THAI BINH</v>
          </cell>
          <cell r="D176">
            <v>0</v>
          </cell>
          <cell r="E176">
            <v>0</v>
          </cell>
        </row>
        <row r="177">
          <cell r="B177" t="str">
            <v>EFFORT GARMENT</v>
          </cell>
          <cell r="C177" t="str">
            <v>B1-6-TAY BAC CU CHI IZ-CU CHI DIST- TP.HCM</v>
          </cell>
          <cell r="D177">
            <v>0</v>
          </cell>
          <cell r="E177">
            <v>0</v>
          </cell>
        </row>
        <row r="178">
          <cell r="B178" t="str">
            <v>ELEGANT</v>
          </cell>
          <cell r="C178" t="str">
            <v>QUE VO IZ, QUE VO DIST, BAC NINH PROVINCE</v>
          </cell>
          <cell r="D178">
            <v>0</v>
          </cell>
          <cell r="E178" t="str">
            <v>Thanh Nguyen :241 363 4399</v>
          </cell>
        </row>
        <row r="179">
          <cell r="B179" t="str">
            <v>ELEGANT 1</v>
          </cell>
          <cell r="C179" t="str">
            <v>TOA NHA I2-03, I2-04, LOT I2 KCN QUE VO MO RONG, XA PHUONG MAO, QUE VO, BAC NINH</v>
          </cell>
          <cell r="D179">
            <v>0</v>
          </cell>
          <cell r="E179" t="str">
            <v>Thanh Nguyen :241 363 4399</v>
          </cell>
        </row>
        <row r="180">
          <cell r="B180" t="str">
            <v>emperor(DE VUONG)</v>
          </cell>
          <cell r="C180" t="str">
            <v>58A QUOC LO 1A XA MY YEN-HUYEN BEN LUC-LONG AN-MS HANG KHO VAT TU PHAT TEM)</v>
          </cell>
          <cell r="D180">
            <v>0</v>
          </cell>
          <cell r="E180" t="str">
            <v>TRUC</v>
          </cell>
        </row>
        <row r="181">
          <cell r="B181" t="str">
            <v>ESQUEL HOA BINH</v>
          </cell>
          <cell r="C181" t="str">
            <v>KCN LUONG SON, HOA SON, LUONG SON, HOA BINH</v>
          </cell>
          <cell r="D181">
            <v>0</v>
          </cell>
          <cell r="E181" t="str">
            <v>MS HOA: 0972 706 082</v>
          </cell>
        </row>
        <row r="182">
          <cell r="B182" t="str">
            <v>EVER GLORY</v>
          </cell>
          <cell r="C182" t="str">
            <v>LO 13, KCN NAM SACH, NAM SACH, HAI DUONG</v>
          </cell>
          <cell r="D182" t="str">
            <v>giao hang truoc-C.Trang</v>
          </cell>
          <cell r="E182" t="str">
            <v>MS HIEN 0942 369 399</v>
          </cell>
        </row>
        <row r="183">
          <cell r="B183" t="str">
            <v>EVERBEST</v>
          </cell>
          <cell r="C183" t="str">
            <v>CAM SON WARD-CAM PHA TOWN-QUANG NINH</v>
          </cell>
          <cell r="D183" t="str">
            <v>cho XNK confirm</v>
          </cell>
          <cell r="E183" t="str">
            <v>MS VAN: 0974 692 439</v>
          </cell>
        </row>
        <row r="184">
          <cell r="B184" t="str">
            <v>EWI</v>
          </cell>
          <cell r="C184" t="str">
            <v>TANG 7, TOA NHA TTC, 19 DUY TAN , KHU DICH VONG HAU,QUAN CAU GIAY, HA NOI</v>
          </cell>
          <cell r="D184">
            <v>0</v>
          </cell>
          <cell r="E184" t="str">
            <v>Lien he Ms Ngoc - 01675913188</v>
          </cell>
        </row>
        <row r="185">
          <cell r="B185" t="str">
            <v>EXCEL</v>
          </cell>
          <cell r="C185" t="str">
            <v>KHU PHO 5, TT YEN NINH, YEN KHANH, NINH BINH</v>
          </cell>
          <cell r="D185">
            <v>0</v>
          </cell>
          <cell r="E185" t="str">
            <v>MS TUYET: 0169 5 357 895</v>
          </cell>
        </row>
        <row r="186">
          <cell r="B186" t="str">
            <v>EXCEL MANGO</v>
          </cell>
          <cell r="C186" t="str">
            <v>KHU PHO 5, TT YEN NINH, YEN KHANH, NINH BINH</v>
          </cell>
          <cell r="D186" t="str">
            <v>giao hang truoc
Viet so DN# len bill</v>
          </cell>
          <cell r="E186" t="str">
            <v>030 3840 358- C KATE/ A BINH/ HANG</v>
          </cell>
        </row>
        <row r="187">
          <cell r="B187" t="str">
            <v>EXCEL PRIMARK</v>
          </cell>
          <cell r="C187" t="str">
            <v>KHU PHO 5, TT YEN NINH, YEN KHANH, NINH BINH</v>
          </cell>
          <cell r="D187">
            <v>0</v>
          </cell>
          <cell r="E187" t="str">
            <v>MS TUYET: 0169 5 357 895</v>
          </cell>
        </row>
        <row r="188">
          <cell r="B188" t="str">
            <v>EXCEL TAILOR</v>
          </cell>
          <cell r="C188" t="str">
            <v>5 WARD, YEN NINH, YEN KHANH, NINH BINH, VIET NAM</v>
          </cell>
          <cell r="D188" t="str">
            <v>TTC-KHTT</v>
          </cell>
          <cell r="E188" t="str">
            <v>Attn: kho hoac Ms Tuyet (didong: 01695357895)</v>
          </cell>
        </row>
        <row r="189">
          <cell r="B189" t="str">
            <v>EXIM</v>
          </cell>
          <cell r="C189" t="str">
            <v>9TH FLOOR, HAI PHONG TOWR, 32 TRAN PHU, NGO QUYEN, HAI PHONG</v>
          </cell>
          <cell r="D189" t="str">
            <v>chung CTU</v>
          </cell>
          <cell r="E189">
            <v>0</v>
          </cell>
        </row>
        <row r="190">
          <cell r="B190" t="str">
            <v>FALCON HADONG</v>
          </cell>
          <cell r="C190" t="str">
            <v>TT TRÚC SƠN-TRƯƠNG MỸ-HA NOI</v>
          </cell>
          <cell r="D190">
            <v>0</v>
          </cell>
          <cell r="E190" t="str">
            <v>MR SON(TP NGHIEP VU)</v>
          </cell>
        </row>
        <row r="191">
          <cell r="B191" t="str">
            <v>FALCON SONG HONG</v>
          </cell>
          <cell r="C191" t="str">
            <v>Thi tran Chuc Son, Chuong My
Ha Noi</v>
          </cell>
          <cell r="D191">
            <v>0</v>
          </cell>
          <cell r="E191" t="str">
            <v>Ms Son: 0913 064 098</v>
          </cell>
        </row>
        <row r="192">
          <cell r="B192" t="str">
            <v>FAR EASTER</v>
          </cell>
          <cell r="C192" t="str">
            <v>Duong D1, KCN Bac Dong Phu, Thi tran Tan Phu, huyen Dong Phu, tinh Binh Phuoc</v>
          </cell>
          <cell r="D192">
            <v>0</v>
          </cell>
          <cell r="E192">
            <v>0</v>
          </cell>
        </row>
        <row r="193">
          <cell r="B193" t="str">
            <v>FIRST TEAM</v>
          </cell>
          <cell r="C193" t="str">
            <v>Lot A1, Road 787, Thanh Thanh Cong IP, An Hoa Commune,Trang Bang District, Tay Ninh Province</v>
          </cell>
          <cell r="D193">
            <v>0</v>
          </cell>
          <cell r="E193" t="str">
            <v xml:space="preserve"> 0663 88 33 88 /  0902 575 191</v>
          </cell>
        </row>
        <row r="194">
          <cell r="B194" t="str">
            <v>FLD</v>
          </cell>
          <cell r="C194" t="str">
            <v>C10 - C11 KHU CONG NGHIEP SUOI DAU- CAM LAM -KHANH HOA</v>
          </cell>
          <cell r="D194" t="str">
            <v>TTC- KHTT</v>
          </cell>
          <cell r="E194" t="str">
            <v>+84 5837 43618/ 619/ 620</v>
          </cell>
        </row>
        <row r="195">
          <cell r="B195" t="str">
            <v>FLEXCON</v>
          </cell>
          <cell r="C195" t="str">
            <v xml:space="preserve"> DINH TRI COMMUNE, BAC GIANG CITY, BAC GIANG PROVINCE, VIET NAM</v>
          </cell>
          <cell r="D195">
            <v>0</v>
          </cell>
          <cell r="E195" t="str">
            <v xml:space="preserve">Tran Thanh Giang (Ms)-240 3 836 627/ 28/ 29-0974 638 550 (Ms Thảo)
</v>
          </cell>
        </row>
        <row r="196">
          <cell r="B196" t="str">
            <v>FOMOSA TOOLS</v>
          </cell>
          <cell r="C196" t="str">
            <v>KCN PHUC KHANH, THAI BINH</v>
          </cell>
          <cell r="D196" t="str">
            <v>VIETTEL- KHTT</v>
          </cell>
          <cell r="E196" t="str">
            <v>036 3681 991</v>
          </cell>
        </row>
        <row r="197">
          <cell r="B197" t="str">
            <v>FORE MART</v>
          </cell>
          <cell r="C197" t="str">
            <v>DUONG BUI THI CUC, AN THI, HUNG YEN</v>
          </cell>
          <cell r="D197">
            <v>0</v>
          </cell>
          <cell r="E197" t="str">
            <v>MR VUI: 0985 292 190</v>
          </cell>
        </row>
        <row r="198">
          <cell r="B198" t="str">
            <v>FORE MART</v>
          </cell>
          <cell r="C198">
            <v>0</v>
          </cell>
          <cell r="D198">
            <v>0</v>
          </cell>
          <cell r="E198">
            <v>0</v>
          </cell>
        </row>
        <row r="199">
          <cell r="B199" t="str">
            <v>FORMOSA</v>
          </cell>
          <cell r="C199" t="str">
            <v>My Xuan A2 Industrial Zone, Tan Thanh District, Ba Ria-Vung Tau</v>
          </cell>
          <cell r="D199">
            <v>0</v>
          </cell>
          <cell r="E199">
            <v>0</v>
          </cell>
        </row>
        <row r="200">
          <cell r="B200" t="str">
            <v>FORMOSTAR</v>
          </cell>
          <cell r="C200" t="str">
            <v>KM57, QUOC LO 5, XA AI QUOC, NAM SACH, HAI DUONG</v>
          </cell>
          <cell r="D200">
            <v>0</v>
          </cell>
          <cell r="E200" t="str">
            <v>MS THUY 0904 990 882</v>
          </cell>
        </row>
        <row r="201">
          <cell r="B201" t="str">
            <v>FORTUNE</v>
          </cell>
          <cell r="C201" t="str">
            <v>XA DUC HOA THUONG, DUC HOA, LONG AN</v>
          </cell>
          <cell r="D201" t="str">
            <v>HOI LAI XNK</v>
          </cell>
          <cell r="E201" t="str">
            <v>MR BARRY: 072 3812 984</v>
          </cell>
        </row>
        <row r="202">
          <cell r="B202" t="str">
            <v>YEN MY</v>
          </cell>
          <cell r="C202" t="str">
            <v>GIAI PHAM, YEN MY, HUNG YEN</v>
          </cell>
          <cell r="D202">
            <v>0</v>
          </cell>
          <cell r="E202" t="str">
            <v>MS THUY 0987094465</v>
          </cell>
        </row>
        <row r="203">
          <cell r="B203" t="str">
            <v>REGINA MIRACLE KHO C</v>
          </cell>
          <cell r="C203" t="str">
            <v>SO 109, DUONG SO 6, VSIP HAI PHONG</v>
          </cell>
          <cell r="D203">
            <v>0</v>
          </cell>
          <cell r="E203" t="str">
            <v>MS THAO 0906204459</v>
          </cell>
        </row>
        <row r="204">
          <cell r="B204" t="str">
            <v>FREEVIEW</v>
          </cell>
          <cell r="C204" t="str">
            <v xml:space="preserve">LOT AIV-1-9 AND AII-1-8 , TAN HUONG INDUSTRIAL PARK , TAN HUONG  COMMUNE, CHAU THANH DIST, TIEN GIANG PROVINCE </v>
          </cell>
          <cell r="D204" t="str">
            <v>HANG CHO CONFIRM</v>
          </cell>
          <cell r="E204" t="str">
            <v>ATTN: Xuan 01688413653</v>
          </cell>
        </row>
        <row r="205">
          <cell r="B205" t="str">
            <v>FREEWELL</v>
          </cell>
          <cell r="C205" t="str">
            <v>LOT G1-G10, N3-N4, KCN BAC DONG PHU, TAN PHU, DONG PHU, BINH PHUOC</v>
          </cell>
          <cell r="D205">
            <v>0</v>
          </cell>
          <cell r="E205" t="str">
            <v>MS SHIRLEY: 0933 543 239</v>
          </cell>
        </row>
        <row r="206">
          <cell r="B206" t="str">
            <v>SMART SHIRTS HAI HAU</v>
          </cell>
          <cell r="C206" t="str">
            <v>HAMLET 4-5, HAI HA VILLAGE, HAI HAU, NAM DINH</v>
          </cell>
          <cell r="D206">
            <v>0</v>
          </cell>
          <cell r="E206">
            <v>0</v>
          </cell>
        </row>
        <row r="207">
          <cell r="B207" t="str">
            <v>TINH LOI RALPH LAUREN</v>
          </cell>
          <cell r="C207" t="str">
            <v>KCN LAI VU, HAI DUONG</v>
          </cell>
          <cell r="D207">
            <v>0</v>
          </cell>
          <cell r="E207" t="str">
            <v>MS HUONG 0982094023</v>
          </cell>
        </row>
        <row r="208">
          <cell r="B208" t="str">
            <v>FREEWELL</v>
          </cell>
          <cell r="C208" t="str">
            <v>LOT G1-G10, D5-10, N3-N4,D2,D3 KCN BAC DONG PHU, TAN PHU, DONG PHU, BINH PHUOC</v>
          </cell>
          <cell r="D208">
            <v>0</v>
          </cell>
          <cell r="E208" t="str">
            <v>MS LOAN: 01682756700</v>
          </cell>
        </row>
        <row r="209">
          <cell r="B209" t="str">
            <v>FTN</v>
          </cell>
          <cell r="C209" t="str">
            <v>MY PHUOC IP-BEN CAT-BINIH DUONG</v>
          </cell>
          <cell r="D209" t="str">
            <v>di hang va lam chi tiet</v>
          </cell>
          <cell r="E209">
            <v>0</v>
          </cell>
        </row>
        <row r="210">
          <cell r="B210" t="str">
            <v>FU LUH</v>
          </cell>
          <cell r="C210" t="str">
            <v>XA AN KIM, HUYEN CAN GIUOC, LONG AN</v>
          </cell>
          <cell r="D210" t="str">
            <v>DONG MOC TREO</v>
          </cell>
          <cell r="E210" t="str">
            <v>MS SAM: 0122 497 8912</v>
          </cell>
        </row>
        <row r="211">
          <cell r="B211" t="str">
            <v>FULGENT</v>
          </cell>
          <cell r="C211" t="str">
            <v>NGHIA HIEP-YEN MY-HUNG YEN</v>
          </cell>
          <cell r="D211">
            <v>0</v>
          </cell>
          <cell r="E211" t="str">
            <v>Oanh: 0979 572 203</v>
          </cell>
        </row>
        <row r="212">
          <cell r="B212" t="str">
            <v>FULLWEALTH</v>
          </cell>
          <cell r="C212" t="str">
            <v>NO 37 ROAD, NAM SACH TOWN , NAM SACH DISTRICT, HAI DUONG PROVINCE, VIET NAM</v>
          </cell>
          <cell r="D212">
            <v>0</v>
          </cell>
          <cell r="E212" t="str">
            <v>Phuong Thu sdt:0987689399</v>
          </cell>
        </row>
        <row r="213">
          <cell r="B213" t="str">
            <v>GARMENT 10 BHS</v>
          </cell>
          <cell r="C213" t="str">
            <v>DUONG NGUYEN VAN LINH-PHO SAI DONG-Q.LONG BIEN-HA NOI</v>
          </cell>
          <cell r="D213">
            <v>0</v>
          </cell>
          <cell r="E213" t="str">
            <v>MS THUY: 0948 505 028</v>
          </cell>
        </row>
        <row r="214">
          <cell r="B214" t="str">
            <v>GARMENT 10 C&amp;A</v>
          </cell>
          <cell r="C214" t="str">
            <v>DUONG NGUYEN VAN LINH-PHO SAI DONG-Q.LONG BIEN-HA NOI</v>
          </cell>
          <cell r="D214" t="str">
            <v>GIAO DUNG NGUOI LIEN HE</v>
          </cell>
          <cell r="E214" t="str">
            <v>MS LOAN 0976.300.207</v>
          </cell>
        </row>
        <row r="215">
          <cell r="B215" t="str">
            <v>GARMENT 10 CASUAL</v>
          </cell>
          <cell r="C215" t="str">
            <v>DUONG NGUYEN VAN LINH-PHO SAI DONG-Q.LONG BIEN-HA NOI</v>
          </cell>
          <cell r="D215">
            <v>0</v>
          </cell>
          <cell r="E215" t="str">
            <v>MS OANH: 0936162282</v>
          </cell>
        </row>
        <row r="216">
          <cell r="B216" t="str">
            <v>GARMENT 10 COLUMBIA</v>
          </cell>
          <cell r="C216" t="str">
            <v>DUONG NGUYEN VAN LINH-PHO SAI DONG-Q.LONG BIEN-HA NOI</v>
          </cell>
          <cell r="D216">
            <v>0</v>
          </cell>
          <cell r="E216" t="str">
            <v>MR TUAN: 04 3827 6923</v>
          </cell>
        </row>
        <row r="217">
          <cell r="B217" t="str">
            <v>GARMENT 10 EXPRESS</v>
          </cell>
          <cell r="C217" t="str">
            <v>DUONG NGUYEN VAN LINH-PHO SAI DONG-Q.LONG BIEN-HA NOI</v>
          </cell>
          <cell r="D217">
            <v>0</v>
          </cell>
          <cell r="E217" t="str">
            <v>MR NHU: 0987 511 268</v>
          </cell>
        </row>
        <row r="218">
          <cell r="B218" t="str">
            <v>GARMENT 10 GEORGE</v>
          </cell>
          <cell r="C218" t="str">
            <v>DUONG NGUYEN VAN LINH-PHO SAI DONG-Q.LONG BIEN-HA NOI</v>
          </cell>
          <cell r="D218" t="str">
            <v>VN GEN HANG CHUNG CTU</v>
          </cell>
          <cell r="E218" t="str">
            <v>MR MAI 04 8276932</v>
          </cell>
        </row>
        <row r="219">
          <cell r="B219" t="str">
            <v>GARMENT 10 JC PENNY</v>
          </cell>
          <cell r="C219" t="str">
            <v>DUONG NGUYEN VAN LINH,SAI DONG, LONG BIEN, HA NOI</v>
          </cell>
          <cell r="D219">
            <v>0</v>
          </cell>
          <cell r="E219" t="str">
            <v>ATTN: Huong 090 438 9856</v>
          </cell>
        </row>
        <row r="220">
          <cell r="B220" t="str">
            <v>GARMENT 10 JOHN LEWIS</v>
          </cell>
          <cell r="C220" t="str">
            <v>DUONG NGUYEN VAN LINH-PHO SAI DONG-Q.LONG BIEN-HA NOI</v>
          </cell>
          <cell r="D220">
            <v>0</v>
          </cell>
          <cell r="E220" t="str">
            <v>HIEN/LINH: 0989 655 438</v>
          </cell>
        </row>
        <row r="221">
          <cell r="B221" t="str">
            <v>GARMENT 10 KOHL'S</v>
          </cell>
          <cell r="C221" t="str">
            <v>DUONG NGUYEN VAN LINH-PHO SAI DONG-Q.LONG BIEN-HA NOI</v>
          </cell>
          <cell r="D221">
            <v>0</v>
          </cell>
          <cell r="E221" t="str">
            <v>GIANG: 0942 515 456</v>
          </cell>
        </row>
        <row r="222">
          <cell r="B222" t="str">
            <v>GARMENT 10 MACKAY</v>
          </cell>
          <cell r="C222" t="str">
            <v>DUONG NGUYEN VAN LINH-PHO SAI DONG-Q.LONG BIEN-HA NOI</v>
          </cell>
          <cell r="D222" t="str">
            <v>VN GEN HANG CHUNG CTU</v>
          </cell>
          <cell r="E222" t="str">
            <v>MR MAI: 04 3827 6923</v>
          </cell>
        </row>
        <row r="223">
          <cell r="B223" t="str">
            <v>GARMENT 10 MARKS</v>
          </cell>
          <cell r="C223" t="str">
            <v>DUONG NGUYEN VAN LINH,SAI DONG, LONG BIEN, Ha Noi</v>
          </cell>
          <cell r="D223">
            <v>0</v>
          </cell>
          <cell r="E223" t="str">
            <v>ATTN: Tra My (84) 913 23 04 89</v>
          </cell>
        </row>
        <row r="224">
          <cell r="B224" t="str">
            <v>GARMENT 10 MOTHER CARE</v>
          </cell>
          <cell r="C224" t="str">
            <v>NGUYEN VAN LINH, SAI DONG, LONG BIEN, HA NOI</v>
          </cell>
          <cell r="D224">
            <v>0</v>
          </cell>
          <cell r="E224" t="str">
            <v>LARA 0839991208</v>
          </cell>
        </row>
        <row r="225">
          <cell r="B225" t="str">
            <v>GARMENT 10 NEW LOOK</v>
          </cell>
          <cell r="C225" t="str">
            <v>DUONG NGUYEN VAN LINH-PHO SAI DONG-Q.LONG BIEN-HA NOI</v>
          </cell>
          <cell r="D225" t="str">
            <v>VN GEN HANG CHUNG CTU</v>
          </cell>
          <cell r="E225" t="str">
            <v>MR MAI: 04 3827 6923</v>
          </cell>
        </row>
        <row r="226">
          <cell r="B226" t="str">
            <v>GARMENT 10 NEXT</v>
          </cell>
          <cell r="C226" t="str">
            <v>DUONG NGUYEN VAN LINH-PHO SAI DONG-Q.LONG BIEN-HA NOI</v>
          </cell>
          <cell r="D226">
            <v>0</v>
          </cell>
          <cell r="E226" t="str">
            <v>MS DUNG: 0989 289 425</v>
          </cell>
        </row>
        <row r="227">
          <cell r="B227" t="str">
            <v>GARMENT 10 PRIMARK</v>
          </cell>
          <cell r="C227" t="str">
            <v>DUONG NGUYEN VAN LINH-PHO SAI DONG-Q.LONG BIEN-HA NOI</v>
          </cell>
          <cell r="D227">
            <v>0</v>
          </cell>
          <cell r="E227" t="str">
            <v>MS THUY: 0948 505 028</v>
          </cell>
        </row>
        <row r="228">
          <cell r="B228" t="str">
            <v>GARMENT 10 PVH</v>
          </cell>
          <cell r="C228" t="str">
            <v>DUONG NGUYEN VAN LINH-PHO SAI DONG-Q.LONG BIEN-HA NOI</v>
          </cell>
          <cell r="D228" t="str">
            <v>hang ctu
PHAT DUNG NGUOI LIEN HE</v>
          </cell>
          <cell r="E228" t="str">
            <v>Ms Trang/ Ms Dao/ Mr Su - PVH
04 3 8753847</v>
          </cell>
        </row>
        <row r="229">
          <cell r="B229" t="str">
            <v>GARMENT 10 PXVN</v>
          </cell>
          <cell r="C229" t="str">
            <v>DUONG NGUYEN VAN LINH-PHO SAI DONG-Q.LONG BIEN-HA NOI</v>
          </cell>
          <cell r="D229">
            <v>0</v>
          </cell>
          <cell r="E229" t="str">
            <v>ATTN: MS THUY 0948 505 028</v>
          </cell>
        </row>
        <row r="230">
          <cell r="B230" t="str">
            <v>GARMENT 10 STEIN MART</v>
          </cell>
          <cell r="C230" t="str">
            <v>DUONG NGUYEN VAN LINH-PHO SAI DONG-Q.LONG BIEN-HA NOI</v>
          </cell>
          <cell r="D230" t="str">
            <v>GIAO DUNG NGUOI LIEN HE</v>
          </cell>
          <cell r="E230" t="str">
            <v>MR CHUNG: 0976 804 899</v>
          </cell>
        </row>
        <row r="231">
          <cell r="B231" t="str">
            <v>GARMENT 10 TESCO</v>
          </cell>
          <cell r="C231" t="str">
            <v xml:space="preserve">DUONG NGUYEN VAN LINH,SAI DONG, LONG BIEN, </v>
          </cell>
          <cell r="D231">
            <v>0</v>
          </cell>
          <cell r="E231" t="str">
            <v>ATTN: Thuy 0948.505.028</v>
          </cell>
        </row>
        <row r="232">
          <cell r="B232" t="str">
            <v>GARMENT 10 TESCO</v>
          </cell>
          <cell r="C232" t="str">
            <v>DUONG NGUYEN VAN LINH-PHO SAI DONG-Q.LONG BIEN-HA NOI</v>
          </cell>
          <cell r="D232">
            <v>0</v>
          </cell>
          <cell r="E232" t="str">
            <v>MS THUY: 04 3827 6923</v>
          </cell>
        </row>
        <row r="233">
          <cell r="B233" t="str">
            <v>GARMENT 3</v>
          </cell>
          <cell r="C233" t="str">
            <v>SO 1, NGUYEN VAN TROI, NAM DINH</v>
          </cell>
          <cell r="D233" t="str">
            <v>HOI LAI A DUNG XNK</v>
          </cell>
          <cell r="E233" t="str">
            <v>MY LOC : 0350 3835 707</v>
          </cell>
        </row>
        <row r="234">
          <cell r="B234" t="str">
            <v>Garment Resource</v>
          </cell>
          <cell r="C234" t="str">
            <v>Lo 7, Khu Cong Nghiep Dien Nam- Dien Ngoc, Tinh Quang Nam</v>
          </cell>
          <cell r="D234">
            <v>0</v>
          </cell>
          <cell r="E234" t="str">
            <v>Ms. To Loan +84905710104</v>
          </cell>
        </row>
        <row r="235">
          <cell r="B235" t="str">
            <v>GARMENT RESOURCES</v>
          </cell>
          <cell r="C235" t="str">
            <v>LO 7 KCN DIEN NAM-DIEN NGOC, TX DIEN BAN, QUANG NAM</v>
          </cell>
          <cell r="D235">
            <v>0</v>
          </cell>
          <cell r="E235" t="str">
            <v>Ms Loan - +84905710104</v>
          </cell>
        </row>
        <row r="236">
          <cell r="B236" t="str">
            <v>GARNET</v>
          </cell>
          <cell r="C236" t="str">
            <v>C6-5, C6-6, KCN HOA XA, NAM DINH</v>
          </cell>
          <cell r="D236" t="str">
            <v>CTU- C TRANG</v>
          </cell>
          <cell r="E236" t="str">
            <v>ATTN: MR HUNG- XNK
0167 6118 228</v>
          </cell>
        </row>
        <row r="237">
          <cell r="B237" t="str">
            <v>GARVIHA</v>
          </cell>
          <cell r="C237" t="str">
            <v>X.ĐẠI ĐỒNG-H.KIẾN THỦY-HẢI PHÒNG</v>
          </cell>
          <cell r="D237">
            <v>0</v>
          </cell>
          <cell r="E237" t="str">
            <v>31-981199-P.Thuy-098 284 4380</v>
          </cell>
        </row>
        <row r="238">
          <cell r="B238" t="str">
            <v>GATEXCO 20</v>
          </cell>
          <cell r="C238" t="str">
            <v>35 PHAN DINH GIOT- PHUONG LIET-THANH XUAN-HA NOI</v>
          </cell>
          <cell r="D238">
            <v>0</v>
          </cell>
          <cell r="E238" t="str">
            <v>ANH KIEN / ANH CUONG: 0983 005 473 / 0904 211 566
PHUONG LAN: 04 3864 6710</v>
          </cell>
        </row>
        <row r="239">
          <cell r="B239" t="str">
            <v>GEN NEX</v>
          </cell>
          <cell r="C239" t="str">
            <v>Lo A1, A2, A3,va  A4 –Khu cong nghiep Giao Long, xa An Phuoc huyen Chau Thanh,tinh Ben Tre</v>
          </cell>
          <cell r="D239">
            <v>0</v>
          </cell>
          <cell r="E239">
            <v>0</v>
          </cell>
        </row>
        <row r="240">
          <cell r="B240" t="str">
            <v>GENNON</v>
          </cell>
          <cell r="C240" t="str">
            <v>DUONG NGO QUYEN 2, CAM THUONG, HAI DUONG</v>
          </cell>
          <cell r="D240" t="str">
            <v>CHUNG CTU</v>
          </cell>
          <cell r="E240" t="str">
            <v>NGA: 0945 484 668</v>
          </cell>
        </row>
        <row r="241">
          <cell r="B241" t="str">
            <v>GENTHERM</v>
          </cell>
          <cell r="C241" t="str">
            <v>KCN DONG VAN II, DUY TIEN, HA NAM</v>
          </cell>
          <cell r="D241">
            <v>0</v>
          </cell>
          <cell r="E241" t="str">
            <v>ANH HOANG: 0914366996</v>
          </cell>
        </row>
        <row r="242">
          <cell r="B242" t="str">
            <v>GG</v>
          </cell>
          <cell r="C242" t="str">
            <v>KM 30, DUONG SO 5, XA BACH SAM, MY HAO, HUNG YEN</v>
          </cell>
          <cell r="D242">
            <v>0</v>
          </cell>
          <cell r="E242" t="str">
            <v>MS HAU: 0904 348 881</v>
          </cell>
        </row>
        <row r="243">
          <cell r="B243" t="str">
            <v>GIANG NAM</v>
          </cell>
          <cell r="C243" t="str">
            <v>DUONG 208, VAN TRA, AN DONG, AN DUONG, HAI PHONG</v>
          </cell>
          <cell r="D243" t="str">
            <v>HANG CHUNG CTU</v>
          </cell>
          <cell r="E243" t="str">
            <v>MR HAI: 0919 029 428</v>
          </cell>
        </row>
        <row r="244">
          <cell r="B244" t="str">
            <v>GIAO THUY</v>
          </cell>
          <cell r="C244" t="str">
            <v>SO 4A, THI TRAN NGO DONG, GIAO THUY, NAM DINH</v>
          </cell>
          <cell r="D244" t="str">
            <v>HANG CHUNG CHUNG TU</v>
          </cell>
          <cell r="E244" t="str">
            <v>MR TUAN: 0904 270 222</v>
          </cell>
        </row>
        <row r="245">
          <cell r="B245" t="str">
            <v>GIAY CHI LINH  THANG LONG</v>
          </cell>
          <cell r="C245" t="str">
            <v>NGA 4 BINH HAN, HAI DUONG</v>
          </cell>
          <cell r="D245" t="str">
            <v>TTC- KHTT</v>
          </cell>
          <cell r="E245" t="str">
            <v>BUI THI HUONG: 0936 281 868</v>
          </cell>
        </row>
        <row r="246">
          <cell r="B246" t="str">
            <v>GIAY CHI LINH QUIKSILVER</v>
          </cell>
          <cell r="C246" t="str">
            <v>THON DAI BO, HOANG TAN, CHI LINH, HAI DUONG</v>
          </cell>
          <cell r="D246" t="str">
            <v>TTC-KHTT</v>
          </cell>
          <cell r="E246" t="str">
            <v>MS HUONG: 0943 477 994</v>
          </cell>
        </row>
        <row r="247">
          <cell r="B247" t="str">
            <v>GIAY DUNG QUAT</v>
          </cell>
          <cell r="C247" t="str">
            <v>LO L1, PHAN KCN SAI GON DUNG QUAT, XA BINH THANH, BINH SON, QUANG NGAI</v>
          </cell>
          <cell r="D247">
            <v>0</v>
          </cell>
          <cell r="E247" t="str">
            <v>MS THOAI: 0935 091 509</v>
          </cell>
        </row>
        <row r="248">
          <cell r="B248" t="str">
            <v>GIAY LIEN DINH</v>
          </cell>
          <cell r="C248" t="str">
            <v xml:space="preserve">168 ,KM 9 ĐƯỜNG PHẠM VĂN ĐỒNG -  HẢI THÀNH – DƯƠNG KINH - HẢI PHÒNG </v>
          </cell>
          <cell r="D248">
            <v>0</v>
          </cell>
          <cell r="E248" t="str">
            <v>chi Hien: 0919111840</v>
          </cell>
        </row>
        <row r="249">
          <cell r="B249" t="str">
            <v>GIAY LIEN THUAN</v>
          </cell>
          <cell r="C249" t="str">
            <v>KM 9, PHAM VAN DONG, HAI THANH, DUONG KINH, HAI PHONG</v>
          </cell>
          <cell r="D249">
            <v>0</v>
          </cell>
          <cell r="E249" t="str">
            <v>chi Thuy: 01266474780</v>
          </cell>
        </row>
        <row r="250">
          <cell r="B250" t="str">
            <v>GIAY LIEN THUAN 2</v>
          </cell>
          <cell r="C250" t="str">
            <v xml:space="preserve">NHA MAY GIAY DINH VANG -DIA CHI: NAM AM - TAM CUONG -VINH BAO-HAI PHONG </v>
          </cell>
          <cell r="D250">
            <v>0</v>
          </cell>
          <cell r="E250" t="str">
            <v>Tel:0313 928 686/8</v>
          </cell>
        </row>
        <row r="251">
          <cell r="B251" t="str">
            <v>GIAY THUY KHUE NEXT</v>
          </cell>
          <cell r="C251" t="str">
            <v>KHU CN PHÚ MINH- PHƯỜNG CỔ NHUẾ 2- QUẬN BẮC TỪ LIÊM -TP.HÀ NỘI</v>
          </cell>
          <cell r="D251">
            <v>0</v>
          </cell>
          <cell r="E251" t="str">
            <v>Chi Tâm, DT 0987 859 639</v>
          </cell>
        </row>
        <row r="252">
          <cell r="B252" t="str">
            <v>GIAY UY VIET</v>
          </cell>
          <cell r="C252" t="str">
            <v>KCN CHAU DUC, XA SUOI NGHE, HUYEN CHAU DUC, TINH BRVT</v>
          </cell>
          <cell r="D252">
            <v>0</v>
          </cell>
          <cell r="E252" t="str">
            <v>HA 0985 852 147</v>
          </cell>
        </row>
        <row r="253">
          <cell r="B253" t="str">
            <v>GIAY VENUS</v>
          </cell>
          <cell r="C253" t="str">
            <v>CUM CN LANG NGHE XA HOA BINH, HUYEN HA TRUNG, TINH THANH HOA</v>
          </cell>
          <cell r="D253" t="str">
            <v>photo bill gui kem</v>
          </cell>
          <cell r="E253" t="str">
            <v>HUE: 01643264686</v>
          </cell>
        </row>
        <row r="254">
          <cell r="B254" t="str">
            <v>GILIMEX</v>
          </cell>
          <cell r="C254" t="str">
            <v>LO N, DUONG SO 6, KCN HOA KHANH, LIEN CHIEU, DA NANG</v>
          </cell>
          <cell r="D254">
            <v>0</v>
          </cell>
          <cell r="E254" t="str">
            <v>MS HIEN: 0905 337 629</v>
          </cell>
        </row>
        <row r="255">
          <cell r="B255" t="str">
            <v>GLOBAL</v>
          </cell>
          <cell r="C255" t="str">
            <v>MINH KHAI, NHU QUYNH, VAN LAM, HUNG YEN</v>
          </cell>
          <cell r="D255" t="str">
            <v>NETCO-KHTT- HOI LAI XNK</v>
          </cell>
          <cell r="E255" t="str">
            <v>MR MIAZE: 0321 3986 500</v>
          </cell>
        </row>
        <row r="256">
          <cell r="B256" t="str">
            <v>GLOBAL GARMENT</v>
          </cell>
          <cell r="C256" t="str">
            <v>KCN Bo Trai Song Da, To 9, Phuong Huu Nghi, TP Hoa Binh</v>
          </cell>
          <cell r="D256">
            <v>0</v>
          </cell>
          <cell r="E256" t="str">
            <v>TEL : +84 2183 883 007/ 0988534489</v>
          </cell>
        </row>
        <row r="257">
          <cell r="B257" t="str">
            <v>GLOBAL MFG HAI DUONG</v>
          </cell>
          <cell r="C257" t="str">
            <v>KM50+460, QL 5, CAM THUONG, HAI DUONG</v>
          </cell>
          <cell r="D257" t="str">
            <v>HOI LAI XNK</v>
          </cell>
          <cell r="E257" t="str">
            <v>MR CHINH: 0320 3846 906</v>
          </cell>
        </row>
        <row r="258">
          <cell r="B258" t="str">
            <v>Global Sourcenet</v>
          </cell>
          <cell r="C258" t="str">
            <v>Minh Khai, Nhu Quynh, Van Lam, Hung Yen</v>
          </cell>
          <cell r="D258">
            <v>0</v>
          </cell>
          <cell r="E258" t="str">
            <v>Mr Yoon -84-321-3986-500</v>
          </cell>
        </row>
        <row r="259">
          <cell r="B259" t="str">
            <v>GLORY DAYS</v>
          </cell>
          <cell r="C259" t="str">
            <v>TO 17, AP 5, XA XUAN TAM, HUYEN XUAN LOC, DONG NAI</v>
          </cell>
          <cell r="D259">
            <v>0</v>
          </cell>
          <cell r="E259" t="str">
            <v>061 3758 899/ 061 3759 955</v>
          </cell>
        </row>
        <row r="260">
          <cell r="B260" t="str">
            <v>GLORYDAYS FASHION</v>
          </cell>
          <cell r="C260" t="str">
            <v>AP THANH HOA THANH DONG TAN CHAU TAY NINH</v>
          </cell>
          <cell r="D260">
            <v>0</v>
          </cell>
          <cell r="E260">
            <v>0</v>
          </cell>
        </row>
        <row r="261">
          <cell r="B261" t="str">
            <v>GO DAI THANH</v>
          </cell>
          <cell r="C261" t="str">
            <v>Số 8 Dốc ÔNg Phật, Phường Bùi Thị Xuân, Thành Phố Qui Nhơn. Tỉnh Bình Định</v>
          </cell>
          <cell r="D261">
            <v>0</v>
          </cell>
          <cell r="E261" t="str">
            <v xml:space="preserve"> 01208176323- Ms. Truyện</v>
          </cell>
        </row>
        <row r="262">
          <cell r="B262" t="str">
            <v>GOLDEN DRAGON</v>
          </cell>
          <cell r="C262" t="str">
            <v>1166 Nguyen Binh Khiem, Dong Hai 2 ward, Hai Phong</v>
          </cell>
          <cell r="D262">
            <v>0</v>
          </cell>
          <cell r="E262" t="str">
            <v xml:space="preserve"> Ms.Phuong: 01675075532. </v>
          </cell>
        </row>
        <row r="263">
          <cell r="B263" t="str">
            <v>GOLDEN STAR</v>
          </cell>
          <cell r="C263" t="str">
            <v xml:space="preserve">QL10-TRUONG SON-AN LAO-HAI PHONG
NEU HANG Rockport; Reebok, Adidas: goi den Chi nhanh Cong Ty TNHH SAO VANG
</v>
          </cell>
          <cell r="D263">
            <v>0</v>
          </cell>
          <cell r="E263" t="str">
            <v>MS NAM: 0167 230 0648</v>
          </cell>
        </row>
        <row r="264">
          <cell r="B264" t="str">
            <v>GOLDEN SUN</v>
          </cell>
          <cell r="C264" t="str">
            <v>KM 1+100, 188 HIEP AN, KINH MON, HAI DUONG</v>
          </cell>
          <cell r="D264" t="str">
            <v>NETCO-KHTT</v>
          </cell>
          <cell r="E264" t="str">
            <v>MS LIEN 0968 252529</v>
          </cell>
        </row>
        <row r="265">
          <cell r="B265" t="str">
            <v>GOLDEN TOP</v>
          </cell>
          <cell r="C265" t="str">
            <v>GIAO GIAY LIEN THUAN, KM 9, PHAM VAN DONG, DUONG KINH, HAI PHONG</v>
          </cell>
          <cell r="D265" t="str">
            <v>GIAO DUNG NGUOI LIEN HE</v>
          </cell>
          <cell r="E265" t="str">
            <v>HANG 0166 944 0509</v>
          </cell>
        </row>
        <row r="266">
          <cell r="B266" t="str">
            <v>GOLDEN TOP ROCKORT, REBOK</v>
          </cell>
          <cell r="C266" t="str">
            <v>GIAO GIAY LIEN THUAN, KM 9, PHAM VAN DONG, DUONG KINH, HAI PHONG</v>
          </cell>
          <cell r="D266">
            <v>0</v>
          </cell>
          <cell r="E266" t="str">
            <v>Ms Hoai: 01652682368.</v>
          </cell>
        </row>
        <row r="267">
          <cell r="B267" t="str">
            <v>GOLDEN TOP SPEERY</v>
          </cell>
          <cell r="C267" t="str">
            <v>GIAO GIAY LIEN THUAN, KM 9, PHAM VAN DONG, DUONG KINH, HAI PHONG</v>
          </cell>
          <cell r="D267">
            <v>0</v>
          </cell>
          <cell r="E267" t="str">
            <v>Ms Hang/01669440509</v>
          </cell>
        </row>
        <row r="268">
          <cell r="B268" t="str">
            <v>GOLDEN TOP WOLVERING</v>
          </cell>
          <cell r="C268" t="str">
            <v>GIAO GIAY LIEN THUAN, KM 9, PHAM VAN DONG, DUONG KINH, HAI PHONG</v>
          </cell>
          <cell r="D268">
            <v>0</v>
          </cell>
          <cell r="E268" t="str">
            <v>MS GIANG:  01695535035 (Tel: 0313 880001/002 ext:3051)</v>
          </cell>
        </row>
        <row r="269">
          <cell r="B269" t="str">
            <v>GRAND GAIN</v>
          </cell>
          <cell r="C269" t="str">
            <v>Lot D1-D14, Dong Xoai II Industrial Zone, Tien Thanh Commune, Dong Xoai Town, Binh Phuoc Province</v>
          </cell>
          <cell r="D269" t="str">
            <v>GIAO 2 DN CHO KH</v>
          </cell>
          <cell r="E269" t="str">
            <v>Ms Phượng. Tel: 0948281936</v>
          </cell>
        </row>
        <row r="270">
          <cell r="B270" t="str">
            <v>GRAND OCEAN</v>
          </cell>
          <cell r="C270" t="str">
            <v>THON PHU, THAI HOC, BINH GIANG, HAI DUONG</v>
          </cell>
          <cell r="D270">
            <v>0</v>
          </cell>
          <cell r="E270" t="str">
            <v>MS LY: 0936 955 584</v>
          </cell>
        </row>
        <row r="271">
          <cell r="B271" t="str">
            <v>GREAT GLOBAL</v>
          </cell>
          <cell r="C271" t="str">
            <v>LOT 3.6, KCN GIAN KHAU, GIA VIEN, NINH BINH</v>
          </cell>
          <cell r="D271">
            <v>0</v>
          </cell>
          <cell r="E271" t="str">
            <v>MS THAO: 030 3651 442</v>
          </cell>
        </row>
        <row r="272">
          <cell r="B272" t="str">
            <v>GREAT PROFIT</v>
          </cell>
          <cell r="C272" t="str">
            <v>LO E1, DUONG TRUNG TAM KCN LONG HAU, CAN GIUOC, LONG AN</v>
          </cell>
          <cell r="D272">
            <v>0</v>
          </cell>
          <cell r="E272" t="str">
            <v>0933 380 755 JEAN</v>
          </cell>
        </row>
        <row r="273">
          <cell r="B273" t="str">
            <v>GREAT SUPER</v>
          </cell>
          <cell r="C273" t="str">
            <v>SUOI TRE IZ- LONG KHANH- DONG NAI</v>
          </cell>
          <cell r="D273">
            <v>0</v>
          </cell>
          <cell r="E273" t="str">
            <v>Jasmine Yang:  061 364 7876
0977 038 832</v>
          </cell>
        </row>
        <row r="274">
          <cell r="B274" t="str">
            <v>GREEN LAND</v>
          </cell>
          <cell r="C274" t="str">
            <v>KM9-14TH-XA HẢI THÀNH-KIẾN THỤY-ĐỒ SƠN-HAI PHONG</v>
          </cell>
          <cell r="D274">
            <v>0</v>
          </cell>
          <cell r="E274" t="str">
            <v>Mr DO THU HUONG-31-880001/880002</v>
          </cell>
        </row>
        <row r="275">
          <cell r="B275" t="str">
            <v>GREEN LAND CLARK</v>
          </cell>
          <cell r="C275" t="str">
            <v>KM 9, PHAM VAN DONG, HAI THANH, DUONG KINH, HAI PHONG</v>
          </cell>
          <cell r="D275" t="str">
            <v>CO ADD DIA CHI THI GIAO LIEN DINH, KO ADD DIA CHI GIAO LIEN THUAN</v>
          </cell>
          <cell r="E275" t="str">
            <v>0169 553 5035- MS GIANG</v>
          </cell>
        </row>
        <row r="276">
          <cell r="B276" t="str">
            <v>GREEN TG</v>
          </cell>
          <cell r="C276" t="str">
            <v>LO AIII-11, KCN TAN HUONG, X. TAN HUONG, H.CHAU THANH, T.TIEN GIANG</v>
          </cell>
          <cell r="D276">
            <v>0</v>
          </cell>
          <cell r="E276" t="str">
            <v>MS THAM 097275801</v>
          </cell>
        </row>
        <row r="277">
          <cell r="B277" t="str">
            <v>GUMIX</v>
          </cell>
          <cell r="C277" t="str">
            <v>KCN CAU GIAT, DUY TIEN, HA NAM</v>
          </cell>
          <cell r="D277">
            <v>0</v>
          </cell>
          <cell r="E277" t="str">
            <v>0168 7156 612: MS NHUNG</v>
          </cell>
        </row>
        <row r="278">
          <cell r="B278" t="str">
            <v>H&amp;C</v>
          </cell>
          <cell r="C278" t="str">
            <v>4th Floor, Lot 42C, 63 Lane, Le Duc Tho Road, Hà Nội</v>
          </cell>
          <cell r="D278">
            <v>0</v>
          </cell>
          <cell r="E278">
            <v>0</v>
          </cell>
        </row>
        <row r="279">
          <cell r="B279" t="str">
            <v>HA BAC</v>
          </cell>
          <cell r="C279" t="str">
            <v>NGA TU DINH TRAM-HONG THAI-VIET YEN-BAC GIANG</v>
          </cell>
          <cell r="D279">
            <v>0</v>
          </cell>
          <cell r="E279" t="str">
            <v>chị nhuần:  0983522340</v>
          </cell>
        </row>
        <row r="280">
          <cell r="B280" t="str">
            <v>HA BAC 1</v>
          </cell>
          <cell r="C280" t="str">
            <v>NGA TU DINH TRAM-HONG THAI-VIET YEN-BAC GIANG</v>
          </cell>
          <cell r="D280">
            <v>0</v>
          </cell>
          <cell r="E280" t="str">
            <v>Giao Ha Bac 1 - Mr.Thanh: 0978.491.357/ Mr. Duong: 0936.228.933</v>
          </cell>
        </row>
        <row r="281">
          <cell r="B281" t="str">
            <v>HA BAC 2</v>
          </cell>
          <cell r="C281" t="str">
            <v>NGA TU DINH TRAM-HONG THAI-VIET YEN-BAC GIANG</v>
          </cell>
          <cell r="D281">
            <v>0</v>
          </cell>
          <cell r="E281" t="str">
            <v>MR BINH 0915181104</v>
          </cell>
        </row>
        <row r="282">
          <cell r="B282" t="str">
            <v>HA BAC BILL SL GLOBAL</v>
          </cell>
          <cell r="C282" t="str">
            <v>NGA 4 DINH TRAM, HONG THAI, VIET YEN, BAC GIANG</v>
          </cell>
          <cell r="D282">
            <v>0</v>
          </cell>
          <cell r="E282" t="str">
            <v>NGUYEN THI LE XNK: 0975 442 582</v>
          </cell>
        </row>
        <row r="283">
          <cell r="B283" t="str">
            <v>HA BAC GAP INC</v>
          </cell>
          <cell r="C283" t="str">
            <v>NGA 4 DINH TRAM, HONG THAI, VIET YEN, BAC GIANG</v>
          </cell>
          <cell r="D283">
            <v>0</v>
          </cell>
          <cell r="E283" t="str">
            <v>MS HUONG: 0977 047 203</v>
          </cell>
        </row>
        <row r="284">
          <cell r="B284" t="str">
            <v>HA BAC GYMBOREE</v>
          </cell>
          <cell r="C284" t="str">
            <v>NGA TU DINH TRAM-HONG THAI-VIET YEN-BAC GIANG</v>
          </cell>
          <cell r="D284">
            <v>0</v>
          </cell>
          <cell r="E284" t="str">
            <v>MS PHUONG/: 0936 750 474, MS HA 02403674178</v>
          </cell>
        </row>
        <row r="285">
          <cell r="B285" t="str">
            <v>HA BAC LANE BRYANT</v>
          </cell>
          <cell r="C285" t="str">
            <v>NGA TU DINH TRAM-HONG THAI-VIET YEN-BAC GIANG</v>
          </cell>
          <cell r="D285" t="str">
            <v>CHO CS CONFIRM SHIP MODE</v>
          </cell>
          <cell r="E285" t="str">
            <v>SON/HAI: 0928 161 983</v>
          </cell>
        </row>
        <row r="286">
          <cell r="B286" t="str">
            <v>HA BAC OLD NAVY</v>
          </cell>
          <cell r="C286" t="str">
            <v>NGA TU DINH TRAM-HONG THAI-VIET YEN-BAC GIANG</v>
          </cell>
          <cell r="D286">
            <v>0</v>
          </cell>
          <cell r="E286" t="str">
            <v>NGUYEN VAN DOAN.TEL: 04-2220-9200</v>
          </cell>
        </row>
        <row r="287">
          <cell r="B287" t="str">
            <v>HA HAE</v>
          </cell>
          <cell r="C287" t="str">
            <v>KM50+460, QL 5, CAM THUONG, HAI DUONG</v>
          </cell>
          <cell r="D287">
            <v>0</v>
          </cell>
          <cell r="E287" t="str">
            <v>Ms Bich Nga 0945 078 558</v>
          </cell>
        </row>
        <row r="288">
          <cell r="B288" t="str">
            <v>HA HAE THAI BINH</v>
          </cell>
          <cell r="C288" t="str">
            <v>KCN TIEN HAI TAY GIANG TIEN HAI THAI BINH</v>
          </cell>
          <cell r="D288">
            <v>0</v>
          </cell>
          <cell r="E288" t="str">
            <v>MS HUONG 0989 581 482</v>
          </cell>
        </row>
        <row r="289">
          <cell r="B289" t="str">
            <v>MINH DUC</v>
          </cell>
          <cell r="C289" t="str">
            <v>Ke Village, Minh Duc Commune, Viet Yen District, BAC GIANG</v>
          </cell>
          <cell r="D289">
            <v>0</v>
          </cell>
          <cell r="E289" t="str">
            <v>Nguyen Huy Minh - 84-240-3875 555</v>
          </cell>
        </row>
        <row r="290">
          <cell r="B290" t="str">
            <v>THIEU DO</v>
          </cell>
          <cell r="C290" t="str">
            <v>XA THIEU DO, HUYEN THIEU HOA, TINH THANH HOA</v>
          </cell>
          <cell r="D290">
            <v>0</v>
          </cell>
          <cell r="E290">
            <v>0</v>
          </cell>
        </row>
        <row r="291">
          <cell r="B291" t="str">
            <v>MY NGHE SHINE</v>
          </cell>
          <cell r="C291" t="str">
            <v>KCN DONG VAN I, XA DUY MINH, DUY TIEN, HA NAM</v>
          </cell>
          <cell r="D291">
            <v>0</v>
          </cell>
          <cell r="E291" t="str">
            <v>VICTOR 01693219399</v>
          </cell>
        </row>
        <row r="292">
          <cell r="B292" t="str">
            <v>HA NAM 227</v>
          </cell>
          <cell r="C292" t="str">
            <v>21A, KCN BAC THANH CHAU, PHU LY, HA NAM</v>
          </cell>
          <cell r="D292">
            <v>0</v>
          </cell>
          <cell r="E292" t="str">
            <v>A. LUONG: 0913 301 045</v>
          </cell>
        </row>
        <row r="293">
          <cell r="B293" t="str">
            <v>HA NAM HA NOI</v>
          </cell>
          <cell r="C293" t="str">
            <v>TANG 8, TOA NHA NAM HAI LAKEVIEW, KHU DO THI VINH HOANG, HOANG MAI, HA NOI</v>
          </cell>
          <cell r="D293">
            <v>0</v>
          </cell>
          <cell r="E293" t="str">
            <v>MS HUONG: 0122 2291 686</v>
          </cell>
        </row>
        <row r="294">
          <cell r="B294" t="str">
            <v>HA NAM HANOSIMEX</v>
          </cell>
          <cell r="C294" t="str">
            <v>KCN DONG VAN 2, DUY TIEN, HA NAM</v>
          </cell>
          <cell r="D294" t="str">
            <v>chung HD</v>
          </cell>
          <cell r="E294" t="str">
            <v>LE 0932020367</v>
          </cell>
        </row>
        <row r="295">
          <cell r="B295" t="str">
            <v>HA NOI TEXTILE</v>
          </cell>
          <cell r="C295" t="str">
            <v xml:space="preserve">No25 Alley 13 Linh nam Str, Mai Dong ward,  Hoang Mai Dist, Hanoi, Vietnam. </v>
          </cell>
          <cell r="D295">
            <v>0</v>
          </cell>
          <cell r="E295" t="str">
            <v>RUBI 01686703023</v>
          </cell>
        </row>
        <row r="296">
          <cell r="B296" t="str">
            <v>HA NOI TEXTILE HA NAM</v>
          </cell>
          <cell r="C296" t="str">
            <v>KCN DONG VAN II, DUY TIEN, HA NAM</v>
          </cell>
          <cell r="D296">
            <v>0</v>
          </cell>
          <cell r="E296" t="str">
            <v>MS LE: 0932 020 367</v>
          </cell>
        </row>
        <row r="297">
          <cell r="B297" t="str">
            <v>HA PHONG 4</v>
          </cell>
          <cell r="C297" t="str">
            <v>Doan Bai Commune- Hiep Hoa Dist
 Bac Giang Province</v>
          </cell>
          <cell r="D297">
            <v>0</v>
          </cell>
          <cell r="E297" t="str">
            <v>GIANG: 01687887348</v>
          </cell>
        </row>
        <row r="298">
          <cell r="B298" t="str">
            <v>HA PHONG 1</v>
          </cell>
          <cell r="C298" t="str">
            <v>Doan Bai Commune- Hiep Hoa Dist
 Bac Giang Province</v>
          </cell>
          <cell r="D298">
            <v>0</v>
          </cell>
          <cell r="E298" t="str">
            <v>MS.NA: 097 8894 809</v>
          </cell>
        </row>
        <row r="299">
          <cell r="B299" t="str">
            <v>HA PHONG 3</v>
          </cell>
          <cell r="C299" t="str">
            <v>Doan Bai Commune- Hiep Hoa Dist
 Bac Giang Province</v>
          </cell>
          <cell r="D299">
            <v>0</v>
          </cell>
          <cell r="E299" t="str">
            <v>MS. VAN  ANH: 0166 8064 718</v>
          </cell>
        </row>
        <row r="300">
          <cell r="B300" t="str">
            <v>HA PHONG 2</v>
          </cell>
          <cell r="C300" t="str">
            <v>Doan Bai Commune- Hiep Hoa Dist
 Bac Giang Province</v>
          </cell>
          <cell r="D300">
            <v>0</v>
          </cell>
          <cell r="E300" t="str">
            <v>MAI:01666019960</v>
          </cell>
        </row>
        <row r="301">
          <cell r="B301" t="str">
            <v>HA PHONG LANE BRYANT</v>
          </cell>
          <cell r="C301" t="str">
            <v>Doan Bai Commune- Hiep Hoa Dist
 Bac Giang Province</v>
          </cell>
          <cell r="D301">
            <v>0</v>
          </cell>
          <cell r="E301" t="str">
            <v>DUNG/BANG: 0968 874 313</v>
          </cell>
        </row>
        <row r="302">
          <cell r="B302" t="str">
            <v>HA QUANG GARMENT 10</v>
          </cell>
          <cell r="C302" t="str">
            <v>Tieu khu 7 phuong Bac Ly, thanh pho Dong Hoi, Quang Binh</v>
          </cell>
          <cell r="D302">
            <v>0</v>
          </cell>
          <cell r="E302" t="str">
            <v>Quang- 911444089</v>
          </cell>
        </row>
        <row r="303">
          <cell r="B303" t="str">
            <v>HA TAY</v>
          </cell>
          <cell r="C303" t="str">
            <v>TANLAP VILLAGE-DAN PHUONG DIST-HANOI</v>
          </cell>
          <cell r="D303" t="str">
            <v>TTC-KHTT</v>
          </cell>
          <cell r="E303" t="str">
            <v>Mr quang-04 33665147-0912913401
BACH PHI NGA 0912 047 188</v>
          </cell>
        </row>
        <row r="304">
          <cell r="B304" t="str">
            <v>HAFASCO XN MAY YEN MY</v>
          </cell>
          <cell r="C304" t="str">
            <v>KCN PHO NOI A, XA GIAI PHAM, YEN MY, HUNG YEN</v>
          </cell>
          <cell r="D304">
            <v>0</v>
          </cell>
          <cell r="E304" t="str">
            <v>ATTN: A SON 0982 015 586</v>
          </cell>
        </row>
        <row r="305">
          <cell r="B305" t="str">
            <v>HAI ANH TEX</v>
          </cell>
          <cell r="C305" t="str">
            <v>BA DONG, BINH MINH, BINH GIANG, HAI DUONG</v>
          </cell>
          <cell r="D305" t="str">
            <v>NHAN TARGET CHO CS CONFIRM MAIL FW HANJIN HOAC DAESUN</v>
          </cell>
          <cell r="E305" t="str">
            <v>MS DUYEN: 0985 939 862</v>
          </cell>
        </row>
        <row r="306">
          <cell r="B306" t="str">
            <v>HAI DUONG</v>
          </cell>
          <cell r="C306" t="str">
            <v>KM54+100M-QL5-NGOC CHAU-HAI DUONG</v>
          </cell>
          <cell r="D306" t="str">
            <v>HOI LAI XNK</v>
          </cell>
          <cell r="E306" t="str">
            <v>MS HUONG: 0932 296 866</v>
          </cell>
        </row>
        <row r="307">
          <cell r="B307" t="str">
            <v>HAI DUONG NEXT</v>
          </cell>
          <cell r="C307" t="str">
            <v>KM54+100M-QL5-NGOC CHAU-HAI DUONG</v>
          </cell>
          <cell r="D307">
            <v>0</v>
          </cell>
          <cell r="E307" t="str">
            <v>093 229 6866- MS HUONG</v>
          </cell>
        </row>
        <row r="308">
          <cell r="B308" t="str">
            <v>HAI DUONG SHOE</v>
          </cell>
          <cell r="C308" t="str">
            <v>No:1077, Le Thanh Nghi Street, Hai Tan Ward, Hai Duong</v>
          </cell>
          <cell r="D308" t="str">
            <v>C.KATE</v>
          </cell>
          <cell r="E308" t="str">
            <v>Attn: Anh Tuyen: 0904 314 138</v>
          </cell>
        </row>
        <row r="309">
          <cell r="B309" t="str">
            <v>HAI DUONG TOPSHOP</v>
          </cell>
          <cell r="C309" t="str">
            <v>KM54+100M-QL5-NGOC CHAU-HAI DUONG</v>
          </cell>
          <cell r="D309">
            <v>0</v>
          </cell>
          <cell r="E309" t="str">
            <v>QUYNH ANH: 0982 860 789</v>
          </cell>
        </row>
        <row r="310">
          <cell r="B310" t="str">
            <v>HAI MY PHU THO</v>
          </cell>
          <cell r="C310" t="str">
            <v>CUM CN LANG NGHE SOC DANG, DOAN HUNG, PHU THO</v>
          </cell>
          <cell r="D310">
            <v>0</v>
          </cell>
          <cell r="E310" t="str">
            <v>PHILIP: 0162 848 1321</v>
          </cell>
        </row>
        <row r="311">
          <cell r="B311" t="str">
            <v>HAI PHONG</v>
          </cell>
          <cell r="C311" t="str">
            <v>TO 1, KDC PHUONG LUNG, HUNG DAO, DUONG KINH, HAI PHONG</v>
          </cell>
          <cell r="D311" t="str">
            <v>chung HD</v>
          </cell>
          <cell r="E311" t="str">
            <v>MR CHUNG : 0936 185 442</v>
          </cell>
        </row>
        <row r="312">
          <cell r="B312" t="str">
            <v>HAI PHONG STATIONERY</v>
          </cell>
          <cell r="C312" t="str">
            <v>HUNG DAO WARD-DUONG KINH DISTRICT-HAI PHONG</v>
          </cell>
          <cell r="D312">
            <v>0</v>
          </cell>
          <cell r="E312">
            <v>0</v>
          </cell>
        </row>
        <row r="313">
          <cell r="B313" t="str">
            <v>HAI VINA</v>
          </cell>
          <cell r="C313" t="str">
            <v>Gia Tan Commune, Gia Loc Dist, Hai Duong</v>
          </cell>
          <cell r="D313" t="str">
            <v>hang chung ctu</v>
          </cell>
          <cell r="E313" t="str">
            <v>Ms Rucy( Sales Dept)
A. Tinh - 0975 002 062</v>
          </cell>
        </row>
        <row r="314">
          <cell r="B314" t="str">
            <v>HAI VINA INVISTA</v>
          </cell>
          <cell r="C314" t="str">
            <v>KCN NAM SACH- HAI DUONG</v>
          </cell>
          <cell r="D314" t="str">
            <v>hang chung ctu</v>
          </cell>
          <cell r="E314">
            <v>0</v>
          </cell>
        </row>
        <row r="315">
          <cell r="B315" t="str">
            <v>HAI VINA KIM LIEN</v>
          </cell>
          <cell r="C315" t="str">
            <v>CUM CN NAM GIANG, HUYEN NAM DAN, NGHE AN</v>
          </cell>
          <cell r="D315">
            <v>0</v>
          </cell>
          <cell r="E315" t="str">
            <v>MR THANH 0166 650 4728</v>
          </cell>
        </row>
        <row r="316">
          <cell r="B316" t="str">
            <v>HAI VINA NAM SACH</v>
          </cell>
          <cell r="C316" t="str">
            <v>KCN NAM SACH- HAI DUONG</v>
          </cell>
          <cell r="D316" t="str">
            <v>hang chung ctu</v>
          </cell>
          <cell r="E316" t="str">
            <v>LAN ANH: 0915175682</v>
          </cell>
        </row>
        <row r="317">
          <cell r="B317" t="str">
            <v>HAI YANG</v>
          </cell>
          <cell r="C317" t="str">
            <v>Thuan Hoa 2, Hoa Khanh Nam, Duc Hoa, Long An</v>
          </cell>
          <cell r="D317">
            <v>0</v>
          </cell>
          <cell r="E317" t="str">
            <v>Mr.Yyu : 072 768 654/ 655/ 656</v>
          </cell>
        </row>
        <row r="318">
          <cell r="B318" t="str">
            <v>HAMALIN</v>
          </cell>
          <cell r="C318" t="str">
            <v>LO B, KCN TRUNG HA, TAM NONG, PHU THO</v>
          </cell>
          <cell r="D318" t="str">
            <v>CHO XNK CONFIRM
VIET DN# LEN BILL</v>
          </cell>
          <cell r="E318" t="str">
            <v>Ms Minh - 84 982 097 789      ​</v>
          </cell>
        </row>
        <row r="319">
          <cell r="B319" t="str">
            <v>HANA KOVI</v>
          </cell>
          <cell r="C319" t="str">
            <v xml:space="preserve">Cum CN Dong Dinh, Xa Cao Thuong, Huyen Tan Yen, </v>
          </cell>
          <cell r="D319">
            <v>0</v>
          </cell>
          <cell r="E319" t="str">
            <v>Chi Huyen (Kho) 01215322667</v>
          </cell>
        </row>
        <row r="320">
          <cell r="B320" t="str">
            <v>HANESBRANDS HUE</v>
          </cell>
          <cell r="C320" t="str">
            <v>Lo C-2-6 &amp; 2-7-KCN PHU BAI-HUONG THUY-THUA THIEN HUE</v>
          </cell>
          <cell r="D320" t="str">
            <v>CS BOOK MAC DEN LAY HANG</v>
          </cell>
          <cell r="E320" t="str">
            <v>MR DUC: 0905 120 343</v>
          </cell>
        </row>
        <row r="321">
          <cell r="B321" t="str">
            <v>DO GO NGHIA TIN</v>
          </cell>
          <cell r="C321" t="str">
            <v>PHUOC AN, TUY PHUOC, BINH DINH</v>
          </cell>
          <cell r="D321">
            <v>0</v>
          </cell>
          <cell r="E321">
            <v>0</v>
          </cell>
        </row>
        <row r="322">
          <cell r="B322" t="str">
            <v>HANESBRANDS HUNG YEN</v>
          </cell>
          <cell r="C322" t="str">
            <v>DÂN TIẾN COMMUNE- KHOÁI CHAU DISTRICT- HUNG YEN</v>
          </cell>
          <cell r="D322" t="str">
            <v>Avery thanh toan, BT-di bo, if KH confirm gap- di air</v>
          </cell>
          <cell r="E322" t="str">
            <v>MS. THANH THUY (0988 625 686)-3213713994</v>
          </cell>
        </row>
        <row r="323">
          <cell r="B323" t="str">
            <v>HANESBRANDS KHO 90</v>
          </cell>
          <cell r="C323" t="str">
            <v>Lo C-2-6 &amp; 2-7-KCN PHU BAI-HUONG THUY-THUA THIEN HUE</v>
          </cell>
          <cell r="D323" t="str">
            <v>CS BOOK MAC DEN LAY HANG VAO SANG THU 6 HANG TUAN</v>
          </cell>
          <cell r="E323">
            <v>0</v>
          </cell>
        </row>
        <row r="324">
          <cell r="B324" t="str">
            <v>HANESBRANDS KHO 91</v>
          </cell>
          <cell r="C324" t="str">
            <v>DÂN TIẾN COMMUNE- KHOÁI CHAU DISTRICT- HUNG YEN</v>
          </cell>
          <cell r="D324" t="str">
            <v>CS BOOK MAC DEN LAY HANG VAO SANG THU 6 HANG TUAN</v>
          </cell>
          <cell r="E324">
            <v>0</v>
          </cell>
        </row>
        <row r="325">
          <cell r="B325" t="str">
            <v>HANESBRANDS KHO 96</v>
          </cell>
          <cell r="C325" t="str">
            <v>DÂN TIẾN COMMUNE- KHOÁI CHAU DISTRICT- HUNG YEN</v>
          </cell>
          <cell r="D325" t="str">
            <v>CS BOOK MAC DEN LAY HANG VAO SANG THU 6 HANG TUAN</v>
          </cell>
          <cell r="E325">
            <v>0</v>
          </cell>
        </row>
        <row r="326">
          <cell r="B326" t="str">
            <v>HANESBRANDS KHO 95</v>
          </cell>
          <cell r="C326" t="str">
            <v>DÂN TIẾN COMMUNE- KHOÁI CHAU DISTRICT- HUNG YEN</v>
          </cell>
          <cell r="D326" t="str">
            <v>CS BOOK MAC DEN LAY HANG VAO SANG THU 6 HANG TUAN</v>
          </cell>
          <cell r="E326">
            <v>0</v>
          </cell>
        </row>
        <row r="327">
          <cell r="B327" t="str">
            <v>HANNAM</v>
          </cell>
          <cell r="C327" t="str">
            <v>KHU CONG NGHIEP BINH XUYEN, HUYEN BINH XUYEN, TINH VINH PHUC</v>
          </cell>
          <cell r="D327" t="str">
            <v>CHO XNK CONFIRM</v>
          </cell>
          <cell r="E327" t="str">
            <v>MS DUYEN 0169 959 4112</v>
          </cell>
        </row>
        <row r="328">
          <cell r="B328" t="str">
            <v>HANNAM INC</v>
          </cell>
          <cell r="C328" t="str">
            <v>BINH XUYEN IZ-BINH XUYEN DIST-VINH PHUC</v>
          </cell>
          <cell r="D328">
            <v>0</v>
          </cell>
          <cell r="E328" t="str">
            <v>HANH</v>
          </cell>
        </row>
        <row r="329">
          <cell r="B329" t="str">
            <v xml:space="preserve">HaNoi Business </v>
          </cell>
          <cell r="C329" t="str">
            <v>TANG 3, 301 VU XUAN THIEU, PHUC LOI, LONG BIEN, HN</v>
          </cell>
          <cell r="D329">
            <v>0</v>
          </cell>
          <cell r="E329" t="str">
            <v>Ms Huyen: 04 62512666</v>
          </cell>
        </row>
        <row r="330">
          <cell r="B330" t="str">
            <v>HANOI SALES OFFICE</v>
          </cell>
          <cell r="C330" t="str">
            <v xml:space="preserve"> SO 8 NGO 97/24/1-VAN CAO STR-BA DINH- HA NOI</v>
          </cell>
          <cell r="D330">
            <v>0</v>
          </cell>
          <cell r="E330">
            <v>0</v>
          </cell>
        </row>
        <row r="331">
          <cell r="B331" t="str">
            <v>HANOSIMEX</v>
          </cell>
          <cell r="C331" t="str">
            <v>TANG 6, TOA  NHA HAI NAM, KHU DO THI VINH HOANG, HOANG MAI, HA NOI</v>
          </cell>
          <cell r="D331">
            <v>0</v>
          </cell>
          <cell r="E331" t="str">
            <v>A BINH: 0904 223 406</v>
          </cell>
        </row>
        <row r="332">
          <cell r="B332" t="str">
            <v>HANSAE TG</v>
          </cell>
          <cell r="C332" t="str">
            <v>LOT B III&amp;V, KCN TAN HUONG, TIEN GIANG</v>
          </cell>
          <cell r="D332" t="str">
            <v>CHO XNK CONFIRM</v>
          </cell>
          <cell r="E332" t="str">
            <v>MS MAI: 0167 890 2591</v>
          </cell>
        </row>
        <row r="333">
          <cell r="B333" t="str">
            <v>HANSAE TN</v>
          </cell>
          <cell r="C333" t="str">
            <v xml:space="preserve">ROAD 4, LINH TRUNG EPZ &amp; IP III, ROAD 4, LINH TRUNG EPZ &amp; IP III, </v>
          </cell>
          <cell r="D333">
            <v>0</v>
          </cell>
          <cell r="E333" t="str">
            <v>Truc 01663646605</v>
          </cell>
        </row>
        <row r="334">
          <cell r="B334" t="str">
            <v>HANUL</v>
          </cell>
          <cell r="C334" t="str">
            <v>TT THANH NE-KIEN XUONG-THAI BINH</v>
          </cell>
          <cell r="D334">
            <v>0</v>
          </cell>
          <cell r="E334" t="str">
            <v>HOAI-01682396706-036 3152769</v>
          </cell>
        </row>
        <row r="335">
          <cell r="B335" t="str">
            <v>HANUL</v>
          </cell>
          <cell r="C335" t="str">
            <v>Thi tran Thanh Ne, huyen Kien Xuong, tinh Thai Binh</v>
          </cell>
          <cell r="D335">
            <v>0</v>
          </cell>
          <cell r="E335" t="str">
            <v>84-36-3512769</v>
          </cell>
        </row>
        <row r="336">
          <cell r="B336" t="str">
            <v>HAPPY TEX</v>
          </cell>
          <cell r="C336" t="str">
            <v>DUONG LE CHAN, PHUONG LE HONG PHONG, PHU LY, HA NAM</v>
          </cell>
          <cell r="D336" t="str">
            <v>HANG CHO XNK CONFIRM
VIET SO DN# LEN BILL</v>
          </cell>
          <cell r="E336" t="str">
            <v>MR DAT: 0988 771 449</v>
          </cell>
        </row>
        <row r="337">
          <cell r="B337" t="str">
            <v>HAS FASHION</v>
          </cell>
          <cell r="C337" t="str">
            <v>Lot C3.3, Gian Khau Industry Zone, Gia Tan Commune, Gia Vien District, Ninh Binh Province</v>
          </cell>
          <cell r="D337">
            <v>0</v>
          </cell>
          <cell r="E337" t="str">
            <v>HANG  0965 755 332</v>
          </cell>
        </row>
        <row r="338">
          <cell r="B338" t="str">
            <v>HA THANH FASHION</v>
          </cell>
          <cell r="C338" t="str">
            <v>NGOC LAM, HOANG THANH, HIEP HOA, BAC GIANG</v>
          </cell>
          <cell r="D338">
            <v>0</v>
          </cell>
          <cell r="E338">
            <v>0</v>
          </cell>
        </row>
        <row r="339">
          <cell r="B339" t="str">
            <v>HIGH VINA</v>
          </cell>
          <cell r="C339" t="str">
            <v>LONG YEN, LONG THANH NAM, HOA THANH, TAY NINH</v>
          </cell>
          <cell r="D339" t="str">
            <v>BOOK VNPT GIAO NHANH GOI ANH TUNG 01267325818</v>
          </cell>
          <cell r="E339" t="str">
            <v>MS MAI: 0903 054 057</v>
          </cell>
        </row>
        <row r="340">
          <cell r="B340" t="str">
            <v>HK VINA</v>
          </cell>
          <cell r="C340" t="str">
            <v>xã Ngũ Hùng- H. Thanh Miện - 
Hải Dương</v>
          </cell>
          <cell r="D340" t="str">
            <v>CTU-C.Trang</v>
          </cell>
          <cell r="E340" t="str">
            <v>Ms Thao: 0977 115 245
TEL: 320 355 0855</v>
          </cell>
        </row>
        <row r="341">
          <cell r="B341" t="str">
            <v>HNJ VINA</v>
          </cell>
          <cell r="C341" t="str">
            <v>LOT2, DONG TU INDUSTRIAL GROUP, HUNG HA DISTRICT, THAI BINH PROVINCE</v>
          </cell>
          <cell r="D341">
            <v>0</v>
          </cell>
          <cell r="E341" t="str">
            <v xml:space="preserve"> Ms Thuy 84-363-971-010</v>
          </cell>
        </row>
        <row r="342">
          <cell r="B342" t="str">
            <v>HO GUOM</v>
          </cell>
          <cell r="C342" t="str">
            <v>201  TRUONG DINH- HOANG MAI- HANOI</v>
          </cell>
          <cell r="D342">
            <v>0</v>
          </cell>
          <cell r="E342" t="str">
            <v>VAN ANH</v>
          </cell>
        </row>
        <row r="343">
          <cell r="B343" t="str">
            <v>HO GUOM FACTORY 2</v>
          </cell>
          <cell r="C343" t="str">
            <v>KM 22 BAN-YEN NHAN-HUNG YEN DIST</v>
          </cell>
          <cell r="D343">
            <v>0</v>
          </cell>
          <cell r="E343" t="str">
            <v>MS.HANG -MB: 0904458861 OR MR.DUNG .0988317342</v>
          </cell>
        </row>
        <row r="344">
          <cell r="B344" t="str">
            <v>HO GUOM FACTORY 3</v>
          </cell>
          <cell r="C344" t="str">
            <v>KM 22-QL5-TTBAN-HUNG YEN</v>
          </cell>
          <cell r="D344">
            <v>0</v>
          </cell>
          <cell r="E344" t="str">
            <v>MS.HANG -MB: 0904458861 OR MR.DUNG .0988317342</v>
          </cell>
        </row>
        <row r="345">
          <cell r="B345" t="str">
            <v>HO GUOM HA DONG</v>
          </cell>
          <cell r="C345" t="str">
            <v>HO GUOM PLAZA 102 TRAN PHU MO LAO HA DONG, HA NOI</v>
          </cell>
          <cell r="D345">
            <v>0</v>
          </cell>
          <cell r="E345">
            <v>0</v>
          </cell>
        </row>
        <row r="346">
          <cell r="B346" t="str">
            <v>HO GUOM HAI PHONG</v>
          </cell>
          <cell r="C346" t="str">
            <v>KM 83, QL5, AN HUNG, AN HAI, HAI PHONG</v>
          </cell>
          <cell r="D346">
            <v>0</v>
          </cell>
          <cell r="E346" t="str">
            <v>MS HIEN: 031 3618560</v>
          </cell>
        </row>
        <row r="347">
          <cell r="B347" t="str">
            <v>HO GUOM INVISTA</v>
          </cell>
          <cell r="C347" t="str">
            <v>201 TRUONG  DINH, HOANG MAI, HA NOI</v>
          </cell>
          <cell r="D347">
            <v>0</v>
          </cell>
          <cell r="E347" t="str">
            <v>04 36624559 CHI THU HIEN</v>
          </cell>
        </row>
        <row r="348">
          <cell r="B348" t="str">
            <v>HO GUOM MANGO</v>
          </cell>
          <cell r="C348" t="str">
            <v>110 TRAN PHU, HA DONG, HA NOI</v>
          </cell>
          <cell r="D348" t="str">
            <v>HANG CHUNG CTU
VIET SO DN# LEN BILL</v>
          </cell>
          <cell r="E348" t="str">
            <v>HIEN/ TRINH: 04 3662 4559</v>
          </cell>
        </row>
        <row r="349">
          <cell r="B349" t="str">
            <v>HO GUOM WLLAND</v>
          </cell>
          <cell r="C349" t="str">
            <v>201  TRUONG DINH- HOANG MAI- HANOI</v>
          </cell>
          <cell r="D349">
            <v>0</v>
          </cell>
          <cell r="E349" t="str">
            <v>chi Hoai  090 496 4728
chi Hien 0904409045</v>
          </cell>
        </row>
        <row r="350">
          <cell r="B350" t="str">
            <v>HO GUOM
FACTORY 5</v>
          </cell>
          <cell r="C350" t="str">
            <v>KM 83-AN HUNG-AN HAI- HAI PHONG</v>
          </cell>
          <cell r="D350">
            <v>0</v>
          </cell>
          <cell r="E350" t="str">
            <v>.</v>
          </cell>
        </row>
        <row r="351">
          <cell r="B351" t="str">
            <v>HOA SEN PHU THO</v>
          </cell>
          <cell r="C351" t="str">
            <v>AREA 10- PHONG CHAU TOWN,  PHU NINH DISTRICT, PHU THO PROVINCE</v>
          </cell>
          <cell r="D351">
            <v>0</v>
          </cell>
          <cell r="E351" t="str">
            <v>JIMMY 0985.851.345</v>
          </cell>
        </row>
        <row r="352">
          <cell r="B352" t="str">
            <v>HOA THAN</v>
          </cell>
          <cell r="C352" t="str">
            <v>KCN TIEN SON MO RONG, TAN DONG, TU SON, BAC NINH</v>
          </cell>
          <cell r="D352">
            <v>0</v>
          </cell>
          <cell r="E352" t="str">
            <v>MS DUYEN: 0979 447 168</v>
          </cell>
        </row>
        <row r="353">
          <cell r="B353" t="str">
            <v>HOA THO</v>
          </cell>
          <cell r="C353" t="str">
            <v>36 ONG ICH DUONG STR-DA NANG CITY-VIET NAM</v>
          </cell>
          <cell r="D353" t="str">
            <v>HANG CHUNG HOA DON, NHAN INVISTA KHONG CO HOA DON</v>
          </cell>
          <cell r="E353" t="str">
            <v>THAO 0905634611</v>
          </cell>
        </row>
        <row r="354">
          <cell r="B354" t="str">
            <v>HOA THO</v>
          </cell>
          <cell r="C354" t="str">
            <v>36 ONG ICH DUONG STR-DA NANG CITY-VIET NAM</v>
          </cell>
          <cell r="D354" t="str">
            <v>HANG CHUNG HOA DON, NHAN INVISTA KHONG CO HOA DON</v>
          </cell>
          <cell r="E354" t="str">
            <v>THANH THAO
+84.905. 634. 611</v>
          </cell>
        </row>
        <row r="355">
          <cell r="B355" t="str">
            <v>HOA THO CASUAL</v>
          </cell>
          <cell r="C355" t="str">
            <v>36 ONG ICH DUONG STR-DA NANG CITY-VIET NAM</v>
          </cell>
          <cell r="D355">
            <v>0</v>
          </cell>
          <cell r="E355" t="str">
            <v>QUYEN 0937.584.451</v>
          </cell>
        </row>
        <row r="356">
          <cell r="B356" t="str">
            <v>HOA THO DILLARDS</v>
          </cell>
          <cell r="C356" t="str">
            <v>36 ONG ICH DUONG STR-DA NANG CITY-VIET NAM</v>
          </cell>
          <cell r="D356">
            <v>0</v>
          </cell>
          <cell r="E356" t="str">
            <v xml:space="preserve">ATTN Tran+84 905.795.990  </v>
          </cell>
        </row>
        <row r="357">
          <cell r="B357" t="str">
            <v>HOA THO Haggar</v>
          </cell>
          <cell r="C357" t="str">
            <v>36 ONG ICH DUONG STR-DA NANG CITY-VIET NAM</v>
          </cell>
          <cell r="D357" t="str">
            <v>hoa don photo kem theo hang</v>
          </cell>
          <cell r="E357" t="str">
            <v>Chị Thương-phụ trách phụ liệu kho TCT-​ SĐT: 0511 3 674 661</v>
          </cell>
        </row>
        <row r="358">
          <cell r="B358" t="str">
            <v>HOA THO INVISTA</v>
          </cell>
          <cell r="C358" t="str">
            <v>36 ONG ICH DUONG STR-DA NANG CITY-VIET NAM</v>
          </cell>
          <cell r="D358">
            <v>0</v>
          </cell>
          <cell r="E358" t="str">
            <v>MS NGOC: 0511 3879 367</v>
          </cell>
        </row>
        <row r="359">
          <cell r="B359" t="str">
            <v>HOA THO JC PENNEY</v>
          </cell>
          <cell r="C359" t="str">
            <v>36 ONG ICH DUONG STR-DA NANG CITY-VIET NAM</v>
          </cell>
          <cell r="D359">
            <v>0</v>
          </cell>
          <cell r="E359" t="str">
            <v>THUY AN: 0973 791 797</v>
          </cell>
        </row>
        <row r="360">
          <cell r="B360" t="str">
            <v>HOA THO KOHL</v>
          </cell>
          <cell r="C360" t="str">
            <v>36 ONG ICH DUONG STR-DA NANG CITY-VIET NAM</v>
          </cell>
          <cell r="D360" t="str">
            <v>HANG CHUNG HOA DON</v>
          </cell>
          <cell r="E360" t="str">
            <v>DUONG NHI: 0935 999 136/MS THUONG 0935261055</v>
          </cell>
        </row>
        <row r="361">
          <cell r="B361" t="str">
            <v>HOA THO LOUIS RAPHAEL</v>
          </cell>
          <cell r="C361" t="str">
            <v>36 ONG ICH DUONG STR-DA NANG CITY-VIET NAM</v>
          </cell>
          <cell r="D361" t="str">
            <v>HANG CHUNG HOA DON</v>
          </cell>
          <cell r="E361" t="str">
            <v>DUONG NHI: 0935 999 136</v>
          </cell>
        </row>
        <row r="362">
          <cell r="B362" t="str">
            <v>HOA THO WALMART</v>
          </cell>
          <cell r="C362" t="str">
            <v>36 ONG ICH DUONG STR-DA NANG CITY-VIET NAM</v>
          </cell>
          <cell r="D362" t="str">
            <v>HANG CHUNG HOA DON</v>
          </cell>
          <cell r="E362" t="str">
            <v>Le Thi Thuy Linh (Ms)
Mobile: +84.935.907.295</v>
          </cell>
        </row>
        <row r="363">
          <cell r="B363" t="str">
            <v>HOANG ANH</v>
          </cell>
          <cell r="C363" t="str">
            <v>KHU 4B, THI TRAN QUYNH COI, QUYNH PHU, THAI BINH</v>
          </cell>
          <cell r="D363" t="str">
            <v>HANG THANG LONG GIAO HOANG ANH- CTU</v>
          </cell>
          <cell r="E363" t="str">
            <v>MS LAN: 0976 262 998</v>
          </cell>
        </row>
        <row r="364">
          <cell r="B364" t="str">
            <v>HOANG PHAT</v>
          </cell>
          <cell r="C364" t="str">
            <v>PHU TAI INDUSTRIAL ZONE-P.TRAN QUANG DIEU- QUY NHON</v>
          </cell>
          <cell r="D364">
            <v>0</v>
          </cell>
          <cell r="E364" t="str">
            <v>Ms NGOC: 0905 765 407</v>
          </cell>
        </row>
        <row r="365">
          <cell r="B365" t="str">
            <v>HOANG THANG</v>
          </cell>
          <cell r="C365" t="str">
            <v>KHANH PHU INDUSTRIAL ZONE, NINH BINH</v>
          </cell>
          <cell r="D365">
            <v>0</v>
          </cell>
          <cell r="E365" t="str">
            <v>Tel: 0084-303-762339 ATTN: Mr. Thanh &amp; Miss Nguyet</v>
          </cell>
        </row>
        <row r="366">
          <cell r="B366" t="str">
            <v>ALERON</v>
          </cell>
          <cell r="C366" t="str">
            <v>KCN VA DO THI HOANG LONG, TAO XUYEN, THANH HOA</v>
          </cell>
          <cell r="D366" t="str">
            <v>cho XNK confirm</v>
          </cell>
          <cell r="E366" t="str">
            <v>ANH TRI 01633973037 HOAC HUONG 0973532565</v>
          </cell>
        </row>
        <row r="367">
          <cell r="B367" t="str">
            <v>ALERON PUMA</v>
          </cell>
          <cell r="C367" t="str">
            <v>KCN VA DO THI HOANG LONG, TAO XUYEN, THANH HOA</v>
          </cell>
          <cell r="D367">
            <v>0</v>
          </cell>
          <cell r="E367" t="str">
            <v>MS HELEN 0165 6565 432</v>
          </cell>
        </row>
        <row r="368">
          <cell r="B368" t="str">
            <v>HA NOI TEXTILE NGHE AN</v>
          </cell>
          <cell r="C368" t="str">
            <v>KCN NAM GIANG, NAM DAN, NGHE AN</v>
          </cell>
          <cell r="D368">
            <v>0</v>
          </cell>
          <cell r="E368" t="str">
            <v>MS HUONG 0919190266</v>
          </cell>
        </row>
        <row r="369">
          <cell r="B369" t="str">
            <v>ALERON CLARK</v>
          </cell>
          <cell r="C369" t="str">
            <v>KCN VA DO THI HOANG LONG, TAO XUYEN, THANH HOA</v>
          </cell>
          <cell r="D369" t="str">
            <v>cho XNK confirm</v>
          </cell>
          <cell r="E369" t="str">
            <v>MS HUYEN: 01656235789</v>
          </cell>
        </row>
        <row r="370">
          <cell r="B370" t="str">
            <v>HONG JAE</v>
          </cell>
          <cell r="C370" t="str">
            <v>KM32, KCN TRANG BANG, AN TINH, TRANG BANG, TAY NINH</v>
          </cell>
          <cell r="D370">
            <v>0</v>
          </cell>
          <cell r="E370" t="str">
            <v>MR MOI: 0907 000 016</v>
          </cell>
        </row>
        <row r="371">
          <cell r="B371" t="str">
            <v>Hong Seng Thai Vina</v>
          </cell>
          <cell r="C371" t="str">
            <v xml:space="preserve">Lô 14-16, đường số 3, KCN Tân Đức, xã Đức Hòa Hạ, huyện Đức Hòa, tỉnh Long An </v>
          </cell>
          <cell r="D371">
            <v>0</v>
          </cell>
          <cell r="E371" t="str">
            <v xml:space="preserve">Uyên - Phòng xuất nhập khẩu: 0122.992.7692 </v>
          </cell>
        </row>
        <row r="372">
          <cell r="B372" t="str">
            <v>HS VINA</v>
          </cell>
          <cell r="C372" t="str">
            <v>236C NGUYEN TRUNG TRUC,AP MY THANH,MY PHONG,MY THO,TIEN GIANG</v>
          </cell>
          <cell r="D372">
            <v>0</v>
          </cell>
          <cell r="E372">
            <v>0</v>
          </cell>
        </row>
        <row r="373">
          <cell r="B373" t="str">
            <v>HUDATEX</v>
          </cell>
          <cell r="C373" t="str">
            <v>1 Phan Dinh Phung, Vinh Ninh ward, Hue city, THUA THIEN HUE</v>
          </cell>
          <cell r="D373">
            <v>0</v>
          </cell>
          <cell r="E373" t="str">
            <v>Mr Tuan - 0916425139</v>
          </cell>
        </row>
        <row r="374">
          <cell r="B374" t="str">
            <v>HUE TEXTILE</v>
          </cell>
          <cell r="C374" t="str">
            <v>THUY DUONG-HUONG THUY-TT HUE</v>
          </cell>
          <cell r="D374">
            <v>0</v>
          </cell>
          <cell r="E374" t="str">
            <v>NGUYEN THUY HA-0913425722</v>
          </cell>
        </row>
        <row r="375">
          <cell r="B375" t="str">
            <v>HUE TEXTILE PVH</v>
          </cell>
          <cell r="C375" t="str">
            <v>THUY DUONG-HUONG THUY-TT HUE</v>
          </cell>
          <cell r="D375" t="str">
            <v>CHO XNK CONFIRM-PHAT DUNG NGUOI LIEN HE</v>
          </cell>
          <cell r="E375" t="str">
            <v>LIEN/ HA:  051 3864 026</v>
          </cell>
        </row>
        <row r="376">
          <cell r="B376" t="str">
            <v>HUE VINA</v>
          </cell>
          <cell r="C376" t="str">
            <v>NO.270.DIEN BIEN ROAD CUA BAC WARD.NAM DINH CITY.</v>
          </cell>
          <cell r="D376">
            <v>0</v>
          </cell>
          <cell r="E376" t="str">
            <v>Ms THANH 0915398241</v>
          </cell>
        </row>
        <row r="377">
          <cell r="B377" t="str">
            <v>HUMITEX</v>
          </cell>
          <cell r="C377" t="str">
            <v>130 NGO QUYEN, MAY CHAI, HAI PHONG</v>
          </cell>
          <cell r="D377">
            <v>0</v>
          </cell>
          <cell r="E377">
            <v>0</v>
          </cell>
        </row>
        <row r="378">
          <cell r="B378" t="str">
            <v>HUNG HA</v>
          </cell>
          <cell r="C378" t="str">
            <v>THI TRAN HUNG HA, HUNG HA, THAI BINH</v>
          </cell>
          <cell r="D378">
            <v>0</v>
          </cell>
          <cell r="E378" t="str">
            <v>MR BINH 0912 401 002</v>
          </cell>
        </row>
        <row r="379">
          <cell r="B379" t="str">
            <v>HUNG KIET</v>
          </cell>
          <cell r="C379" t="str">
            <v>AP 3, XA LONG AN, LONG THANH, DONG NAI</v>
          </cell>
          <cell r="D379" t="str">
            <v>HANG CHUNG CTU</v>
          </cell>
          <cell r="E379" t="str">
            <v>MS THOM: 0903 600 510</v>
          </cell>
        </row>
        <row r="380">
          <cell r="B380" t="str">
            <v>HUNG LONG</v>
          </cell>
          <cell r="C380" t="str">
            <v>KM 24-HIGHWAY 5-DI SU-MY HAO-HUNG YEN</v>
          </cell>
          <cell r="D380" t="str">
            <v>PHO TO BILL GUI KEM CHO KH</v>
          </cell>
          <cell r="E380" t="str">
            <v xml:space="preserve">0321 944045-321-943-458 
0914 720 887- CHI MAI
</v>
          </cell>
        </row>
        <row r="381">
          <cell r="B381" t="str">
            <v>HUNG YEN</v>
          </cell>
          <cell r="C381" t="str">
            <v>8 BACH DANG, HUNG YEN</v>
          </cell>
          <cell r="D381" t="str">
            <v>CTU-NETCO-DN#AWB
ghi so DN len Bill</v>
          </cell>
          <cell r="E381" t="str">
            <v>Mr Hong Doan (phone no:+84904379546)</v>
          </cell>
        </row>
        <row r="382">
          <cell r="B382" t="str">
            <v>HUNG YEN 1</v>
          </cell>
          <cell r="C382" t="str">
            <v>83 TRUNG TRAC ST-HUNG YEN TOWN-HUNG YEN</v>
          </cell>
          <cell r="D382">
            <v>0</v>
          </cell>
          <cell r="E382" t="str">
            <v>HANH(Kho vat tu)-321-515741-32-862314/862312- LUONG THI HUU (Mrs.)</v>
          </cell>
        </row>
        <row r="383">
          <cell r="B383" t="str">
            <v>HUNG YEN 2</v>
          </cell>
          <cell r="C383" t="str">
            <v>AN TAO PRECINCT-HUNG YEN TOWN-HUNG YEN</v>
          </cell>
          <cell r="D383">
            <v>0</v>
          </cell>
          <cell r="E383">
            <v>321862423</v>
          </cell>
        </row>
        <row r="384">
          <cell r="B384" t="str">
            <v>HUNG YEN COLUMBIA</v>
          </cell>
          <cell r="C384" t="str">
            <v>8 BACH DANG, HUNG YEN</v>
          </cell>
          <cell r="D384">
            <v>0</v>
          </cell>
          <cell r="E384" t="str">
            <v>MS PHAN HUONG: 0321 3862 314</v>
          </cell>
        </row>
        <row r="385">
          <cell r="B385" t="str">
            <v>HUONG LINH</v>
          </cell>
          <cell r="C385" t="str">
            <v>THON TRA LAM, HIEP CUONG, KIM DONG, HUNG YEN</v>
          </cell>
          <cell r="D385">
            <v>0</v>
          </cell>
          <cell r="E385" t="str">
            <v>Quy: 0987505501</v>
          </cell>
        </row>
        <row r="386">
          <cell r="B386" t="str">
            <v>HUU NGHI DA NANG</v>
          </cell>
          <cell r="C386" t="str">
            <v>DUONG SO 3 - KCN AN DON, P AN HAI BAC, Q. SON TRA, DA NANG</v>
          </cell>
          <cell r="D386">
            <v>0</v>
          </cell>
          <cell r="E386" t="str">
            <v>CHI THANH: 0905471005</v>
          </cell>
        </row>
        <row r="387">
          <cell r="B387" t="str">
            <v>HYPHEN</v>
          </cell>
          <cell r="C387" t="str">
            <v>CIVIL GROUP 1, CAT DA STREET, LAM HA WARD, KIEN AN DISTRICT, HAIPHONG</v>
          </cell>
          <cell r="D387">
            <v>0</v>
          </cell>
          <cell r="E387" t="str">
            <v xml:space="preserve">  Ms. Hue 84 313 576 795</v>
          </cell>
        </row>
        <row r="388">
          <cell r="B388" t="str">
            <v>INDO CHINE</v>
          </cell>
          <cell r="C388" t="str">
            <v>LONG PHU, PHUOC THAI, LONG THANH, DONG NAI</v>
          </cell>
          <cell r="D388">
            <v>0</v>
          </cell>
          <cell r="E388" t="str">
            <v>MR VIET 0907 885 545</v>
          </cell>
        </row>
        <row r="389">
          <cell r="B389" t="str">
            <v>ITG PHONG PHU</v>
          </cell>
          <cell r="C389" t="str">
            <v>2RD-HOA KHANH IZ-LIEN CHIEU- DA NANG</v>
          </cell>
          <cell r="D389">
            <v>0</v>
          </cell>
          <cell r="E389" t="str">
            <v>NGA/ VAN/THU- 84 0511 3842897.
EXT-2511-THU-0989076697</v>
          </cell>
        </row>
        <row r="390">
          <cell r="B390" t="str">
            <v>ITG PHONG PHU  PVH</v>
          </cell>
          <cell r="C390" t="str">
            <v>DUONG SO 2, KCN HOA KHANH, LIEN CHIEU, DA NANG</v>
          </cell>
          <cell r="D390">
            <v>0</v>
          </cell>
          <cell r="E390" t="str">
            <v>Thu Nguyen / Jackie Boatman
0511 842 897</v>
          </cell>
        </row>
        <row r="391">
          <cell r="B391" t="str">
            <v>IVORY</v>
          </cell>
          <cell r="C391" t="str">
            <v>KM6+500, Road 10 Thai Binh-
Nam Dinh, Vu Thu Dist., Thai Binh Prov.</v>
          </cell>
          <cell r="D391" t="str">
            <v>DOI CS CONFIRM</v>
          </cell>
          <cell r="E391" t="str">
            <v>MS MAI: 036 3616 075</v>
          </cell>
        </row>
        <row r="392">
          <cell r="B392" t="str">
            <v>IVORY THANH HOA</v>
          </cell>
          <cell r="C392" t="str">
            <v>THO VUC, TRIEU SON, THANH HOA</v>
          </cell>
          <cell r="D392">
            <v>0</v>
          </cell>
          <cell r="E392" t="str">
            <v>MS HUONG: 0373 631 266 ext: 110
0936 467 896</v>
          </cell>
        </row>
        <row r="393">
          <cell r="B393" t="str">
            <v>PUNGKOOK LONG AN</v>
          </cell>
          <cell r="C393" t="str">
            <v xml:space="preserve">khu B, R.1, Cum Cong nghiep Loi Binh Nhon, xa Loi Binh Nhon, thanh pho Tan An, Tinh Long An
</v>
          </cell>
          <cell r="D393">
            <v>0</v>
          </cell>
          <cell r="E393">
            <v>0</v>
          </cell>
        </row>
        <row r="394">
          <cell r="B394" t="str">
            <v>IVORY VIETNAM</v>
          </cell>
          <cell r="C394" t="str">
            <v>DUONG 10 THAI BINH VU THU NAM DINH</v>
          </cell>
          <cell r="D394">
            <v>0</v>
          </cell>
          <cell r="E394">
            <v>0</v>
          </cell>
        </row>
        <row r="395">
          <cell r="B395" t="str">
            <v>J&amp;D VINAKO</v>
          </cell>
          <cell r="C395" t="str">
            <v>DUONG SO 5 KCN TRANG BANG TAY NINH</v>
          </cell>
          <cell r="D395">
            <v>0</v>
          </cell>
          <cell r="E395">
            <v>0</v>
          </cell>
        </row>
        <row r="396">
          <cell r="B396" t="str">
            <v>J&amp;Y</v>
          </cell>
          <cell r="C396" t="str">
            <v>17T5 TRUNG HOA, NHANH CHINH, HA NOI</v>
          </cell>
          <cell r="D396">
            <v>0</v>
          </cell>
          <cell r="E396" t="str">
            <v>MS HUE: 0912 767 424</v>
          </cell>
        </row>
        <row r="397">
          <cell r="B397" t="str">
            <v>JASAN</v>
          </cell>
          <cell r="C397" t="str">
            <v>So 2 duong 17 Khu DT, CN va DV VSIP Hai phong, X. Thuy Trieu, H. Thuy Nguyen, TP Hai Phong</v>
          </cell>
          <cell r="D397">
            <v>0</v>
          </cell>
          <cell r="E397" t="str">
            <v>A.THAI 0987588988</v>
          </cell>
        </row>
        <row r="398">
          <cell r="B398" t="str">
            <v>JHCOS</v>
          </cell>
          <cell r="C398" t="str">
            <v>Thi Tran Truong Son, Huyen An Lao, Thanh Pho Hai Phong</v>
          </cell>
          <cell r="D398">
            <v>0</v>
          </cell>
          <cell r="E398">
            <v>0</v>
          </cell>
        </row>
        <row r="399">
          <cell r="B399" t="str">
            <v>JHCOS</v>
          </cell>
          <cell r="C399" t="str">
            <v>THI TRAN TRUONG SON, AN LAO, HAI PHONG</v>
          </cell>
          <cell r="D399">
            <v>0</v>
          </cell>
          <cell r="E399" t="str">
            <v>Ms. Vui. tel: 84-031 3679592/3 .</v>
          </cell>
        </row>
        <row r="400">
          <cell r="B400" t="str">
            <v>J-LAND KOREA</v>
          </cell>
          <cell r="C400" t="str">
            <v>7TH FLOOR, NOZA BUILDING 
243A, CAU GIAY,
 HA NOI, VIETNAM</v>
          </cell>
          <cell r="D400">
            <v>0</v>
          </cell>
          <cell r="E400" t="str">
            <v xml:space="preserve">TOMMY
Tel: 844-3767-6652 </v>
          </cell>
        </row>
        <row r="401">
          <cell r="B401" t="str">
            <v>JMC</v>
          </cell>
          <cell r="C401" t="str">
            <v>HONG THAI, VIET YEN, BAC GIANG</v>
          </cell>
          <cell r="D401">
            <v>0</v>
          </cell>
          <cell r="E401" t="str">
            <v>MS MAI: 84.936.165.615</v>
          </cell>
        </row>
        <row r="402">
          <cell r="B402" t="str">
            <v>JUNG KWANG</v>
          </cell>
          <cell r="C402" t="str">
            <v>DUONG 13, TRANG BANG, TAY NINH</v>
          </cell>
          <cell r="D402">
            <v>0</v>
          </cell>
          <cell r="E402" t="str">
            <v>DIEU SAM: 066 3896 052</v>
          </cell>
        </row>
        <row r="403">
          <cell r="B403" t="str">
            <v>JUNZHEN</v>
          </cell>
          <cell r="C403" t="str">
            <v>Lo E, duong N3B, khu cong nghiep Bao Minh, huyen Vu Ban, Nam Dinh</v>
          </cell>
          <cell r="D403">
            <v>0</v>
          </cell>
          <cell r="E403" t="str">
            <v>Ms. Cherry 0961 002 911</v>
          </cell>
        </row>
        <row r="404">
          <cell r="B404" t="str">
            <v>SPORT TEAM</v>
          </cell>
          <cell r="C404" t="str">
            <v>KCN Thuan Yen - P. Hoa Thuan - TP. Tam Ky - Quang Nam</v>
          </cell>
          <cell r="D404">
            <v>0</v>
          </cell>
          <cell r="E404" t="str">
            <v>SUSAN 0902936733</v>
          </cell>
        </row>
        <row r="405">
          <cell r="B405" t="str">
            <v>JY HA NAM</v>
          </cell>
          <cell r="C405" t="str">
            <v>Pho Ca, xa Thanh Nguyen, huyen Thanh Liem, Ha Nam</v>
          </cell>
          <cell r="D405">
            <v>0</v>
          </cell>
          <cell r="E405" t="str">
            <v>Huong (0978432072)</v>
          </cell>
        </row>
        <row r="406">
          <cell r="B406" t="str">
            <v>K+K FASHION</v>
          </cell>
          <cell r="C406" t="str">
            <v>CUM CN NGOC HOA, NGOC GIA, NGOC HOA, CHUONG MY, HA NOI</v>
          </cell>
          <cell r="D406" t="str">
            <v>CHUNG CTU</v>
          </cell>
          <cell r="E406" t="str">
            <v>Hoàng Thị Huyền 0972508992 phòng xuất nhập khẩu</v>
          </cell>
        </row>
        <row r="407">
          <cell r="B407" t="str">
            <v>KAI YANG</v>
          </cell>
          <cell r="C407" t="str">
            <v>196 HOANG QUOC VIET STR, KIEN AN DIST, HAI PHONG PROVINCE</v>
          </cell>
          <cell r="D407">
            <v>0</v>
          </cell>
          <cell r="E407" t="str">
            <v>MS THAM: 0313591476</v>
          </cell>
        </row>
        <row r="408">
          <cell r="B408" t="str">
            <v>KAINAN</v>
          </cell>
          <cell r="C408" t="str">
            <v>So 276, Duong Hang Kenh, Quan Le Chan, Thanh pho Hai Phong</v>
          </cell>
          <cell r="D408">
            <v>0</v>
          </cell>
          <cell r="E408" t="str">
            <v>Ms Xuan - 0902069182</v>
          </cell>
        </row>
        <row r="409">
          <cell r="B409" t="str">
            <v>KANAAN</v>
          </cell>
          <cell r="C409" t="str">
            <v>DUC HOA HA VILLAGE-DUC HOA TOWN-LONG AN</v>
          </cell>
          <cell r="D409">
            <v>0</v>
          </cell>
          <cell r="E409" t="str">
            <v>MS LINH: 0907 727 046 / MR JIMMY VU: 0972 158 577</v>
          </cell>
        </row>
        <row r="410">
          <cell r="B410" t="str">
            <v>CP TU VAN KINH DOANH HA NOI</v>
          </cell>
          <cell r="C410">
            <v>0</v>
          </cell>
          <cell r="D410">
            <v>0</v>
          </cell>
          <cell r="E410">
            <v>0</v>
          </cell>
        </row>
        <row r="411">
          <cell r="B411" t="str">
            <v>KANGAROO</v>
          </cell>
          <cell r="C411" t="str">
            <v>TAY SON, TIEN HAI,  THAI BINH</v>
          </cell>
          <cell r="D411">
            <v>0</v>
          </cell>
          <cell r="E411" t="str">
            <v>MR LEE: 0122 8067 009</v>
          </cell>
        </row>
        <row r="412">
          <cell r="B412" t="str">
            <v>KG VINA</v>
          </cell>
          <cell r="C412" t="str">
            <v>LOT CN1, PHUC TRI NEW URBAN AREA, PHUC TRI NAM THANH, NINH BINH</v>
          </cell>
          <cell r="D412">
            <v>0</v>
          </cell>
          <cell r="E412">
            <v>0</v>
          </cell>
        </row>
        <row r="413">
          <cell r="B413" t="str">
            <v>KHAI HOAN</v>
          </cell>
          <cell r="C413" t="str">
            <v>Pho Noi B textile and garment Industrial  Zone, Yen My, Hung Yen province</v>
          </cell>
          <cell r="D413" t="str">
            <v>CTU-NETCO-DN#AWB
ghi so DN len Bill</v>
          </cell>
          <cell r="E413" t="str">
            <v xml:space="preserve">0321 397 2628-Ms. Vu Thi Khanh Van (HP: 0913 213 132) vankhaihoan@gmail.com
</v>
          </cell>
        </row>
        <row r="414">
          <cell r="B414" t="str">
            <v>KHAI MINH</v>
          </cell>
          <cell r="C414" t="str">
            <v>E15, NO 5, LY TU TRONG STREET, HONG BANG, HAI PHONG</v>
          </cell>
          <cell r="D414">
            <v>0</v>
          </cell>
          <cell r="E414" t="str">
            <v>0936 217 238</v>
          </cell>
        </row>
        <row r="415">
          <cell r="B415" t="str">
            <v>KHANH HOA</v>
          </cell>
          <cell r="C415" t="str">
            <v>12LE THANH TON-NHA TRANG-KHANH HOA</v>
          </cell>
          <cell r="D415">
            <v>0</v>
          </cell>
          <cell r="E415" t="str">
            <v>ANH BAY-0903508075</v>
          </cell>
        </row>
        <row r="416">
          <cell r="B416" t="str">
            <v>KHANH HOA GARMENT</v>
          </cell>
          <cell r="C416" t="str">
            <v>SO 4 NGUYEN THIEN THUAT, P TAN LAP, TP NHA TRANG, KHANH HOA</v>
          </cell>
          <cell r="D416">
            <v>0</v>
          </cell>
          <cell r="E416" t="str">
            <v>ANH CUONG: 0903 588 095</v>
          </cell>
        </row>
        <row r="417">
          <cell r="B417" t="str">
            <v>KHANH VIET CORPORATION (KHATOCO)</v>
          </cell>
          <cell r="C417" t="str">
            <v>84 HUNG VUONG-NHA TRANG-KHANH  HOA</v>
          </cell>
          <cell r="D417">
            <v>0</v>
          </cell>
          <cell r="E417" t="str">
            <v>TRINH THI LE, tel : 058 3 521 443.</v>
          </cell>
        </row>
        <row r="418">
          <cell r="B418" t="str">
            <v>KHATOCO</v>
          </cell>
          <cell r="C418" t="str">
            <v>SO 7, DUONG VO THI SAU, PHUONG VINH NGUYEN, TP NHA TRANG, TINH KHANH HOA</v>
          </cell>
          <cell r="D418">
            <v>0</v>
          </cell>
          <cell r="E418" t="str">
            <v>Ms Ngọc Anh ( 0903 513 649)</v>
          </cell>
        </row>
        <row r="419">
          <cell r="B419" t="str">
            <v>RYHYING VN</v>
          </cell>
          <cell r="C419" t="str">
            <v>301 VU XUAN THIEU, PHUC LOI, LONG BIEN, HA NOI</v>
          </cell>
          <cell r="D419">
            <v>0</v>
          </cell>
          <cell r="E419">
            <v>0</v>
          </cell>
        </row>
        <row r="420">
          <cell r="B420" t="str">
            <v>KHC FASHION</v>
          </cell>
          <cell r="C420" t="str">
            <v>DIEM CN NGOC HOA-THON NGOC GIA-NGOC HOA- CHUONG MY-HANOI</v>
          </cell>
          <cell r="D420">
            <v>0</v>
          </cell>
          <cell r="E420">
            <v>0</v>
          </cell>
        </row>
        <row r="421">
          <cell r="B421" t="str">
            <v>KIDO HANOI</v>
          </cell>
          <cell r="C421" t="str">
            <v>KHU D-KCN PHO NOI A- HUNG YEN</v>
          </cell>
          <cell r="D421">
            <v>0</v>
          </cell>
          <cell r="E421" t="str">
            <v>MS LAN-321972750</v>
          </cell>
        </row>
        <row r="422">
          <cell r="B422" t="str">
            <v>KIM ANH</v>
          </cell>
          <cell r="C422" t="str">
            <v>LO 1-3, KCN TAY BAC GA, THANH HOA</v>
          </cell>
          <cell r="D422" t="str">
            <v>HANG CHUNG CTU</v>
          </cell>
          <cell r="E422" t="str">
            <v>KIM ANH: 0913 269 420</v>
          </cell>
        </row>
        <row r="423">
          <cell r="B423" t="str">
            <v>KIM DO</v>
          </cell>
          <cell r="C423" t="str">
            <v>LO 2/5 KHU CONG NGHIEP PHAN THIET - XA PHONG NAM, TP PHAN THIET - TINH BINH THUAN</v>
          </cell>
          <cell r="D423">
            <v>0</v>
          </cell>
          <cell r="E423" t="str">
            <v>HOAI THI 0908230589</v>
          </cell>
        </row>
        <row r="424">
          <cell r="B424" t="str">
            <v>KIM DONG</v>
          </cell>
          <cell r="C424" t="str">
            <v xml:space="preserve">Thôn Đồng Lý – Thị Trấn Lương Bằng – Huyện Kim Động – Tỉnh Hưng Yên </v>
          </cell>
          <cell r="D424" t="str">
            <v>HANG CHUNG CTU</v>
          </cell>
          <cell r="E424" t="str">
            <v>ms Bich.0983502219</v>
          </cell>
        </row>
        <row r="425">
          <cell r="B425" t="str">
            <v>KIM SON</v>
          </cell>
          <cell r="C425" t="str">
            <v>DUONG THUONG KIEM, KIM SON, NINH BINH</v>
          </cell>
          <cell r="D425" t="str">
            <v>HANG CHUNG CTU</v>
          </cell>
          <cell r="E425" t="str">
            <v>MR CUONG - P. KE HOACH: 0912 968 067</v>
          </cell>
        </row>
        <row r="426">
          <cell r="B426" t="str">
            <v>KING DRAGON</v>
          </cell>
          <cell r="C426" t="str">
            <v>C11, LO 9, KHU DO THI DINH CONG, HOANG MAI, HA NOI</v>
          </cell>
          <cell r="D426">
            <v>0</v>
          </cell>
          <cell r="E426" t="str">
            <v>MS GIANG: 0934 686 893</v>
          </cell>
        </row>
        <row r="427">
          <cell r="B427" t="str">
            <v>KOMEGA SPORT</v>
          </cell>
          <cell r="C427" t="str">
            <v>242 TO KY, TAN CHANH HIEP, Q12, HCM</v>
          </cell>
          <cell r="D427" t="str">
            <v>TTC-KHTT</v>
          </cell>
          <cell r="E427" t="str">
            <v>MS NGAN 08 3891 1740</v>
          </cell>
        </row>
        <row r="428">
          <cell r="B428" t="str">
            <v>KOMEGA X</v>
          </cell>
          <cell r="C428" t="str">
            <v>LOTS M2-M7-SUOI DAU IP-CAM LAM-KHANH HOA</v>
          </cell>
          <cell r="D428" t="str">
            <v>KHTT-TTC</v>
          </cell>
          <cell r="E428" t="str">
            <v>0904 141251- MS DUNG</v>
          </cell>
        </row>
        <row r="429">
          <cell r="B429" t="str">
            <v>KOSVI</v>
          </cell>
          <cell r="C429" t="str">
            <v>LONG PHU, PHUOC THAI, LONG THANH, DONG NAI</v>
          </cell>
          <cell r="D429">
            <v>0</v>
          </cell>
          <cell r="E429" t="str">
            <v>MS NGOC: 0937 248 939</v>
          </cell>
        </row>
        <row r="430">
          <cell r="B430" t="str">
            <v>KOSVI</v>
          </cell>
          <cell r="C430" t="str">
            <v>LONG PHU HAMLET, PHUOC THAI VILLAGE, LONG THANH DISCT, DONG NAI</v>
          </cell>
          <cell r="D430">
            <v>0</v>
          </cell>
          <cell r="E430" t="str">
            <v>CINDY: 06513542971</v>
          </cell>
        </row>
        <row r="431">
          <cell r="B431" t="str">
            <v>KOVI KYUNG SEUNG</v>
          </cell>
          <cell r="C431" t="str">
            <v>KCN DONG DINH, TAN YEN, BAC GIANG</v>
          </cell>
          <cell r="D431" t="str">
            <v>HANG TRC CTU</v>
          </cell>
          <cell r="E431" t="str">
            <v>MS BAO ANH
0977 770 290</v>
          </cell>
        </row>
        <row r="432">
          <cell r="B432" t="str">
            <v>KOVINA</v>
          </cell>
          <cell r="C432" t="str">
            <v xml:space="preserve">KCN TRANG BANG-AN TINH-TAY NINH </v>
          </cell>
          <cell r="D432" t="str">
            <v>HANG CHUNG CHUNG TU</v>
          </cell>
          <cell r="E432" t="str">
            <v>ATTN: CHI CHAU: 
0982020407
AN: 0919 048 028</v>
          </cell>
        </row>
        <row r="433">
          <cell r="B433" t="str">
            <v>KR VIET NAM</v>
          </cell>
          <cell r="C433" t="str">
            <v>LAI CACH, CAM GIANG, HAI DUONG</v>
          </cell>
          <cell r="D433">
            <v>0</v>
          </cell>
          <cell r="E433" t="str">
            <v>Ms. Jenny Han Dao DT: 84-320-378-1018</v>
          </cell>
        </row>
        <row r="434">
          <cell r="B434" t="str">
            <v>KRD IMPORTS</v>
          </cell>
          <cell r="C434" t="str">
            <v>Số 68, Ngõ 34 , Đường Hoàng Cầu, Đống Đa, Hà Nội</v>
          </cell>
          <cell r="D434" t="str">
            <v>NETCO- NNTT</v>
          </cell>
          <cell r="E434" t="str">
            <v>Liên hệ chị Hania: +84 988 099 142</v>
          </cell>
        </row>
        <row r="435">
          <cell r="B435" t="str">
            <v>PEARL GLOBAL</v>
          </cell>
          <cell r="C435" t="str">
            <v>THON NUM, XA DINH TRI, TP BAC GIANG, TINH BAC GIANG</v>
          </cell>
          <cell r="D435">
            <v>0</v>
          </cell>
          <cell r="E435">
            <v>0</v>
          </cell>
        </row>
        <row r="436">
          <cell r="B436" t="str">
            <v>THIEN SON HUNG YEN</v>
          </cell>
          <cell r="C436" t="str">
            <v>THON NAM SON, XA THIEN PHIEN, HUYEN TIEN LU
TINH HUNG YEN</v>
          </cell>
          <cell r="D436">
            <v>0</v>
          </cell>
          <cell r="E436">
            <v>0</v>
          </cell>
        </row>
        <row r="437">
          <cell r="B437" t="str">
            <v>TAKSON HUE</v>
          </cell>
          <cell r="C437" t="str">
            <v>LOT K2, KCN PHU BAI, PHU BAI, HUONG THUY, HUE</v>
          </cell>
          <cell r="D437">
            <v>0</v>
          </cell>
          <cell r="E437">
            <v>0</v>
          </cell>
        </row>
        <row r="438">
          <cell r="B438" t="str">
            <v>ROSVIET</v>
          </cell>
          <cell r="C438" t="str">
            <v>KHU 11, PHUONG BINH HAN, TP HAI DUONG</v>
          </cell>
          <cell r="D438">
            <v>0</v>
          </cell>
          <cell r="E438">
            <v>0</v>
          </cell>
        </row>
        <row r="439">
          <cell r="B439" t="str">
            <v>KWANG JIN</v>
          </cell>
          <cell r="C439" t="str">
            <v>209 HO NGOC LAN, KINH BAC, BAC NINH</v>
          </cell>
          <cell r="D439">
            <v>0</v>
          </cell>
          <cell r="E439" t="str">
            <v>THU THUY 0912 412 878</v>
          </cell>
        </row>
        <row r="440">
          <cell r="B440" t="str">
            <v>SING LUN KINH BAC</v>
          </cell>
          <cell r="C440" t="str">
            <v>SO 8, DUONG THANH BAC, TP BAC NINH</v>
          </cell>
          <cell r="D440">
            <v>0</v>
          </cell>
          <cell r="E440" t="str">
            <v>MS NU 0915224482</v>
          </cell>
        </row>
        <row r="441">
          <cell r="B441" t="str">
            <v>MAY KINH BAC</v>
          </cell>
          <cell r="C441" t="str">
            <v>DUONG THANH BAC, TP BAC NINH</v>
          </cell>
          <cell r="D441">
            <v>0</v>
          </cell>
          <cell r="E441" t="str">
            <v>DUC ANH 0943700291</v>
          </cell>
        </row>
        <row r="442">
          <cell r="B442" t="str">
            <v>KWONG LUNG MEKO</v>
          </cell>
          <cell r="C442" t="str">
            <v>LOT 2.20C, TRA NOC INDUSTRIAL ZONE, CAN THO</v>
          </cell>
          <cell r="D442">
            <v>0</v>
          </cell>
          <cell r="E442" t="str">
            <v>0710 3844 1026
MR GU WEN JUN 0919 978 816</v>
          </cell>
        </row>
        <row r="443">
          <cell r="B443" t="str">
            <v>VAN PHONG MAKALOT</v>
          </cell>
          <cell r="C443" t="str">
            <v>TANG 8, TOA NHA HCC, 28 LY THUONG KIET, HUE</v>
          </cell>
          <cell r="D443">
            <v>0</v>
          </cell>
          <cell r="E443" t="str">
            <v>0935 089 833</v>
          </cell>
        </row>
        <row r="444">
          <cell r="B444" t="str">
            <v>VINA KNF</v>
          </cell>
          <cell r="C444" t="str">
            <v>HAMLET 1&amp;2, CO PHUC TOWN, TRAN YEN, YEN BAI</v>
          </cell>
          <cell r="D444">
            <v>0</v>
          </cell>
          <cell r="E444">
            <v>0</v>
          </cell>
        </row>
        <row r="445">
          <cell r="B445" t="str">
            <v>DONG MY</v>
          </cell>
          <cell r="C445" t="str">
            <v>Thôn 2- Xã Đông mỹ- Thanh Trì - Hà Nội</v>
          </cell>
          <cell r="D445">
            <v>0</v>
          </cell>
          <cell r="E445" t="str">
            <v>chị Thơm 0986 371 045</v>
          </cell>
        </row>
        <row r="446">
          <cell r="B446" t="str">
            <v>VINATEX TEXTILE</v>
          </cell>
          <cell r="C446" t="str">
            <v>3rd Floor, ICT Building/ 02-9A Lot, Vinh Hoang I.Z. Hoang Van Thu Ward, Hoang Mai Dist., Hanoi, Viet Nam.</v>
          </cell>
          <cell r="D446">
            <v>0</v>
          </cell>
          <cell r="E446">
            <v>0</v>
          </cell>
        </row>
        <row r="447">
          <cell r="B447" t="str">
            <v>KY TUONG</v>
          </cell>
          <cell r="C447" t="str">
            <v>KCN XUYEN A- DUC HOA-LONG AN
(CUM A LO A2- XA MY HANH BAC)</v>
          </cell>
          <cell r="D447">
            <v>0</v>
          </cell>
          <cell r="E447">
            <v>0</v>
          </cell>
        </row>
        <row r="448">
          <cell r="B448" t="str">
            <v>KYUNG VIET</v>
          </cell>
          <cell r="C448" t="str">
            <v>Khu CN Phố Nối A, xã Lạc Hồng, Văn Lâm, Hưng Yên</v>
          </cell>
          <cell r="D448">
            <v>0</v>
          </cell>
          <cell r="E448" t="str">
            <v>0321 398 2209
Attn: Ms Hien ( 0934 245 648 )</v>
          </cell>
        </row>
        <row r="449">
          <cell r="B449" t="str">
            <v>LAC TY II</v>
          </cell>
          <cell r="C449" t="str">
            <v>B1, B2 lot, Tan Phu Thanh Industrial Zone, Phase I, Chau Thanh A District, Hau Giang Province.</v>
          </cell>
          <cell r="D449">
            <v>0</v>
          </cell>
          <cell r="E449" t="str">
            <v>MS BICH LIEN (0974 521 071)
 0711 3953 295 / 0711 395 33 99 - Fax : 0711 3953 449</v>
          </cell>
        </row>
        <row r="450">
          <cell r="B450" t="str">
            <v>LAM HAM</v>
          </cell>
          <cell r="C450" t="str">
            <v>Block 24,Street No.6,Trang Bang Industrial Zone,Km 32,An Tinh Commune,Trang Bang Dist.,Tay Ninh Province</v>
          </cell>
          <cell r="D450">
            <v>0</v>
          </cell>
          <cell r="E450" t="str">
            <v>AMANDA 0128.437.1016</v>
          </cell>
        </row>
        <row r="451">
          <cell r="B451" t="str">
            <v>LAM NGUYEN PHAT</v>
          </cell>
          <cell r="C451" t="str">
            <v>SO 42, TO 9, DUONG K3, CAU DIEN, TU LIEM, HA NOI</v>
          </cell>
          <cell r="D451">
            <v>0</v>
          </cell>
          <cell r="E451" t="str">
            <v>MS DUNG: 0903 418 389</v>
          </cell>
        </row>
        <row r="452">
          <cell r="B452" t="str">
            <v>LAN LAN</v>
          </cell>
          <cell r="C452" t="str">
            <v>KM4, HUNG VUONG, PHU KHANH, THAI BINH</v>
          </cell>
          <cell r="D452">
            <v>0</v>
          </cell>
          <cell r="E452" t="str">
            <v>MS Diep: 036 3836 638</v>
          </cell>
        </row>
        <row r="453">
          <cell r="B453" t="str">
            <v>LAN LAN</v>
          </cell>
          <cell r="C453">
            <v>0</v>
          </cell>
          <cell r="D453">
            <v>0</v>
          </cell>
          <cell r="E453">
            <v>0</v>
          </cell>
        </row>
        <row r="454">
          <cell r="B454" t="str">
            <v>LANG HAM</v>
          </cell>
          <cell r="C454" t="str">
            <v>LOT24-6 RD-TRANG BANG IZ-TRANG BANG-TAY NINH</v>
          </cell>
          <cell r="D454">
            <v>0</v>
          </cell>
          <cell r="E454" t="str">
            <v>66898088-MS KATHY- 0909 158 288
0907 009 502- MR TIN</v>
          </cell>
        </row>
        <row r="455">
          <cell r="B455" t="str">
            <v>LEADER</v>
          </cell>
          <cell r="C455" t="str">
            <v>LO II-7, KCN Hoa Phu (giai Doan 2), xa Hoa Phu, huyen Long Ho, tinh Vinh Long</v>
          </cell>
          <cell r="D455" t="str">
            <v>CHUNG HD</v>
          </cell>
          <cell r="E455" t="str">
            <v>Nguyễn Minh Thư- Sdt: 0963 861 760</v>
          </cell>
        </row>
        <row r="456">
          <cell r="B456" t="str">
            <v>LEO JINS</v>
          </cell>
          <cell r="C456" t="str">
            <v>KCN Dong Van - Duy Tien - Ha Nam</v>
          </cell>
          <cell r="D456">
            <v>0</v>
          </cell>
          <cell r="E456" t="str">
            <v>351 3582835</v>
          </cell>
        </row>
        <row r="457">
          <cell r="B457" t="str">
            <v>GGS HA NOI</v>
          </cell>
          <cell r="C457" t="str">
            <v>Lau 2, Toa nha Simco, 28 Pham Hung, Quan Nam Tu Liem, HA NOI</v>
          </cell>
          <cell r="D457">
            <v>0</v>
          </cell>
          <cell r="E457">
            <v>0</v>
          </cell>
        </row>
        <row r="458">
          <cell r="B458" t="str">
            <v>LI &amp; FUNG</v>
          </cell>
          <cell r="C458" t="str">
            <v xml:space="preserve">CONG TY RAPEXCO-DAINAM LLC SUOI DAU INDUSTRIAL,CAM LAM DISTRICT, KHANH HOA PROVICE, VIET NAM, </v>
          </cell>
          <cell r="D458">
            <v>0</v>
          </cell>
          <cell r="E458" t="str">
            <v>Ms Lien- SDT:84 58 373516</v>
          </cell>
        </row>
        <row r="459">
          <cell r="B459" t="str">
            <v>LIEN HIEP</v>
          </cell>
          <cell r="C459" t="str">
            <v>Thôn Quán Dọc, xã Thanh An, huyện Thanh Hà, tỉnh Hải Dương</v>
          </cell>
          <cell r="D459">
            <v>0</v>
          </cell>
          <cell r="E459" t="str">
            <v>+84320 3818699</v>
          </cell>
        </row>
        <row r="460">
          <cell r="B460" t="str">
            <v>LINEA AQUA</v>
          </cell>
          <cell r="C460" t="str">
            <v>Plot No L1, Pho Noi B Textile &amp; Garment Industrial Park, Di Su Ward, My Hao District, Hung Yen Province</v>
          </cell>
          <cell r="D460">
            <v>0</v>
          </cell>
          <cell r="E460">
            <v>0</v>
          </cell>
        </row>
        <row r="461">
          <cell r="B461" t="str">
            <v>LONG AN</v>
          </cell>
          <cell r="C461" t="str">
            <v>373 QL 1A, PHUONG 4, TP TAN AN, LONG AN</v>
          </cell>
          <cell r="D461" t="str">
            <v>HANG CHO CONFIRM</v>
          </cell>
          <cell r="E461" t="str">
            <v>A PHUONG: 0976 191 137</v>
          </cell>
        </row>
        <row r="462">
          <cell r="B462" t="str">
            <v>LONG HANH THIEN HA</v>
          </cell>
          <cell r="C462" t="str">
            <v>KCN VU QUY, KIEN XUONG, THAI BINH</v>
          </cell>
          <cell r="D462">
            <v>0</v>
          </cell>
          <cell r="E462">
            <v>0</v>
          </cell>
        </row>
        <row r="463">
          <cell r="B463" t="str">
            <v>LONG MA</v>
          </cell>
          <cell r="C463" t="str">
            <v>BICH HOA IZ-BICH HOA-THANH OAI DIST-HA TAY</v>
          </cell>
          <cell r="D463">
            <v>0</v>
          </cell>
          <cell r="E463" t="str">
            <v>BUI VIET SAM</v>
          </cell>
        </row>
        <row r="464">
          <cell r="B464" t="str">
            <v>LONG YU</v>
          </cell>
          <cell r="C464" t="str">
            <v>KM 9, xa Tan Thinh, H Nam Truc, Nam Dinh</v>
          </cell>
          <cell r="D464">
            <v>0</v>
          </cell>
          <cell r="E464" t="str">
            <v>Attn: Dung (0902 160 899 )
MS NHU: 0350 3929380</v>
          </cell>
        </row>
        <row r="465">
          <cell r="B465" t="str">
            <v>LONGFA</v>
          </cell>
          <cell r="C465" t="str">
            <v>LO D, DUONG N11, KHU CONG NGHIEP MINH HUNG, XA MINH HUNG HUYEN CHON THANH, TINH BINH PHUOC</v>
          </cell>
          <cell r="D465">
            <v>0</v>
          </cell>
          <cell r="E465" t="str">
            <v>MS HUONG: 0933347667</v>
          </cell>
        </row>
        <row r="466">
          <cell r="B466" t="str">
            <v>LONGYU</v>
          </cell>
          <cell r="C466" t="str">
            <v>KM9, XA TAN THINH, HUYEN NAM TRUC, NAM DINH</v>
          </cell>
          <cell r="D466">
            <v>0</v>
          </cell>
          <cell r="E466" t="str">
            <v>Mr. Sumiya 0350 3929380</v>
          </cell>
        </row>
        <row r="467">
          <cell r="B467" t="str">
            <v>LOTUS TEXTILE</v>
          </cell>
          <cell r="C467" t="str">
            <v>Trang Bang Industrial Park,
 Tay Ninh Province</v>
          </cell>
          <cell r="D467" t="str">
            <v>CHUNG TU</v>
          </cell>
          <cell r="E467" t="str">
            <v>MS THAM: 0164 946 9310</v>
          </cell>
        </row>
        <row r="468">
          <cell r="B468" t="str">
            <v>LUONG LE</v>
          </cell>
          <cell r="C468" t="str">
            <v>PHONG 1412, TOA NHA HEMISCO, PHUONG PHUC LA , HA DONG, HA NOI</v>
          </cell>
          <cell r="D468">
            <v>0</v>
          </cell>
          <cell r="E468" t="str">
            <v>TEL: 0908702067</v>
          </cell>
        </row>
        <row r="469">
          <cell r="B469" t="str">
            <v>MACALLAN</v>
          </cell>
          <cell r="C469" t="str">
            <v>THON NGOC GIA, NGOC HOA, CHUONG MY, HA NOI</v>
          </cell>
          <cell r="D469">
            <v>0</v>
          </cell>
          <cell r="E469" t="str">
            <v>MS THOA: 0988 303 555</v>
          </cell>
        </row>
        <row r="470">
          <cell r="B470" t="str">
            <v>MAI HUONG</v>
          </cell>
          <cell r="C470" t="str">
            <v>P 306, KHU A1, CHUNG CU BAC SON , HAI PHONG</v>
          </cell>
          <cell r="D470">
            <v>0</v>
          </cell>
          <cell r="E470" t="str">
            <v>Mr Mạnh-0973 577 787-313 598060</v>
          </cell>
        </row>
        <row r="471">
          <cell r="B471" t="str">
            <v>MAKALOT</v>
          </cell>
          <cell r="C471" t="str">
            <v>THANH HAI -  THANH HA -  HAI DUONG</v>
          </cell>
          <cell r="D471" t="str">
            <v>VAT- DONG MOC TREO- CHUNG HD</v>
          </cell>
          <cell r="E471" t="str">
            <v>ANH TUAN: 0979 399 357</v>
          </cell>
        </row>
        <row r="472">
          <cell r="B472" t="str">
            <v>MANSEON</v>
          </cell>
          <cell r="C472" t="str">
            <v>Xóm 8, xã Vĩnh Thành, Huyện Vĩnh Lộc, Tỉnh Thanh Hóa</v>
          </cell>
          <cell r="D472">
            <v>0</v>
          </cell>
          <cell r="E472" t="str">
            <v>Ms Huyền: 0974 351 557
Ms Hường: 0936 852 010/ 0912 231 885</v>
          </cell>
        </row>
        <row r="473">
          <cell r="B473" t="str">
            <v>MASCOT</v>
          </cell>
          <cell r="C473" t="str">
            <v>BOUNDER WAREHOUSE LOT 3.1-TAN TRUONG IZ-CAM GIANG DIST-HAI DUONG</v>
          </cell>
          <cell r="D473" t="str">
            <v>CHO XNK CONFIRM</v>
          </cell>
          <cell r="E473" t="str">
            <v>QUYNH: 0904 011 547</v>
          </cell>
        </row>
        <row r="474">
          <cell r="B474" t="str">
            <v>MAX PLANNING</v>
          </cell>
          <cell r="C474" t="str">
            <v>Street No. 2,Hoa Cam Industrial Zone, Hoa Tho Tay ward, Cam Le District, Da Nang</v>
          </cell>
          <cell r="D474">
            <v>0</v>
          </cell>
          <cell r="E474" t="str">
            <v>Ms Nien - 0918636784</v>
          </cell>
        </row>
        <row r="475">
          <cell r="B475" t="str">
            <v>MAXPORT 6</v>
          </cell>
          <cell r="C475" t="str">
            <v>NANG TINH, NAM DINH</v>
          </cell>
          <cell r="D475">
            <v>0</v>
          </cell>
          <cell r="E475" t="str">
            <v>NHAT 0944 747 267</v>
          </cell>
        </row>
        <row r="476">
          <cell r="B476" t="str">
            <v>MAXPORT 2</v>
          </cell>
          <cell r="C476" t="str">
            <v>LOT 1, TA HIEN STREET, KCN PHUC KHANH, THAI BINH</v>
          </cell>
          <cell r="D476">
            <v>0</v>
          </cell>
          <cell r="E476">
            <v>0</v>
          </cell>
        </row>
        <row r="477">
          <cell r="B477" t="str">
            <v>MAXPORT HA NOI</v>
          </cell>
          <cell r="C477" t="str">
            <v>88 HA DINH, THANH XUAN, HA NOI</v>
          </cell>
          <cell r="D477" t="str">
            <v>NHAN NIKE CHO CS CONFIRM MAIL MOI GIAO HANG- GIAO BANG NETCO
IN PKL TU MAIL CUA CS, KEM THEO DE GIAO HANG</v>
          </cell>
          <cell r="E477" t="str">
            <v>MS HUYEN: 84-4-38583225 Ext: 88121.</v>
          </cell>
        </row>
        <row r="478">
          <cell r="B478" t="str">
            <v>MAXPORT NIKE</v>
          </cell>
          <cell r="C478" t="str">
            <v>Nguyen Duc Canh IZ-Tran Thai Tong road-Thai Binh</v>
          </cell>
          <cell r="D478" t="str">
            <v>1 tuan giao 1 lan, duong bo- xnk confirm</v>
          </cell>
          <cell r="E478" t="str">
            <v>MS HANH: 036 3844111 EXT: 781</v>
          </cell>
        </row>
        <row r="479">
          <cell r="B479" t="str">
            <v>MAXPORT NORTHFACE</v>
          </cell>
          <cell r="C479" t="str">
            <v>88 HA DINH-THANH XUAN-HANOI</v>
          </cell>
          <cell r="D479" t="str">
            <v>KO GIAO CHO CS CONFIRM</v>
          </cell>
          <cell r="E479" t="str">
            <v>MS LAN-04-8583225</v>
          </cell>
        </row>
        <row r="480">
          <cell r="B480" t="str">
            <v>MAXPORT PATAGONIA</v>
          </cell>
          <cell r="C480" t="str">
            <v>Nguyen Duc Canh IZ-Tran Thai Tong road-Thai Binh</v>
          </cell>
          <cell r="D480" t="str">
            <v>1 tuan giao 1 lan, duong bo- xnk confirm</v>
          </cell>
          <cell r="E480" t="str">
            <v>NINH: 0986 807 759</v>
          </cell>
        </row>
        <row r="481">
          <cell r="B481" t="str">
            <v>MAXTURN</v>
          </cell>
          <cell r="C481" t="str">
            <v>UNIT G1-B, KCN QUE VO, PHUONG LIEU, QUE VO, BAC NINH</v>
          </cell>
          <cell r="D481" t="str">
            <v>CHUNG CTU</v>
          </cell>
          <cell r="E481" t="str">
            <v>LILY: 0167 4523 233</v>
          </cell>
        </row>
        <row r="482">
          <cell r="B482" t="str">
            <v>MAY 2 HAI DUONG</v>
          </cell>
          <cell r="C482" t="str">
            <v>KM54+100M-QL5-NGOC CHAU-HAI DUONG</v>
          </cell>
          <cell r="D482">
            <v>0</v>
          </cell>
          <cell r="E482">
            <v>0</v>
          </cell>
        </row>
        <row r="483">
          <cell r="B483" t="str">
            <v>MAY 29 03</v>
          </cell>
          <cell r="C483" t="str">
            <v>60-ME NHU-DA NANG</v>
          </cell>
          <cell r="D483" t="str">
            <v>HANG GEN NHAN FIGS CHO EMAIL CONFIRM GIAO HANG CUA CS</v>
          </cell>
          <cell r="E483" t="str">
            <v>ANH CHAU- KHO PHU LIEU-05113-759249</v>
          </cell>
        </row>
        <row r="484">
          <cell r="B484" t="str">
            <v>MAY DA LAT</v>
          </cell>
          <cell r="C484" t="str">
            <v xml:space="preserve">S ố 9 Phù Đổng Thiên Vương P.8 Đà Lạt. </v>
          </cell>
          <cell r="D484">
            <v>0</v>
          </cell>
          <cell r="E484" t="str">
            <v>ATTN:HOÀNG NGỌC THỊNH-01699655227</v>
          </cell>
        </row>
        <row r="485">
          <cell r="B485" t="str">
            <v>MAY GIA LAI</v>
          </cell>
          <cell r="C485" t="str">
            <v>TO 12, P. YEN DO, TP. PLEIKU, GIA LAI</v>
          </cell>
          <cell r="D485">
            <v>0</v>
          </cell>
          <cell r="E485" t="str">
            <v>THUY: 0987 384 437</v>
          </cell>
        </row>
        <row r="486">
          <cell r="B486" t="str">
            <v>STS VINA</v>
          </cell>
          <cell r="C486" t="str">
            <v>NO 32/39 TUC MAC, LOC VUONG, NAM DINH</v>
          </cell>
          <cell r="D486">
            <v>0</v>
          </cell>
          <cell r="E486" t="str">
            <v>TUAN 0913227271</v>
          </cell>
        </row>
        <row r="487">
          <cell r="B487" t="str">
            <v>MAY HAI</v>
          </cell>
          <cell r="C487" t="str">
            <v>216 TRAN THANH NGO ST-KIEN AN DIST-HAI PHONG</v>
          </cell>
          <cell r="D487" t="str">
            <v>cho XNK confirm-NETCO-DN#AWB
ghi so DN len Bill</v>
          </cell>
          <cell r="E487" t="str">
            <v>0169 640 1182- MS HUE</v>
          </cell>
        </row>
        <row r="488">
          <cell r="B488" t="str">
            <v>MAY HAI COLUMBIA</v>
          </cell>
          <cell r="C488" t="str">
            <v>216 TRAN THANH NGO ST-KIEN AN DIST-HAI PHONG</v>
          </cell>
          <cell r="D488">
            <v>0</v>
          </cell>
          <cell r="E488" t="str">
            <v>0936 124 689- THUY</v>
          </cell>
        </row>
        <row r="489">
          <cell r="B489" t="str">
            <v>GREAT SUPER</v>
          </cell>
          <cell r="C489" t="str">
            <v>KCN SUOI TRE, LONG KHANH, DONG NAI</v>
          </cell>
          <cell r="D489">
            <v>0</v>
          </cell>
          <cell r="E489" t="str">
            <v>TEL: +84-2513- 647 870~-7 MR BOB</v>
          </cell>
        </row>
        <row r="490">
          <cell r="B490" t="str">
            <v>MAY HAI TIMBERLAND</v>
          </cell>
          <cell r="C490" t="str">
            <v>216 TRAN THANH NGO ST-KIEN AN DIST-HAI PHONG</v>
          </cell>
          <cell r="D490" t="str">
            <v>FWDER KHDL DOI CHI VAN CF</v>
          </cell>
          <cell r="E490">
            <v>0</v>
          </cell>
        </row>
        <row r="491">
          <cell r="B491" t="str">
            <v>MAY HAI VAT</v>
          </cell>
          <cell r="C491" t="str">
            <v>216 TRAN THANH NGO ST-KIEN AN DIST-HAI PHONG</v>
          </cell>
          <cell r="D491">
            <v>0</v>
          </cell>
          <cell r="E491" t="str">
            <v>MS HIEN: 0988 969 755</v>
          </cell>
        </row>
        <row r="492">
          <cell r="B492" t="str">
            <v>May hanosimex 1</v>
          </cell>
          <cell r="C492" t="str">
            <v>Tầng 8, tòa nhà Nam Hải, lô 9A Vĩnh Hoàng, Hoàng Mai, Hà Nội.</v>
          </cell>
          <cell r="D492">
            <v>0</v>
          </cell>
          <cell r="E492" t="str">
            <v>Tel: 01679842135</v>
          </cell>
        </row>
        <row r="493">
          <cell r="B493" t="str">
            <v>MAY LANG GIANG</v>
          </cell>
          <cell r="C493" t="str">
            <v>Thôn: Bằng, xã Nghĩa Hòa, Huyện Lạng Giang, tỉnh Bắc Giang</v>
          </cell>
          <cell r="D493">
            <v>0</v>
          </cell>
          <cell r="E493">
            <v>0</v>
          </cell>
        </row>
        <row r="494">
          <cell r="B494" t="str">
            <v>MAY MAC DO BOI THONG NHAT</v>
          </cell>
          <cell r="C494" t="str">
            <v>LO C1 C2 C12 C13 C14, KCN SUOI DAU, SUOI TAN, CAM LAM, KHANH HOA</v>
          </cell>
          <cell r="D494">
            <v>0</v>
          </cell>
          <cell r="E494">
            <v>0</v>
          </cell>
        </row>
        <row r="495">
          <cell r="B495" t="str">
            <v>MAY MAC OCEAN SKY</v>
          </cell>
          <cell r="C495" t="str">
            <v>LO 75 76 KCX LINH TRUNG III, TRANG BANG, TAY NINH</v>
          </cell>
          <cell r="D495">
            <v>0</v>
          </cell>
          <cell r="E495">
            <v>0</v>
          </cell>
        </row>
        <row r="496">
          <cell r="B496" t="str">
            <v>MAY PHOENIX</v>
          </cell>
          <cell r="C496" t="str">
            <v>KCN TAM DIEP, TX TAM DIEP, NINH BINH</v>
          </cell>
          <cell r="D496" t="str">
            <v>HANG CHUNG CTU</v>
          </cell>
          <cell r="E496" t="str">
            <v>MS LIEN: 0968 217191</v>
          </cell>
        </row>
        <row r="497">
          <cell r="B497" t="str">
            <v>MAY PHU THO</v>
          </cell>
          <cell r="C497" t="str">
            <v>PHUONG PHONG CHAU, TX PHU THO, PHU THO</v>
          </cell>
          <cell r="D497" t="str">
            <v>HANG CHO CONFIRM</v>
          </cell>
          <cell r="E497" t="str">
            <v>0210 3821 915</v>
          </cell>
        </row>
        <row r="498">
          <cell r="B498" t="str">
            <v>MAY QUOC TE WOO JIN</v>
          </cell>
          <cell r="C498" t="str">
            <v>226 LE LAI-NGO QUYEN-HAI PHONG</v>
          </cell>
          <cell r="D498">
            <v>0</v>
          </cell>
          <cell r="E498" t="str">
            <v>MS TRANG: 0974 910 262
MS NHUNG: 0936 813 688</v>
          </cell>
        </row>
        <row r="499">
          <cell r="B499" t="str">
            <v>MAY TRE HA LINH</v>
          </cell>
          <cell r="C499" t="str">
            <v>KCN PHU NGHIA, HUYEN CHUONG MY, HA NOI</v>
          </cell>
          <cell r="D499">
            <v>0</v>
          </cell>
          <cell r="E499" t="str">
            <v>MAI NGUYEN +84 127 554 1811</v>
          </cell>
        </row>
        <row r="500">
          <cell r="B500" t="str">
            <v>MAY VA IN 1 THANG 5</v>
          </cell>
          <cell r="C500" t="str">
            <v>SO 37 NGO 67 PHO DUC GIANG, PHUONG DUC GIANG, LONG BIEN HA NOI</v>
          </cell>
          <cell r="D500">
            <v>0</v>
          </cell>
          <cell r="E500">
            <v>0</v>
          </cell>
        </row>
        <row r="501">
          <cell r="B501" t="str">
            <v>MEKO</v>
          </cell>
          <cell r="C501" t="str">
            <v>DUONG TRUC CHINH, KCN TRA NOC, Q. BINH THUY, TP. CAN THO</v>
          </cell>
          <cell r="D501">
            <v>0</v>
          </cell>
          <cell r="E501" t="str">
            <v>PHUONG THANH: 01265992728-TAM: 0918472185-07103842263</v>
          </cell>
        </row>
        <row r="502">
          <cell r="B502" t="str">
            <v>MICHELLE</v>
          </cell>
          <cell r="C502" t="str">
            <v>THANG LOI, AN HUNG, AN DUONG, HAI PHONG</v>
          </cell>
          <cell r="D502">
            <v>0</v>
          </cell>
          <cell r="E502" t="str">
            <v>A DUC: 01676 999 777</v>
          </cell>
        </row>
        <row r="503">
          <cell r="B503" t="str">
            <v>MICHIGAN HAI DUONG</v>
          </cell>
          <cell r="C503" t="str">
            <v>TAN DAN, CHI LINH, HAI DUONG</v>
          </cell>
          <cell r="D503">
            <v>0</v>
          </cell>
          <cell r="E503" t="str">
            <v>MS QUYNH: 01689931762</v>
          </cell>
        </row>
        <row r="504">
          <cell r="B504" t="str">
            <v>MINH ANH</v>
          </cell>
          <cell r="C504" t="str">
            <v>KCN PHO NOI B, NGHIA HIEP, YEN MY, HUNG YEN</v>
          </cell>
          <cell r="D504" t="str">
            <v>HANG CHO CONFIRM</v>
          </cell>
          <cell r="E504" t="str">
            <v xml:space="preserve"> MS HUONG 0978 695 777/
 MR QUAN 0913 580 180</v>
          </cell>
        </row>
        <row r="505">
          <cell r="B505" t="str">
            <v>MINH ANH EX IM</v>
          </cell>
          <cell r="C505" t="str">
            <v xml:space="preserve"> NO.28 ALLEY 207/66，XUAN DINH，TU LIEM，HANOI CITY</v>
          </cell>
          <cell r="D505">
            <v>0</v>
          </cell>
          <cell r="E505" t="str">
            <v>MS SAM 0913322129</v>
          </cell>
        </row>
        <row r="506">
          <cell r="B506" t="str">
            <v>MINH ANH KIM LIEN</v>
          </cell>
          <cell r="C506" t="str">
            <v>KCN BAC VINH, HUNG DONG, TP. VINH, NGHE AN</v>
          </cell>
          <cell r="D506">
            <v>0</v>
          </cell>
          <cell r="E506" t="str">
            <v>MS DUNG: 0912 922 456</v>
          </cell>
        </row>
        <row r="507">
          <cell r="B507" t="str">
            <v>HOA THO QUANG NGAI</v>
          </cell>
          <cell r="C507" t="str">
            <v>DUONG SO 6, LO C6, KCN TINH PHONG, QUANG NGAI</v>
          </cell>
          <cell r="D507">
            <v>0</v>
          </cell>
          <cell r="E507" t="str">
            <v>LUU 0908099619</v>
          </cell>
        </row>
        <row r="508">
          <cell r="B508" t="str">
            <v>MINH HOANG</v>
          </cell>
          <cell r="C508" t="str">
            <v>LOT12 DIEN NAM-DIEN NGOC-QUANG NAM-DN</v>
          </cell>
          <cell r="D508">
            <v>0</v>
          </cell>
          <cell r="E508" t="str">
            <v>MS ÁNH-0510 944888</v>
          </cell>
        </row>
        <row r="509">
          <cell r="B509" t="str">
            <v>MINH PHUONG</v>
          </cell>
          <cell r="C509" t="str">
            <v>TÍCH GIANG-PHÚC THỌ-HA NOI</v>
          </cell>
          <cell r="D509">
            <v>0</v>
          </cell>
          <cell r="E509" t="str">
            <v>MR HA-433641239-Mr Thang 0913 268 037</v>
          </cell>
        </row>
        <row r="510">
          <cell r="B510" t="str">
            <v>MINH TRI</v>
          </cell>
          <cell r="C510" t="str">
            <v>VINH TUY INS ZONE- HA NOI</v>
          </cell>
          <cell r="D510" t="str">
            <v>CTU( HANG DI TRUOC CTU DI SAU)</v>
          </cell>
          <cell r="E510" t="str">
            <v>NGOC(KHO)-04-6440458-phuong0988087290</v>
          </cell>
        </row>
        <row r="511">
          <cell r="B511" t="str">
            <v>MINH TRI PVH</v>
          </cell>
          <cell r="C511" t="str">
            <v>KCN VINH TUY, HA NOI</v>
          </cell>
          <cell r="D511" t="str">
            <v>PHAT DUNG TEN NGUOI LIEN HE</v>
          </cell>
          <cell r="E511" t="str">
            <v>MS HANG: 04 6446 802</v>
          </cell>
        </row>
        <row r="512">
          <cell r="B512" t="str">
            <v>MINH TRI THAI BINH DECATHLON</v>
          </cell>
          <cell r="C512" t="str">
            <v>DUONG BUI VIEN, KCN NGUYEN DUC CANH, P. TIEN PHONG, THAI BINH</v>
          </cell>
          <cell r="D512">
            <v>0</v>
          </cell>
          <cell r="E512" t="str">
            <v>MS TIEN: 04 36448 629</v>
          </cell>
        </row>
        <row r="513">
          <cell r="B513" t="str">
            <v>MINH TRI THAI BINH EXPRESS</v>
          </cell>
          <cell r="C513" t="str">
            <v>BUI VIEN, KCN NGUYEN DUC CANH, TRAN HUNG DAO, THAI BINH</v>
          </cell>
          <cell r="D513" t="str">
            <v>NETCO-KHTT</v>
          </cell>
          <cell r="E513" t="str">
            <v>MS LIEN : 0903 463 454</v>
          </cell>
        </row>
        <row r="514">
          <cell r="B514" t="str">
            <v>MINH TRI THAI BINH PVH</v>
          </cell>
          <cell r="C514" t="str">
            <v>DUONG BUI VIEN, KCN NGUYEN DUC CANH, P. TIEN PHONG, THAI BINH</v>
          </cell>
          <cell r="D514" t="str">
            <v>GIAO DUNG NGUOI LIEN HE</v>
          </cell>
          <cell r="E514" t="str">
            <v>0915330479- MS GIANG</v>
          </cell>
        </row>
        <row r="515">
          <cell r="B515" t="str">
            <v>MINH TRI VINH</v>
          </cell>
          <cell r="C515" t="str">
            <v>KCN BẮC VINH, XÃ HƯNG ĐÔNG, TP VINH, NGHỆ AN</v>
          </cell>
          <cell r="D515">
            <v>0</v>
          </cell>
          <cell r="E515" t="str">
            <v>MS BICH: 0902 201 180</v>
          </cell>
        </row>
        <row r="516">
          <cell r="B516" t="str">
            <v>MOLAND</v>
          </cell>
          <cell r="C516" t="str">
            <v>Road 6, Song May IZ, Bac Son Commune, Trang Bom Dist, Dong Nai</v>
          </cell>
          <cell r="D516">
            <v>0</v>
          </cell>
          <cell r="E516" t="str">
            <v>Attn: Ms Tam 0913 931 896</v>
          </cell>
        </row>
        <row r="517">
          <cell r="B517" t="str">
            <v>MS VINA</v>
          </cell>
          <cell r="C517" t="str">
            <v>SO 1, 10 07 KCN LANG NGHE, THI TRAN NGA SON, THANH HOA</v>
          </cell>
          <cell r="D517">
            <v>0</v>
          </cell>
          <cell r="E517" t="str">
            <v>A VINH: 0936 271 529</v>
          </cell>
        </row>
        <row r="518">
          <cell r="B518" t="str">
            <v>MSA HAPRO  QUIKSILVER</v>
          </cell>
          <cell r="C518" t="str">
            <v>KCN SAI DONG B, GIA LAM, HA NOI</v>
          </cell>
          <cell r="D518">
            <v>0</v>
          </cell>
          <cell r="E518" t="str">
            <v>PHAM NGOC HA-4-6750213/ 9282742
Ms Mo: 01674 156872</v>
          </cell>
        </row>
        <row r="519">
          <cell r="B519" t="str">
            <v>MSA VN</v>
          </cell>
          <cell r="C519" t="str">
            <v>TIEN PHONG, ME LINH, HA NOI</v>
          </cell>
          <cell r="D519">
            <v>0</v>
          </cell>
          <cell r="E519">
            <v>27</v>
          </cell>
        </row>
        <row r="520">
          <cell r="B520" t="str">
            <v>MSA YB QUIKSILVER</v>
          </cell>
          <cell r="C520" t="str">
            <v>KHE XOAN. DOI CAN, TUYEN QUANG</v>
          </cell>
          <cell r="D520">
            <v>0</v>
          </cell>
          <cell r="E520" t="str">
            <v>Mr. Quynh: 0975900275
Ms. Trang 0973876354</v>
          </cell>
        </row>
        <row r="521">
          <cell r="B521" t="str">
            <v>MTV 76</v>
          </cell>
          <cell r="C521" t="str">
            <v xml:space="preserve">Kieu Ky commune - Gia Lam district - Hanoi city- Vietnam
</v>
          </cell>
          <cell r="D521" t="str">
            <v>HANG CHUNG HD</v>
          </cell>
          <cell r="E521" t="str">
            <v>HP: + 84 976.568.702</v>
          </cell>
        </row>
        <row r="522">
          <cell r="B522" t="str">
            <v>MXP</v>
          </cell>
          <cell r="C522" t="str">
            <v>KCN NGUYEN DUC CANH- THAI BINH</v>
          </cell>
          <cell r="D522">
            <v>0</v>
          </cell>
          <cell r="E522" t="str">
            <v>MS NGOC: 0974 856 259</v>
          </cell>
        </row>
        <row r="523">
          <cell r="B523" t="str">
            <v>MXP1</v>
          </cell>
          <cell r="C523" t="str">
            <v>NGUYEN DUC CANH INDUSTRIAL ZONE, TRAN THAI TONG ROAD, THAI BINH CITY</v>
          </cell>
          <cell r="D523">
            <v>0</v>
          </cell>
          <cell r="E523">
            <v>0</v>
          </cell>
        </row>
        <row r="524">
          <cell r="B524" t="str">
            <v>MXP8</v>
          </cell>
          <cell r="C524" t="str">
            <v>CUM CN XUAN QUANG, DONG XUAN, DONG HUNG, THAI BINH</v>
          </cell>
          <cell r="D524">
            <v>0</v>
          </cell>
          <cell r="E524" t="str">
            <v>CHI BICH 0936171499</v>
          </cell>
        </row>
        <row r="525">
          <cell r="B525" t="str">
            <v>MY HUNG</v>
          </cell>
          <cell r="C525" t="str">
            <v>Km 24 + 500 Highway- No. 5A Di Su- My Hao- Hung Yen</v>
          </cell>
          <cell r="D525">
            <v>0</v>
          </cell>
          <cell r="E525" t="str">
            <v>MS GIANG: 0902 175 065</v>
          </cell>
        </row>
        <row r="526">
          <cell r="B526" t="str">
            <v>MY HUNG</v>
          </cell>
          <cell r="C526" t="str">
            <v>KM24+500, QL 5, DI SU, MY HAO, HUNG YEN</v>
          </cell>
          <cell r="D526" t="str">
            <v>hang chung chung tu</v>
          </cell>
          <cell r="E526" t="str">
            <v>MS THOA 0975 737 145/
 MS THUAN 0986 475 152</v>
          </cell>
        </row>
        <row r="527">
          <cell r="B527" t="str">
            <v>MY NGHE LAC VIET</v>
          </cell>
          <cell r="C527" t="str">
            <v>44 AN TRUNG 1, QUAN SON TRA, TP DA NANG</v>
          </cell>
          <cell r="D527">
            <v>0</v>
          </cell>
          <cell r="E527">
            <v>0</v>
          </cell>
        </row>
        <row r="528">
          <cell r="B528" t="str">
            <v>MY TAI BINH DINH</v>
          </cell>
          <cell r="C528" t="str">
            <v>LO B25, DUONG TRUNG TAM, PHUONG TRAN QUANG DIEU, KCN PHU TAI, QUY NHON, BINH DINH</v>
          </cell>
          <cell r="D528">
            <v>0</v>
          </cell>
          <cell r="E528" t="str">
            <v>MS HONG SEN: 0935 477 139</v>
          </cell>
        </row>
        <row r="529">
          <cell r="B529" t="str">
            <v>MY THO GARMENT</v>
          </cell>
          <cell r="C529" t="str">
            <v>101, National Rout 1A, ward 10, My Tho City, Tien Giang Province, Vietnam-</v>
          </cell>
          <cell r="D529">
            <v>0</v>
          </cell>
          <cell r="E529" t="str">
            <v>Tel: Ms Hanh: 0986 16 2273, Ms Thao: 0986 825 394 or Ms Ngoc: 0934 181 465</v>
          </cell>
        </row>
        <row r="530">
          <cell r="B530" t="str">
            <v>BINH THUAN NHA BE XN MAY TUY PHONG</v>
          </cell>
          <cell r="C530" t="str">
            <v>CUM CN BAC TUY PHONG, THON LAC TRI- PHU LAC, HUYEN TUY PHONG, TINH BINH THUAN</v>
          </cell>
          <cell r="D530">
            <v>0</v>
          </cell>
          <cell r="E530">
            <v>0</v>
          </cell>
        </row>
        <row r="531">
          <cell r="B531" t="str">
            <v>MY THO GARMENT</v>
          </cell>
          <cell r="C531" t="str">
            <v>101, National Rout 1A, ward 10, My Tho City, Tien Giang Province, Vietnam</v>
          </cell>
          <cell r="D531">
            <v>0</v>
          </cell>
          <cell r="E531" t="str">
            <v>Ms Hanh: 0986 16 2273, Ms Thao: 0986 825 394 or Ms Ngoc: 0934 181 465</v>
          </cell>
        </row>
        <row r="532">
          <cell r="B532" t="str">
            <v>NAJIMEX</v>
          </cell>
          <cell r="C532" t="str">
            <v>LOT C10-9 KCN HOA XA, NAM DINH</v>
          </cell>
          <cell r="D532">
            <v>0</v>
          </cell>
          <cell r="E532" t="str">
            <v> </v>
          </cell>
        </row>
        <row r="533">
          <cell r="B533" t="str">
            <v>NAM AN</v>
          </cell>
          <cell r="C533" t="str">
            <v>01 GIAI PHONG, NAM DINH</v>
          </cell>
          <cell r="D533" t="str">
            <v>hang chung ctu</v>
          </cell>
          <cell r="E533" t="str">
            <v>TRUC: 0937 856 326</v>
          </cell>
        </row>
        <row r="534">
          <cell r="B534" t="str">
            <v>NAM ANH</v>
          </cell>
          <cell r="C534" t="str">
            <v>QUANG XA, QUANG HUNG, PHU CU, HUNG YEN</v>
          </cell>
          <cell r="D534" t="str">
            <v>Cho CS confirm</v>
          </cell>
          <cell r="E534" t="str">
            <v>ANH TRINH: 0321 3854 417</v>
          </cell>
        </row>
        <row r="535">
          <cell r="B535" t="str">
            <v>NAM CHAU</v>
          </cell>
          <cell r="C535" t="str">
            <v>Hau village, Dai Lam commune, Lang Giang district, Bac Giang province</v>
          </cell>
          <cell r="D535">
            <v>0</v>
          </cell>
          <cell r="E535">
            <v>0</v>
          </cell>
        </row>
        <row r="536">
          <cell r="B536" t="str">
            <v>NAM CO LONDON</v>
          </cell>
          <cell r="C536" t="str">
            <v>KCN DONG HUONG, KIM SON, NINH BINH</v>
          </cell>
          <cell r="D536">
            <v>0</v>
          </cell>
          <cell r="E536">
            <v>0</v>
          </cell>
        </row>
        <row r="537">
          <cell r="B537" t="str">
            <v>NAM DINH</v>
          </cell>
          <cell r="C537" t="str">
            <v>KHU A-LO H1-H5- Duong Pham Ngu Lao-Khu Cong Nghiep Hoa Xa-TP Nam Dinh</v>
          </cell>
          <cell r="D537">
            <v>0</v>
          </cell>
          <cell r="E537" t="str">
            <v>A Thinh (MR) 904770343
TEL : 0350 849 451</v>
          </cell>
        </row>
        <row r="538">
          <cell r="B538" t="str">
            <v>NAM DINH 2</v>
          </cell>
          <cell r="C538" t="str">
            <v>91 NGUYEN VAN TROI, NAM DINH</v>
          </cell>
          <cell r="D538" t="str">
            <v>hang chung chung tu</v>
          </cell>
          <cell r="E538" t="str">
            <v>LE VAN BINH
TEL: 0084 350 3849617/ FAX: 3862851</v>
          </cell>
        </row>
        <row r="539">
          <cell r="B539" t="str">
            <v>NAM HA</v>
          </cell>
          <cell r="C539" t="str">
            <v xml:space="preserve"> 510 TRUONG CHINH STR-NAM DINH</v>
          </cell>
          <cell r="D539">
            <v>0</v>
          </cell>
          <cell r="E539" t="str">
            <v>Mr. D Tien Dung-350-649563-HIEU- 0983 740 929</v>
          </cell>
        </row>
        <row r="540">
          <cell r="B540" t="str">
            <v>NAM HA GARMENT</v>
          </cell>
          <cell r="C540" t="str">
            <v>No.510 Truong Chinh Str., Nam Dinh, Viet Nam</v>
          </cell>
          <cell r="D540">
            <v>0</v>
          </cell>
          <cell r="E540" t="str">
            <v>Mr Tap: 0912342833</v>
          </cell>
        </row>
        <row r="541">
          <cell r="B541" t="str">
            <v>NAM HAI</v>
          </cell>
          <cell r="C541" t="str">
            <v>189 NGUYEN VAN TROI-NANG TINH-TP NAM DINH</v>
          </cell>
          <cell r="D541">
            <v>0</v>
          </cell>
          <cell r="E541" t="str">
            <v>MS NGA 0915 133 216</v>
          </cell>
        </row>
        <row r="542">
          <cell r="B542" t="str">
            <v>HENRY COTTONS GOLF VINA INSAN</v>
          </cell>
          <cell r="C542" t="str">
            <v>MY CAU, TAN MY, BAC GIANG</v>
          </cell>
          <cell r="D542">
            <v>0</v>
          </cell>
          <cell r="E542">
            <v>0</v>
          </cell>
        </row>
        <row r="543">
          <cell r="B543" t="str">
            <v>VN GOLDEN VICTORY</v>
          </cell>
          <cell r="C543" t="str">
            <v>DONG KY, NGHIA MINH, NGHIA HUNG, NAM DINH</v>
          </cell>
          <cell r="D543">
            <v>0</v>
          </cell>
          <cell r="E543" t="str">
            <v>PHUONG MAI 0964 309 166</v>
          </cell>
        </row>
        <row r="544">
          <cell r="B544" t="str">
            <v>NAM LEE</v>
          </cell>
          <cell r="C544" t="str">
            <v>PHU THAI-KIM THANH-HAI DUONG</v>
          </cell>
          <cell r="D544">
            <v>0</v>
          </cell>
          <cell r="E544" t="str">
            <v>Tel:84 -320-3560- 971 Fax:84-320- 3560- 972
ATTN: Ken</v>
          </cell>
        </row>
        <row r="545">
          <cell r="B545" t="str">
            <v>NAM OF LONDON</v>
          </cell>
          <cell r="C545" t="str">
            <v>MY THO IZ-TIEN GIANG</v>
          </cell>
          <cell r="D545">
            <v>0</v>
          </cell>
          <cell r="E545" t="str">
            <v>NGA 0934 038 532</v>
          </cell>
        </row>
        <row r="546">
          <cell r="B546" t="str">
            <v>MAXPORT NAM DINH</v>
          </cell>
          <cell r="C546" t="str">
            <v>QUOC LO 10, LOC VUONG, TP NAM DINH</v>
          </cell>
          <cell r="D546">
            <v>0</v>
          </cell>
          <cell r="E546">
            <v>0</v>
          </cell>
        </row>
        <row r="547">
          <cell r="B547" t="str">
            <v>NAM SON</v>
          </cell>
          <cell r="C547" t="str">
            <v>Thon Kim Âu, Xã Đại Xá, Gia Lâm, Hà Nội</v>
          </cell>
          <cell r="D547">
            <v>0</v>
          </cell>
          <cell r="E547" t="str">
            <v>Attn: Ms Nguyet ( 0169.213.6477 )</v>
          </cell>
        </row>
        <row r="548">
          <cell r="B548" t="str">
            <v>NAM THUAN</v>
          </cell>
          <cell r="C548" t="str">
            <v>XA THUY SON, THUY NGUYEN,
 HAI PHONG</v>
          </cell>
          <cell r="D548">
            <v>0</v>
          </cell>
          <cell r="E548" t="str">
            <v>MS. THINH - 0912253583
MS CHAU- 0988907292
MS HANH- 0983 128 224</v>
          </cell>
        </row>
        <row r="549">
          <cell r="B549" t="str">
            <v>NAMLEE</v>
          </cell>
          <cell r="C549" t="str">
            <v>Phân khu phía Tây - KCN Phú Thái - TT Phú Thái - H.Kim Thành - T.Hải Dương</v>
          </cell>
          <cell r="D549" t="str">
            <v>NETCO-KHTT</v>
          </cell>
          <cell r="E549" t="str">
            <v>Điện thoại: 0320.3560971 Ext: 217- KATE</v>
          </cell>
        </row>
        <row r="550">
          <cell r="B550" t="str">
            <v>NAMSUNG</v>
          </cell>
          <cell r="C550" t="str">
            <v>Thap Hong Ky Industrial Group, Dien Chau Dist, Nghe An</v>
          </cell>
          <cell r="D550">
            <v>0</v>
          </cell>
          <cell r="E550" t="str">
            <v>THAO 01674031987</v>
          </cell>
        </row>
        <row r="551">
          <cell r="B551" t="str">
            <v>NAMYANG DELTA</v>
          </cell>
          <cell r="C551" t="str">
            <v>PLOT XN2-3, KCN DAI AN, HAI DUONG</v>
          </cell>
          <cell r="D551" t="str">
            <v>HANG CHUNG CTU</v>
          </cell>
          <cell r="E551" t="str">
            <v>HIEU 098 378 6458</v>
          </cell>
        </row>
        <row r="552">
          <cell r="B552" t="str">
            <v>NEOBAGS</v>
          </cell>
          <cell r="C552" t="str">
            <v>185B, 14/9 STREET, PHUONG 5, TP. VINH LONG, VINH LONG</v>
          </cell>
          <cell r="D552" t="str">
            <v>cho XNK confirm</v>
          </cell>
          <cell r="E552" t="str">
            <v>ANDIE NGO: 070 6252266</v>
          </cell>
        </row>
        <row r="553">
          <cell r="B553" t="str">
            <v>NEW DAY</v>
          </cell>
          <cell r="C553" t="str">
            <v>69 TRUNG YEN 12, TRUNG HOA, CAU GIAY, HA NOI</v>
          </cell>
          <cell r="D553" t="str">
            <v>NETCO- KHTT</v>
          </cell>
          <cell r="E553" t="str">
            <v>HONG: 0983 155 520</v>
          </cell>
        </row>
        <row r="554">
          <cell r="B554" t="str">
            <v>NEW WORLD FASHION</v>
          </cell>
          <cell r="C554" t="str">
            <v>SO 353 ANH DUNG, DUONG KINH, HAI PHONG</v>
          </cell>
          <cell r="D554">
            <v>0</v>
          </cell>
          <cell r="E554">
            <v>0</v>
          </cell>
        </row>
        <row r="555">
          <cell r="B555" t="str">
            <v>NGHIA PHAT</v>
          </cell>
          <cell r="C555" t="str">
            <v>PHUOC AN VILLAGE, TUY PHUOC DISTRICT, BINH DINH</v>
          </cell>
          <cell r="D555">
            <v>0</v>
          </cell>
          <cell r="E555" t="str">
            <v>ATTN: MR BANG 0905082080
A KHOA: 0909 467 437</v>
          </cell>
        </row>
        <row r="556">
          <cell r="B556" t="str">
            <v>NGOC HA</v>
          </cell>
          <cell r="C556" t="str">
            <v>DUONG SO 5, KCN VUA VA NHO PHU THI, GIA LAM, HA NOI</v>
          </cell>
          <cell r="D556" t="str">
            <v>NETCO-KHTT</v>
          </cell>
          <cell r="E556" t="str">
            <v xml:space="preserve">TRANG: 0912.932.333 </v>
          </cell>
        </row>
        <row r="557">
          <cell r="B557" t="str">
            <v>NGOC TE</v>
          </cell>
          <cell r="C557" t="str">
            <v>PHO NOI, XA NGHIA HIEP, YEN MY, HUNG YEN</v>
          </cell>
          <cell r="D557">
            <v>0</v>
          </cell>
          <cell r="E557" t="str">
            <v>LE: 0982 526 853</v>
          </cell>
        </row>
        <row r="558">
          <cell r="B558" t="str">
            <v>NGOC VIET</v>
          </cell>
          <cell r="C558" t="str">
            <v>THI TRAN VAN DINH, UNG HOA, HA NOI</v>
          </cell>
          <cell r="D558">
            <v>0</v>
          </cell>
          <cell r="E558" t="str">
            <v>MS HIEN: 0978 807 252</v>
          </cell>
        </row>
        <row r="559">
          <cell r="B559" t="str">
            <v>NGUON LUC VIET NAM</v>
          </cell>
          <cell r="C559" t="str">
            <v>KHU VUON XIM,THI TRAN HUONG CANH-BINH XUYEN, VINH PHUC</v>
          </cell>
          <cell r="D559">
            <v>0</v>
          </cell>
          <cell r="E559" t="str">
            <v>ATTN: HUYEN: 0903 439616/HUONG : 01674 532668</v>
          </cell>
        </row>
        <row r="560">
          <cell r="B560" t="str">
            <v>THONG NHAT GARMENT</v>
          </cell>
          <cell r="C560" t="str">
            <v>THONG NHAT, THU SY WARD, TIEN LU DISTRICT, HUNG YEN</v>
          </cell>
          <cell r="D560">
            <v>0</v>
          </cell>
          <cell r="E560">
            <v>0</v>
          </cell>
        </row>
        <row r="561">
          <cell r="B561" t="str">
            <v>ANTONIA</v>
          </cell>
          <cell r="C561" t="str">
            <v>Khu Cn Tam Diep, thanh pho Tam Diep, tinh Ninh Binh</v>
          </cell>
          <cell r="D561">
            <v>0</v>
          </cell>
          <cell r="E561" t="str">
            <v>MS ROBIN 0985509049</v>
          </cell>
        </row>
        <row r="562">
          <cell r="B562" t="str">
            <v>VN DITECH</v>
          </cell>
          <cell r="C562" t="str">
            <v>169/2/1, THAI HA STREET, DONG DA, HA NOI</v>
          </cell>
          <cell r="D562">
            <v>0</v>
          </cell>
          <cell r="E562">
            <v>0</v>
          </cell>
        </row>
        <row r="563">
          <cell r="B563" t="str">
            <v>NGUYEN TOAN</v>
          </cell>
          <cell r="C563" t="str">
            <v>KCN CHAU SON  -TX.PHU LY-HA NAM</v>
          </cell>
          <cell r="D563">
            <v>0</v>
          </cell>
          <cell r="E563" t="str">
            <v>Mr Hao 0903 443 059</v>
          </cell>
        </row>
        <row r="564">
          <cell r="B564" t="str">
            <v>PHONG PHU QUANG TRI</v>
          </cell>
          <cell r="C564" t="str">
            <v>KCN DIEN SANH, HUYEN HAI LANG, QUANG TRI</v>
          </cell>
          <cell r="D564">
            <v>0</v>
          </cell>
          <cell r="E564">
            <v>0</v>
          </cell>
        </row>
        <row r="565">
          <cell r="B565" t="str">
            <v>NGUYEN TOAN</v>
          </cell>
          <cell r="C565" t="str">
            <v>CHAU SON INDUSTRIAL ZONE, PHU  LY TOWN, HA NAM PROVINCE</v>
          </cell>
          <cell r="D565">
            <v>0</v>
          </cell>
          <cell r="E565" t="str">
            <v>Mr Hao 0903 443 059</v>
          </cell>
        </row>
        <row r="566">
          <cell r="B566" t="str">
            <v>Nhà Máy may Dung Quất</v>
          </cell>
          <cell r="C566" t="str">
            <v>Lô L1, Phân khu CN Sài Gòn Dung Quất – Xã Bình Thạnh – Huyện Bình Sơn- Quảng Ngãi</v>
          </cell>
          <cell r="D566">
            <v>0</v>
          </cell>
          <cell r="E566">
            <v>0</v>
          </cell>
        </row>
        <row r="567">
          <cell r="B567" t="str">
            <v>NHAT HOA</v>
          </cell>
          <cell r="C567" t="str">
            <v>TAN QUANG, VAN LAM, HUNG YEN</v>
          </cell>
          <cell r="D567">
            <v>0</v>
          </cell>
          <cell r="E567">
            <v>0</v>
          </cell>
        </row>
        <row r="568">
          <cell r="B568" t="str">
            <v>NHAT HONG</v>
          </cell>
          <cell r="C568" t="str">
            <v>P314- No 4A BUILDING, LINH NAM, HA NOI</v>
          </cell>
          <cell r="D568">
            <v>0</v>
          </cell>
          <cell r="E568" t="str">
            <v>MS NGAN: 0947 029 086</v>
          </cell>
        </row>
        <row r="569">
          <cell r="B569" t="str">
            <v>NHUA COTEC</v>
          </cell>
          <cell r="C569" t="str">
            <v>LO E4+E5 KCN PHUC KHANH, TP THAI BINH, T THAI BINH</v>
          </cell>
          <cell r="D569">
            <v>0</v>
          </cell>
          <cell r="E569" t="str">
            <v>Mr Stephen Yiu: 0169.706.8819</v>
          </cell>
        </row>
        <row r="570">
          <cell r="B570" t="str">
            <v>NIEN HSING AEO</v>
          </cell>
          <cell r="C570" t="str">
            <v>DUONG TRAN THI DUNG, KCN PHUC KHANH, THAI BINH</v>
          </cell>
          <cell r="D570">
            <v>0</v>
          </cell>
          <cell r="E570">
            <v>0</v>
          </cell>
        </row>
        <row r="571">
          <cell r="B571" t="str">
            <v>NIEN HSING NINH BINH</v>
          </cell>
          <cell r="C571" t="str">
            <v>KHANH PHU INDUSTRIAL ZONE, YEN KHANH, NINH BINH</v>
          </cell>
          <cell r="D571">
            <v>0</v>
          </cell>
          <cell r="E571">
            <v>0</v>
          </cell>
        </row>
        <row r="572">
          <cell r="B572" t="str">
            <v>NIENHSING AEO</v>
          </cell>
          <cell r="C572" t="str">
            <v>DUONG TRAN THI DUNG, KCN PHUC KHANH, THAI BINH</v>
          </cell>
          <cell r="D572">
            <v>0</v>
          </cell>
          <cell r="E572" t="str">
            <v>OANH</v>
          </cell>
        </row>
        <row r="573">
          <cell r="B573" t="str">
            <v>NIENHSING LEVI'S</v>
          </cell>
          <cell r="C573" t="str">
            <v>KHANH PHU INDUSTRIAL ZONE,
YEN KHANH DISTRICT,
NINH BINH PROVINCE,VIET NAM.</v>
          </cell>
          <cell r="D573" t="str">
            <v>CHO XNK CONFIRM</v>
          </cell>
          <cell r="E573" t="str">
            <v>MS HONG: 0169 255 7340</v>
          </cell>
        </row>
        <row r="574">
          <cell r="B574" t="str">
            <v>NIENHSING NINH BINH</v>
          </cell>
          <cell r="C574" t="str">
            <v>KCN KHANH PHU YEN KHANH NINH BINH</v>
          </cell>
          <cell r="D574">
            <v>0</v>
          </cell>
          <cell r="E574">
            <v>0</v>
          </cell>
        </row>
        <row r="575">
          <cell r="B575" t="str">
            <v>DAC SAN XUAT KHAU QUANG NAM</v>
          </cell>
          <cell r="C575" t="str">
            <v>Khoi pho Cau Ha, Phuong Dien Ngoc, Thi xa Dien Ban, Tinh Quang Nam</v>
          </cell>
          <cell r="D575">
            <v>0</v>
          </cell>
          <cell r="E575">
            <v>0</v>
          </cell>
        </row>
        <row r="576">
          <cell r="B576" t="str">
            <v>NINH BINH</v>
          </cell>
          <cell r="C576" t="str">
            <v>NO.37, LANE 4, YET KIEU STREET, NAM THANH WARD,NINH BINH CITY,</v>
          </cell>
          <cell r="D576">
            <v>0</v>
          </cell>
          <cell r="E576">
            <v>0</v>
          </cell>
        </row>
        <row r="577">
          <cell r="B577" t="str">
            <v>NINH BINH ENTER B</v>
          </cell>
          <cell r="C577" t="str">
            <v>NO.37 LANE 4, YET KIEU STREET, NAM THANH WARD, NINH BINH</v>
          </cell>
          <cell r="D577">
            <v>0</v>
          </cell>
          <cell r="E577">
            <v>0</v>
          </cell>
        </row>
        <row r="578">
          <cell r="B578" t="str">
            <v>NJUNG TRADING</v>
          </cell>
          <cell r="C578" t="str">
            <v>ROOM 503, TANG 5, 17-1 SAI DONG, LONG BIEN, HA NOI</v>
          </cell>
          <cell r="D578">
            <v>0</v>
          </cell>
          <cell r="E578" t="str">
            <v>MS HAI: 0946 280 042</v>
          </cell>
        </row>
        <row r="579">
          <cell r="B579" t="str">
            <v>NORFOLK HA NAM</v>
          </cell>
          <cell r="C579" t="str">
            <v>Đồng Văn Industrial Area - Duy Tiên - Hà Nam</v>
          </cell>
          <cell r="D579" t="str">
            <v>HANG CHUNG HOA DON</v>
          </cell>
          <cell r="E579" t="str">
            <v>QUYNH HOA: 0936 729 206</v>
          </cell>
        </row>
        <row r="580">
          <cell r="B580" t="str">
            <v>NORFOLK HA NOI 1</v>
          </cell>
          <cell r="C580" t="str">
            <v>143 NGUYEN TUAN, THANH XUAN, HA NOI</v>
          </cell>
          <cell r="D580">
            <v>0</v>
          </cell>
          <cell r="E580" t="str">
            <v>LAN ANH: 0972 290 965/0988 899329</v>
          </cell>
        </row>
        <row r="581">
          <cell r="B581" t="str">
            <v>NORFOLK HANOI</v>
          </cell>
          <cell r="C581" t="str">
            <v>203-NG HUY TUONG ST-THANH XUAN-HNOI</v>
          </cell>
          <cell r="D581">
            <v>0</v>
          </cell>
          <cell r="E581" t="str">
            <v>THU PHUONG/VAN-8586024</v>
          </cell>
        </row>
        <row r="582">
          <cell r="B582" t="str">
            <v>THANG LONG INVESTMENT</v>
          </cell>
          <cell r="C582" t="str">
            <v>6TH FL, 478 MINH KHAI, HA NOI</v>
          </cell>
          <cell r="D582" t="str">
            <v>CHUNG CTU</v>
          </cell>
          <cell r="E582" t="str">
            <v>MS MERRY: 0989 709 898</v>
          </cell>
        </row>
        <row r="583">
          <cell r="B583" t="str">
            <v>NOW VINA</v>
          </cell>
          <cell r="C583" t="str">
            <v>Khu 6 xa Phu Loc, huyen Phu Ninh, tinh Phu Tho</v>
          </cell>
          <cell r="D583">
            <v>0</v>
          </cell>
          <cell r="E583" t="str">
            <v>Nhung 0948325628</v>
          </cell>
        </row>
        <row r="584">
          <cell r="B584" t="str">
            <v>OKUDA</v>
          </cell>
          <cell r="C584" t="str">
            <v>LO 6, KCN DIEN NAM - DIEN NGOC, QUANG NAM</v>
          </cell>
          <cell r="D584">
            <v>0</v>
          </cell>
          <cell r="E584" t="str">
            <v>LIEU: 0510 3942 504</v>
          </cell>
        </row>
        <row r="585">
          <cell r="B585" t="str">
            <v>OPUS ONE</v>
          </cell>
          <cell r="C585" t="str">
            <v>GIA CAM WARD-VIET TRI CITY-PHU THO PROVINCE</v>
          </cell>
          <cell r="D585">
            <v>0</v>
          </cell>
          <cell r="E585" t="str">
            <v>Mr Ra Byuong Mun : 0210 38 54 005</v>
          </cell>
        </row>
        <row r="586">
          <cell r="B586" t="str">
            <v>ORIENTAL</v>
          </cell>
          <cell r="C586" t="str">
            <v>DONG LAC COMMUNE-NAM SACH DIST-HAI DUONG</v>
          </cell>
          <cell r="D586">
            <v>0</v>
          </cell>
          <cell r="E586" t="str">
            <v>HUE: 0320 3751 156</v>
          </cell>
        </row>
        <row r="587">
          <cell r="B587" t="str">
            <v>PADMAC</v>
          </cell>
          <cell r="C587" t="str">
            <v>Lo G9- mot phan lo G2, G3, G8, duong N-1, KCN Bao Minh,  huyen Vu Ban, tinh Nam Dinh</v>
          </cell>
          <cell r="D587">
            <v>0</v>
          </cell>
          <cell r="E587" t="str">
            <v>Attn: Tran Tuyet 0983 694 802</v>
          </cell>
        </row>
        <row r="588">
          <cell r="B588" t="str">
            <v>PAN PACIFIC VINH</v>
          </cell>
          <cell r="C588" t="str">
            <v>HAMLET 2, THANH TIEN, THANH CHUONG, NGHE AN</v>
          </cell>
          <cell r="D588">
            <v>0</v>
          </cell>
          <cell r="E588">
            <v>0</v>
          </cell>
        </row>
        <row r="589">
          <cell r="B589" t="str">
            <v>PANGRIM</v>
          </cell>
          <cell r="C589" t="str">
            <v>13th floor, Zodiac building, Alley 19, Duy Tan Street, Cau Giay, Hanoi</v>
          </cell>
          <cell r="D589">
            <v>0</v>
          </cell>
          <cell r="E589" t="str">
            <v>Attn: Ms Linh - 0972 298 358</v>
          </cell>
        </row>
        <row r="590">
          <cell r="B590" t="str">
            <v>PANGRIM</v>
          </cell>
          <cell r="C590" t="str">
            <v>13th floor, Zodiac building, Alley 19, Duy Tan Street, Cau Giay, Ha Noi</v>
          </cell>
          <cell r="D590">
            <v>0</v>
          </cell>
          <cell r="E590" t="str">
            <v>Attn: Ms Linh - 0972 298 358</v>
          </cell>
        </row>
        <row r="591">
          <cell r="B591" t="str">
            <v>PANKO TAM THANG</v>
          </cell>
          <cell r="C591" t="str">
            <v>LOT#1 TAM THANG INDUSTRIAL ZONE, TAM KY CITY, QUANG NAM PROVINCE</v>
          </cell>
          <cell r="D591">
            <v>0</v>
          </cell>
          <cell r="E591">
            <v>0</v>
          </cell>
        </row>
        <row r="592">
          <cell r="B592" t="str">
            <v>PANLOF</v>
          </cell>
          <cell r="C592" t="str">
            <v>THIEN TON TOWN, HOA LU, NINH BINH</v>
          </cell>
          <cell r="D592">
            <v>0</v>
          </cell>
          <cell r="E592" t="str">
            <v>MS HOA: 030 3625 526</v>
          </cell>
        </row>
        <row r="593">
          <cell r="B593" t="str">
            <v>PAN-PACIFIC</v>
          </cell>
          <cell r="C593" t="str">
            <v>Tang 8 toa nha Suced, so 108 Nguyen Hoang, My Dinh, Nam Tu Liem, Ha Noi</v>
          </cell>
          <cell r="D593">
            <v>0</v>
          </cell>
          <cell r="E593">
            <v>0</v>
          </cell>
        </row>
        <row r="594">
          <cell r="B594" t="str">
            <v>PARK CORP</v>
          </cell>
          <cell r="C594" t="str">
            <v>Duong 13, KCN Trang Bang, Quoc lo 22, Xa An Tinh, Huyen Trang Bang,  Tinh Tay Ninh</v>
          </cell>
          <cell r="D594" t="str">
            <v>GIAO KEM HOA DON</v>
          </cell>
          <cell r="E594">
            <v>0</v>
          </cell>
        </row>
        <row r="595">
          <cell r="B595" t="str">
            <v>PEARL GARMENT</v>
          </cell>
          <cell r="C595" t="str">
            <v>469 NGUYEN DU STREET, DUU LAU WARD,VIET TRI CITY PHU THO PROVINCE ,VIETNAM</v>
          </cell>
          <cell r="D595">
            <v>0</v>
          </cell>
          <cell r="E595" t="str">
            <v>NGAN 0974 412 073</v>
          </cell>
        </row>
        <row r="596">
          <cell r="B596" t="str">
            <v>PEARL VINA</v>
          </cell>
          <cell r="C596" t="str">
            <v>VAN DINH, UNG HOA, HA NOI</v>
          </cell>
          <cell r="D596">
            <v>0</v>
          </cell>
          <cell r="E596" t="str">
            <v>MR HOA: 0903 434 076</v>
          </cell>
        </row>
        <row r="597">
          <cell r="B597" t="str">
            <v>PHAN THIET GARMENT</v>
          </cell>
          <cell r="C597" t="str">
            <v>282 NGUYEN HOI, TP. PHAN THIET, BINH THUAN</v>
          </cell>
          <cell r="D597">
            <v>0</v>
          </cell>
          <cell r="E597" t="str">
            <v>MS XUAN MAI: 062 3821 947</v>
          </cell>
        </row>
        <row r="598">
          <cell r="B598" t="str">
            <v>PHI</v>
          </cell>
          <cell r="C598" t="str">
            <v xml:space="preserve">XN10, Dai An Industrial Zone, KM51,
Highway No. 5, Hai Duong, , Vietnam </v>
          </cell>
          <cell r="D598" t="str">
            <v>giao hang truoc-C.Trang- KHTT- NETCO</v>
          </cell>
          <cell r="E598" t="str">
            <v>MR KM Phone: (84) 3203555865 ex- 738, 
 Cell # +84 942 863 502
LAN: 0904 360 462</v>
          </cell>
        </row>
        <row r="599">
          <cell r="B599" t="str">
            <v>PHILIKO</v>
          </cell>
          <cell r="C599" t="str">
            <v>296 DUC THANG-HIEP HOA-BAC GIANG</v>
          </cell>
          <cell r="D599">
            <v>0</v>
          </cell>
          <cell r="E599" t="str">
            <v>MS LUYEN-0917338707-0240 3 865145</v>
          </cell>
        </row>
        <row r="600">
          <cell r="B600" t="str">
            <v>PHILKO</v>
          </cell>
          <cell r="C600" t="str">
            <v>296 DUC THANH, HIEP HOA, BAC GIANG</v>
          </cell>
          <cell r="D600">
            <v>0</v>
          </cell>
          <cell r="E600" t="str">
            <v>MR PARK JONG CHUL : 0240 3865 145</v>
          </cell>
        </row>
        <row r="601">
          <cell r="B601" t="str">
            <v>phoenix</v>
          </cell>
          <cell r="C601" t="str">
            <v>KM 13, DUONG 18, VAN AN, CHI LINH, HAI DUONG</v>
          </cell>
          <cell r="D601" t="str">
            <v>hang chung ctu</v>
          </cell>
          <cell r="E601" t="str">
            <v>MS SEN: 0320 3922560</v>
          </cell>
        </row>
        <row r="602">
          <cell r="B602" t="str">
            <v>PHONG KINH DOANH CHI NHANH SONG CONG 3</v>
          </cell>
          <cell r="C602" t="str">
            <v>PHONG KINH DOANH CHI NHANH SONG CONG 3, KCN SONG CONG, SONG CONG, THAI NGUYEN</v>
          </cell>
          <cell r="D602">
            <v>0</v>
          </cell>
          <cell r="E602" t="str">
            <v>BA NGOC: 01635888486</v>
          </cell>
        </row>
        <row r="603">
          <cell r="B603" t="str">
            <v>PHONG PHU CN DA NANG</v>
          </cell>
          <cell r="C603" t="str">
            <v>LO M, DUONG SO 3, KCN HOA KHANH, P. HOA KHANH BAC, LIEN CHIEU, DA NANG</v>
          </cell>
          <cell r="D603">
            <v>0</v>
          </cell>
          <cell r="E603" t="str">
            <v>MS SUONG: 0905 267 641</v>
          </cell>
        </row>
        <row r="604">
          <cell r="B604" t="str">
            <v>CONG TY TNHH 888</v>
          </cell>
          <cell r="C604" t="str">
            <v>Thôn Hợp Phương, Xã Quảng Hợp, Huyện Quảng Xương, Thanh Hoá</v>
          </cell>
          <cell r="D604">
            <v>0</v>
          </cell>
          <cell r="E604" t="str">
            <v>Bùi Anh/Tracy 01649102382 MsMai 01688372595</v>
          </cell>
        </row>
        <row r="605">
          <cell r="B605" t="str">
            <v>PHONG PHU NHA TRANG</v>
          </cell>
          <cell r="C605" t="str">
            <v>1447 QL1A, Dac Loc Vi., Vinh Phuong Town, Nha Trang City, Khanh Hoa Province., Vietnam</v>
          </cell>
          <cell r="D605">
            <v>0</v>
          </cell>
          <cell r="E605" t="str">
            <v>Chi Ha: Dthoai 0168 6080 423</v>
          </cell>
        </row>
        <row r="606">
          <cell r="B606" t="str">
            <v>PHONG PHU PHU YEN</v>
          </cell>
          <cell r="C606" t="str">
            <v>235 NGUYEN TAT THANH TUY HOA PHU YEN</v>
          </cell>
          <cell r="D606">
            <v>0</v>
          </cell>
          <cell r="E606" t="str">
            <v>HANG 0905279922</v>
          </cell>
        </row>
        <row r="607">
          <cell r="B607" t="str">
            <v>PHU DIEN</v>
          </cell>
          <cell r="C607" t="str">
            <v>26A-CAU DIEN MARKET ST-TU  LIEM-HA NOI</v>
          </cell>
          <cell r="D607">
            <v>0</v>
          </cell>
          <cell r="E607">
            <v>0</v>
          </cell>
        </row>
        <row r="608">
          <cell r="B608" t="str">
            <v>PHU HUNG</v>
          </cell>
          <cell r="C608" t="str">
            <v>Xa Dinh Cao- Phu Cu - Hung Yen</v>
          </cell>
          <cell r="D608">
            <v>0</v>
          </cell>
          <cell r="E608" t="str">
            <v>Attn: Mr Thuong: 0982 493 888</v>
          </cell>
        </row>
        <row r="609">
          <cell r="B609" t="str">
            <v>PHU HUNG TRADING</v>
          </cell>
          <cell r="C609" t="str">
            <v>GAO NAM, HO TUNG MAU, AN THI, HUNG YEN</v>
          </cell>
          <cell r="D609">
            <v>0</v>
          </cell>
          <cell r="E609" t="str">
            <v>MR DOAN: 0986 330 212</v>
          </cell>
        </row>
        <row r="610">
          <cell r="B610" t="str">
            <v>PHU KHANG</v>
          </cell>
          <cell r="C610" t="str">
            <v>QL 39A, XA BAO KHE, TP. HUNG YEN, HUNG YEN</v>
          </cell>
          <cell r="D610">
            <v>0</v>
          </cell>
          <cell r="E610" t="str">
            <v>MS KIM TOAN: 0977 945 671</v>
          </cell>
        </row>
        <row r="611">
          <cell r="B611" t="str">
            <v>WINGA VN</v>
          </cell>
          <cell r="C611" t="str">
            <v>N3, KCN THANH THANH CONG, AN HOA, TRANG BANG, TAY NINH</v>
          </cell>
          <cell r="D611">
            <v>0</v>
          </cell>
          <cell r="E611" t="str">
            <v>HA TRAN 0962171056</v>
          </cell>
        </row>
        <row r="612">
          <cell r="B612" t="str">
            <v>MAXCORE</v>
          </cell>
          <cell r="C612" t="str">
            <v>HOA XA, UNG HOA, HA NOI</v>
          </cell>
          <cell r="D612">
            <v>0</v>
          </cell>
          <cell r="E612">
            <v>0</v>
          </cell>
        </row>
        <row r="613">
          <cell r="B613" t="str">
            <v>VINA MTP</v>
          </cell>
          <cell r="C613" t="str">
            <v>So 1, Hem 9, Duong Nguyen Trai, Khu Pho 7, Phuong 3, Tay Ninh</v>
          </cell>
          <cell r="D613">
            <v>0</v>
          </cell>
          <cell r="E613" t="str">
            <v>Toản (0963783402)</v>
          </cell>
        </row>
        <row r="614">
          <cell r="B614" t="str">
            <v>SEBANG CHAIN VINA</v>
          </cell>
          <cell r="C614" t="str">
            <v>DUONG D2, KCN HOA MAC, DUY TIEN, HA NAM</v>
          </cell>
          <cell r="D614" t="str">
            <v>BOOK VNPT GOI ANH TUNG 01267325818</v>
          </cell>
          <cell r="E614">
            <v>0</v>
          </cell>
        </row>
        <row r="615">
          <cell r="B615" t="str">
            <v>VINA CAPITAL</v>
          </cell>
          <cell r="C615" t="str">
            <v>SO 6, THI SON, KIM BANG, HA NAM</v>
          </cell>
          <cell r="D615">
            <v>0</v>
          </cell>
          <cell r="E615" t="str">
            <v>MR PHAT 0946642386</v>
          </cell>
        </row>
        <row r="616">
          <cell r="B616" t="str">
            <v>KIARA</v>
          </cell>
          <cell r="C616" t="str">
            <v>PHU AN, CAT THANH, TRUC NINH, NAM DINH</v>
          </cell>
          <cell r="D616">
            <v>0</v>
          </cell>
          <cell r="E616" t="str">
            <v>MR HOAI 0934206639</v>
          </cell>
        </row>
        <row r="617">
          <cell r="B617" t="str">
            <v>DAC RANG</v>
          </cell>
          <cell r="C617" t="str">
            <v>SUOI CAO, PHUOC DONG, GO DAU, TAY NINH</v>
          </cell>
          <cell r="D617" t="str">
            <v>KHTT-NETCO</v>
          </cell>
          <cell r="E617" t="str">
            <v>THUY 01626621770</v>
          </cell>
        </row>
        <row r="618">
          <cell r="B618" t="str">
            <v>SWIMAX</v>
          </cell>
          <cell r="C618" t="str">
            <v>VAN PHU, PHU LA, HA DONG, HA NOI</v>
          </cell>
          <cell r="D618">
            <v>0</v>
          </cell>
          <cell r="E618">
            <v>0</v>
          </cell>
        </row>
        <row r="619">
          <cell r="B619" t="str">
            <v>SWIMAX THANH HOA</v>
          </cell>
          <cell r="C619" t="str">
            <v>THO NGUYEN, THO XUAN, THANH HOA</v>
          </cell>
          <cell r="D619">
            <v>0</v>
          </cell>
          <cell r="E619">
            <v>0</v>
          </cell>
        </row>
        <row r="620">
          <cell r="B620" t="str">
            <v>CREATIVE SOURCE</v>
          </cell>
          <cell r="C620" t="str">
            <v>LO CN2 VA CN3 CUM CN MINH LANG, XA MINH LANG,
HUYEN VU THU, TINH THAI BINH</v>
          </cell>
          <cell r="D620">
            <v>0</v>
          </cell>
          <cell r="E620">
            <v>0</v>
          </cell>
        </row>
        <row r="621">
          <cell r="B621" t="str">
            <v>PHU LONG</v>
          </cell>
          <cell r="C621" t="str">
            <v>PHU TRUONG VILLAGE, PHU LONG TOWN, HAM THUAN BAC DISTRICT, BINH THUAN PROVINCE</v>
          </cell>
          <cell r="D621">
            <v>0</v>
          </cell>
          <cell r="E621" t="str">
            <v>MS LINH-0918 680 362</v>
          </cell>
        </row>
        <row r="622">
          <cell r="B622" t="str">
            <v>PHU LONG 2</v>
          </cell>
          <cell r="C622" t="str">
            <v>PHU TUONG, PHU LONG, HAM THUAN BAC, BINH THUAN</v>
          </cell>
          <cell r="D622" t="str">
            <v>HANG CHUNG CTU</v>
          </cell>
          <cell r="E622" t="str">
            <v>MR LAM: 0168 495 5775</v>
          </cell>
        </row>
        <row r="623">
          <cell r="B623" t="str">
            <v>PHU LUONG</v>
          </cell>
          <cell r="C623" t="str">
            <v>SO 7, XA SON CAM, HUYEN PHU LUONG, THAI NGUYEN</v>
          </cell>
          <cell r="D623">
            <v>0</v>
          </cell>
          <cell r="E623" t="str">
            <v>THUY TRANG: 0985 200 229</v>
          </cell>
        </row>
        <row r="624">
          <cell r="B624" t="str">
            <v>PHU MY</v>
          </cell>
          <cell r="C624" t="str">
            <v>Quoc lo 1A – thi tran Phu My , Huyen Phu My - tinh Binh Dinh</v>
          </cell>
          <cell r="D624">
            <v>0</v>
          </cell>
          <cell r="E624" t="str">
            <v>THAO 0914763607</v>
          </cell>
        </row>
        <row r="625">
          <cell r="B625" t="str">
            <v>PHU NGUYEN</v>
          </cell>
          <cell r="C625" t="str">
            <v>QUOC LO 37, THI TRAN NAM SACH, HUYEN NAM SACH, TINH HAI DUONG</v>
          </cell>
          <cell r="D625">
            <v>0</v>
          </cell>
          <cell r="E625" t="str">
            <v>WATER 0988 269 723</v>
          </cell>
        </row>
        <row r="626">
          <cell r="B626" t="str">
            <v>PHU TAI LINH</v>
          </cell>
          <cell r="C626" t="str">
            <v>THON PHU CO, XA QUYET TIEN, HUYEN TIEN LANG, HAI PHONG</v>
          </cell>
          <cell r="D626">
            <v>0</v>
          </cell>
          <cell r="E626" t="str">
            <v>NGAN 01233963696</v>
          </cell>
        </row>
        <row r="627">
          <cell r="B627" t="str">
            <v>PHU TAI LINH 1</v>
          </cell>
          <cell r="C627" t="str">
            <v>131 LUONG KHANH THIEN, P. CAU DAT, Q. NGO QUYEN, HAI PHONG</v>
          </cell>
          <cell r="D627" t="str">
            <v>CHUNG CTU</v>
          </cell>
          <cell r="E627" t="str">
            <v>0164 869 9699- A TUAN</v>
          </cell>
        </row>
        <row r="628">
          <cell r="B628" t="str">
            <v>PHU TAI LINH GEORGE</v>
          </cell>
          <cell r="C628" t="str">
            <v>KCN NAM TAI, PHU THAI, KIM THANH, HAI DUONG</v>
          </cell>
          <cell r="D628" t="str">
            <v>CHO XNK CONFIRM</v>
          </cell>
          <cell r="E628" t="str">
            <v>01276826827- MS NGAN</v>
          </cell>
        </row>
        <row r="629">
          <cell r="B629" t="str">
            <v>PHU TAI LINH HAI PHONG</v>
          </cell>
          <cell r="C629" t="str">
            <v>Thôn Phú Cơ, xã Quyết Tiến, huyện Tiên Lãng, tp. Hải Phòng</v>
          </cell>
          <cell r="D629">
            <v>0</v>
          </cell>
          <cell r="E629">
            <v>0</v>
          </cell>
        </row>
        <row r="630">
          <cell r="B630" t="str">
            <v>PHU TAI LINH PRIMARK</v>
          </cell>
          <cell r="C630" t="str">
            <v>KCN NAM TAI, PHU THAI, KIM THANH, HAI DUONG</v>
          </cell>
          <cell r="D630" t="str">
            <v>CHO XNK CONFIRM</v>
          </cell>
          <cell r="E630" t="str">
            <v>01276826827- MS NGAN</v>
          </cell>
        </row>
        <row r="631">
          <cell r="B631" t="str">
            <v>PHU THO</v>
          </cell>
          <cell r="C631" t="str">
            <v>16 DUONG HOA PHONG, GIA LAM, VIET TRI, PHU THO</v>
          </cell>
          <cell r="D631" t="str">
            <v>HANG CTU</v>
          </cell>
          <cell r="E631" t="str">
            <v>ANH HAI: 0919677261</v>
          </cell>
        </row>
        <row r="632">
          <cell r="B632" t="str">
            <v>PHU THO 1 ( VP VINEX)</v>
          </cell>
          <cell r="C632" t="str">
            <v>LAU 6, 478 MINH KHAI, HAI BA TRUNG, HA NOI</v>
          </cell>
          <cell r="D632">
            <v>0</v>
          </cell>
          <cell r="E632" t="str">
            <v>Mrs.  Merry/Huong
+84-0989709898</v>
          </cell>
        </row>
        <row r="633">
          <cell r="B633" t="str">
            <v>PHU THO 2</v>
          </cell>
          <cell r="C633" t="str">
            <v>Phuong Phong Chau, TX Phu Tho</v>
          </cell>
          <cell r="D633">
            <v>0</v>
          </cell>
          <cell r="E633" t="str">
            <v>Vat tu - Ms. Nam - 0384 387 823</v>
          </cell>
        </row>
        <row r="634">
          <cell r="B634" t="str">
            <v>TINH LOI RALPH</v>
          </cell>
          <cell r="C634" t="str">
            <v>KCN LAI VU, HAI DUONG</v>
          </cell>
          <cell r="D634">
            <v>0</v>
          </cell>
          <cell r="E634" t="str">
            <v>MS HUONG 0982094023</v>
          </cell>
        </row>
        <row r="635">
          <cell r="B635" t="str">
            <v>PHU TUONG</v>
          </cell>
          <cell r="C635" t="str">
            <v>NONG SON HAMLET, DIEN PHUOC WARDS, DIEN BAN DIST, QUANG NAM PROVINCE</v>
          </cell>
          <cell r="D635">
            <v>0</v>
          </cell>
          <cell r="E635" t="str">
            <v>HO ANH: 0947 574 646</v>
          </cell>
        </row>
        <row r="636">
          <cell r="B636" t="str">
            <v>PHUC DAT</v>
          </cell>
          <cell r="C636" t="str">
            <v>le loi commune- an duong hai phong</v>
          </cell>
          <cell r="D636">
            <v>0</v>
          </cell>
          <cell r="E636" t="str">
            <v>thu-0313 597 978</v>
          </cell>
        </row>
        <row r="637">
          <cell r="B637" t="str">
            <v>PHUOC HIEP THANH</v>
          </cell>
          <cell r="C637" t="str">
            <v>Huong Van Ward, Huong Tra Town, Thua Thien Hue province</v>
          </cell>
          <cell r="D637">
            <v>0</v>
          </cell>
          <cell r="E637" t="str">
            <v>Ms Tham  0944 341 357</v>
          </cell>
        </row>
        <row r="638">
          <cell r="B638" t="str">
            <v>HOA PHONG</v>
          </cell>
          <cell r="C638" t="str">
            <v>SO 511, KHU QH DAT O, THON KIEU DONG, HONG THAI, AN DUONG, HAI PHONG</v>
          </cell>
          <cell r="D638">
            <v>0</v>
          </cell>
          <cell r="E638">
            <v>0</v>
          </cell>
        </row>
        <row r="639">
          <cell r="B639" t="str">
            <v>PRETTY VINA</v>
          </cell>
          <cell r="C639" t="str">
            <v>KCN HOA MAC, DUY TIEN, HA NAM</v>
          </cell>
          <cell r="D639" t="str">
            <v>BOOK VIETTEL GOI ANH NAM 01679630423</v>
          </cell>
          <cell r="E639" t="str">
            <v>JOHN 01656201930</v>
          </cell>
        </row>
        <row r="640">
          <cell r="B640" t="str">
            <v>DAT DANG</v>
          </cell>
          <cell r="C640" t="str">
            <v>DONG PHUONG, DONG HUNG, THAI BINH</v>
          </cell>
          <cell r="D640">
            <v>0</v>
          </cell>
          <cell r="E640">
            <v>0</v>
          </cell>
        </row>
        <row r="641">
          <cell r="B641" t="str">
            <v>TIANYE OUTDOOR</v>
          </cell>
          <cell r="C641" t="str">
            <v>NHA XUONG F4, LO DAT CN9 CN10, KCN PHU THAI, KIM THANH, HAI DUONG</v>
          </cell>
          <cell r="D641">
            <v>0</v>
          </cell>
          <cell r="E641">
            <v>0</v>
          </cell>
        </row>
        <row r="642">
          <cell r="B642" t="str">
            <v>HOAN VINH</v>
          </cell>
          <cell r="C642" t="str">
            <v>108 QL 1A, TAN PHU, TAN LY TAY, CHAU THANH, TIEN GIANG</v>
          </cell>
          <cell r="D642">
            <v>0</v>
          </cell>
          <cell r="E642">
            <v>0</v>
          </cell>
        </row>
        <row r="643">
          <cell r="B643" t="str">
            <v>MAPLE CHI NHANH PEONY</v>
          </cell>
          <cell r="C643" t="str">
            <v>SO 15, DUONG 7, VSIP BAC NINH, PHU CHAN, TU SON, BAC NINH</v>
          </cell>
          <cell r="D643">
            <v>0</v>
          </cell>
          <cell r="E643">
            <v>0</v>
          </cell>
        </row>
        <row r="644">
          <cell r="B644" t="str">
            <v>MASEON GLOBAL</v>
          </cell>
          <cell r="C644" t="str">
            <v>Alley.8-Vinh Thanh Village-Vinh Loc Dist-Thanh Hoa Province</v>
          </cell>
          <cell r="D644">
            <v>0</v>
          </cell>
          <cell r="E644">
            <v>0</v>
          </cell>
        </row>
        <row r="645">
          <cell r="B645" t="str">
            <v>HANEX HUE</v>
          </cell>
          <cell r="C645" t="str">
            <v>LO C-3, KCN PHU BAI, HUONG THUY, HUE</v>
          </cell>
          <cell r="D645">
            <v>0</v>
          </cell>
          <cell r="E645">
            <v>0</v>
          </cell>
        </row>
        <row r="646">
          <cell r="B646" t="str">
            <v>PHUOC KY NAM</v>
          </cell>
          <cell r="C646" t="str">
            <v>KCN Thuan Yen - P. Hoa Thuan - TP. Tam Ky - Tinh Quang Nam</v>
          </cell>
          <cell r="D646">
            <v>0</v>
          </cell>
          <cell r="E646" t="str">
            <v>Truong Thi Hoang Linh - packing team.So dt: 0905 024 608</v>
          </cell>
        </row>
        <row r="647">
          <cell r="B647" t="str">
            <v>PI VINA DANANG</v>
          </cell>
          <cell r="C647" t="str">
            <v xml:space="preserve"> KCN HOA KHANH Q.LIEN CHIEU, TP. DA NANG</v>
          </cell>
          <cell r="D647">
            <v>0</v>
          </cell>
          <cell r="E647" t="str">
            <v>HUONG 01208361859</v>
          </cell>
        </row>
        <row r="648">
          <cell r="B648" t="str">
            <v>PINE TREE</v>
          </cell>
          <cell r="C648" t="str">
            <v>TRA BAN 1 HAMLET, CHAU HUNG A COMMUNE, VINH LOI DISTRICT, BAC LIEU PROVINCE</v>
          </cell>
          <cell r="D648" t="str">
            <v>BOOK VNPT GOI ANH TUNG 01267325818</v>
          </cell>
          <cell r="E648" t="str">
            <v>Hand phone: 0984 530 372  A.SANG</v>
          </cell>
        </row>
        <row r="649">
          <cell r="B649" t="str">
            <v>PIT VINA</v>
          </cell>
          <cell r="C649" t="str">
            <v>KM 14, THANG LOI, AN HUNG,
AN DUONG, HAI PHONG</v>
          </cell>
          <cell r="D649" t="str">
            <v>HANG CHO XNK CONFIRM</v>
          </cell>
          <cell r="E649" t="str">
            <v>0912 950 692- MS CHI</v>
          </cell>
        </row>
        <row r="650">
          <cell r="B650" t="str">
            <v>SUNRISE SPORT</v>
          </cell>
          <cell r="C650" t="str">
            <v>HOANG THANH, HOANG HOA, THANH HOA</v>
          </cell>
          <cell r="D650">
            <v>0</v>
          </cell>
          <cell r="E650">
            <v>0</v>
          </cell>
        </row>
        <row r="651">
          <cell r="B651">
            <v>0</v>
          </cell>
          <cell r="C651">
            <v>0</v>
          </cell>
          <cell r="D651">
            <v>0</v>
          </cell>
          <cell r="E651">
            <v>0</v>
          </cell>
        </row>
        <row r="652">
          <cell r="B652" t="str">
            <v>PLUMMY</v>
          </cell>
          <cell r="C652" t="str">
            <v>KHU TAI DINH CU HOA PHU, PHU MAN, QUOC OAI, HA NOI</v>
          </cell>
          <cell r="D652" t="str">
            <v>GAP INC GIAO THAI BINH, CON LAI GIAO HA NOI</v>
          </cell>
          <cell r="E652" t="str">
            <v>HUE/NGUYET: 04 3394 7153</v>
          </cell>
        </row>
        <row r="653">
          <cell r="B653" t="str">
            <v>PLUMMY THAI BINH</v>
          </cell>
          <cell r="C653" t="str">
            <v>LOT CN2, KCN HUNG NHAN, HUNG HA, THAI BINH</v>
          </cell>
          <cell r="D653">
            <v>0</v>
          </cell>
          <cell r="E653" t="str">
            <v>MS THAO 0947938288</v>
          </cell>
        </row>
        <row r="654">
          <cell r="B654" t="str">
            <v>DET MAY PHU HOA AN</v>
          </cell>
          <cell r="C654" t="str">
            <v>KCN PHU BAI, THUA THIEN, HUE</v>
          </cell>
          <cell r="D654">
            <v>0</v>
          </cell>
          <cell r="E654">
            <v>0</v>
          </cell>
        </row>
        <row r="655">
          <cell r="B655" t="str">
            <v>PNG</v>
          </cell>
          <cell r="C655" t="str">
            <v>KM 52- HIGH WAY No. 5, VIET NAM, CAM THUONG, TP. HAI DUONG</v>
          </cell>
          <cell r="D655" t="str">
            <v>CHUNG HD</v>
          </cell>
          <cell r="E655" t="str">
            <v>Đt: 0320. 3845. 187 (Máy lẻ: 222)
0985 793 138- MS NHIEN</v>
          </cell>
        </row>
        <row r="656">
          <cell r="B656" t="str">
            <v>POONG SHIN</v>
          </cell>
          <cell r="C656" t="str">
            <v>số 10- B5, Ngõ 6, Kim Động, Giáp Bát, Hoàng Mai, Hà Nội</v>
          </cell>
          <cell r="D656" t="str">
            <v>C.KATE</v>
          </cell>
          <cell r="E656" t="str">
            <v>Attn: Ms Dung: 0982 308 380</v>
          </cell>
        </row>
        <row r="657">
          <cell r="B657" t="str">
            <v xml:space="preserve">POONGSHIN </v>
          </cell>
          <cell r="C657" t="str">
            <v>10B5 KIM DONG-GIAP BAT-HOANG MAI-HANOI, VIETNAM</v>
          </cell>
          <cell r="D657">
            <v>0</v>
          </cell>
          <cell r="E657" t="str">
            <v xml:space="preserve">ATTN: Ms Phuong Lan/ Mr Ha
Tel: +84-(0)4-3864-6710
Fax: +84-(0)4-3864-6928
</v>
          </cell>
        </row>
        <row r="658">
          <cell r="B658" t="str">
            <v>POONGSHIN VINA</v>
          </cell>
          <cell r="C658" t="str">
            <v>KCN PHUC KHANH, THAI BINH</v>
          </cell>
          <cell r="D658">
            <v>0</v>
          </cell>
          <cell r="E658" t="str">
            <v>MS NGOC/HA: 0363 3684 5941</v>
          </cell>
        </row>
        <row r="659">
          <cell r="B659" t="str">
            <v>POU HUNG</v>
          </cell>
          <cell r="C659" t="str">
            <v>DUONG SO 1, KCN CHA LA, BINH LINH, CHA LA, DUONG MINH CHAU, TAY NINH</v>
          </cell>
          <cell r="D659">
            <v>0</v>
          </cell>
          <cell r="E659" t="str">
            <v>LANH: 0965 359 389
KIEU NHI: 0166 238 9971</v>
          </cell>
        </row>
        <row r="660">
          <cell r="B660" t="str">
            <v>POU LI</v>
          </cell>
          <cell r="C660" t="str">
            <v xml:space="preserve"> LOTS 37-9A,37-10,37-11,37-12,37-13 ,37-14A PHUOC DONG, INDUSTRIAL PARK ,GO DAU DISTRICT, TAY NINH PROVINCE</v>
          </cell>
          <cell r="D660">
            <v>0</v>
          </cell>
          <cell r="E660" t="str">
            <v xml:space="preserve">Huyền: 0977114330 </v>
          </cell>
        </row>
        <row r="661">
          <cell r="B661" t="str">
            <v>POU LI TIMBERLAND</v>
          </cell>
          <cell r="C661" t="str">
            <v xml:space="preserve"> LOTS 37-9A,37-10,37-11,37-12,37-13 ,37-14A PHUOC DONG, INDUSTRIAL PARK ,GO DAU DISTRICT, TAY NINH PROVINCE</v>
          </cell>
          <cell r="D661">
            <v>0</v>
          </cell>
          <cell r="E661" t="str">
            <v>THẢO kho : 0162.803.5191</v>
          </cell>
        </row>
        <row r="662">
          <cell r="B662" t="str">
            <v>VIET THUAN</v>
          </cell>
          <cell r="C662" t="str">
            <v>DUONG N5A, KCN HOA XA, MY XA, NAM DINH</v>
          </cell>
          <cell r="D662">
            <v>0</v>
          </cell>
          <cell r="E662">
            <v>0</v>
          </cell>
        </row>
        <row r="663">
          <cell r="B663" t="str">
            <v>VIET TRI GARMENT</v>
          </cell>
          <cell r="C663" t="str">
            <v>DONG LA, HONG QUANG, THANH MIEN, HAI DUONG</v>
          </cell>
          <cell r="D663">
            <v>0</v>
          </cell>
          <cell r="E663" t="str">
            <v>MRS LINH 0966.326.926</v>
          </cell>
        </row>
        <row r="664">
          <cell r="B664" t="str">
            <v>BEST BASE</v>
          </cell>
          <cell r="C664" t="str">
            <v>LO 35, 36, KCX LINH TRUNG III, TRANG BANG, TAY NINH</v>
          </cell>
          <cell r="D664">
            <v>0</v>
          </cell>
          <cell r="E664">
            <v>0</v>
          </cell>
        </row>
        <row r="665">
          <cell r="B665" t="str">
            <v>MAY CAM RANH</v>
          </cell>
          <cell r="C665" t="str">
            <v>Tổ Dân Phố Hòa Do 6B, Phường Cam Phúc Bắc, TP.Cam Ranh, Tỉnh.Khánh Hòa</v>
          </cell>
          <cell r="D665">
            <v>0</v>
          </cell>
          <cell r="E665" t="str">
            <v>Ms Duyen 0935456607</v>
          </cell>
        </row>
        <row r="666">
          <cell r="B666" t="str">
            <v>PREMIER PEARL</v>
          </cell>
          <cell r="C666" t="str">
            <v>LOT B3-B4-GIAO LONG IZ-CHAU THANH-BEN TRE</v>
          </cell>
          <cell r="D666">
            <v>0</v>
          </cell>
          <cell r="E666" t="str">
            <v>075 3637 346/347/333</v>
          </cell>
        </row>
        <row r="667">
          <cell r="B667" t="str">
            <v>PREX VINH</v>
          </cell>
          <cell r="C667" t="str">
            <v>CUM CN XA LAC SON, HUYEN DO LUONG, NGHE AN</v>
          </cell>
          <cell r="D667">
            <v>0</v>
          </cell>
          <cell r="E667" t="str">
            <v>MS LIEN 01634615428</v>
          </cell>
        </row>
        <row r="668">
          <cell r="B668" t="str">
            <v>PRO SPORTS</v>
          </cell>
          <cell r="C668" t="str">
            <v>KHU 4A, THI TRAN NGO DONG, GIAO THUY, NẠM DINH</v>
          </cell>
          <cell r="D668">
            <v>0</v>
          </cell>
          <cell r="E668" t="str">
            <v>MS LINH: 0944801718</v>
          </cell>
        </row>
        <row r="669">
          <cell r="B669" t="str">
            <v>PROMADE LINGERIE</v>
          </cell>
          <cell r="C669" t="str">
            <v>A7, DUONG SO 1, CUM CN NHO, VI THANH, HAU GIANG</v>
          </cell>
          <cell r="D669">
            <v>0</v>
          </cell>
          <cell r="E669" t="str">
            <v>PING PAI: 0711 3582 498</v>
          </cell>
        </row>
        <row r="670">
          <cell r="B670" t="str">
            <v>PROSPORTS HA NOI</v>
          </cell>
          <cell r="C670" t="str">
            <v>TANG 15 LILAMA 10 TOWER TO HUU TRUNG VAN TU LIEM HA NOI</v>
          </cell>
          <cell r="D670">
            <v>0</v>
          </cell>
          <cell r="E670" t="str">
            <v>MINH: 0985 024 353</v>
          </cell>
        </row>
        <row r="671">
          <cell r="B671" t="str">
            <v>PUNGKOOK BEN TRE</v>
          </cell>
          <cell r="C671" t="str">
            <v>LOT E4, E5, E10, E11, KCN GIAO LONG, AN PHUOC, CHAU THANH, BEN TRE</v>
          </cell>
          <cell r="D671">
            <v>0</v>
          </cell>
          <cell r="E671" t="str">
            <v>YEN: 0986 885 110</v>
          </cell>
        </row>
        <row r="672">
          <cell r="B672" t="str">
            <v>QTNP</v>
          </cell>
          <cell r="C672" t="str">
            <v>NO 18, LOT 18, RESETTLEMENT AREA, LONG BIEN, HA NOI</v>
          </cell>
          <cell r="D672">
            <v>0</v>
          </cell>
          <cell r="E672" t="str">
            <v>Điện thoại: 04-3670 0001 
Người liên lạc: 
Hương- 0987 888 418 
Duyên-0978 858 385</v>
          </cell>
        </row>
        <row r="673">
          <cell r="B673" t="str">
            <v>QTNP CHI HA</v>
          </cell>
          <cell r="C673" t="str">
            <v>94/75 HONG HA RD-BA DINH-HANOI</v>
          </cell>
          <cell r="D673">
            <v>0</v>
          </cell>
          <cell r="E673" t="str">
            <v>Điện thoại: 04-3670 0001 
Người liên lạc: 
Hương- ĐT di động: 0987 888 418 
Duyên- DDT di động: 0978 858 385</v>
          </cell>
        </row>
        <row r="674">
          <cell r="B674" t="str">
            <v>Quang and Artex</v>
          </cell>
          <cell r="C674" t="str">
            <v>95 Ba Trieu- Hai Ba Trung- Ha Noi</v>
          </cell>
          <cell r="D674" t="str">
            <v>TTC- KHTT - HD</v>
          </cell>
          <cell r="E674" t="str">
            <v>Nguyen Thanh Tuan: 04 39454235</v>
          </cell>
        </row>
        <row r="675">
          <cell r="B675" t="str">
            <v>QUANG MINH</v>
          </cell>
          <cell r="C675" t="str">
            <v>207C, DUONG NGUYEN THI THAP, PHUONG 10, TP. MY THO, TIEN GIANG</v>
          </cell>
          <cell r="D675">
            <v>0</v>
          </cell>
          <cell r="E675" t="str">
            <v>MS THANH: 0908 608 688</v>
          </cell>
        </row>
        <row r="676">
          <cell r="B676" t="str">
            <v>QUANG VIET TIEN GIANG</v>
          </cell>
          <cell r="C676" t="str">
            <v>LOT K1-1, KCN TAN HUONG, TAN HUONG, CHAU THANH, TIEN GIANG</v>
          </cell>
          <cell r="D676" t="str">
            <v>HANG KHONG GAP- T5 GIAO XE TAI, HANG GAP-GUI KERRY</v>
          </cell>
          <cell r="E676" t="str">
            <v>MS TIEN: 0167 747 8607</v>
          </cell>
        </row>
        <row r="677">
          <cell r="B677" t="str">
            <v>QUANNON</v>
          </cell>
          <cell r="C677" t="str">
            <v>05A DUONG SO 2, KCN LONG HAU, CAN GIUOC, LONG AN</v>
          </cell>
          <cell r="D677">
            <v>0</v>
          </cell>
          <cell r="E677" t="str">
            <v>ATTN: HENRY/ CAROL: 083 8734165</v>
          </cell>
        </row>
        <row r="678">
          <cell r="B678" t="str">
            <v>QUANON</v>
          </cell>
          <cell r="C678" t="str">
            <v>LO H05A, DUONG SO 2, KCN LONG HAU, CAN GIUOC, LONG AN</v>
          </cell>
          <cell r="D678">
            <v>0</v>
          </cell>
          <cell r="E678">
            <v>0</v>
          </cell>
        </row>
        <row r="679">
          <cell r="B679" t="str">
            <v>R.SENSE</v>
          </cell>
          <cell r="C679" t="str">
            <v>TRAN HUNG DAO BOUNDARY-DONG HAI WARD-HAI AN DIST-HAI PHONG</v>
          </cell>
          <cell r="D679">
            <v>0</v>
          </cell>
          <cell r="E679" t="str">
            <v>BARRY/JIM-313 979902</v>
          </cell>
        </row>
        <row r="680">
          <cell r="B680" t="str">
            <v>RAPEXCO – DAINAM LLC</v>
          </cell>
          <cell r="C680" t="str">
            <v>SUOI DAU IZ-CAM LAM-KHANH HOA</v>
          </cell>
          <cell r="D680">
            <v>0</v>
          </cell>
          <cell r="E680" t="str">
            <v>MS TAM-058.3743516</v>
          </cell>
        </row>
        <row r="681">
          <cell r="B681" t="str">
            <v>DONG HAI</v>
          </cell>
          <cell r="C681" t="str">
            <v>132 NGUYEN VAN CU, P. NGOC TRAO, TX. BIM SON, T.THANH HOA</v>
          </cell>
          <cell r="D681">
            <v>0</v>
          </cell>
          <cell r="E681" t="str">
            <v>MS. MINH THUY 0937948294</v>
          </cell>
        </row>
        <row r="682">
          <cell r="B682" t="str">
            <v>REGINA MIRACLE</v>
          </cell>
          <cell r="C682" t="str">
            <v>So 9, Duong Dong Tay, VSIP Hai Phong, Huyen Thuy Nguyen, thuoc KKT Dinh Vu, Cat Hai, Hai Phong, Viet Nam</v>
          </cell>
          <cell r="D682">
            <v>0</v>
          </cell>
          <cell r="E682">
            <v>0</v>
          </cell>
        </row>
        <row r="683">
          <cell r="B683" t="str">
            <v>REHONG</v>
          </cell>
          <cell r="C683" t="str">
            <v>LOT NO.A4, 13-14, THANH THANH CONG INDUSTRIAL PARK, AN HOA COMMUNE, TRANG BANG, TAY NINH</v>
          </cell>
          <cell r="D683">
            <v>0</v>
          </cell>
          <cell r="E683">
            <v>0</v>
          </cell>
        </row>
        <row r="684">
          <cell r="B684" t="str">
            <v>Representative Office of Unico Global Vn</v>
          </cell>
          <cell r="C684" t="str">
            <v>4th Floor, An Phu Building, 24 Hoang Quoc Viet Street, Cau Giay District, Ha Noi</v>
          </cell>
          <cell r="D684">
            <v>0</v>
          </cell>
          <cell r="E684">
            <v>0</v>
          </cell>
        </row>
        <row r="685">
          <cell r="B685" t="str">
            <v>REPRESENTATIVE UNICO</v>
          </cell>
          <cell r="C685" t="str">
            <v>4th Floor, An Phu Building, 24 Hoang Quoc Viet Street, Cau Giay District, Ha Noi</v>
          </cell>
          <cell r="D685">
            <v>0</v>
          </cell>
          <cell r="E685" t="str">
            <v>ATTN: HUONG 01655225094</v>
          </cell>
        </row>
        <row r="686">
          <cell r="B686" t="str">
            <v>RICH</v>
          </cell>
          <cell r="C686" t="str">
            <v>MINH DUC, MY HAO, HUNG YEN</v>
          </cell>
          <cell r="D686">
            <v>0</v>
          </cell>
          <cell r="E686" t="str">
            <v>MS NGOC 0977 845 290</v>
          </cell>
        </row>
        <row r="687">
          <cell r="B687" t="str">
            <v>RICH GARMENT</v>
          </cell>
          <cell r="C687" t="str">
            <v>NAM SACH IZ-HAI DUONG</v>
          </cell>
          <cell r="D687">
            <v>0</v>
          </cell>
          <cell r="E687" t="str">
            <v>NGAN/NGOC/THUY/HAU-3203574168</v>
          </cell>
        </row>
        <row r="688">
          <cell r="B688" t="str">
            <v>RICH GARMENT1</v>
          </cell>
          <cell r="C688" t="str">
            <v>X.MINH DUC-H.MY HAO-HUNG YEN</v>
          </cell>
          <cell r="D688">
            <v>0</v>
          </cell>
          <cell r="E688" t="str">
            <v>NGOC-32103955188</v>
          </cell>
        </row>
        <row r="689">
          <cell r="B689" t="str">
            <v>RICH WAY</v>
          </cell>
          <cell r="C689" t="str">
            <v>KCN KY SON, TU KY, HAI DUONG</v>
          </cell>
          <cell r="D689">
            <v>0</v>
          </cell>
          <cell r="E689">
            <v>0</v>
          </cell>
        </row>
        <row r="690">
          <cell r="B690" t="str">
            <v>RIGHT RICH</v>
          </cell>
          <cell r="C690" t="str">
            <v>LO C7-1, C7-2, C7-3, C7-4 KCN HAM KIEM II - BITA'S, HAM THUAN NAM, BINH THUAN</v>
          </cell>
          <cell r="D690" t="str">
            <v>HANG CHUNG CTU</v>
          </cell>
          <cell r="E690" t="str">
            <v>MS QUYEN: 0975 358 064</v>
          </cell>
        </row>
        <row r="691">
          <cell r="B691" t="str">
            <v>RIO VINA</v>
          </cell>
          <cell r="C691" t="str">
            <v>359 AP LONG KHANH, XA TAM PHUOC, LONG THANH, DONG NAI</v>
          </cell>
          <cell r="D691">
            <v>0</v>
          </cell>
          <cell r="E691" t="str">
            <v>MR KY/ MS PHUONG: 0613 513241
0168 871 7393- MS HANH</v>
          </cell>
        </row>
        <row r="692">
          <cell r="B692" t="str">
            <v>ROLLSPORT</v>
          </cell>
          <cell r="C692" t="str">
            <v>KCN VA DO THI HOANG LONG, TAO XUYEN. THANH HOA</v>
          </cell>
          <cell r="D692" t="str">
            <v xml:space="preserve">HANG VAT BOOK NEWPOST(NOTE PICK SLIT VIETTEL LAY HANG)
HANG GEN BOOK MAIL KERRY HANG TUAN VAO THU 4 BOOK SHIP DUONG BO </v>
          </cell>
          <cell r="E692" t="str">
            <v>MR VIET: 0973 799 128</v>
          </cell>
        </row>
        <row r="693">
          <cell r="B693" t="str">
            <v>ROLLSPORT  NORTHFACE</v>
          </cell>
          <cell r="C693" t="str">
            <v>KCN VA DO THI HOANG LONG, TAO XUYEN. THANH HOA</v>
          </cell>
          <cell r="D693" t="str">
            <v>NORTHFACE GIAO NETCO</v>
          </cell>
          <cell r="E693" t="str">
            <v>JULIE: 0973 292 681</v>
          </cell>
        </row>
        <row r="694">
          <cell r="B694" t="str">
            <v>SAKURAI VN</v>
          </cell>
          <cell r="C694" t="str">
            <v>PLOT 2, F AREA, LEMON INDUSTRIAL PARK, THANH HOA CITY</v>
          </cell>
          <cell r="D694">
            <v>0</v>
          </cell>
          <cell r="E694" t="str">
            <v>TUAN 0932214898</v>
          </cell>
        </row>
        <row r="695">
          <cell r="B695">
            <v>0</v>
          </cell>
          <cell r="C695">
            <v>0</v>
          </cell>
          <cell r="D695">
            <v>0</v>
          </cell>
          <cell r="E695">
            <v>0</v>
          </cell>
        </row>
        <row r="696">
          <cell r="B696" t="str">
            <v>SHILLA GLOVIS</v>
          </cell>
          <cell r="C696" t="str">
            <v>CHO MOI, LONG HOA, GO CONG, TIEN GIANG</v>
          </cell>
          <cell r="D696">
            <v>0</v>
          </cell>
          <cell r="E696" t="str">
            <v>Ms Phung 01687770829</v>
          </cell>
        </row>
        <row r="697">
          <cell r="B697" t="str">
            <v>SANG INH VINA</v>
          </cell>
          <cell r="C697" t="str">
            <v>HAMLET 2, HOA HUNG, XUYEN MOC, BA RIA VUNG TAU</v>
          </cell>
          <cell r="D697">
            <v>0</v>
          </cell>
          <cell r="E697">
            <v>0</v>
          </cell>
        </row>
        <row r="698">
          <cell r="B698" t="str">
            <v>SAMETEX</v>
          </cell>
          <cell r="C698" t="str">
            <v>386/2 DUONG 62, PHUONG 6, THI XA TAN AN, LONG AN</v>
          </cell>
          <cell r="D698">
            <v>0</v>
          </cell>
          <cell r="E698">
            <v>0</v>
          </cell>
        </row>
        <row r="699">
          <cell r="B699" t="str">
            <v>SAMHO</v>
          </cell>
          <cell r="C699" t="str">
            <v xml:space="preserve">KCN TRANG BANG-AN TINH-TAY NINH </v>
          </cell>
          <cell r="D699">
            <v>0</v>
          </cell>
          <cell r="E699" t="str">
            <v>MR HUYNH-0909896097</v>
          </cell>
        </row>
        <row r="700">
          <cell r="B700" t="str">
            <v>SAMIL HANOI VN</v>
          </cell>
          <cell r="C700" t="str">
            <v>KM 52. QUOC LO 5, BINH HAN, HAI DUONG</v>
          </cell>
          <cell r="D700" t="str">
            <v>GOI FORWARDER ADC DEN LAY- 0650 6257 333- GIAO DUONG BO- NNTT</v>
          </cell>
          <cell r="E700" t="str">
            <v>CHỊ THANH- PHONG VAT TU: 0904 811 639</v>
          </cell>
        </row>
        <row r="701">
          <cell r="B701" t="str">
            <v>Sampo Vina</v>
          </cell>
          <cell r="C701" t="str">
            <v>Lo B8, KCN Que Vo, P.Van Duong, Tp.Bac Ninh, Bac Ninh</v>
          </cell>
          <cell r="D701">
            <v>0</v>
          </cell>
          <cell r="E701" t="str">
            <v xml:space="preserve"> Ms Nga 01632.455.666 </v>
          </cell>
        </row>
        <row r="702">
          <cell r="B702" t="str">
            <v>SANG HUN</v>
          </cell>
          <cell r="C702" t="str">
            <v>KCN DONG XOAI 1, XA TAN THANH, TX DONG XOAI, BINH PHUOC</v>
          </cell>
          <cell r="D702">
            <v>0</v>
          </cell>
          <cell r="E702" t="str">
            <v>Ms Huệ - 0904250450</v>
          </cell>
        </row>
        <row r="703">
          <cell r="B703" t="str">
            <v>SANG SEUNG</v>
          </cell>
          <cell r="C703" t="str">
            <v>AP AN LAC, AN NHUT, LONG DIEN, BA RIA-VUNG TAU</v>
          </cell>
          <cell r="D703" t="str">
            <v>INVISTA</v>
          </cell>
          <cell r="E703" t="str">
            <v>MS YEN: 0983 397 798</v>
          </cell>
        </row>
        <row r="704">
          <cell r="B704" t="str">
            <v>JY VINA</v>
          </cell>
          <cell r="C704" t="str">
            <v>NGHIA HUAN, MY THANH, GIONG TROM, BEN TRE</v>
          </cell>
          <cell r="D704" t="str">
            <v>COMBINE VOI HANG DREAM MEKONG, CHO CS CONFIRM SD: VNPT</v>
          </cell>
          <cell r="E704">
            <v>0</v>
          </cell>
        </row>
        <row r="705">
          <cell r="B705" t="str">
            <v>SANTA CLARA</v>
          </cell>
          <cell r="C705" t="str">
            <v>An Tinh Hamlet, Yen Binh Commune, Y Yen District, Nam Dinh</v>
          </cell>
          <cell r="D705">
            <v>0</v>
          </cell>
          <cell r="E705" t="str">
            <v>Ms Anna Dinh 0961280099</v>
          </cell>
        </row>
        <row r="706">
          <cell r="B706" t="str">
            <v>SAO MAI</v>
          </cell>
          <cell r="C706" t="str">
            <v>BINH MINH RESIDENTIAL QUARTER, VINH BAO TOWN, HAI PHONG CITY</v>
          </cell>
          <cell r="D706">
            <v>0</v>
          </cell>
          <cell r="E706">
            <v>0</v>
          </cell>
        </row>
        <row r="707">
          <cell r="B707" t="str">
            <v xml:space="preserve">SAO MAI </v>
          </cell>
          <cell r="C707" t="str">
            <v>163, 30TH PROVINCIAL ROAD, MY PHU WARD, CAO LANH TOWN, DONG THAP PROVINCE</v>
          </cell>
          <cell r="D707">
            <v>0</v>
          </cell>
          <cell r="E707">
            <v>0</v>
          </cell>
        </row>
        <row r="708">
          <cell r="B708" t="str">
            <v>SAO VANG</v>
          </cell>
          <cell r="C708" t="str">
            <v>Chi nhanh Cong Ty TNHH SAO VANG
Khu PhúThanh Tây- Phương Yên Thanh,
thi xa Uong Bi,tinh Quang Ninh</v>
          </cell>
          <cell r="D708">
            <v>0</v>
          </cell>
          <cell r="E708" t="str">
            <v>HOA
DT:0988 11 0026</v>
          </cell>
        </row>
        <row r="709">
          <cell r="B709" t="str">
            <v>SAO VANG CLARKS</v>
          </cell>
          <cell r="C709" t="str">
            <v>Nga 3 Truong Son An Lao Hai Phong</v>
          </cell>
          <cell r="D709">
            <v>0</v>
          </cell>
          <cell r="E709" t="str">
            <v xml:space="preserve">Em Luyen kho vat lieu sdt :0936 862 057 + Em Thanh sdt :01678 120 979 </v>
          </cell>
        </row>
        <row r="710">
          <cell r="B710" t="str">
            <v>SAO VANG THAI BINH 1</v>
          </cell>
          <cell r="C710" t="str">
            <v>Lo dat dien tich 88.707m vuong , cum cong nghiep Quynh Coi,Xa Quynh My - Huyen Quynh Phu, Thai Binh</v>
          </cell>
          <cell r="D710">
            <v>0</v>
          </cell>
          <cell r="E710" t="str">
            <v>CHI DANG 0984388614</v>
          </cell>
        </row>
        <row r="711">
          <cell r="B711" t="str">
            <v>SCAVI DA NANG</v>
          </cell>
          <cell r="C711" t="str">
            <v>LO 17, DUONG SO 5, KCN DA NANG, AN HAI BAC, SON HA</v>
          </cell>
          <cell r="D711">
            <v>0</v>
          </cell>
          <cell r="E711">
            <v>0</v>
          </cell>
        </row>
        <row r="712">
          <cell r="B712" t="str">
            <v>SCAVI HUE</v>
          </cell>
          <cell r="C712" t="str">
            <v>PHONG DIEN IZ-PHONG DIEN DIST- TT HUE</v>
          </cell>
          <cell r="D712" t="str">
            <v>HANG CHUNG HOA DON</v>
          </cell>
          <cell r="E712" t="str">
            <v>QUYEN-0919727279
MR TRAI 054 3751 751- EXT:146</v>
          </cell>
        </row>
        <row r="713">
          <cell r="B713" t="str">
            <v>SCAVI LAO</v>
          </cell>
          <cell r="C713" t="str">
            <v>NONGPHING VILLAGE-CHANTHABOULY DIST-VIENTIANE-LAO P.D.R</v>
          </cell>
          <cell r="D713">
            <v>0</v>
          </cell>
          <cell r="E713">
            <v>0</v>
          </cell>
        </row>
        <row r="714">
          <cell r="B714" t="str">
            <v>SD QUANG BINH</v>
          </cell>
          <cell r="C714" t="str">
            <v>Lang Nghe Industrial Area - Quan Hau Town Quang Ninh District - Quang Binh Province</v>
          </cell>
          <cell r="D714">
            <v>0</v>
          </cell>
          <cell r="E714" t="str">
            <v>Ms Thu 0902151398</v>
          </cell>
        </row>
        <row r="715">
          <cell r="B715" t="str">
            <v>SEDO</v>
          </cell>
          <cell r="C715" t="str">
            <v>AP 5, XA AN PHUOC, LONG THANH, DONG NAI</v>
          </cell>
          <cell r="D715">
            <v>0</v>
          </cell>
          <cell r="E715" t="str">
            <v>MR CHUONG: 09086663955</v>
          </cell>
        </row>
        <row r="716">
          <cell r="B716" t="str">
            <v>SEES VINA</v>
          </cell>
          <cell r="C716" t="str">
            <v>XA MINH DUC, HUYEN TU KY, HAI DUONG</v>
          </cell>
          <cell r="D716" t="str">
            <v>HANG CHUNG CTU</v>
          </cell>
          <cell r="E716" t="str">
            <v>ATTN: MS PHUONG 01682 591291
0320 3 744600</v>
          </cell>
        </row>
        <row r="717">
          <cell r="B717" t="str">
            <v>SEETHING 2</v>
          </cell>
          <cell r="C717" t="str">
            <v>KCN TAM DIEP, TAM DIEN, NINH BINH</v>
          </cell>
          <cell r="D717">
            <v>0</v>
          </cell>
          <cell r="E717" t="str">
            <v>LOAN 0985 691 695</v>
          </cell>
        </row>
        <row r="718">
          <cell r="B718" t="str">
            <v>SEETHING VN</v>
          </cell>
          <cell r="C718" t="str">
            <v>BLOCK L3.1&amp;1/2 L3.2, DO SON INDUSTRIAL ZONE, HAI PHONG</v>
          </cell>
          <cell r="D718">
            <v>0</v>
          </cell>
          <cell r="E718" t="str">
            <v>MS CHI. Mobile : 01289.270.808
Tel : 0313.663.868  Ext : 3825</v>
          </cell>
        </row>
        <row r="719">
          <cell r="B719" t="str">
            <v>SEIDEN STICKER</v>
          </cell>
          <cell r="C719" t="str">
            <v>KM 13, DUONG 18, VAN AN, CHI LINH, HAI DUONG</v>
          </cell>
          <cell r="D719">
            <v>0</v>
          </cell>
          <cell r="E719" t="str">
            <v>MS SEN: 0320 3922 560</v>
          </cell>
        </row>
        <row r="720">
          <cell r="B720" t="str">
            <v>KEE EUN</v>
          </cell>
          <cell r="C720" t="str">
            <v>LOT 6-THUY VAN IZ-PHU THO</v>
          </cell>
          <cell r="D720">
            <v>0</v>
          </cell>
          <cell r="E720" t="str">
            <v xml:space="preserve">MR AN: 0210-3857-580 </v>
          </cell>
        </row>
        <row r="721">
          <cell r="B721" t="str">
            <v>SERIM</v>
          </cell>
          <cell r="C721" t="str">
            <v>NO1, VALLEY 321, VINH HUNG STREET, HOANG MAI DIST, HA NOI</v>
          </cell>
          <cell r="D721">
            <v>0</v>
          </cell>
          <cell r="E721" t="str">
            <v>MS HUONG: 0913 301 994</v>
          </cell>
        </row>
        <row r="722">
          <cell r="B722" t="str">
            <v>SESHIN</v>
          </cell>
          <cell r="C722" t="str">
            <v>THUY VAN IZ-LOT 10-VIET TRI-PHU THO</v>
          </cell>
          <cell r="D722">
            <v>0</v>
          </cell>
          <cell r="E722" t="str">
            <v>TUAN: 0942 935 662</v>
          </cell>
        </row>
        <row r="723">
          <cell r="B723" t="str">
            <v>SESHIN VN2</v>
          </cell>
          <cell r="C723" t="str">
            <v>Khe Xoan Hamlet – Doi Can commune – Tuyen Quang City</v>
          </cell>
          <cell r="D723">
            <v>0</v>
          </cell>
          <cell r="E723" t="str">
            <v xml:space="preserve"> Khanh:  +84 273 898301~2</v>
          </cell>
        </row>
        <row r="724">
          <cell r="B724" t="str">
            <v>SEVEN CORP</v>
          </cell>
          <cell r="C724" t="str">
            <v>D19/34 WARD 4, VINH LOC B, BINH CHANH, TP HCM</v>
          </cell>
          <cell r="D724" t="str">
            <v>VIETTEL- KHTT</v>
          </cell>
          <cell r="E724" t="str">
            <v>MR VU: 0903 758 857</v>
          </cell>
        </row>
        <row r="725">
          <cell r="B725" t="str">
            <v>SEWON</v>
          </cell>
          <cell r="C725" t="str">
            <v>SO 1, LO 6-7, KCN LANG NGHE, THI TRAN NGA SON, THANH HOA</v>
          </cell>
          <cell r="D725" t="str">
            <v>hang chung ctu</v>
          </cell>
          <cell r="E725" t="str">
            <v>MS VAN- XNK: 0933 848 850</v>
          </cell>
        </row>
        <row r="726">
          <cell r="B726" t="str">
            <v>SEYANG</v>
          </cell>
          <cell r="C726" t="str">
            <v>LÔ SỐ 54, CỤM TTCN LÀNG NGHỀ XÃ NHẬT TÂN, HUYỆN KIM BẢNG , TỈNH HÀ NAM</v>
          </cell>
          <cell r="D726" t="str">
            <v>HANG CHUNG CTU</v>
          </cell>
          <cell r="E726" t="str">
            <v>Ms.Thu : 84 91 487 6779
Ms.Phuong Anh: 84 96 419 0968</v>
          </cell>
        </row>
        <row r="727">
          <cell r="B727" t="str">
            <v>SEYOUNG</v>
          </cell>
          <cell r="C727" t="str">
            <v>P603 TẦNG 1, TÒA NHÀ CT5, KĐT MỸ ĐÌNH MỄ TRÌ, HA NOI</v>
          </cell>
          <cell r="D727" t="str">
            <v>GIAO THU 7 HANG TUAN
DUONG BO- NETCO- KHTT- hang chung ctu</v>
          </cell>
          <cell r="E727" t="str">
            <v>ms Lien (0983507984) -04-37875516</v>
          </cell>
        </row>
        <row r="728">
          <cell r="B728" t="str">
            <v>SH</v>
          </cell>
          <cell r="C728" t="str">
            <v>NHON HOA 1, DUC HOA, LONG AN</v>
          </cell>
          <cell r="D728">
            <v>0</v>
          </cell>
          <cell r="E728" t="str">
            <v>MS HA 0909 799 711</v>
          </cell>
        </row>
        <row r="729">
          <cell r="B729" t="str">
            <v>SH VINA</v>
          </cell>
          <cell r="C729" t="str">
            <v>Thon Tan Ly, xa Thanh Tam, huyen Thach Thanh, tinh Thanh Hoa</v>
          </cell>
          <cell r="D729" t="str">
            <v>CHO CS CONFIRM SHIPMODE (WALMART LH CS MILEY, NHAN TARGET LH CS JUDY)</v>
          </cell>
          <cell r="E729">
            <v>0</v>
          </cell>
        </row>
        <row r="730">
          <cell r="B730" t="str">
            <v>SHINHWA THIEN XUAN</v>
          </cell>
          <cell r="C730" t="str">
            <v>ZONE 6, VAN CO, VIET TRI, PHU THO</v>
          </cell>
          <cell r="D730" t="str">
            <v>HANG CHUNG CTU</v>
          </cell>
          <cell r="E730" t="str">
            <v>Mr.Hung: 0210 3992 772</v>
          </cell>
        </row>
        <row r="731">
          <cell r="B731" t="str">
            <v>SHINTS</v>
          </cell>
          <cell r="C731" t="str">
            <v>THACH KHOI- GIA LOC- HAI DUONG</v>
          </cell>
          <cell r="D731">
            <v>0</v>
          </cell>
          <cell r="E731" t="str">
            <v>ATTENTION : MS.Nghia/ Mrs thuý /Mrs Ha
TEL: 84-320.3861727/ ext 138  FAX: 84-320.3861730</v>
          </cell>
        </row>
        <row r="732">
          <cell r="B732" t="str">
            <v>SHINWON EBENAZER HANOI</v>
          </cell>
          <cell r="C732" t="str">
            <v>CAI DAN, SONG CONG, THAI NGUYEN</v>
          </cell>
          <cell r="D732" t="str">
            <v>NEU CO NOTE GIAO BAROM, BOOK BAROM MAIL, SAU 2H CHUYEN SANG NGAY MAI BOOK</v>
          </cell>
          <cell r="E732" t="str">
            <v>0169 785 0504- MR JEON</v>
          </cell>
        </row>
        <row r="733">
          <cell r="B733" t="str">
            <v>SHINWON EBENEZER A&amp;F</v>
          </cell>
          <cell r="C733" t="str">
            <v>Cn 14- Khai quang sub-industrial zone, Khai Quang commune, Vinh Yen capital town, Vinh Phuc province.</v>
          </cell>
          <cell r="D733" t="str">
            <v>GIAO BAROOM</v>
          </cell>
          <cell r="E733" t="str">
            <v>0211 3842830 ~4</v>
          </cell>
        </row>
        <row r="734">
          <cell r="B734" t="str">
            <v>SHINWON EBENEZER HA NOI</v>
          </cell>
          <cell r="C734" t="str">
            <v>NGUYEN GON VILLAGE,, CAI DAN WARD, SONG CONG TOWN, THAI NGUYEN PROVINCE</v>
          </cell>
          <cell r="D734" t="str">
            <v>NEU CO NOTE GIAO BAROM, BOOK BAROM MAIL, SAU 2H CHUYEN SANG NGAY MAI BOOK</v>
          </cell>
          <cell r="E734" t="str">
            <v>Cloudy 0978998609</v>
          </cell>
        </row>
        <row r="735">
          <cell r="B735" t="str">
            <v>SHINWON EBENEZER VN</v>
          </cell>
          <cell r="C735" t="str">
            <v>Cn 14- Khai quang sub-industrial zone, Khai Quang commune, Vinh Yen capital town, Vinh Phuc province.</v>
          </cell>
          <cell r="D735" t="str">
            <v>NEU CO NOTE GIAO BAROM, BOOK BAROM MAIL, SAU 2H CHUYEN SANG NGAY MAI BOOK</v>
          </cell>
          <cell r="E735">
            <v>0</v>
          </cell>
        </row>
        <row r="736">
          <cell r="B736" t="str">
            <v>SHYANG YING</v>
          </cell>
          <cell r="C736" t="str">
            <v>B1-B12 AND E1-E12 LOT, DONG XOAI II, INDUSTRIAL PARK, TIEN THANH COMMUNE, DONG XOAI TOWN, BINH PHUOC</v>
          </cell>
          <cell r="D736">
            <v>0</v>
          </cell>
          <cell r="E736" t="str">
            <v>Hong 01674608151</v>
          </cell>
        </row>
        <row r="737">
          <cell r="B737" t="str">
            <v xml:space="preserve">SHYANG YING </v>
          </cell>
          <cell r="C737" t="str">
            <v>B1-B12 AND E1-E12 LOT, DONG XOAI II, INDUSTRIAL PARK, TIEN THANH COMMUNE, DONG XOAI TOWN, BINH PHUOC</v>
          </cell>
          <cell r="D737">
            <v>0</v>
          </cell>
          <cell r="E737" t="str">
            <v>YUNQUAN ZHANG-651-388 9970</v>
          </cell>
        </row>
        <row r="738">
          <cell r="B738" t="str">
            <v>SIMONE</v>
          </cell>
          <cell r="C738" t="str">
            <v xml:space="preserve">Lô AI, AI-1, AVI, AVII, KII-1, Khu Cong Nghiep Tân Hương, Châu Thành, Tiền Giang. </v>
          </cell>
          <cell r="D738">
            <v>0</v>
          </cell>
          <cell r="E738" t="str">
            <v>chị Hương - SĐT: 0909 709609</v>
          </cell>
        </row>
        <row r="739">
          <cell r="B739" t="str">
            <v>SINJOOBO</v>
          </cell>
          <cell r="C739" t="str">
            <v>TIEU TRA-HUNG DAO WARD-KIEN THUY DIST-HAI PHONG</v>
          </cell>
          <cell r="D739">
            <v>0</v>
          </cell>
          <cell r="E739" t="str">
            <v>HA/NGUYET-0313580199</v>
          </cell>
        </row>
        <row r="740">
          <cell r="B740" t="str">
            <v>DET KIM SMART SHIRTS</v>
          </cell>
          <cell r="C740" t="str">
            <v>PHU UNG, AN THI, HUNG YEN</v>
          </cell>
          <cell r="D740">
            <v>0</v>
          </cell>
          <cell r="E740" t="str">
            <v>KATE NGUYEN: 0169 3123 015</v>
          </cell>
        </row>
        <row r="741">
          <cell r="B741" t="str">
            <v>SMART SHIRTS GARMENT</v>
          </cell>
          <cell r="C741" t="str">
            <v>KCN VAN TRUNG, VIET YEN, BAC GIANG</v>
          </cell>
          <cell r="D741">
            <v>0</v>
          </cell>
          <cell r="E741">
            <v>0</v>
          </cell>
        </row>
        <row r="742">
          <cell r="B742" t="str">
            <v>SON HA</v>
          </cell>
          <cell r="C742" t="str">
            <v>208 LE LOI ST-SON TAY-HA  NOI</v>
          </cell>
          <cell r="D742" t="str">
            <v>HANG UNDER AMOR KEM PL</v>
          </cell>
          <cell r="E742" t="str">
            <v>MR DUY (P. DICH VU)- 0988 616 478</v>
          </cell>
        </row>
        <row r="743">
          <cell r="B743" t="str">
            <v>SON HA PHU THO</v>
          </cell>
          <cell r="C743" t="str">
            <v>Cum CN Hoang Xa, Thanh Thuy, Phu Tho</v>
          </cell>
          <cell r="D743">
            <v>0</v>
          </cell>
          <cell r="E743">
            <v>0</v>
          </cell>
        </row>
        <row r="744">
          <cell r="B744" t="str">
            <v>SON HA THAI BINH</v>
          </cell>
          <cell r="C744" t="str">
            <v>KM 6, DUONG 39, VU NINH, KIEN XUONG, THAI BINH</v>
          </cell>
          <cell r="D744">
            <v>0</v>
          </cell>
          <cell r="E744" t="str">
            <v>Tôn Nhung – 0904 160 149</v>
          </cell>
        </row>
        <row r="745">
          <cell r="B745" t="str">
            <v>REGINA MIRACLE NHA MAY C</v>
          </cell>
          <cell r="C745" t="str">
            <v>SO 109, DUONG SO 6, VSIP HAI PHONG</v>
          </cell>
          <cell r="D745">
            <v>0</v>
          </cell>
          <cell r="E745" t="str">
            <v>MS THAO 0906204459</v>
          </cell>
        </row>
        <row r="746">
          <cell r="B746" t="str">
            <v>SONG CHAU</v>
          </cell>
          <cell r="C746" t="str">
            <v>LOT17-DA NANG IP-AN HAI BAC-SON TRA- DA NANG CITY</v>
          </cell>
          <cell r="D746">
            <v>0</v>
          </cell>
          <cell r="E746" t="str">
            <v>MR HAI-0511 3 931202</v>
          </cell>
        </row>
        <row r="747">
          <cell r="B747" t="str">
            <v>SONG HONG 3</v>
          </cell>
          <cell r="C747" t="str">
            <v>DUONG 10 LOC HA NAM DINH</v>
          </cell>
          <cell r="D747">
            <v>0</v>
          </cell>
          <cell r="E747" t="str">
            <v>MS PHUONG 01238230440</v>
          </cell>
        </row>
        <row r="748">
          <cell r="B748" t="str">
            <v>SONG HONG 4</v>
          </cell>
          <cell r="C748" t="str">
            <v>XUAN TRUONG, NAM DINH</v>
          </cell>
          <cell r="D748">
            <v>0</v>
          </cell>
          <cell r="E748" t="str">
            <v>MR HAN: 0912 520 704</v>
          </cell>
        </row>
        <row r="749">
          <cell r="B749" t="str">
            <v>SONG HONG 7</v>
          </cell>
          <cell r="C749" t="str">
            <v>KCN HAI PHUONG, HAI HAU, NAM DINH</v>
          </cell>
          <cell r="D749">
            <v>0</v>
          </cell>
          <cell r="E749" t="str">
            <v>HONG:0913 059 357
HUE: 0919 084 179
HUNG: 0974 426 176
HAN: 0912 520 704</v>
          </cell>
        </row>
        <row r="750">
          <cell r="B750" t="str">
            <v>SONG HONG 9</v>
          </cell>
          <cell r="C750" t="str">
            <v>TAM THON, NGHIA THAI, NGHIA HUNG, NAM DINH</v>
          </cell>
          <cell r="D750">
            <v>0</v>
          </cell>
          <cell r="E750" t="str">
            <v>KHO PHU LIEU 01666574579</v>
          </cell>
        </row>
        <row r="751">
          <cell r="B751" t="str">
            <v>SONG HONG C A</v>
          </cell>
          <cell r="C751" t="str">
            <v>DUONG TRUONG CHINH, XUAN TRUONG, NAM DINH</v>
          </cell>
          <cell r="D751">
            <v>0</v>
          </cell>
          <cell r="E751" t="str">
            <v>MR TRANG: 0979 059 125</v>
          </cell>
        </row>
        <row r="752">
          <cell r="B752" t="str">
            <v>SONG HONG C&amp;A</v>
          </cell>
          <cell r="C752" t="str">
            <v>105 NGUYEN DUC THUAN, NAM DINH</v>
          </cell>
          <cell r="D752">
            <v>0</v>
          </cell>
          <cell r="E752" t="str">
            <v>MR DUC 0989 921 518</v>
          </cell>
        </row>
        <row r="753">
          <cell r="B753" t="str">
            <v>SONG HONG C&amp;A 1</v>
          </cell>
          <cell r="C753" t="str">
            <v>SONG HONG GARMENTJCS, XUAN TRUONG TOWN, XUAN TRUONG DISTRICT, NAM DINH PROVICE</v>
          </cell>
          <cell r="D753">
            <v>0</v>
          </cell>
          <cell r="E753" t="str">
            <v>MR TRANG: 0979 059 125</v>
          </cell>
        </row>
        <row r="754">
          <cell r="B754" t="str">
            <v>SONG HONG COLUMBIA</v>
          </cell>
          <cell r="C754" t="str">
            <v>DUONG TRUONG CHINH, XUAN TRUONG, NAM DINH</v>
          </cell>
          <cell r="D754" t="str">
            <v>VN GEN -CHUNG CTU</v>
          </cell>
          <cell r="E754" t="str">
            <v>TRAN THI THOM: 0978742354</v>
          </cell>
        </row>
        <row r="755">
          <cell r="B755" t="str">
            <v>SONG HONG COLUMBIA GEN</v>
          </cell>
          <cell r="C755" t="str">
            <v>DUONG TRUONG CHINH, XUAN TRUONG, NAM DINH</v>
          </cell>
          <cell r="D755">
            <v>0</v>
          </cell>
          <cell r="E755" t="str">
            <v>THOM 0978 742 354</v>
          </cell>
        </row>
        <row r="756">
          <cell r="B756" t="str">
            <v>SONG HONG COLUMBIA VAT</v>
          </cell>
          <cell r="C756" t="str">
            <v>DUONG 10-LOC HA-NAM DINH</v>
          </cell>
          <cell r="D756">
            <v>0</v>
          </cell>
          <cell r="E756" t="str">
            <v>BONNY- 0918 428 398</v>
          </cell>
        </row>
        <row r="757">
          <cell r="B757" t="str">
            <v>SONG HONG GAP INC</v>
          </cell>
          <cell r="C757" t="str">
            <v>DUONG TRUONG CHINH, XUAN TRUONG, NAM DINH</v>
          </cell>
          <cell r="D757">
            <v>0</v>
          </cell>
          <cell r="E757" t="str">
            <v>MR TRANG: 0979 059 125</v>
          </cell>
        </row>
        <row r="758">
          <cell r="B758" t="str">
            <v>song hong garment</v>
          </cell>
          <cell r="C758" t="str">
            <v>Song Hong 4 :Thi Tran Xuan Truong (Sau tuong dai Tr­uong Chinh ) Huyen Xuan truong   - Nam Dinh -</v>
          </cell>
          <cell r="D758">
            <v>0</v>
          </cell>
          <cell r="E758" t="str">
            <v>Anh Trang- Kho PL – so di dong 0979059125​</v>
          </cell>
        </row>
        <row r="759">
          <cell r="B759" t="str">
            <v>SONG HONG H&amp;M</v>
          </cell>
          <cell r="C759" t="str">
            <v>DUONG 10-LOC HA-NAM DINH</v>
          </cell>
          <cell r="D759">
            <v>0</v>
          </cell>
          <cell r="E759" t="str">
            <v>KATTY</v>
          </cell>
        </row>
        <row r="760">
          <cell r="B760" t="str">
            <v>SONG HONG JC PENNY</v>
          </cell>
          <cell r="C760" t="str">
            <v>105 NGUYEN DUC THUAN, NAM DINH</v>
          </cell>
          <cell r="D760">
            <v>0</v>
          </cell>
          <cell r="E760" t="str">
            <v>84-972 447 179</v>
          </cell>
        </row>
        <row r="761">
          <cell r="B761" t="str">
            <v>SONG HONG KOHL</v>
          </cell>
          <cell r="C761" t="str">
            <v>105 NGUYEN DUC THUAN, NAM DINH</v>
          </cell>
          <cell r="D761" t="str">
            <v>VN GEN -CHUNG CTU</v>
          </cell>
          <cell r="E761" t="str">
            <v>MR TUNG: 0350 3649 365</v>
          </cell>
        </row>
        <row r="762">
          <cell r="B762" t="str">
            <v>SONG HONG LONG AN</v>
          </cell>
          <cell r="C762" t="str">
            <v>10A1-TAN LONG VILLAGE-THANH THU COMMUNE-BEN LUC-LONG AN</v>
          </cell>
          <cell r="D762">
            <v>0</v>
          </cell>
          <cell r="E762" t="str">
            <v>MR CUONG-0909 135336</v>
          </cell>
        </row>
        <row r="763">
          <cell r="B763" t="str">
            <v>SONG HONG MANGO</v>
          </cell>
          <cell r="C763" t="str">
            <v>105 NGUYEN DUC THUAN, NAM DINH</v>
          </cell>
          <cell r="D763" t="str">
            <v>NETCO-DN#AWB
ghi so DN len Bill
CHUNG CTU</v>
          </cell>
          <cell r="E763" t="str">
            <v xml:space="preserve">LOAN: 0350-649 365
tel: 0915 303 739
</v>
          </cell>
        </row>
        <row r="764">
          <cell r="B764" t="str">
            <v>SONG HONG WALMART 1</v>
          </cell>
          <cell r="C764" t="str">
            <v>105 NGUYEN DUC THUAN, NAM DINH</v>
          </cell>
          <cell r="D764">
            <v>0</v>
          </cell>
          <cell r="E764">
            <v>0</v>
          </cell>
        </row>
        <row r="765">
          <cell r="B765" t="str">
            <v>SONG HONG MANGO 1</v>
          </cell>
          <cell r="C765" t="str">
            <v>thi tran xuan truong (sau tuong dai truong trinh ),Huyen Xuan truong   - Nam Dinh</v>
          </cell>
          <cell r="D765">
            <v>0</v>
          </cell>
          <cell r="E765" t="str">
            <v>Anh Trang- Kho PL  0979059125</v>
          </cell>
        </row>
        <row r="766">
          <cell r="B766" t="str">
            <v>SONG HONG NEW YORK</v>
          </cell>
          <cell r="C766" t="str">
            <v>105 NGUYEN DUC THUAN, NAM DINH</v>
          </cell>
          <cell r="D766">
            <v>0</v>
          </cell>
          <cell r="E766">
            <v>0</v>
          </cell>
        </row>
        <row r="767">
          <cell r="B767" t="str">
            <v>SONG HONG PXVN</v>
          </cell>
          <cell r="C767" t="str">
            <v>KHU CANH DIEU VANG, MY TRUNG, MY LOC, NAM DINH</v>
          </cell>
          <cell r="D767">
            <v>0</v>
          </cell>
          <cell r="E767" t="str">
            <v>MR THIEU: 0912 453 331</v>
          </cell>
        </row>
        <row r="768">
          <cell r="B768" t="str">
            <v>SONG HONG REEBOK</v>
          </cell>
          <cell r="C768" t="str">
            <v>105 NGUYEN DUC THUAN, NAM DINH</v>
          </cell>
          <cell r="D768" t="str">
            <v>VN GEN -CHUNG CTU</v>
          </cell>
          <cell r="E768" t="str">
            <v>MR TUNG: 0350 3649 365</v>
          </cell>
        </row>
        <row r="769">
          <cell r="B769" t="str">
            <v>SONG TIEN</v>
          </cell>
          <cell r="C769" t="str">
            <v>864 STREET, BINH TAO HAMLET, TRUNG AN, MY THO, TIEN GIANG</v>
          </cell>
          <cell r="D769">
            <v>0</v>
          </cell>
          <cell r="E769">
            <v>0</v>
          </cell>
        </row>
        <row r="770">
          <cell r="B770" t="str">
            <v>SONG TIEN NEXT</v>
          </cell>
          <cell r="C770" t="str">
            <v>864 STREET, BINH TAO HAMLET, TRUNG AN, MY THO, TIEN GIANG</v>
          </cell>
          <cell r="D770" t="str">
            <v>CHUNG CTU</v>
          </cell>
          <cell r="E770" t="str">
            <v>0903 684 186- MR NHAN</v>
          </cell>
        </row>
        <row r="771">
          <cell r="B771" t="str">
            <v>SOTO</v>
          </cell>
          <cell r="C771" t="str">
            <v>TIEN TRANG TOURIST AND INDUSTRIAL ZONE, QUANG LOI, QUANG XUONG, THANH HOA</v>
          </cell>
          <cell r="D771" t="str">
            <v>hang chung ctu</v>
          </cell>
          <cell r="E771" t="str">
            <v>MS LOAN: 0129 534 9322</v>
          </cell>
        </row>
        <row r="772">
          <cell r="B772" t="str">
            <v>SOUTH ISLAND ML</v>
          </cell>
          <cell r="C772" t="str">
            <v>1488 mukim12-seberang perai selatan -14200 sungai bakep-penang- malaysia</v>
          </cell>
          <cell r="D772">
            <v>0</v>
          </cell>
          <cell r="E772" t="str">
            <v>604 5821214</v>
          </cell>
        </row>
        <row r="773">
          <cell r="B773" t="str">
            <v>SPECTRE</v>
          </cell>
          <cell r="C773" t="str">
            <v>KCN NGUYEN DUC CANH, BUI VIEN, THAI BINH</v>
          </cell>
          <cell r="D773">
            <v>0</v>
          </cell>
          <cell r="E773" t="str">
            <v>MR CUONG: 0916 193 887</v>
          </cell>
        </row>
        <row r="774">
          <cell r="B774" t="str">
            <v>SPLENDOUR</v>
          </cell>
          <cell r="C774" t="str">
            <v>DUONG SO 3, KCN NHON TRACH 1, HUYEN NHON TRACH, DONG NAI</v>
          </cell>
          <cell r="D774">
            <v>0</v>
          </cell>
          <cell r="E774" t="str">
            <v>MS DENH</v>
          </cell>
        </row>
        <row r="775">
          <cell r="B775" t="str">
            <v>Sporteam</v>
          </cell>
          <cell r="C775" t="str">
            <v>Cty TNHH 29/3
60 Me Nhu - Thanh Khe - Da Nang</v>
          </cell>
          <cell r="D775">
            <v>0</v>
          </cell>
          <cell r="E775" t="str">
            <v>Ms Nhung: 0988 220087
Tel: 0511 37592 49</v>
          </cell>
        </row>
        <row r="776">
          <cell r="B776" t="str">
            <v>SSV</v>
          </cell>
          <cell r="C776" t="str">
            <v>CUM CN HOANG DIEU, GIA LOC, HAI DUONG</v>
          </cell>
          <cell r="D776" t="str">
            <v>nhãn Limited giao BaRom- KHTT
TTC-KHTT
CHUNG CTU</v>
          </cell>
          <cell r="E776" t="str">
            <v>MR MINH: 0904 875 595</v>
          </cell>
        </row>
        <row r="777">
          <cell r="B777" t="str">
            <v>SSV COLUMBIA</v>
          </cell>
          <cell r="C777" t="str">
            <v>CUM CN HOANG DIEU, GIA LOC, HAI DUONG</v>
          </cell>
          <cell r="D777" t="str">
            <v>CHUNG CTU</v>
          </cell>
          <cell r="E777" t="str">
            <v>MS AN: 0320 3718 301</v>
          </cell>
        </row>
        <row r="778">
          <cell r="B778" t="str">
            <v>STAR FASHION</v>
          </cell>
          <cell r="C778" t="str">
            <v>LÔ 3, KHU CN PHÚ NGHĨA, HUYỆN CHƯƠNG MỸ, HÀ NỘI</v>
          </cell>
          <cell r="D778" t="str">
            <v>HANG VN GEN KHDL, HANG VAT GIAO NETCO</v>
          </cell>
          <cell r="E778" t="str">
            <v>MS HUONG: 0987 873 437</v>
          </cell>
        </row>
        <row r="779">
          <cell r="B779" t="str">
            <v>STARITE</v>
          </cell>
          <cell r="C779" t="str">
            <v>KCN BAU XEO-TRANG BOM-DONG NAI</v>
          </cell>
          <cell r="D779">
            <v>0</v>
          </cell>
          <cell r="E779" t="str">
            <v>hien-0902-798358-061-8951160</v>
          </cell>
        </row>
        <row r="780">
          <cell r="B780" t="str">
            <v>SUN CHANG</v>
          </cell>
          <cell r="C780" t="str">
            <v xml:space="preserve">LO CN5, KCN THACH THAT - QUOC OAI, HUYEN THACH THAT, HA NOI </v>
          </cell>
          <cell r="D780">
            <v>0</v>
          </cell>
          <cell r="E780" t="str">
            <v>MS NGA: 0989 792 844</v>
          </cell>
        </row>
        <row r="781">
          <cell r="B781" t="str">
            <v>SUN JADE</v>
          </cell>
          <cell r="C781" t="str">
            <v>LO B-KCN LỄ MÔN-TP. THANH HOA</v>
          </cell>
          <cell r="D781" t="str">
            <v>cho XNK confirm
TTC- KHTT</v>
          </cell>
          <cell r="E781" t="str">
            <v>31 3645391-DIEM-01686427989</v>
          </cell>
        </row>
        <row r="782">
          <cell r="B782" t="str">
            <v>SUNRISE SMART SHIRT</v>
          </cell>
          <cell r="C782" t="str">
            <v>PLOT D6, KCN MY TRUNG, MY LOC, NAM DINH</v>
          </cell>
          <cell r="D782">
            <v>0</v>
          </cell>
          <cell r="E782" t="str">
            <v>THAO 01297604668</v>
          </cell>
        </row>
        <row r="783">
          <cell r="B783" t="str">
            <v>SUNRISE SPINNING</v>
          </cell>
          <cell r="C783" t="str">
            <v>LO C4 DUONG D4 KCN BAO MINH HUYEN VU BAN, TINH NAM DINH</v>
          </cell>
          <cell r="D783">
            <v>0</v>
          </cell>
          <cell r="E783">
            <v>0</v>
          </cell>
        </row>
        <row r="784">
          <cell r="B784" t="str">
            <v>SMART SHIRTS</v>
          </cell>
          <cell r="C784" t="str">
            <v>ES PART G2 + G3 + G7 + G8, BAO MINH INDUSTRIAL PARK, VU BAN DISTRICT, NAM DINH PROVI</v>
          </cell>
          <cell r="D784">
            <v>0</v>
          </cell>
          <cell r="E784">
            <v>0</v>
          </cell>
        </row>
        <row r="785">
          <cell r="B785" t="str">
            <v>TADLACK</v>
          </cell>
          <cell r="C785" t="str">
            <v>Cao An commune, Cam Giang district, Hai Duong province, Vietnam.</v>
          </cell>
          <cell r="D785" t="str">
            <v>VIETTEL- KHTT</v>
          </cell>
          <cell r="E785" t="str">
            <v>ms Dina:84-3203781074/ 84 1696855633</v>
          </cell>
        </row>
        <row r="786">
          <cell r="B786" t="str">
            <v>TAE YANG</v>
          </cell>
          <cell r="C786" t="str">
            <v>PHO NOI A INDUSTRIAL ESTATE-TRUNG TRAC COMMUNE-VAN LAM DIST-HUNG YEN</v>
          </cell>
          <cell r="D786" t="str">
            <v>CTU- C.hoa</v>
          </cell>
          <cell r="E786">
            <v>0</v>
          </cell>
        </row>
        <row r="787">
          <cell r="B787" t="str">
            <v>TAL</v>
          </cell>
          <cell r="C787" t="str">
            <v>Binh Xuyen Industrial Zone, Binh Xuyen District, Vinh Phuc Province</v>
          </cell>
          <cell r="D787" t="str">
            <v>HANG CHUNG CTU</v>
          </cell>
          <cell r="E787" t="str">
            <v>Emma /Christine  (+84) 2113 565 980.</v>
          </cell>
        </row>
        <row r="788">
          <cell r="B788" t="str">
            <v>TAM QUAN</v>
          </cell>
          <cell r="C788" t="str">
            <v>CUM CN TAM QUAN, THI TRAN TAM QUAN, HOAI NHON, BINH DINH</v>
          </cell>
          <cell r="D788">
            <v>0</v>
          </cell>
          <cell r="E788" t="str">
            <v>MS HOA: 0987 883 526</v>
          </cell>
        </row>
        <row r="789">
          <cell r="B789" t="str">
            <v>TAM TIEN</v>
          </cell>
          <cell r="C789" t="str">
            <v>KCN CAU GAO, DAN PHUONG, HA NOI</v>
          </cell>
          <cell r="D789">
            <v>0</v>
          </cell>
          <cell r="E789" t="str">
            <v>MS DIEP: 0904 488 303</v>
          </cell>
        </row>
        <row r="790">
          <cell r="B790" t="str">
            <v xml:space="preserve">TAMDA </v>
          </cell>
          <cell r="C790" t="str">
            <v>BINH KIEU-DONG HAI WARD-HAI AN DIST-HAI PHONG</v>
          </cell>
          <cell r="D790">
            <v>0</v>
          </cell>
          <cell r="E790" t="str">
            <v>MR NHAT-0313877528</v>
          </cell>
        </row>
        <row r="791">
          <cell r="B791" t="str">
            <v>TAN BINH MINH</v>
          </cell>
          <cell r="C791" t="str">
            <v>THANH XUYEN 4 HAMLET, TRUNG THANH COMMUNE,PHO YEN DISTRICT,THAI NGUYEN PROVINCE</v>
          </cell>
          <cell r="D791">
            <v>0</v>
          </cell>
          <cell r="E791">
            <v>0</v>
          </cell>
        </row>
        <row r="792">
          <cell r="B792" t="str">
            <v>TAN HA</v>
          </cell>
          <cell r="C792" t="str">
            <v>SO 2, DUONG TRUONG CHINH, PHU LY, HA NAM</v>
          </cell>
          <cell r="D792" t="str">
            <v>giao hang truoc-C.Trang</v>
          </cell>
          <cell r="E792" t="str">
            <v>ATTN: MS. XUYEN XNK
0989 263 395</v>
          </cell>
        </row>
        <row r="793">
          <cell r="B793" t="str">
            <v>TAN HOANG LONG</v>
          </cell>
          <cell r="C793" t="str">
            <v>KHU DO THI MOI YEN HOA, CAU GIAY, HA NOI</v>
          </cell>
          <cell r="D793">
            <v>0</v>
          </cell>
          <cell r="E793" t="str">
            <v>MR THANH: 0982 035 790</v>
          </cell>
        </row>
        <row r="794">
          <cell r="B794" t="str">
            <v>TAV</v>
          </cell>
          <cell r="C794" t="str">
            <v xml:space="preserve">
Lot4.KCN Nguyen Duc Canh. Tp Thai Binh.Tinh Thai Binh 
Att:Jacks Tuan( Phong XNK) Tel:+84 36 3846 788 Ext:219,Fax:36 3847 019</v>
          </cell>
          <cell r="D794">
            <v>0</v>
          </cell>
          <cell r="E794" t="str">
            <v>Mr. Nguyen Van Hai:
  090 600 1643</v>
          </cell>
        </row>
        <row r="795">
          <cell r="B795" t="str">
            <v>TAV EXPRESS</v>
          </cell>
          <cell r="C795" t="str">
            <v>LOT 4, KCN NGUYEN DUC CANH, THAI BINH</v>
          </cell>
          <cell r="D795">
            <v>0</v>
          </cell>
          <cell r="E795" t="str">
            <v>THUY: 0123 664 2196</v>
          </cell>
        </row>
        <row r="796">
          <cell r="B796" t="str">
            <v>TAV PVH</v>
          </cell>
          <cell r="C796" t="str">
            <v>LOT 4, KCN NGUYEN DUC CANH, THAI BINH</v>
          </cell>
          <cell r="D796">
            <v>0</v>
          </cell>
          <cell r="E796" t="str">
            <v>YAYA: 036 3846 788 EXT:2</v>
          </cell>
        </row>
        <row r="797">
          <cell r="B797" t="str">
            <v>TAY SON</v>
          </cell>
          <cell r="C797" t="str">
            <v>PHU XUAN, PHU PHONG, TAY SON, BINH DINH</v>
          </cell>
          <cell r="D797">
            <v>0</v>
          </cell>
          <cell r="E797" t="str">
            <v>ANH QUANG: 0913 626 377</v>
          </cell>
        </row>
        <row r="798">
          <cell r="B798" t="str">
            <v>TBS</v>
          </cell>
          <cell r="C798" t="str">
            <v>KM 85 + 300 QUỐC LỘ 10, XÃ TÂN BÌNH, TP.THÁI BÌNH, TỈNH THÁI BÌNH</v>
          </cell>
          <cell r="D798">
            <v>0</v>
          </cell>
          <cell r="E798" t="str">
            <v>Ms.Hương (kế toán kho) 0948.180.088</v>
          </cell>
        </row>
        <row r="799">
          <cell r="B799" t="str">
            <v>TDT INVESTMENT</v>
          </cell>
          <cell r="C799" t="str">
            <v>THUAN PHAP, DIEM THUY, PHU BINH, THAI NGUYEN</v>
          </cell>
          <cell r="D799">
            <v>0</v>
          </cell>
          <cell r="E799">
            <v>0</v>
          </cell>
        </row>
        <row r="800">
          <cell r="B800" t="str">
            <v>GO DAI THANH BINH DINH</v>
          </cell>
          <cell r="C800" t="str">
            <v>90 TAY SON, QUY NHON, BINH DINH</v>
          </cell>
          <cell r="D800">
            <v>0</v>
          </cell>
          <cell r="E800">
            <v>0</v>
          </cell>
        </row>
        <row r="801">
          <cell r="B801" t="str">
            <v>TESORO WOOJIN</v>
          </cell>
          <cell r="C801" t="str">
            <v>​SO 14, DUONG AN DUONG VUONG, P. CHAM MAT, TP. HOA BINH</v>
          </cell>
          <cell r="D801">
            <v>0</v>
          </cell>
          <cell r="E801" t="str">
            <v>Attn: Ms HANG 0915387383</v>
          </cell>
        </row>
        <row r="802">
          <cell r="B802" t="str">
            <v>TEX GIANG</v>
          </cell>
          <cell r="C802" t="str">
            <v>BII-8 SECTION-D3 ST-TAN HUONG IZ-TIEN GIANG</v>
          </cell>
          <cell r="D802" t="str">
            <v>cho chi Tien cofirm di hang( vp tex-giang)</v>
          </cell>
          <cell r="E802" t="str">
            <v>bill ledway-Ms Phuoc-0984924564</v>
          </cell>
        </row>
        <row r="803">
          <cell r="B803" t="str">
            <v>TEXMA</v>
          </cell>
          <cell r="C803" t="str">
            <v>NO32-2A RD-BIEN HOA IZ II-BIEN HOA-DONG NAI</v>
          </cell>
          <cell r="D803">
            <v>0</v>
          </cell>
          <cell r="E803" t="str">
            <v>MS SUN-613 992951</v>
          </cell>
        </row>
        <row r="804">
          <cell r="B804" t="str">
            <v>THAI ANH INVISTA</v>
          </cell>
          <cell r="C804" t="str">
            <v>437 DA NANG, HAI AN, HAI PHONG</v>
          </cell>
          <cell r="D804">
            <v>0</v>
          </cell>
          <cell r="E804" t="str">
            <v>DONG DONG: 0978 999 981</v>
          </cell>
        </row>
        <row r="805">
          <cell r="B805" t="str">
            <v>THAI BINH GARMENT</v>
          </cell>
          <cell r="C805" t="str">
            <v>128 QUANG TRUNG, THAI BINH</v>
          </cell>
          <cell r="D805">
            <v>0</v>
          </cell>
          <cell r="E805" t="str">
            <v>MS HUONG: 0977 411 072</v>
          </cell>
        </row>
        <row r="806">
          <cell r="B806" t="str">
            <v>THAI BINH STATE</v>
          </cell>
          <cell r="C806" t="str">
            <v>01 HAI BA TRUNG, THAI BINH</v>
          </cell>
          <cell r="D806">
            <v>0</v>
          </cell>
          <cell r="E806" t="str">
            <v>MS DUNG: 036 3731 722</v>
          </cell>
        </row>
        <row r="807">
          <cell r="B807" t="str">
            <v>THANG BINH</v>
          </cell>
          <cell r="C807" t="str">
            <v>HALAM-CHO DUOC INDUSTRIAL ZONE,
 THANG BINH DISTRICT, QUANG NAM</v>
          </cell>
          <cell r="D807" t="str">
            <v>Cho CS confirm</v>
          </cell>
          <cell r="E807" t="str">
            <v>Attn. Mr Nhi – 0905764660</v>
          </cell>
        </row>
        <row r="808">
          <cell r="B808" t="str">
            <v>THANG LONG</v>
          </cell>
          <cell r="C808" t="str">
            <v>KM3-500-HUNG VUONG-PHU KHANH-THAI BINH</v>
          </cell>
          <cell r="D808">
            <v>0</v>
          </cell>
          <cell r="E808" t="str">
            <v>VAN-03 63834219</v>
          </cell>
        </row>
        <row r="809">
          <cell r="B809" t="str">
            <v>THANG LONG SHOES</v>
          </cell>
          <cell r="C809" t="str">
            <v>327 TO 45, HOANG VAN THU, HOANG MAI, HA NOI</v>
          </cell>
          <cell r="D809">
            <v>0</v>
          </cell>
          <cell r="E809" t="str">
            <v>HOA 0966 356 988</v>
          </cell>
        </row>
        <row r="810">
          <cell r="B810" t="str">
            <v>THANH HUNG HAI PHONG</v>
          </cell>
          <cell r="C810" t="str">
            <v>KM16. DUONG 353, PHUONG MINH DUC, DO SON, HAI PHONG</v>
          </cell>
          <cell r="D810">
            <v>0</v>
          </cell>
          <cell r="E810">
            <v>0</v>
          </cell>
        </row>
        <row r="811">
          <cell r="B811" t="str">
            <v>THANH TRI</v>
          </cell>
          <cell r="C811" t="str">
            <v>KM11 NATIONAL ROAD NO 1A  VAN DIEW TOWN - HA NOI</v>
          </cell>
          <cell r="D811">
            <v>0</v>
          </cell>
          <cell r="E811" t="str">
            <v>Ms Huong/Ms Hong: 84-4-38615334
Tel: 0944 538 499</v>
          </cell>
        </row>
        <row r="812">
          <cell r="B812" t="str">
            <v>THANH HUNG</v>
          </cell>
          <cell r="C812" t="str">
            <v>BAO LY, PHU BINH, THAI NGUYEN</v>
          </cell>
          <cell r="D812">
            <v>0</v>
          </cell>
          <cell r="E812" t="str">
            <v>HIEU 0978 504 407</v>
          </cell>
        </row>
        <row r="813">
          <cell r="B813" t="str">
            <v>THANH TRI  SALOMON</v>
          </cell>
          <cell r="C813" t="str">
            <v>KM11 NATIONAL ROAD NO 1A  VAN DIEW TOWN - HA NOI</v>
          </cell>
          <cell r="D813">
            <v>0</v>
          </cell>
          <cell r="E813" t="str">
            <v>Ms Huong/Ms Hong: 84-4-38615334
Tel: 0944 538 499</v>
          </cell>
        </row>
        <row r="814">
          <cell r="B814" t="str">
            <v>THANH TRI THAI BINH</v>
          </cell>
          <cell r="C814" t="str">
            <v>K11, QL 1A, VAN DIEN, THANH TRI, HA NOI</v>
          </cell>
          <cell r="D814">
            <v>0</v>
          </cell>
          <cell r="E814" t="str">
            <v>MS HANH: 0982 099 672
MS NGUYET: 0983 019 675</v>
          </cell>
        </row>
        <row r="815">
          <cell r="B815" t="str">
            <v>THAO NGUYEN</v>
          </cell>
          <cell r="C815" t="str">
            <v>40 – To 4 – Khu I – Quan Toan – Hong Bang Hai Phong</v>
          </cell>
          <cell r="D815">
            <v>0</v>
          </cell>
          <cell r="E815" t="str">
            <v>Tel: 0084 313 848050
Ms Phuong</v>
          </cell>
        </row>
        <row r="816">
          <cell r="B816" t="str">
            <v>THE BLUES</v>
          </cell>
          <cell r="C816" t="str">
            <v>DUONG SO 6, LO 4, KCN NAM DIEN NGOC, QUANG NAM</v>
          </cell>
          <cell r="D816">
            <v>0</v>
          </cell>
          <cell r="E816">
            <v>0</v>
          </cell>
        </row>
        <row r="817">
          <cell r="B817" t="str">
            <v>THEIN NAM</v>
          </cell>
          <cell r="C817" t="str">
            <v>GIAO HANG DEN KM SO 3, DUONG PHAM VAN DONG, PHUONG ANH DUNG, QUAN DUONG KINH, HAI PHONG,</v>
          </cell>
          <cell r="D817">
            <v>0</v>
          </cell>
          <cell r="E817" t="str">
            <v xml:space="preserve"> NGUOI NHAN : TU 0939316239</v>
          </cell>
        </row>
        <row r="818">
          <cell r="B818" t="str">
            <v>THIEN AN PHAT</v>
          </cell>
          <cell r="C818" t="str">
            <v>THUY DUONG-HUONG THUY-
TT HUE</v>
          </cell>
          <cell r="D818" t="str">
            <v>HANG TRUOC CHUNG TU</v>
          </cell>
          <cell r="E818" t="str">
            <v>MS CHI: 0935 930 434</v>
          </cell>
        </row>
        <row r="819">
          <cell r="B819" t="str">
            <v>THIEN AN PHAT (nhan KOHL'S)</v>
          </cell>
          <cell r="C819" t="str">
            <v>DUONG SO 5, CUM CN LANG NGHE AN HOA, AN HOA, HUE</v>
          </cell>
          <cell r="D819" t="str">
            <v>TTC-KHTT</v>
          </cell>
          <cell r="E819" t="str">
            <v>CAM NHUNG: 0972 92 6363</v>
          </cell>
        </row>
        <row r="820">
          <cell r="B820" t="str">
            <v>THIEN NAM</v>
          </cell>
          <cell r="C820" t="str">
            <v xml:space="preserve">Km số 3, đường Phạm Văn Đồng, Phường Anh Dũng, Quận Dương Kinh, Hải Phòng, </v>
          </cell>
          <cell r="D820">
            <v>0</v>
          </cell>
          <cell r="E820" t="str">
            <v>nguoi nhan: Tu 0939316239</v>
          </cell>
        </row>
        <row r="821">
          <cell r="B821" t="str">
            <v>thien quang</v>
          </cell>
          <cell r="C821" t="str">
            <v>No.49,871 Provincial Street,Go Luc Hamlet, Tan Dong Commune,Go Cong Dong District,Tien Giang</v>
          </cell>
          <cell r="D821">
            <v>0</v>
          </cell>
          <cell r="E821" t="str">
            <v>ATTN: 073-3571779/78</v>
          </cell>
        </row>
        <row r="822">
          <cell r="B822" t="str">
            <v>THINH DAT</v>
          </cell>
          <cell r="C822" t="str">
            <v>VAM HAMLET, BEN LUC, LONG AN</v>
          </cell>
          <cell r="D822" t="str">
            <v>HANG CTU</v>
          </cell>
          <cell r="E822" t="str">
            <v>MS DIEN: 0913 728 841</v>
          </cell>
        </row>
        <row r="823">
          <cell r="B823" t="str">
            <v>THINH PHAT</v>
          </cell>
          <cell r="C823" t="str">
            <v>KM 07. 31 ROAD, DAI LAM VILLAGE, LANG GIANG DISTRICT, BAC GIANG PROVINCE</v>
          </cell>
          <cell r="D823">
            <v>0</v>
          </cell>
          <cell r="E823" t="str">
            <v>Ms Hien  +84240383668</v>
          </cell>
        </row>
        <row r="824">
          <cell r="B824" t="str">
            <v>THINH VUONG</v>
          </cell>
          <cell r="C824" t="str">
            <v>AP NHON HOA 1, XA DUC HOA THUONG, HUYEN DUC HOA, LONG AN</v>
          </cell>
          <cell r="D824">
            <v>0</v>
          </cell>
          <cell r="E824" t="str">
            <v xml:space="preserve">MS NGAN: 0932384082 – 0909840213 </v>
          </cell>
        </row>
        <row r="825">
          <cell r="B825" t="str">
            <v>THUAN THANH</v>
          </cell>
          <cell r="C825" t="str">
            <v>XA XUAN LAM, HUYEN THUAN THANH, TINH BAC NINH</v>
          </cell>
          <cell r="D825">
            <v>0</v>
          </cell>
          <cell r="E825">
            <v>0</v>
          </cell>
        </row>
        <row r="826">
          <cell r="B826" t="str">
            <v>THUONG DINH</v>
          </cell>
          <cell r="C826" t="str">
            <v>277, NGUYEN TRAI ROAD,
 THANH XUAN, HA NOI</v>
          </cell>
          <cell r="D826" t="str">
            <v>NETCO- KHTT</v>
          </cell>
          <cell r="E826" t="str">
            <v>ATTN: HUY 0904117795
 0904472347</v>
          </cell>
        </row>
        <row r="827">
          <cell r="B827" t="str">
            <v>THUY KHUE</v>
          </cell>
          <cell r="C827" t="str">
            <v>KHU CN PHÚ MINH- PHƯỜNG CỔ NHUẾ 2- QUẬN BẮC TỪ LIÊM -TP.HÀ NỘI</v>
          </cell>
          <cell r="D827" t="str">
            <v>NETCO- KHTT</v>
          </cell>
          <cell r="E827" t="str">
            <v>Chi Tâm, DT 0987 859 639</v>
          </cell>
        </row>
        <row r="828">
          <cell r="B828" t="str">
            <v>THUYEN NGUYEN</v>
          </cell>
          <cell r="C828" t="str">
            <v>LO C 07(07-06),KCN TINH PHONG,X. TINH PHONG,H.SON TINH, QUANG NGAI</v>
          </cell>
          <cell r="D828">
            <v>0</v>
          </cell>
          <cell r="E828" t="str">
            <v>Ms Oanh: 055 3674 888</v>
          </cell>
        </row>
        <row r="829">
          <cell r="B829" t="str">
            <v>THYGESEN TEXTILE</v>
          </cell>
          <cell r="C829" t="str">
            <v>Tan Quang Commune, Van Lam Dist.. Hung Yen</v>
          </cell>
          <cell r="D829">
            <v>0</v>
          </cell>
          <cell r="E829" t="str">
            <v>MS HIEN:  0903294379</v>
          </cell>
        </row>
        <row r="830">
          <cell r="B830" t="str">
            <v>TIEN DAT</v>
          </cell>
          <cell r="C830" t="str">
            <v>QL1A, KHU VUC 7, P. BUI THI XUAN, QUY NHON, BINH DINH</v>
          </cell>
          <cell r="D830">
            <v>0</v>
          </cell>
          <cell r="E830" t="str">
            <v>THU: 0983 400 399</v>
          </cell>
        </row>
        <row r="831">
          <cell r="B831" t="str">
            <v>TIEN HUNG</v>
          </cell>
          <cell r="C831" t="str">
            <v>THI TRAN VUONG, TIEN LU, HUNG YEN</v>
          </cell>
          <cell r="D831">
            <v>0</v>
          </cell>
          <cell r="E831" t="str">
            <v>MS NINH 0987 930 558/
 MR CUONG 0919 686 228</v>
          </cell>
        </row>
        <row r="832">
          <cell r="B832" t="str">
            <v>TIEN HUNG GYMBOREE</v>
          </cell>
          <cell r="C832" t="str">
            <v>THI TRAN VUONG, TIEN LU, HUNG YEN</v>
          </cell>
          <cell r="D832">
            <v>0</v>
          </cell>
          <cell r="E832" t="str">
            <v>MANH CUONG: 0903 278 330</v>
          </cell>
        </row>
        <row r="833">
          <cell r="B833" t="str">
            <v>TIEN LU</v>
          </cell>
          <cell r="C833" t="str">
            <v>BA HANG, THU SY, TIEN LU, HUNG YEN</v>
          </cell>
          <cell r="D833">
            <v>0</v>
          </cell>
          <cell r="E833" t="str">
            <v xml:space="preserve">A Son-dt0321 3878878 </v>
          </cell>
        </row>
        <row r="834">
          <cell r="B834" t="str">
            <v>TIEN NHI</v>
          </cell>
          <cell r="C834" t="str">
            <v>476 QL 1A, KHU PHO BINH CU, PHUONG 4, TP. TAN AN, LONG AN</v>
          </cell>
          <cell r="D834">
            <v>0</v>
          </cell>
          <cell r="E834" t="str">
            <v>MS HONG-072 3 511 596</v>
          </cell>
        </row>
        <row r="835">
          <cell r="B835" t="str">
            <v>TIEN SON THANH HOA</v>
          </cell>
          <cell r="C835" t="str">
            <v>NO 09, KCN BAC SON, BIM SON, THANH HOA</v>
          </cell>
          <cell r="D835" t="str">
            <v>hang chung ctu</v>
          </cell>
          <cell r="E835" t="str">
            <v>MS HUONG: 0124 724 6666</v>
          </cell>
        </row>
        <row r="836">
          <cell r="B836" t="str">
            <v>TIEN THANG</v>
          </cell>
          <cell r="C836" t="str">
            <v>LA BONG, HOA TIEN, HOA VANG, DA NANG</v>
          </cell>
          <cell r="D836" t="str">
            <v>hang chung ctu
TTC-KHTT</v>
          </cell>
          <cell r="E836">
            <v>0</v>
          </cell>
        </row>
        <row r="837">
          <cell r="B837" t="str">
            <v>TIEN THANH</v>
          </cell>
          <cell r="C837" t="str">
            <v>DUONG D3, KCN PHO NOI, VAN LAM, HUNG YEN</v>
          </cell>
          <cell r="D837">
            <v>0</v>
          </cell>
          <cell r="E837" t="str">
            <v>MR GIAP: 0978 726 840</v>
          </cell>
        </row>
        <row r="838">
          <cell r="B838" t="str">
            <v>TIEN TIEN</v>
          </cell>
          <cell r="C838" t="str">
            <v>234, PHUONG 9,TP.MY THO, TIEN GIANG</v>
          </cell>
          <cell r="D838">
            <v>0</v>
          </cell>
          <cell r="E838" t="str">
            <v>MS THU: 0902 371 055</v>
          </cell>
        </row>
        <row r="839">
          <cell r="B839" t="str">
            <v>TIEN TIEN</v>
          </cell>
          <cell r="C839" t="str">
            <v>234-SECTION 6-WARD 9-MY THO-TIEN GIANG</v>
          </cell>
          <cell r="D839">
            <v>0</v>
          </cell>
          <cell r="E839" t="str">
            <v>MADAM PHAM THI DU: 84 738 512 012
MS TRANG: 84 733 851 201</v>
          </cell>
        </row>
        <row r="840">
          <cell r="B840" t="str">
            <v>TIN TRUC</v>
          </cell>
          <cell r="C840" t="str">
            <v>Chi nhanh Cong Ty TNHH SAO VANG
Khu PhúThanh Tây- Phương Yên Thanh,
thi xa Uong Bi,tinh Quang Ninh</v>
          </cell>
          <cell r="D840">
            <v>0</v>
          </cell>
          <cell r="E840" t="str">
            <v>HuỆ NHÂN-0903492407</v>
          </cell>
        </row>
        <row r="841">
          <cell r="B841" t="str">
            <v>TIN TRUC MANGO</v>
          </cell>
          <cell r="C841" t="str">
            <v xml:space="preserve"> NHÀ MÁY MAY XK BÍCH SƠN, THÔN KIỂU, XA BICH DONG, VIET YEN, BAC GIANG</v>
          </cell>
          <cell r="D841">
            <v>0</v>
          </cell>
          <cell r="E841" t="str">
            <v xml:space="preserve"> ATTN: VÂN ANH - 0979 435 405</v>
          </cell>
        </row>
        <row r="842">
          <cell r="B842" t="str">
            <v>TINH LOI BLOCK 4</v>
          </cell>
          <cell r="C842" t="str">
            <v>KCN LAI VU, HAI DUONG</v>
          </cell>
          <cell r="D842">
            <v>0</v>
          </cell>
          <cell r="E842" t="str">
            <v>MINH 0968 536 659</v>
          </cell>
        </row>
        <row r="843">
          <cell r="B843" t="str">
            <v>FWKK</v>
          </cell>
          <cell r="C843" t="str">
            <v>DOI TRAI QUAN, SON DAONG, LAP THACH, VINH PHUC</v>
          </cell>
          <cell r="D843">
            <v>0</v>
          </cell>
          <cell r="E843">
            <v>0</v>
          </cell>
        </row>
        <row r="844">
          <cell r="B844" t="str">
            <v>TEXHONG THAI BINH</v>
          </cell>
          <cell r="C844" t="str">
            <v>KCN PHUC KHANH, PHU KHANH, THAI BINH</v>
          </cell>
          <cell r="D844">
            <v>0</v>
          </cell>
          <cell r="E844">
            <v>0</v>
          </cell>
        </row>
        <row r="845">
          <cell r="B845" t="str">
            <v>TINH LOI A&amp;F</v>
          </cell>
          <cell r="C845" t="str">
            <v>KCN NAM SACH , HAI DUONG</v>
          </cell>
          <cell r="D845" t="str">
            <v>HANG CHUNG CTU- NEU HANG GAP GIAO TRUOC</v>
          </cell>
          <cell r="E845" t="str">
            <v>MS NGA: 0987 820 658</v>
          </cell>
        </row>
        <row r="846">
          <cell r="B846" t="str">
            <v>TINH LOI ANN TAYLOR</v>
          </cell>
          <cell r="C846" t="str">
            <v>KCN LAI VU, HAI DUONG</v>
          </cell>
          <cell r="D846" t="str">
            <v>HANG CHUNG CTU- NEU HANG GAP GIAO TRUOC</v>
          </cell>
          <cell r="E846" t="str">
            <v>Hao 0967465293</v>
          </cell>
        </row>
        <row r="847">
          <cell r="B847" t="str">
            <v>TINH LOI ANN TAYLOR</v>
          </cell>
          <cell r="C847" t="str">
            <v>KCN LAI VU, HAI DUONG</v>
          </cell>
          <cell r="D847">
            <v>0</v>
          </cell>
          <cell r="E847" t="str">
            <v>HAO 0967465293</v>
          </cell>
        </row>
        <row r="848">
          <cell r="B848" t="str">
            <v>DU DUC KHU A</v>
          </cell>
          <cell r="C848" t="str">
            <v>LO BIV, CI-10, KCN TAN HUONG, CHAU THANH, TIEN GIANG</v>
          </cell>
          <cell r="D848">
            <v>0</v>
          </cell>
          <cell r="E848" t="str">
            <v>HANG 01693460264</v>
          </cell>
        </row>
        <row r="849">
          <cell r="B849" t="str">
            <v>GG VINA</v>
          </cell>
          <cell r="C849" t="str">
            <v>SO 226 PHO LE LAI, PHUONG MAY CHAI, QUAN NGO QUYEN, HAI PHONG</v>
          </cell>
          <cell r="D849">
            <v>0</v>
          </cell>
          <cell r="E849">
            <v>0</v>
          </cell>
        </row>
        <row r="850">
          <cell r="B850" t="str">
            <v>FORVIET</v>
          </cell>
          <cell r="C850" t="str">
            <v>VINH HONG, BINH GIANG, HAI DUONG</v>
          </cell>
          <cell r="D850">
            <v>0</v>
          </cell>
          <cell r="E850" t="str">
            <v>HIEN 0320 3773333</v>
          </cell>
        </row>
        <row r="851">
          <cell r="B851" t="str">
            <v>TINH LOI GAP INC</v>
          </cell>
          <cell r="C851" t="str">
            <v>KCN NAM SACH, HAI DUONG</v>
          </cell>
          <cell r="D851">
            <v>0</v>
          </cell>
          <cell r="E851">
            <v>0</v>
          </cell>
        </row>
        <row r="852">
          <cell r="B852" t="str">
            <v xml:space="preserve">TINH LOI 2 GAP INC </v>
          </cell>
          <cell r="C852" t="str">
            <v>KCN LAI VU, HAI DUONG</v>
          </cell>
          <cell r="D852">
            <v>0</v>
          </cell>
          <cell r="E852" t="str">
            <v>MS DUNG: 0963 528 138</v>
          </cell>
        </row>
        <row r="853">
          <cell r="B853" t="str">
            <v>TINH LOI H&amp;M</v>
          </cell>
          <cell r="C853" t="str">
            <v>KCN NAM SACH, HAI DUONG</v>
          </cell>
          <cell r="D853" t="str">
            <v>HANG CHUNG CTU- NEU HANG GAP GIAO TRUOC</v>
          </cell>
          <cell r="E853" t="str">
            <v>MS NGA: 0987 820 658</v>
          </cell>
        </row>
        <row r="854">
          <cell r="B854" t="str">
            <v>TINH LOI JC PENNEY</v>
          </cell>
          <cell r="C854" t="str">
            <v>KCN LAI VU- HAI DUONG</v>
          </cell>
          <cell r="D854" t="str">
            <v>HANG CHUNG CTU- NEU HANG GAP GIAO TRUOC</v>
          </cell>
          <cell r="E854" t="str">
            <v>MS NGA: 0987 820 658</v>
          </cell>
        </row>
        <row r="855">
          <cell r="B855" t="str">
            <v>TINH LOI JC PENNEY</v>
          </cell>
          <cell r="C855" t="str">
            <v>KCN NAM SACH, HAI DUONG</v>
          </cell>
          <cell r="D855">
            <v>0</v>
          </cell>
          <cell r="E855" t="str">
            <v>MS NGA: 0987 820 658</v>
          </cell>
        </row>
        <row r="856">
          <cell r="B856" t="str">
            <v>TINH LOI KOHL</v>
          </cell>
          <cell r="C856" t="str">
            <v>KCN LAI VU, HAI DUONG</v>
          </cell>
          <cell r="D856">
            <v>0</v>
          </cell>
          <cell r="E856" t="str">
            <v>THU 0982094023</v>
          </cell>
        </row>
        <row r="857">
          <cell r="B857" t="str">
            <v>TINH LOI MANGO</v>
          </cell>
          <cell r="C857" t="str">
            <v>NAM SACH IZ-HAI DUONG</v>
          </cell>
          <cell r="D857" t="str">
            <v>HANG CHUNG CTU- NEU HANG GAP GIAO TRUOC</v>
          </cell>
          <cell r="E857" t="str">
            <v>MS HANH 0168 2094 534</v>
          </cell>
        </row>
        <row r="858">
          <cell r="B858" t="str">
            <v>TINH LOI NEXT</v>
          </cell>
          <cell r="C858" t="str">
            <v>KCN NAM SACH, HAI DUONG</v>
          </cell>
          <cell r="D858">
            <v>0</v>
          </cell>
          <cell r="E858" t="str">
            <v>LUAN 01674241088</v>
          </cell>
        </row>
        <row r="859">
          <cell r="B859" t="str">
            <v>TINH LOI OLD NAVY</v>
          </cell>
          <cell r="C859" t="str">
            <v>KCN NAM SACH, HAI DUONG</v>
          </cell>
          <cell r="D859">
            <v>0</v>
          </cell>
          <cell r="E859" t="str">
            <v>HOA 0968747693</v>
          </cell>
        </row>
        <row r="860">
          <cell r="B860" t="str">
            <v>TINH LOI 2 OLD NAVY</v>
          </cell>
          <cell r="C860" t="str">
            <v>KCN LAI VU, HAI DUONG</v>
          </cell>
          <cell r="D860">
            <v>0</v>
          </cell>
          <cell r="E860" t="str">
            <v>MS DUNG: 0963 528 138</v>
          </cell>
        </row>
        <row r="861">
          <cell r="B861" t="str">
            <v>TINH LOI TARGET</v>
          </cell>
          <cell r="C861" t="str">
            <v>KCN NAM SACH, HAI DUONG</v>
          </cell>
          <cell r="D861">
            <v>0</v>
          </cell>
          <cell r="E861" t="str">
            <v>LUAN 01674241088</v>
          </cell>
        </row>
        <row r="862">
          <cell r="B862" t="str">
            <v>HOA DO 3</v>
          </cell>
          <cell r="C862" t="str">
            <v xml:space="preserve"> Thôn An Lạc - xã An Dục - huyện Quỳnh Phụ - Tỉnh Thái Bình</v>
          </cell>
          <cell r="D862">
            <v>0</v>
          </cell>
          <cell r="E862" t="str">
            <v>VU 01635538000</v>
          </cell>
        </row>
        <row r="863">
          <cell r="B863" t="str">
            <v>TINH LOI UNIQLO</v>
          </cell>
          <cell r="C863" t="str">
            <v>KCN LAI VU, HAI DUONG</v>
          </cell>
          <cell r="D863">
            <v>0</v>
          </cell>
          <cell r="E863" t="str">
            <v>HAU: 0128 833 0267</v>
          </cell>
        </row>
        <row r="864">
          <cell r="B864" t="str">
            <v>TINH LOI UNIQLO NAM SACH</v>
          </cell>
          <cell r="C864" t="str">
            <v>KCN NAM SACH HAI DUONG</v>
          </cell>
          <cell r="D864">
            <v>0</v>
          </cell>
          <cell r="E864" t="str">
            <v>HANH 01682094534</v>
          </cell>
        </row>
        <row r="865">
          <cell r="B865" t="str">
            <v>TISU</v>
          </cell>
          <cell r="C865" t="str">
            <v>DUONG TS 13, KCN TIEN SON, TUONG GIANG, TU SON, BAC NINH</v>
          </cell>
          <cell r="D865">
            <v>0</v>
          </cell>
          <cell r="E865" t="str">
            <v>NGOC LAN: 0975 852 685</v>
          </cell>
        </row>
        <row r="866">
          <cell r="B866" t="str">
            <v>TNG  JC PENNEY</v>
          </cell>
          <cell r="C866" t="str">
            <v>GIAO TNG 4, XUONG 4, KHU B, KCN SONG CONG, SONG CONG, THAI NGUYEN</v>
          </cell>
          <cell r="D866" t="str">
            <v>hang giao truoc</v>
          </cell>
          <cell r="E866" t="str">
            <v>MR TUNG: 0916 629 986</v>
          </cell>
        </row>
        <row r="867">
          <cell r="B867" t="str">
            <v>TNG 1 C&amp;A</v>
          </cell>
          <cell r="C867" t="str">
            <v>160 MINH CAU, THAI NGUYEN</v>
          </cell>
          <cell r="D867">
            <v>0</v>
          </cell>
          <cell r="E867" t="str">
            <v>Phan Trang Phone: +84 1258 006 626</v>
          </cell>
        </row>
        <row r="868">
          <cell r="B868" t="str">
            <v>TNG 1 COLUMBIA</v>
          </cell>
          <cell r="C868" t="str">
            <v>160 MINH CAU, THAI NGUYEN</v>
          </cell>
          <cell r="D868">
            <v>0</v>
          </cell>
          <cell r="E868" t="str">
            <v>MY 01693796888</v>
          </cell>
        </row>
        <row r="869">
          <cell r="B869" t="str">
            <v>TNG 1 DECATHLON</v>
          </cell>
          <cell r="C869" t="str">
            <v>160 MINH CAU, THAI NGUYEN</v>
          </cell>
          <cell r="D869">
            <v>0</v>
          </cell>
          <cell r="E869" t="str">
            <v>MY: 0168 547 6223</v>
          </cell>
        </row>
        <row r="870">
          <cell r="B870" t="str">
            <v>CIBAO</v>
          </cell>
          <cell r="C870" t="str">
            <v>N 5 SUOI TRE, LONG KHANH, DONG NAI</v>
          </cell>
          <cell r="D870">
            <v>0</v>
          </cell>
          <cell r="E870">
            <v>0</v>
          </cell>
        </row>
        <row r="871">
          <cell r="B871" t="str">
            <v>MICRAFTS</v>
          </cell>
          <cell r="C871" t="str">
            <v>SO 32B, DUONG DOI NHAN, BA DINH, HA NOI</v>
          </cell>
          <cell r="D871">
            <v>0</v>
          </cell>
          <cell r="E871">
            <v>0</v>
          </cell>
        </row>
        <row r="872">
          <cell r="B872" t="str">
            <v>TNG 4</v>
          </cell>
          <cell r="C872" t="str">
            <v>GIAO TNG 4, XUONG 4, KHU B, KCN SONG CONG, SONG CONG, THAI NGUYEN</v>
          </cell>
          <cell r="D872">
            <v>0</v>
          </cell>
          <cell r="E872" t="str">
            <v>01677 564 575 MR HOANG</v>
          </cell>
        </row>
        <row r="873">
          <cell r="B873" t="str">
            <v>TNG BAC CAN</v>
          </cell>
          <cell r="C873" t="str">
            <v>434/1 BAC CAN THAI NGUYEN</v>
          </cell>
          <cell r="D873">
            <v>0</v>
          </cell>
          <cell r="E873" t="str">
            <v>MS GRACE 0904 043 828</v>
          </cell>
        </row>
        <row r="874">
          <cell r="B874" t="str">
            <v>TNG BILL PAN PACIFIC</v>
          </cell>
          <cell r="C874" t="str">
            <v>160 MINH CAU, THAI NGUYEN</v>
          </cell>
          <cell r="D874">
            <v>0</v>
          </cell>
          <cell r="E874" t="str">
            <v>MS HUONG THU KHO: 0913 873 007</v>
          </cell>
        </row>
        <row r="875">
          <cell r="B875" t="str">
            <v>TNG C&amp;A</v>
          </cell>
          <cell r="C875" t="str">
            <v>221 Thong Nhat, Thai Nguyen</v>
          </cell>
          <cell r="D875">
            <v>0</v>
          </cell>
          <cell r="E875" t="str">
            <v>TRANG: 01685 151 959</v>
          </cell>
        </row>
        <row r="876">
          <cell r="B876" t="str">
            <v>TNG CN VIET DUC</v>
          </cell>
          <cell r="C876" t="str">
            <v>160 MINH CAU, THAI NGUYEN</v>
          </cell>
          <cell r="D876" t="str">
            <v>hang giao truoc</v>
          </cell>
          <cell r="E876" t="str">
            <v>MS HUYEN: 0983 911 440
MS NHUNG: 0984 063 748</v>
          </cell>
        </row>
        <row r="877">
          <cell r="B877" t="str">
            <v>VINEX SPOL</v>
          </cell>
          <cell r="C877" t="str">
            <v xml:space="preserve"> 6th Floor,  No.478 Minh Khai Str,Hai Ba Trung Dist, Hanoi  </v>
          </cell>
          <cell r="D877">
            <v>0</v>
          </cell>
          <cell r="E877" t="str">
            <v>Mrs.  Merry/Huong +84-0989709898</v>
          </cell>
        </row>
        <row r="878">
          <cell r="B878" t="str">
            <v>TNG CN VIET THAI</v>
          </cell>
          <cell r="C878" t="str">
            <v>221 Thong Nhat, Thai Nguyen</v>
          </cell>
          <cell r="D878">
            <v>0</v>
          </cell>
          <cell r="E878" t="str">
            <v>Thanh Tuan:0915 311 775
nguoi lien he : cho cs confim</v>
          </cell>
        </row>
        <row r="879">
          <cell r="B879" t="str">
            <v>TNG INVESTMENT</v>
          </cell>
          <cell r="C879" t="str">
            <v>TIEN HOI COMMUNE. DAI TU DISTRICT, THAI NGUYEN</v>
          </cell>
          <cell r="D879">
            <v>0</v>
          </cell>
          <cell r="E879" t="str">
            <v>Ms. Ngọc - 01693029385</v>
          </cell>
        </row>
        <row r="880">
          <cell r="B880" t="str">
            <v>TNG MACKAYS</v>
          </cell>
          <cell r="C880" t="str">
            <v>221 Thong Nhat, Thai Nguyen</v>
          </cell>
          <cell r="D880">
            <v>0</v>
          </cell>
          <cell r="E880" t="str">
            <v>0169 302 9385</v>
          </cell>
        </row>
        <row r="881">
          <cell r="B881" t="str">
            <v>TNG PHU BINH 3 MANGO</v>
          </cell>
          <cell r="C881" t="str">
            <v>CHI NHANH MAY PHU BINH, KHA SON, PHU BINH, THAI NGUYEN</v>
          </cell>
          <cell r="D881" t="str">
            <v>hang chung tu</v>
          </cell>
          <cell r="E881" t="str">
            <v>01688372595 Mai</v>
          </cell>
        </row>
        <row r="882">
          <cell r="B882" t="str">
            <v>TNG MUJI</v>
          </cell>
          <cell r="C882" t="str">
            <v>160 MINH CAU THAI NGUYEN</v>
          </cell>
          <cell r="D882">
            <v>0</v>
          </cell>
          <cell r="E882" t="str">
            <v>MS VAN 0966438333</v>
          </cell>
        </row>
        <row r="883">
          <cell r="B883" t="str">
            <v>TNG PHU BINH 1</v>
          </cell>
          <cell r="C883" t="str">
            <v>KHA SON, PHU BINH, THAI NGUYEN</v>
          </cell>
          <cell r="D883">
            <v>0</v>
          </cell>
          <cell r="E883" t="str">
            <v>MR LANH 0987731294</v>
          </cell>
        </row>
        <row r="884">
          <cell r="B884" t="str">
            <v>TNG PHU BINH 3</v>
          </cell>
          <cell r="C884" t="str">
            <v>KHA SON, PHU BINH, THAI NGUYEN</v>
          </cell>
          <cell r="D884">
            <v>0</v>
          </cell>
          <cell r="E884" t="str">
            <v>01688372595 Mai</v>
          </cell>
        </row>
        <row r="885">
          <cell r="B885" t="str">
            <v>TNG PHU BINH 4</v>
          </cell>
          <cell r="C885" t="str">
            <v>KHA SON, PHU BINH, THAI NGUYEN</v>
          </cell>
          <cell r="D885">
            <v>0</v>
          </cell>
          <cell r="E885" t="str">
            <v>01679255184</v>
          </cell>
        </row>
        <row r="886">
          <cell r="B886" t="str">
            <v>TNG PRIMARK - GEORGE- TESCO</v>
          </cell>
          <cell r="C886" t="str">
            <v>221 Thong Nhat, Thai Nguyen</v>
          </cell>
          <cell r="D886">
            <v>0</v>
          </cell>
          <cell r="E886" t="str">
            <v>VINH: 0949 832 845</v>
          </cell>
        </row>
        <row r="887">
          <cell r="B887" t="str">
            <v>TNG PXVN</v>
          </cell>
          <cell r="C887" t="str">
            <v>221 Thong Nhat, Thai Nguyen</v>
          </cell>
          <cell r="D887">
            <v>0</v>
          </cell>
          <cell r="E887" t="str">
            <v>0169 302 9385</v>
          </cell>
        </row>
        <row r="888">
          <cell r="B888" t="str">
            <v>TNG SONG CONG 1</v>
          </cell>
          <cell r="C888" t="str">
            <v>SONG CONG 1, KHU B, KCN SONG CONG, THAI NGUYEN</v>
          </cell>
          <cell r="D888">
            <v>0</v>
          </cell>
          <cell r="E888" t="str">
            <v>QUANG HUNG: 0977 008 544</v>
          </cell>
        </row>
        <row r="889">
          <cell r="B889" t="str">
            <v>TNG SONG CONG 2</v>
          </cell>
          <cell r="C889" t="str">
            <v>SONG CONG 2, KHU B, KCN SONG CONG, THAI NGUYEN</v>
          </cell>
          <cell r="D889">
            <v>0</v>
          </cell>
          <cell r="E889" t="str">
            <v>PHUONG: 0280 3509 724</v>
          </cell>
        </row>
        <row r="890">
          <cell r="B890" t="str">
            <v>TNG SONG CONG 3</v>
          </cell>
          <cell r="C890" t="str">
            <v>SONG CONG 3, KHU B, KCN SONG CONG, THAI NGUYEN</v>
          </cell>
          <cell r="D890">
            <v>0</v>
          </cell>
          <cell r="E890" t="str">
            <v>THANH TRA: 0169 266 1597</v>
          </cell>
        </row>
        <row r="891">
          <cell r="B891" t="str">
            <v>TNG SONG CONG 4</v>
          </cell>
          <cell r="C891" t="str">
            <v>TNG CHI NHANH SONG CONG 4, KHU B, KCN SONG CONG, TP SONG CONG, THAI NGUYEN</v>
          </cell>
          <cell r="D891">
            <v>0</v>
          </cell>
          <cell r="E891" t="str">
            <v>MS TRANG: 01258006626</v>
          </cell>
        </row>
        <row r="892">
          <cell r="B892" t="str">
            <v>TNG VIET DUC</v>
          </cell>
          <cell r="C892" t="str">
            <v>160 MINH CAU, THAI NGUYEN</v>
          </cell>
          <cell r="D892">
            <v>0</v>
          </cell>
          <cell r="E892" t="str">
            <v>Ngoc Duong _ 01693029385</v>
          </cell>
        </row>
        <row r="893">
          <cell r="B893" t="str">
            <v>TOAN CAU SONG TOAN</v>
          </cell>
          <cell r="C893" t="str">
            <v>17B, AP SUOI CAO, PHUOC DONG, GO DAU, TAY NINH</v>
          </cell>
          <cell r="D893">
            <v>0</v>
          </cell>
          <cell r="E893" t="str">
            <v>MS THAO: 0166 234 2174</v>
          </cell>
        </row>
        <row r="894">
          <cell r="B894" t="str">
            <v>TRANG SUC LIAAN</v>
          </cell>
          <cell r="C894" t="str">
            <v>KCN DONG VAN I, DUY TIEN, HA NAM</v>
          </cell>
          <cell r="D894">
            <v>0</v>
          </cell>
          <cell r="E894">
            <v>0</v>
          </cell>
        </row>
        <row r="895">
          <cell r="B895" t="str">
            <v>TRUNG PHAT</v>
          </cell>
          <cell r="C895" t="str">
            <v>243B Long Hội, Giao Long,
Châu Thành, Tỉnh Bến Tre</v>
          </cell>
          <cell r="D895">
            <v>0</v>
          </cell>
          <cell r="E895" t="str">
            <v>ATTN: MR THINH/ MR VIET
075. 3636373</v>
          </cell>
        </row>
        <row r="896">
          <cell r="B896" t="str">
            <v>TRUONG AN</v>
          </cell>
          <cell r="C896" t="str">
            <v>10-HO SEN-LE CHAN-HAI PHONG</v>
          </cell>
          <cell r="D896">
            <v>0</v>
          </cell>
          <cell r="E896" t="str">
            <v>MS HUONG(P.KH)-031 2213149</v>
          </cell>
        </row>
        <row r="897">
          <cell r="B897" t="str">
            <v>TRUONG SON</v>
          </cell>
          <cell r="C897" t="str">
            <v>313 Da Nang-Ngo Quyen-Hai Phong</v>
          </cell>
          <cell r="D897">
            <v>0</v>
          </cell>
          <cell r="E897" t="str">
            <v>MR SON: 0909 360 793</v>
          </cell>
        </row>
        <row r="898">
          <cell r="B898" t="str">
            <v>TRUONG SON FACTORY</v>
          </cell>
          <cell r="C898" t="str">
            <v>NGA 4 DONG SON, KENH GIANG, THUY NGUYEN, HAI PHONG</v>
          </cell>
          <cell r="D898">
            <v>0</v>
          </cell>
          <cell r="E898" t="str">
            <v>MS NGUYET: 0984 364 206</v>
          </cell>
        </row>
        <row r="899">
          <cell r="B899" t="str">
            <v>TRUONG SON GARMENT</v>
          </cell>
          <cell r="C899" t="str">
            <v>402 ST- HOA NGHIA-DUONG KINH-HAI PHONG</v>
          </cell>
          <cell r="D899">
            <v>0</v>
          </cell>
          <cell r="E899" t="str">
            <v>MR BINH: 0904 659 810</v>
          </cell>
        </row>
        <row r="900">
          <cell r="B900" t="str">
            <v>TRUONG THANG</v>
          </cell>
          <cell r="C900" t="str">
            <v>SO 208, DUONG LAM SON, HUYEN NONG CONG, THANH HOA</v>
          </cell>
          <cell r="D900">
            <v>0</v>
          </cell>
          <cell r="E900" t="str">
            <v>Ms ly: 0912927880</v>
          </cell>
        </row>
        <row r="901">
          <cell r="B901" t="str">
            <v>TUAN DAT</v>
          </cell>
          <cell r="C901" t="str">
            <v>KCN TRUONG XUAN, TAM KY, QUANG NAM</v>
          </cell>
          <cell r="D901">
            <v>0</v>
          </cell>
          <cell r="E901" t="str">
            <v>TRAN THI DUNG
0510 3841154</v>
          </cell>
        </row>
        <row r="902">
          <cell r="B902" t="str">
            <v>TUAN DAT PVH</v>
          </cell>
          <cell r="C902" t="str">
            <v>KCN TRUONG XUAN, TAM KY, QUANG NAM</v>
          </cell>
          <cell r="D902" t="str">
            <v>PHAT DUNG TEN NGUOI LIEN HE</v>
          </cell>
          <cell r="E902" t="str">
            <v>TRAN THI DUNG
0510 3841154</v>
          </cell>
        </row>
        <row r="903">
          <cell r="B903" t="str">
            <v>TUAN THANG</v>
          </cell>
          <cell r="C903" t="str">
            <v>THON NAM, DONG PHUONG, DONG HUNG, THAI BINH</v>
          </cell>
          <cell r="D903">
            <v>0</v>
          </cell>
          <cell r="E903" t="str">
            <v>MS THOA: 01666 416 647</v>
          </cell>
        </row>
        <row r="904">
          <cell r="B904" t="str">
            <v>TUNGTEX FASHION ANN TAYLOR</v>
          </cell>
          <cell r="C904" t="str">
            <v>LOT A2, DUONG SO 2, KCN THUAN DAO, BEN LUC, LONG AN</v>
          </cell>
          <cell r="D904" t="str">
            <v>CHUNG CTU</v>
          </cell>
          <cell r="E904" t="str">
            <v>MS HANG: 0124 4466 005</v>
          </cell>
        </row>
        <row r="905">
          <cell r="B905" t="str">
            <v>TUNGTEX SOC TRANG</v>
          </cell>
          <cell r="C905" t="str">
            <v>LO H, KCN AN HIEP, XA AN HIEP, CHAU THANH, SOC TRANG</v>
          </cell>
          <cell r="D905">
            <v>0</v>
          </cell>
          <cell r="E905" t="str">
            <v>ATTN:Kim Tuyến: 0947 48 2299</v>
          </cell>
        </row>
        <row r="906">
          <cell r="B906" t="str">
            <v>TY XUAN</v>
          </cell>
          <cell r="C906" t="str">
            <v>KHU CON NGHIEP HOA PHU-VINH LONG</v>
          </cell>
          <cell r="D906">
            <v>0</v>
          </cell>
          <cell r="E906" t="str">
            <v>0166 444 3755- MS THUY</v>
          </cell>
        </row>
        <row r="907">
          <cell r="B907" t="str">
            <v>UNICO BAC GIANG</v>
          </cell>
          <cell r="C907" t="str">
            <v>TAN DAN, YEN DUNG, BAC GIANG</v>
          </cell>
          <cell r="D907">
            <v>0</v>
          </cell>
          <cell r="E907" t="str">
            <v xml:space="preserve">MS HUE: 0240 3768 467
</v>
          </cell>
        </row>
        <row r="908">
          <cell r="B908" t="str">
            <v>UNICO LL BEAN</v>
          </cell>
          <cell r="C908" t="str">
            <v>TAN DAN, YEN DUNG, BAC GIANG</v>
          </cell>
          <cell r="D908" t="str">
            <v>HANG CTU-</v>
          </cell>
          <cell r="E908" t="str">
            <v>MS HUYEN: 0987 397 984- L L BEAN</v>
          </cell>
        </row>
        <row r="909">
          <cell r="B909" t="str">
            <v>UNICO YEN BAI</v>
          </cell>
          <cell r="C909" t="str">
            <v>KCN AU LAU XA AU LAU, THANH PHO YEN BAI, TINH YEN BAI</v>
          </cell>
          <cell r="D909">
            <v>0</v>
          </cell>
          <cell r="E909">
            <v>0</v>
          </cell>
        </row>
        <row r="910">
          <cell r="B910" t="str">
            <v>UNISOLL</v>
          </cell>
          <cell r="C910" t="str">
            <v>BI, BII, BIII, BIV SECTION,  GIAO LONG INDUSTRIAL ZONE PHASE II,AN PHUOC COMMUNE, CHAU THANH DISTRICT, BEN TRE PROVINCE</v>
          </cell>
          <cell r="D910">
            <v>0</v>
          </cell>
          <cell r="E910" t="str">
            <v>Tel: 84-75- 3635600   Fax: 84-75- 3635601</v>
          </cell>
        </row>
        <row r="911">
          <cell r="B911" t="str">
            <v>UNITED SWIMWEAR LAND'S END</v>
          </cell>
          <cell r="C911" t="str">
            <v>LOT C1, KCN  SUOI DAU, CAM LAM, KHANH HOA</v>
          </cell>
          <cell r="D911" t="str">
            <v>TTC-DV Nhat Tinh</v>
          </cell>
          <cell r="E911" t="str">
            <v>Britney: 09 3737 9409</v>
          </cell>
        </row>
        <row r="912">
          <cell r="B912" t="str">
            <v>UNO</v>
          </cell>
          <cell r="C912" t="str">
            <v>Quang Minh Park, Me Linh Dist,
 Ha Noi</v>
          </cell>
          <cell r="D912" t="str">
            <v>CTU- C.Trang</v>
          </cell>
          <cell r="E912" t="str">
            <v>Attn: Maria :(0906 216 229)
04 358 60 656</v>
          </cell>
        </row>
        <row r="913">
          <cell r="B913" t="str">
            <v>V.J.ONE</v>
          </cell>
          <cell r="C913" t="str">
            <v>HONG CHAU, DONG HUNG, THAI BINH</v>
          </cell>
          <cell r="D913">
            <v>0</v>
          </cell>
          <cell r="E913" t="str">
            <v>JS LEE/ SUSAN/ PHUONG: 0363 898 643</v>
          </cell>
        </row>
        <row r="914">
          <cell r="B914" t="str">
            <v>V.J.ONE WALMART</v>
          </cell>
          <cell r="C914" t="str">
            <v>HONG CHAU, DONG HUNG, THAI BINH</v>
          </cell>
          <cell r="D914">
            <v>0</v>
          </cell>
          <cell r="E914" t="str">
            <v>SOAI: 0985 097 881</v>
          </cell>
        </row>
        <row r="915">
          <cell r="B915" t="str">
            <v>Valley View</v>
          </cell>
          <cell r="C915" t="str">
            <v>no1,street 2, Da Nang IZ, An Don, An Hai Bac, Son Tra, Da Nang</v>
          </cell>
          <cell r="D915" t="str">
            <v>HANG CHO CONFIRM</v>
          </cell>
          <cell r="E915" t="str">
            <v>Ms Hanh : 0511 3935 666</v>
          </cell>
        </row>
        <row r="916">
          <cell r="B916" t="str">
            <v>VAN HA MASS HITEK</v>
          </cell>
          <cell r="C916" t="str">
            <v>QL 45, 12, VAN HA, THIEU HOA, THANH HOA</v>
          </cell>
          <cell r="D916">
            <v>0</v>
          </cell>
          <cell r="E916" t="str">
            <v>MAI KA: 037 3842 746</v>
          </cell>
        </row>
        <row r="917">
          <cell r="B917" t="str">
            <v>VAN LACCK</v>
          </cell>
          <cell r="C917" t="str">
            <v>CUM CN NGOC HOI, THANH TRI, HA NOI</v>
          </cell>
          <cell r="D917">
            <v>0</v>
          </cell>
          <cell r="E917" t="str">
            <v>MS HUONG: 0919 388 668</v>
          </cell>
        </row>
        <row r="918">
          <cell r="B918" t="str">
            <v>VAN PHU</v>
          </cell>
          <cell r="C918" t="str">
            <v>PHU LAM VILLALE-VAN PHU COMMUNE, NHO QUAN DISTRICT,NINH BINH PROVINE</v>
          </cell>
          <cell r="D918">
            <v>0</v>
          </cell>
          <cell r="E918" t="str">
            <v>01634.540.895
HUONG( Mr Cường: 0963.877.688     or Mr Phú: 0989.302.482)</v>
          </cell>
        </row>
        <row r="919">
          <cell r="B919" t="str">
            <v>VAN TAI SO 5</v>
          </cell>
          <cell r="C919" t="str">
            <v>NGA 3 QUAN BAU, TP VINH, NGHE AN</v>
          </cell>
          <cell r="D919" t="str">
            <v>NETCO-KHTT</v>
          </cell>
          <cell r="E919" t="str">
            <v>MR VINH: 0988 911 154</v>
          </cell>
        </row>
        <row r="920">
          <cell r="B920" t="str">
            <v>VAST APPAREL</v>
          </cell>
          <cell r="C920" t="str">
            <v>A5,6,7,B1,2 TAM DAN INDUSTRIAL ZONE, PHU NINH DISTRICT, QUANG NAM PROVINCE</v>
          </cell>
          <cell r="D920" t="str">
            <v>DAN SHIPPING MARK THEO TUNG DON HANG</v>
          </cell>
          <cell r="E920" t="str">
            <v>THUY TIEN 84 5103 810 797</v>
          </cell>
        </row>
        <row r="921">
          <cell r="B921" t="str">
            <v>Venture International JSC</v>
          </cell>
          <cell r="C921" t="str">
            <v>Km40, Highway 5A, Lai Cach commune, Cam Giang District, Hai Duong province, Vietnam</v>
          </cell>
          <cell r="D921">
            <v>0</v>
          </cell>
          <cell r="E921" t="str">
            <v>Hau: 043 8528 084</v>
          </cell>
        </row>
        <row r="922">
          <cell r="B922" t="str">
            <v>EVERGREEN SHOES</v>
          </cell>
          <cell r="C922" t="str">
            <v>LOC TRU, TIEN THANG, TIEN LANG, HAI PHONG</v>
          </cell>
          <cell r="D922">
            <v>0</v>
          </cell>
          <cell r="E922">
            <v>0</v>
          </cell>
        </row>
        <row r="923">
          <cell r="B923" t="str">
            <v>VINEX SPLO</v>
          </cell>
          <cell r="C923" t="str">
            <v xml:space="preserve"> 6th Floor,  No.478 Minh Khai Str,Hai Ba Trung Dist, Hanoi  </v>
          </cell>
          <cell r="D923">
            <v>0</v>
          </cell>
          <cell r="E923" t="str">
            <v>TUAN ANH 0966543689</v>
          </cell>
        </row>
        <row r="924">
          <cell r="B924" t="str">
            <v>FASHION GARMENT</v>
          </cell>
          <cell r="C924" t="str">
            <v>TAM THANG INDUSTRIAL ZONE, TAM KY CITY, QUANG NAM</v>
          </cell>
          <cell r="D924">
            <v>0</v>
          </cell>
          <cell r="E924">
            <v>0</v>
          </cell>
        </row>
        <row r="925">
          <cell r="B925" t="str">
            <v>VENTURE INVISTA</v>
          </cell>
          <cell r="C925" t="str">
            <v>ROOM 317-320, BLOCK E1, TRUNG TU DIPLOMATIC COMPOUND, 6 DANG VAN NGU, DONG DA, HA NOI</v>
          </cell>
          <cell r="D925">
            <v>0</v>
          </cell>
          <cell r="E925" t="str">
            <v>MS HONG: 04 3852 8084</v>
          </cell>
        </row>
        <row r="926">
          <cell r="B926" t="str">
            <v>VERT FASHION</v>
          </cell>
          <cell r="C926" t="str">
            <v>KIM TRANG, VIET LAP, TAN YEN, BAC GIANG</v>
          </cell>
          <cell r="D926" t="str">
            <v>GIAO HANG CHUNG CTU
SO DN# LEN BILL</v>
          </cell>
          <cell r="E926" t="str">
            <v>NGAN: 0976 558 930</v>
          </cell>
        </row>
        <row r="927">
          <cell r="B927" t="str">
            <v>VESTON VINH BAO</v>
          </cell>
          <cell r="C927" t="str">
            <v>KCN TAN LIEN, TAN LIEN, VINH BAO, HAI PHONG</v>
          </cell>
          <cell r="D927">
            <v>0</v>
          </cell>
          <cell r="E927" t="str">
            <v>0313 899023</v>
          </cell>
        </row>
        <row r="928">
          <cell r="B928" t="str">
            <v>NAM TIEP</v>
          </cell>
          <cell r="C928" t="str">
            <v>LO 20+23+24, CUM CN AN XA, TP NAM DINH</v>
          </cell>
          <cell r="D928">
            <v>0</v>
          </cell>
          <cell r="E928" t="str">
            <v>DAT 0943334596</v>
          </cell>
        </row>
        <row r="929">
          <cell r="B929" t="str">
            <v>VI GARMENT</v>
          </cell>
          <cell r="C929" t="str">
            <v>651HIGHWAY 1A-THU TUU 1-TAN KHANH-TAN AN-LONG AN</v>
          </cell>
          <cell r="D929" t="str">
            <v>TIEN NHI</v>
          </cell>
          <cell r="E929" t="str">
            <v>MS HONG-072 3 511 596</v>
          </cell>
        </row>
        <row r="930">
          <cell r="B930" t="str">
            <v>VI HOANG</v>
          </cell>
          <cell r="C930" t="str">
            <v>SO 5 HOANG HOA THAM, NAM DINH</v>
          </cell>
          <cell r="D930">
            <v>0</v>
          </cell>
          <cell r="E930" t="str">
            <v>MS PHUONG 0916 073 087</v>
          </cell>
        </row>
        <row r="931">
          <cell r="B931" t="str">
            <v>VIEBA</v>
          </cell>
          <cell r="C931" t="str">
            <v>DI SU-MY HAO-HUNG YEN</v>
          </cell>
          <cell r="D931">
            <v>0</v>
          </cell>
          <cell r="E931" t="str">
            <v>C VAN: 0917 490 248</v>
          </cell>
        </row>
        <row r="932">
          <cell r="B932" t="str">
            <v>VIEGARMENT CO</v>
          </cell>
          <cell r="C932" t="str">
            <v>846-848 BINH GIA , VUNG TAU CITY</v>
          </cell>
          <cell r="D932">
            <v>0</v>
          </cell>
          <cell r="E932" t="str">
            <v>064 3 848 372/ 3 848 178
KIM THANH: P KH- XNK( 0908 300 222)</v>
          </cell>
        </row>
        <row r="933">
          <cell r="B933" t="str">
            <v>VIET AN</v>
          </cell>
          <cell r="C933" t="str">
            <v>226 LE LAI-NGO QUYEN-HAI PHONG</v>
          </cell>
          <cell r="D933">
            <v>0</v>
          </cell>
          <cell r="E933" t="str">
            <v>CHAM ANH-313 654942-MR HA</v>
          </cell>
        </row>
        <row r="934">
          <cell r="B934" t="str">
            <v>VIET AN</v>
          </cell>
          <cell r="C934" t="str">
            <v>226 LE LAI, NGO QUYEN, HAI PHONG</v>
          </cell>
          <cell r="D934">
            <v>0</v>
          </cell>
          <cell r="E934">
            <v>0</v>
          </cell>
        </row>
        <row r="935">
          <cell r="B935" t="str">
            <v>VIET AN HN</v>
          </cell>
          <cell r="C935" t="str">
            <v>SO 5 NGUYEN DUY CHINH STR-BAN DAO LINH DAM-HOANG MAI-HA NOI</v>
          </cell>
          <cell r="D935">
            <v>0</v>
          </cell>
          <cell r="E935" t="str">
            <v>LE VAN HUNG-436418764</v>
          </cell>
        </row>
        <row r="936">
          <cell r="B936" t="str">
            <v>VIET AN VAT</v>
          </cell>
          <cell r="C936" t="str">
            <v>KM 1, DUONG PHAM VAN DONG, DUONG KINH, HAI PHONG</v>
          </cell>
          <cell r="D936" t="str">
            <v>PRIMARK</v>
          </cell>
          <cell r="E936" t="str">
            <v>MS THUY:  0904 370 273</v>
          </cell>
        </row>
        <row r="937">
          <cell r="B937" t="str">
            <v>viet anh</v>
          </cell>
          <cell r="C937" t="str">
            <v>KM30, HIGHWAY 5, BACH SON, MY HAO, HUNG YEN</v>
          </cell>
          <cell r="D937">
            <v>0</v>
          </cell>
          <cell r="E937" t="str">
            <v>PHUONG 0986336338</v>
          </cell>
        </row>
        <row r="938">
          <cell r="B938" t="str">
            <v>VIET ANH</v>
          </cell>
          <cell r="C938" t="str">
            <v>KM 30-HIGHWAY 5-BACH SAM-MY HAO-HUNG YEN</v>
          </cell>
          <cell r="D938">
            <v>0</v>
          </cell>
          <cell r="E938" t="str">
            <v>PHUONG: 098 633 6338
-321-394 5427-4-221 295 22
0978 492 795</v>
          </cell>
        </row>
        <row r="939">
          <cell r="B939" t="str">
            <v>VIET GARMENT</v>
          </cell>
          <cell r="C939" t="str">
            <v>QUANG MINH INDUSTRIAL PARK, ME LINH, VINH PHUC, VN</v>
          </cell>
          <cell r="D939">
            <v>0</v>
          </cell>
          <cell r="E939" t="str">
            <v>Thai Hoang Gia 0972-515-163</v>
          </cell>
        </row>
        <row r="940">
          <cell r="B940" t="str">
            <v>VIET HUNG</v>
          </cell>
          <cell r="C940" t="str">
            <v>KM10-10 RD-DONG HOP-DONG HUNG TOWN-THAI BINH</v>
          </cell>
          <cell r="D940">
            <v>0</v>
          </cell>
          <cell r="E940" t="str">
            <v>XUAN NHU-036 851255</v>
          </cell>
        </row>
        <row r="941">
          <cell r="B941" t="str">
            <v>VIET LONG</v>
          </cell>
          <cell r="C941" t="str">
            <v>THI TRAN AN BAI, QUYNH PHU, THAI BINH</v>
          </cell>
          <cell r="D941">
            <v>0</v>
          </cell>
          <cell r="E941" t="str">
            <v>MS THUYEN: 0987 254 242</v>
          </cell>
        </row>
        <row r="942">
          <cell r="B942" t="str">
            <v>VIET NAM CHUNG JYE</v>
          </cell>
          <cell r="C942" t="str">
            <v>QUYNH PHUC INDUSTRIAL PARK, PHUC THANH COMMUNE, KIMTHANH DIST</v>
          </cell>
          <cell r="D942">
            <v>0</v>
          </cell>
          <cell r="E942">
            <v>0</v>
          </cell>
        </row>
        <row r="943">
          <cell r="B943" t="str">
            <v>VIET NAM CHUNG JYE NINH BINH</v>
          </cell>
          <cell r="C943" t="str">
            <v>KHANH NHAC INDUSTRIAL PARK, KHANH NHAC, YEN KHANH DIST, NINH BINH PROVINCE</v>
          </cell>
          <cell r="D943">
            <v>0</v>
          </cell>
          <cell r="E943" t="str">
            <v>Dương - 0916 271 369</v>
          </cell>
        </row>
        <row r="944">
          <cell r="B944" t="str">
            <v>NAM DINH ENTER B</v>
          </cell>
          <cell r="C944" t="str">
            <v>THON THUONG DONG, XA HIEN KHANH,
 HUYEN VU BAN, NAM DINH</v>
          </cell>
          <cell r="D944">
            <v>0</v>
          </cell>
          <cell r="E944">
            <v>0</v>
          </cell>
        </row>
        <row r="945">
          <cell r="B945" t="str">
            <v>viet nam garment</v>
          </cell>
          <cell r="C945" t="str">
            <v>LOT A2 A3 A4, KCN BA THIEN 2, THIEN KE, BINH XUYEN, VINH PHUC</v>
          </cell>
          <cell r="D945">
            <v>0</v>
          </cell>
          <cell r="E945" t="str">
            <v xml:space="preserve"> EMMA 84 211 3565 982</v>
          </cell>
        </row>
        <row r="946">
          <cell r="B946" t="str">
            <v>VIET PACIFIC APPAREL</v>
          </cell>
          <cell r="C946" t="str">
            <v>10 THANH BINH, MO LAO, HA DONG, HA NOI</v>
          </cell>
          <cell r="D946" t="str">
            <v>hang giao truoc</v>
          </cell>
          <cell r="E946" t="str">
            <v>MS THUY 0966 608 665</v>
          </cell>
        </row>
        <row r="947">
          <cell r="B947" t="str">
            <v>VIET PACIFIC CLOTHING</v>
          </cell>
          <cell r="C947" t="str">
            <v>Hoà Đình, Phường Võ Cường,
TP Bắc Ninh, tỉnh Bắc Ninh</v>
          </cell>
          <cell r="D947" t="str">
            <v>hang giao truoc</v>
          </cell>
          <cell r="E947" t="str">
            <v>MS WARI: 0906 682 696</v>
          </cell>
        </row>
        <row r="948">
          <cell r="B948" t="str">
            <v>VIET PACIFIC INVISTA</v>
          </cell>
          <cell r="C948" t="str">
            <v>HOA DINH, VO CUONG, BAC NINH</v>
          </cell>
          <cell r="D948">
            <v>0</v>
          </cell>
          <cell r="E948" t="str">
            <v>Ms Quynh / Ms Huong: 
(84) 241-828673 or 828674</v>
          </cell>
        </row>
        <row r="949">
          <cell r="B949" t="str">
            <v>VIET PAN PACIFIC WORLD</v>
          </cell>
          <cell r="C949" t="str">
            <v>THON DANH THUONG, DANH THANG, HIEP HOA, BAC GIANG</v>
          </cell>
          <cell r="D949" t="str">
            <v>hang giao truoc</v>
          </cell>
          <cell r="E949" t="str">
            <v>HUONG 0989481786</v>
          </cell>
        </row>
        <row r="950">
          <cell r="B950" t="str">
            <v>MERKAVA</v>
          </cell>
          <cell r="C950" t="str">
            <v>KCN LOC SON, BAO LOC, LAM DONG</v>
          </cell>
          <cell r="D950">
            <v>0</v>
          </cell>
          <cell r="E950">
            <v>0</v>
          </cell>
        </row>
        <row r="951">
          <cell r="B951" t="str">
            <v>QUANG VINH</v>
          </cell>
          <cell r="C951" t="str">
            <v>SO 14, XOM 5, BAT TRANG, GIA LAM, HA NOI</v>
          </cell>
          <cell r="D951">
            <v>0</v>
          </cell>
          <cell r="E951">
            <v>0</v>
          </cell>
        </row>
        <row r="952">
          <cell r="B952" t="str">
            <v>VIET PAN PACIFIC</v>
          </cell>
          <cell r="C952" t="str">
            <v>Lô A2, CN1, Cụm công nghiệp vừa và nhỏ Từ Liêm, Minh Khai, Bắc Từ Liêm, Hà nội</v>
          </cell>
          <cell r="D952">
            <v>0</v>
          </cell>
          <cell r="E952">
            <v>0</v>
          </cell>
        </row>
        <row r="953">
          <cell r="B953" t="str">
            <v>VIET PAN PACIFIC NAM DINH</v>
          </cell>
          <cell r="C953" t="str">
            <v>Thon Giao Cu trung, xa Dong Son, huyen Nam Truc, Nam Dinh</v>
          </cell>
          <cell r="D953">
            <v>0</v>
          </cell>
          <cell r="E953">
            <v>0</v>
          </cell>
        </row>
        <row r="954">
          <cell r="B954" t="str">
            <v>VIET PAN PACIFIC THANH HOA</v>
          </cell>
          <cell r="C954" t="str">
            <v>Ha Son Industrial Land Zone, Ngoc Lac Town, Ngoc Lac District, Thanh Hoa Province</v>
          </cell>
          <cell r="D954">
            <v>0</v>
          </cell>
          <cell r="E954" t="str">
            <v>Mr. Lee: 037 895 8555/ 037 895 8556</v>
          </cell>
        </row>
        <row r="955">
          <cell r="B955" t="str">
            <v>VIET PHAT</v>
          </cell>
          <cell r="C955" t="str">
            <v>KM52-HIGHWAY 5-BINH HAN DIST-HAI DUONG</v>
          </cell>
          <cell r="D955">
            <v>0</v>
          </cell>
          <cell r="E955" t="str">
            <v>0320 3857258</v>
          </cell>
        </row>
        <row r="956">
          <cell r="B956" t="str">
            <v>VIET PHAT GARMENT</v>
          </cell>
          <cell r="C956" t="str">
            <v>Thanh Khe Village, Nam Cuong Commune, eNam Truc District, Nam Dlnh Provinc</v>
          </cell>
          <cell r="D956">
            <v>0</v>
          </cell>
          <cell r="E956" t="str">
            <v>Binh 0965194668</v>
          </cell>
        </row>
        <row r="957">
          <cell r="B957" t="str">
            <v>VIET TEX</v>
          </cell>
          <cell r="C957" t="str">
            <v>35 NGO QUYEN STR - THO QUANG WARD - SON TRA DIS- DANANG CITY</v>
          </cell>
          <cell r="D957">
            <v>0</v>
          </cell>
          <cell r="E957" t="str">
            <v>Attn: Ms. Huyen: 84 3925725</v>
          </cell>
        </row>
        <row r="958">
          <cell r="B958" t="str">
            <v>VIET THAI</v>
          </cell>
          <cell r="C958" t="str">
            <v>NO 100-QUANG TRUNG ST-THAI BINH</v>
          </cell>
          <cell r="D958">
            <v>0</v>
          </cell>
          <cell r="E958" t="str">
            <v>MS NGA- 0988 962 901</v>
          </cell>
        </row>
        <row r="959">
          <cell r="B959" t="str">
            <v>VIET THANH</v>
          </cell>
          <cell r="C959" t="str">
            <v>Lo B3-B4, khu cong nghiep Giao Long, CHAU THANH BEN TRE</v>
          </cell>
          <cell r="D959">
            <v>0</v>
          </cell>
          <cell r="E959">
            <v>0</v>
          </cell>
        </row>
        <row r="960">
          <cell r="B960" t="str">
            <v>VIET THIEN</v>
          </cell>
          <cell r="C960" t="str">
            <v>KHU DONG SOC, VU DI, VINH TUONG, VINH PHUC</v>
          </cell>
          <cell r="D960">
            <v>0</v>
          </cell>
          <cell r="E960" t="str">
            <v>MR MINH: 0962 921 401</v>
          </cell>
        </row>
        <row r="961">
          <cell r="B961" t="str">
            <v>VIET VUONG 2</v>
          </cell>
          <cell r="C961" t="str">
            <v>LO 12, KCN DIEN NAM - DIEN NGOC, DIEN BAN, QUANG NAM</v>
          </cell>
          <cell r="D961" t="str">
            <v>GIAO QUANG NAM</v>
          </cell>
          <cell r="E961" t="str">
            <v>LIEN: 0979 738 462</v>
          </cell>
        </row>
        <row r="962">
          <cell r="B962" t="str">
            <v>VIETNAM SHOES</v>
          </cell>
          <cell r="C962" t="str">
            <v>KCN DONG XUYEN-P. RACH DUA-TP VUNG TAU</v>
          </cell>
          <cell r="D962">
            <v>0</v>
          </cell>
          <cell r="E962">
            <v>0</v>
          </cell>
        </row>
        <row r="963">
          <cell r="B963" t="str">
            <v>VINA CKGF</v>
          </cell>
          <cell r="C963" t="str">
            <v>Khu 6, Go Don, Xa Huong Lung, Huyen Cam Khe, , Tinh Phu tho</v>
          </cell>
          <cell r="D963">
            <v>0</v>
          </cell>
          <cell r="E963">
            <v>0</v>
          </cell>
        </row>
        <row r="964">
          <cell r="B964" t="str">
            <v>VINA EHWA</v>
          </cell>
          <cell r="C964" t="str">
            <v>LO A1, KCN HAPRO, XA LE CHI, GIA LAM, HA NOI</v>
          </cell>
          <cell r="D964">
            <v>0</v>
          </cell>
          <cell r="E964" t="str">
            <v>MS VAN ANH: 0986 101 911</v>
          </cell>
        </row>
        <row r="965">
          <cell r="B965" t="str">
            <v>VINA GIO</v>
          </cell>
          <cell r="C965" t="str">
            <v>THANH DIEN CHAU THANH, TAY NINH</v>
          </cell>
          <cell r="D965">
            <v>0</v>
          </cell>
          <cell r="E965">
            <v>0</v>
          </cell>
        </row>
        <row r="966">
          <cell r="B966" t="str">
            <v>VINA KOREA</v>
          </cell>
          <cell r="C966" t="str">
            <v>CN 13, KHAI QUANG INDUSTRIAL SUB ZONE, 
VINH PHUC TOWN,
 VINH PHUC</v>
          </cell>
          <cell r="D966" t="str">
            <v>cho xnk confirm</v>
          </cell>
          <cell r="E966" t="str">
            <v>Mr. Woo (Kyeong Hoon, Woo) 
+84-93-688-5694</v>
          </cell>
        </row>
        <row r="967">
          <cell r="B967" t="str">
            <v>VINA KUMYANG</v>
          </cell>
          <cell r="C967" t="str">
            <v>LO 14, KCN KHAI QUANG, VINH YEN, VINH PHUC</v>
          </cell>
          <cell r="D967">
            <v>0</v>
          </cell>
          <cell r="E967" t="str">
            <v>ATTN: HUYEN 0972 421 468</v>
          </cell>
        </row>
        <row r="968">
          <cell r="B968" t="str">
            <v>VINA KYUNG SEUNG</v>
          </cell>
          <cell r="C968" t="str">
            <v>khu 6, Đồn Tây, Xã Thanh Vinh, Thị Xã Phú Thọ, Phú Thọ</v>
          </cell>
          <cell r="D968" t="str">
            <v>giao hang truoc-C.Trang -GIAO DAI SON</v>
          </cell>
          <cell r="E968" t="str">
            <v>HA: 0982 063 216</v>
          </cell>
        </row>
        <row r="969">
          <cell r="B969" t="str">
            <v>VINA KYUNG SEUNG ANN TAYLOR</v>
          </cell>
          <cell r="C969" t="str">
            <v>khu 6, Đồn Tây, Xã Thanh Vinh, Thị Xã Phú Thọ, Phú Thọ</v>
          </cell>
          <cell r="D969">
            <v>0</v>
          </cell>
          <cell r="E969" t="str">
            <v>ATTN: HA 0982 063 216</v>
          </cell>
        </row>
        <row r="970">
          <cell r="B970" t="str">
            <v>VINAEHWA HN</v>
          </cell>
          <cell r="C970" t="str">
            <v>OA1, KCN HAPRO, XA LE CHI. GIA LAM, HA NOI</v>
          </cell>
          <cell r="D970">
            <v>0</v>
          </cell>
          <cell r="E970" t="str">
            <v> Hieu: 043556 0751/ 0979629 323. </v>
          </cell>
        </row>
        <row r="971">
          <cell r="B971" t="str">
            <v>VINAEHWA</v>
          </cell>
          <cell r="C971" t="str">
            <v>Phú Keo, xã Kim San, huyện Gia Lâm, thành phố Hà Nội</v>
          </cell>
          <cell r="D971">
            <v>0</v>
          </cell>
          <cell r="E971" t="str">
            <v>Chị Vân Anh - 0986.101.911</v>
          </cell>
        </row>
        <row r="972">
          <cell r="B972" t="str">
            <v>MAY IN 1 THANG 5</v>
          </cell>
          <cell r="C972" t="str">
            <v>SO 37, NGO 67, PHO DUC GIANG, QUAN LONG BIEN, HANOI</v>
          </cell>
          <cell r="D972">
            <v>0</v>
          </cell>
          <cell r="E972">
            <v>0</v>
          </cell>
        </row>
        <row r="973">
          <cell r="B973" t="str">
            <v>VINATEX BONG SON</v>
          </cell>
          <cell r="C973" t="str">
            <v>LO A6, CUM CN BONG SON, THI TRAN BONG SON, HOAI NHON, BINH DINH</v>
          </cell>
          <cell r="D973">
            <v>0</v>
          </cell>
          <cell r="E973" t="str">
            <v>MS LAM: 0982690662</v>
          </cell>
        </row>
        <row r="974">
          <cell r="B974" t="str">
            <v>VINATEX DA NANG</v>
          </cell>
          <cell r="C974" t="str">
            <v>25 TRAN QUY CAP- DA NANG
(MS.PHUONG: 0935 214 921)</v>
          </cell>
          <cell r="D974">
            <v>0</v>
          </cell>
          <cell r="E974" t="str">
            <v>Bill:Ledway-HIEU-511863757-0914104121-MS QUYEN</v>
          </cell>
        </row>
        <row r="975">
          <cell r="B975" t="str">
            <v>vinatex da nang 1</v>
          </cell>
          <cell r="C975" t="str">
            <v>88 THANH SON, THANH BINH, HAI CHAU, DA NANG</v>
          </cell>
          <cell r="D975">
            <v>0</v>
          </cell>
          <cell r="E975" t="str">
            <v>Luu 0934075159</v>
          </cell>
        </row>
        <row r="976">
          <cell r="B976" t="str">
            <v>VINATEX DA NANG 1</v>
          </cell>
          <cell r="C976" t="str">
            <v>88 DUONG THANH SON, QUAN HAI CHAU, DA NANG</v>
          </cell>
          <cell r="D976">
            <v>0</v>
          </cell>
          <cell r="E976" t="str">
            <v>CHI LIEU: 0934075159</v>
          </cell>
        </row>
        <row r="977">
          <cell r="B977" t="str">
            <v>VINATEX DA NANG 3</v>
          </cell>
          <cell r="C977" t="str">
            <v>ROAD 3, HOA KHANH IZ, LINH CHIEU, DA NANG</v>
          </cell>
          <cell r="D977">
            <v>0</v>
          </cell>
          <cell r="E977" t="str">
            <v>MS HUONG: 0909923767- 47300806.EXT:2209</v>
          </cell>
        </row>
        <row r="978">
          <cell r="B978" t="str">
            <v>VINATEX HANO</v>
          </cell>
          <cell r="C978" t="str">
            <v>25/33 alley linh nam-mai dong -hoang mai-ha noi</v>
          </cell>
          <cell r="D978">
            <v>0</v>
          </cell>
          <cell r="E978" t="str">
            <v>Huyen-0987763767
04- 8624611</v>
          </cell>
        </row>
        <row r="979">
          <cell r="B979" t="str">
            <v>VINATEX HUONG TRA</v>
          </cell>
          <cell r="C979" t="str">
            <v>LO CN3, CUM CN TU HA, TU HA, HUONG TRA, THUA THIEN HUE</v>
          </cell>
          <cell r="D979">
            <v>0</v>
          </cell>
          <cell r="E979" t="str">
            <v xml:space="preserve"> CHI TRANG : 0128 253 8980 </v>
          </cell>
        </row>
        <row r="980">
          <cell r="B980" t="str">
            <v>VINATEX KIEN GIANG</v>
          </cell>
          <cell r="C980" t="str">
            <v>Ngã ba Lộ Quẹo, ấp An Hòa, xã Định An, H. Gò Quao, Kien Giang</v>
          </cell>
          <cell r="D980">
            <v>0</v>
          </cell>
          <cell r="E980" t="str">
            <v>TIEN 0907072122</v>
          </cell>
        </row>
        <row r="981">
          <cell r="B981" t="str">
            <v>VINATEX QUOC TE</v>
          </cell>
          <cell r="C981" t="str">
            <v>So 460 , duong Minh Khai , Phuong Vinh Tuy, Quan Hai Ba Trung, Thanh Pho Ha Noi, Viet Nam</v>
          </cell>
          <cell r="D981">
            <v>0</v>
          </cell>
          <cell r="E981">
            <v>0</v>
          </cell>
        </row>
        <row r="982">
          <cell r="B982" t="str">
            <v>DET 8-3 CHI NHANH MINH KHAI</v>
          </cell>
          <cell r="C982" t="str">
            <v>So 460 , duong Minh Khai , Phuong Vinh Tuy, Quan Hai Ba Trung, Thanh Pho Ha Noi, Viet Nam</v>
          </cell>
          <cell r="D982">
            <v>0</v>
          </cell>
          <cell r="E982">
            <v>0</v>
          </cell>
        </row>
        <row r="983">
          <cell r="B983" t="str">
            <v>VINATEX INTERNATIONAL</v>
          </cell>
          <cell r="C983" t="str">
            <v>2rd Floor, ICT Building 02-9A Lot, Hoang Mai I.Z, Hoang Mai Dist., Hanoi, Viet Nam.</v>
          </cell>
          <cell r="D983">
            <v>0</v>
          </cell>
          <cell r="E983" t="str">
            <v>LUONG NHUNG HA 0936 361 585</v>
          </cell>
        </row>
        <row r="984">
          <cell r="B984" t="str">
            <v>VINATEX TU NGHIA</v>
          </cell>
          <cell r="C984" t="str">
            <v>LO A8, CUM CN LA HA, THI TRAN LA HA, TU NGHIA, QUANG NGAI</v>
          </cell>
          <cell r="D984">
            <v>0</v>
          </cell>
          <cell r="E984" t="str">
            <v>MR VU: 0936 383 610</v>
          </cell>
        </row>
        <row r="985">
          <cell r="B985" t="str">
            <v>VINATEX TUYEN QUANG</v>
          </cell>
          <cell r="C985" t="str">
            <v>KCN PHUC UNG, HUYEN SON DUONG, TUYEN QUANG</v>
          </cell>
          <cell r="D985">
            <v>0</v>
          </cell>
          <cell r="E985">
            <v>0</v>
          </cell>
        </row>
        <row r="986">
          <cell r="B986" t="str">
            <v>VINATEXIMEX</v>
          </cell>
          <cell r="C986" t="str">
            <v>20 LINH NAM, HOANG MAI, HA NOI</v>
          </cell>
          <cell r="D986" t="str">
            <v>NETCO-KHTT</v>
          </cell>
          <cell r="E986" t="str">
            <v>A NAM/ A SA: 04 3633 5518</v>
          </cell>
        </row>
        <row r="987">
          <cell r="B987" t="str">
            <v>VINEX TRADE</v>
          </cell>
          <cell r="C987" t="str">
            <v>6TH FL- NO.478-MINH KHAI-HA NOI</v>
          </cell>
          <cell r="D987">
            <v>0</v>
          </cell>
          <cell r="E987" t="str">
            <v>MS HUONG: 0989 709 898/ MS VAN ANH: 0986 101 911</v>
          </cell>
        </row>
        <row r="988">
          <cell r="B988" t="str">
            <v>DREAM MEKONG</v>
          </cell>
          <cell r="C988" t="str">
            <v>AP AN THAI, XA AN CU, HUYEN CAI BE, TIEN GIANG</v>
          </cell>
          <cell r="D988" t="str">
            <v>COMBINE VOI HANG DREAM MEKONG, CHO CS CONFIRM SD: VNPT</v>
          </cell>
          <cell r="E988">
            <v>0</v>
          </cell>
        </row>
        <row r="989">
          <cell r="B989" t="str">
            <v>VINH LONG</v>
          </cell>
          <cell r="C989" t="str">
            <v>ADIDAS PLANNING DEPT-B1 BUILDING-HOA PHU IP-VINH LONG</v>
          </cell>
          <cell r="D989">
            <v>0</v>
          </cell>
          <cell r="E989">
            <v>0</v>
          </cell>
        </row>
        <row r="990">
          <cell r="B990" t="str">
            <v>VINH NHON</v>
          </cell>
          <cell r="C990" t="str">
            <v>1768 Duong 30-4, Phuong 12, Vung Tau City, VunG TAU</v>
          </cell>
          <cell r="D990">
            <v>0</v>
          </cell>
          <cell r="E990">
            <v>0</v>
          </cell>
        </row>
        <row r="991">
          <cell r="B991" t="str">
            <v>VINH PHU SHOE</v>
          </cell>
          <cell r="C991" t="str">
            <v>2187A, DAI LO HUNG VUONG, GIA CAM, VIET TRI, PHU THO</v>
          </cell>
          <cell r="D991">
            <v>0</v>
          </cell>
          <cell r="E991" t="str">
            <v>MS HUONG: 0916 027 183</v>
          </cell>
        </row>
        <row r="992">
          <cell r="B992" t="str">
            <v>DET VINH PHUC HA NOI</v>
          </cell>
          <cell r="C992" t="str">
            <v>TIEN PHONG, ME LINH, HA NOI</v>
          </cell>
          <cell r="D992">
            <v>0</v>
          </cell>
          <cell r="E992" t="str">
            <v>MRS NGA: 0976 064 468</v>
          </cell>
        </row>
        <row r="993">
          <cell r="B993" t="str">
            <v>VINH PHUC INVISTA</v>
          </cell>
          <cell r="C993" t="str">
            <v>TIEN PHONG, ME LINH, HA NOI</v>
          </cell>
          <cell r="D993">
            <v>0</v>
          </cell>
          <cell r="E993" t="str">
            <v>THUY VINH: 0912 971 875</v>
          </cell>
        </row>
        <row r="994">
          <cell r="B994" t="str">
            <v>VINH THINH</v>
          </cell>
          <cell r="C994" t="str">
            <v>SO 11-PHO PHAM SU MENH-HAI DUONG</v>
          </cell>
          <cell r="D994">
            <v>0</v>
          </cell>
          <cell r="E994" t="str">
            <v>NGUYEN DUC THINH
0320 846679</v>
          </cell>
        </row>
        <row r="995">
          <cell r="B995" t="str">
            <v>VINH YEN SHOES</v>
          </cell>
          <cell r="C995" t="str">
            <v>DONG DA, VINH YEN, VINH PHUC</v>
          </cell>
          <cell r="D995">
            <v>0</v>
          </cell>
          <cell r="E995" t="str">
            <v>MS HAI 0976940881</v>
          </cell>
        </row>
        <row r="996">
          <cell r="B996" t="str">
            <v>vit garment</v>
          </cell>
          <cell r="C996" t="str">
            <v>QUANG MINH INDUSTRIAL PARK, ME LINH, HA NOI</v>
          </cell>
          <cell r="D996">
            <v>0</v>
          </cell>
          <cell r="E996" t="str">
            <v>Ms Trang - 0987910882</v>
          </cell>
        </row>
        <row r="997">
          <cell r="B997" t="str">
            <v>NV APPAREL</v>
          </cell>
          <cell r="C997" t="str">
            <v>LO C1, KCN BINH HOA, XA BINH HOA, CHAU THANH, AN GIANG</v>
          </cell>
          <cell r="D997" t="str">
            <v>NHAN NIKE CHO CS CONFIRM MAIL MOI GIAO HANG- GIAO BANG NETCO
IN PKL TU MAIL CUA CS, KEM THEO DE GIAO HANG</v>
          </cell>
          <cell r="E997">
            <v>0</v>
          </cell>
        </row>
        <row r="998">
          <cell r="B998" t="str">
            <v>VIVA GARMENT</v>
          </cell>
          <cell r="C998" t="str">
            <v>KCN DONG SOC, VU DI, VINH TUONG, VINH PHUC</v>
          </cell>
          <cell r="D998">
            <v>0</v>
          </cell>
          <cell r="E998" t="str">
            <v>Ms Lai Yen - 84-168-353 0089</v>
          </cell>
        </row>
        <row r="999">
          <cell r="B999" t="str">
            <v>VIVA VINA</v>
          </cell>
          <cell r="C999" t="str">
            <v>DUC LAP THUONG, DUC HOA, LONG AN</v>
          </cell>
          <cell r="D999">
            <v>0</v>
          </cell>
          <cell r="E999" t="str">
            <v>TRUC LINH: 072 3813 925</v>
          </cell>
        </row>
        <row r="1000">
          <cell r="B1000" t="str">
            <v>VMC</v>
          </cell>
          <cell r="C1000" t="str">
            <v>AP THANH PHUOC-X THANH DIEN-H CHAU THANH-TAY NINH</v>
          </cell>
          <cell r="D1000">
            <v>0</v>
          </cell>
          <cell r="E1000" t="str">
            <v xml:space="preserve"> MS TRIẾN-0987881105</v>
          </cell>
        </row>
        <row r="1001">
          <cell r="B1001" t="str">
            <v>VMC HOANG GIA</v>
          </cell>
          <cell r="C1001" t="str">
            <v>AP THANH PHUOC, XA THANH DIEN, HUYEN CHAU THANH, TINH TAY NINH</v>
          </cell>
          <cell r="D1001">
            <v>0</v>
          </cell>
          <cell r="E1001" t="str">
            <v>MS. TRIEN/ MS.TIEN: 066-3785516/19</v>
          </cell>
        </row>
        <row r="1002">
          <cell r="B1002" t="str">
            <v>VN HARIM</v>
          </cell>
          <cell r="C1002" t="str">
            <v>LOT 39-40-42 DUONG N2, KCN AN XA, NAM DINH</v>
          </cell>
          <cell r="D1002" t="str">
            <v>CHUNG CTU</v>
          </cell>
          <cell r="E1002" t="str">
            <v>MR DONG: 0168 357 3889</v>
          </cell>
        </row>
        <row r="1003">
          <cell r="B1003" t="str">
            <v>VN KNITWEAR</v>
          </cell>
          <cell r="C1003" t="str">
            <v>DUONG SO 3, KCN HOA KHANH, HOA KHANH, LIEN CHIEU, DA NANG</v>
          </cell>
          <cell r="D1003">
            <v>0</v>
          </cell>
          <cell r="E1003" t="str">
            <v>MS DAN CHAN: 0905 067 288</v>
          </cell>
        </row>
        <row r="1004">
          <cell r="B1004" t="str">
            <v>VN MOC BAI</v>
          </cell>
          <cell r="C1004" t="str">
            <v>KHU TM HIEP THANH, MOC BAI, BEN CAU, TAY NINH</v>
          </cell>
          <cell r="D1004" t="str">
            <v>cho XNK confirm- PHAT DUNG NGUOI LIEN HE+ CTU</v>
          </cell>
          <cell r="E1004" t="str">
            <v>NHU (PURCHASING) 0973729049</v>
          </cell>
        </row>
        <row r="1005">
          <cell r="B1005" t="str">
            <v>VN SHOE</v>
          </cell>
          <cell r="C1005" t="str">
            <v>KCN DONG XUYEN-P. RACH DUA-TP VUNG TAU</v>
          </cell>
          <cell r="D1005">
            <v>0</v>
          </cell>
          <cell r="E1005" t="str">
            <v>CLARK-THAO(lan-0938414697
ROPORT:HANG-64-612002
WOL:ms huynh-bpdh- 0933 714 959</v>
          </cell>
        </row>
        <row r="1006">
          <cell r="B1006" t="str">
            <v>VN SHOE 1</v>
          </cell>
          <cell r="C1006" t="str">
            <v>CÔNG TY SX GIÀY UY VIỆT, KCN CHÂU ĐỨC, XÃ SUỐI NGHỆ, HUYỆN CHÂU ĐỨC, TỈNH BRVT</v>
          </cell>
          <cell r="D1006" t="str">
            <v>24-30/6 KIEM KE KHONG NHAN HANG</v>
          </cell>
          <cell r="E1006" t="str">
            <v>Hà (Purchasing)- SDT ​0985.852.147</v>
          </cell>
        </row>
        <row r="1007">
          <cell r="B1007" t="str">
            <v>VP ANH CANH</v>
          </cell>
          <cell r="C1007" t="str">
            <v>377 PHUC TAN, HOAN KIEM, HA NOI</v>
          </cell>
          <cell r="D1007" t="str">
            <v>NETCO- NOTE TREN BILL " DT TRUOC KHI GIAO"</v>
          </cell>
          <cell r="E1007" t="str">
            <v>ANH CANH: 0908 700 628</v>
          </cell>
        </row>
        <row r="1008">
          <cell r="B1008" t="str">
            <v>VP AVERY HA NOI</v>
          </cell>
          <cell r="C1008" t="str">
            <v>6 Floor, Green Office, Viet A Building, No.9 Duy Tan Street, Dich Vong Hau ward, Cau Giay District, Hanoi</v>
          </cell>
          <cell r="D1008">
            <v>0</v>
          </cell>
          <cell r="E1008" t="str">
            <v>NGOC 0913835253</v>
          </cell>
        </row>
        <row r="1009">
          <cell r="B1009" t="str">
            <v>VP BAC HA HN</v>
          </cell>
          <cell r="C1009" t="str">
            <v>421A, HOANG QUOC VIET, CAU GIAY, HA NOI</v>
          </cell>
          <cell r="D1009">
            <v>0</v>
          </cell>
          <cell r="E1009">
            <v>0</v>
          </cell>
        </row>
        <row r="1010">
          <cell r="B1010" t="str">
            <v>VP ELEGANCE</v>
          </cell>
          <cell r="C1010" t="str">
            <v>Nha 11, day A11, Đàm Trấu, Bạch Đằng, Hai Bà Trưng, Hà Nội</v>
          </cell>
          <cell r="D1010">
            <v>0</v>
          </cell>
          <cell r="E1010" t="str">
            <v>Attn: Ly - 04 3 984 58 27</v>
          </cell>
        </row>
        <row r="1011">
          <cell r="B1011" t="str">
            <v>VP JENSMART</v>
          </cell>
          <cell r="C1011" t="str">
            <v>TANG 5, TOA NHA PN, NGO 61/4, LAC TRUNG, HA NOI</v>
          </cell>
          <cell r="D1011">
            <v>0</v>
          </cell>
          <cell r="E1011" t="str">
            <v>MR QUY: 0913 687 786</v>
          </cell>
        </row>
        <row r="1012">
          <cell r="B1012" t="str">
            <v>VP POONG IN HN</v>
          </cell>
          <cell r="C1012" t="str">
            <v>ROOM 1503, VINACONEX BUILDING, HH-2, PHU HUNG, TU LIEM, HA NOI</v>
          </cell>
          <cell r="D1012">
            <v>0</v>
          </cell>
          <cell r="E1012" t="str">
            <v>HA: 0904 255 236</v>
          </cell>
        </row>
        <row r="1013">
          <cell r="B1013" t="str">
            <v>VP XNK THUY KHUE</v>
          </cell>
          <cell r="C1013" t="str">
            <v>A2, PHU DIEN, TU LIEM, HA NOI</v>
          </cell>
          <cell r="D1013" t="str">
            <v>VIETTEL- KHTT</v>
          </cell>
          <cell r="E1013" t="str">
            <v>MR DAT 0904 093 481</v>
          </cell>
        </row>
        <row r="1014">
          <cell r="B1014" t="str">
            <v>VP YOUNG SHIN</v>
          </cell>
          <cell r="C1014" t="str">
            <v>Lo 6, biet thu 5, Ban dao linh dam
, phuong Hoang Liet, Q. Hoang mai, Hn</v>
          </cell>
          <cell r="D1014">
            <v>0</v>
          </cell>
          <cell r="E1014" t="str">
            <v>Van anh 0914796794</v>
          </cell>
        </row>
        <row r="1015">
          <cell r="B1015" t="str">
            <v>VIET PACIFIC</v>
          </cell>
          <cell r="C1015" t="str">
            <v>THANH BINH, MO LAO, HA DONG, HA NOI</v>
          </cell>
          <cell r="D1015">
            <v>0</v>
          </cell>
          <cell r="E1015" t="str">
            <v>MS ANH/ MS HUONG: 04 3384 7131</v>
          </cell>
        </row>
        <row r="1016">
          <cell r="B1016" t="str">
            <v>VPDD Land’N Sea</v>
          </cell>
          <cell r="C1016" t="str">
            <v>Lô 15 – Đông Bắc Ga – Đường Dương Đình Nghệ - Phường Đông Thọ - Thành Phố Thanh Hóa</v>
          </cell>
          <cell r="D1016">
            <v>0</v>
          </cell>
          <cell r="E1016" t="str">
            <v>Mr Nhiên – 0976.108.468 or 0918.511.768</v>
          </cell>
        </row>
        <row r="1017">
          <cell r="B1017" t="str">
            <v>VPDD TINH LOI</v>
          </cell>
          <cell r="C1017" t="str">
            <v>Nhà N5, khu D, 25 Láng Hạ-HA NOI</v>
          </cell>
          <cell r="D1017">
            <v>0</v>
          </cell>
          <cell r="E1017" t="str">
            <v xml:space="preserve">Bui Hanh : 0435141523 </v>
          </cell>
        </row>
        <row r="1018">
          <cell r="B1018" t="str">
            <v>SON HA DUY XUYEN</v>
          </cell>
          <cell r="C1018" t="str">
            <v>CUM CN TAY AN, XA DUY TRUNG, HUYEN DUY XUYEN, TINH QUANG NAM</v>
          </cell>
          <cell r="D1018">
            <v>0</v>
          </cell>
          <cell r="E1018" t="str">
            <v>MS KIM CHUNG 0903471391</v>
          </cell>
        </row>
        <row r="1019">
          <cell r="B1019" t="str">
            <v>VPI</v>
          </cell>
          <cell r="C1019" t="str">
            <v>572 XUONG GIANG, BAC GIANG</v>
          </cell>
          <cell r="D1019">
            <v>0</v>
          </cell>
          <cell r="E1019" t="str">
            <v>MAI: 0989 422 094</v>
          </cell>
        </row>
        <row r="1020">
          <cell r="B1020" t="str">
            <v>VPP WANLI</v>
          </cell>
          <cell r="C1020" t="str">
            <v>LO 3.3, 3.4, KCN DO SON, TAN THANH, DUONG KINH, HAI PHONG</v>
          </cell>
          <cell r="D1020">
            <v>0</v>
          </cell>
          <cell r="E1020" t="str">
            <v>MS NET: 031 3816 628</v>
          </cell>
        </row>
        <row r="1021">
          <cell r="B1021" t="str">
            <v>HA THANH</v>
          </cell>
          <cell r="C1021" t="str">
            <v>HAI AN, QUYNH NGUYEN, QUYNH PHU, THAI BINH</v>
          </cell>
          <cell r="D1021" t="str">
            <v>HANG GEN NHAN FIGS CHO EMAIL CONFIRM GIAO HANG CUA CS</v>
          </cell>
          <cell r="E1021">
            <v>0</v>
          </cell>
        </row>
        <row r="1022">
          <cell r="B1022" t="str">
            <v>VUNG TAU ORIENT NIKE</v>
          </cell>
          <cell r="C1022" t="str">
            <v>11 ROAD, KCN DONG XUYEN, RACH DUA, VUNG TAU</v>
          </cell>
          <cell r="D1022" t="str">
            <v>giao hang chung HD</v>
          </cell>
          <cell r="E1022" t="str">
            <v>064-3614598- MS TRAM/ MS THANH</v>
          </cell>
        </row>
        <row r="1023">
          <cell r="B1023" t="str">
            <v>WAN BANG</v>
          </cell>
          <cell r="C1023" t="str">
            <v>Lo 71A, 72A, 78A, 79 KCN Long Giang xa Tan Lap 1, Huyen Tan Phuoc Tỉnh Tien Giang</v>
          </cell>
          <cell r="D1023" t="str">
            <v>CHUNG CTU</v>
          </cell>
          <cell r="E1023" t="str">
            <v xml:space="preserve"> Quyen  0166 283 3991</v>
          </cell>
        </row>
        <row r="1024">
          <cell r="B1024" t="str">
            <v>FIVE STARS</v>
          </cell>
          <cell r="C1024" t="str">
            <v>CUM CN BINH NGUYEN, XA BINH NGUYEN, HUYEN BINH SON, QUANG NGAI</v>
          </cell>
          <cell r="D1024">
            <v>0</v>
          </cell>
          <cell r="E1024">
            <v>0</v>
          </cell>
        </row>
        <row r="1025">
          <cell r="B1025" t="str">
            <v>WESTFIELD</v>
          </cell>
          <cell r="C1025" t="str">
            <v>LOT CN07, KCN TAN LIEN, VINH BAO, HAI PHONG</v>
          </cell>
          <cell r="D1025" t="str">
            <v>VN GEN CHO CONFIM</v>
          </cell>
          <cell r="E1025" t="str">
            <v>MS HOA: 0904 325 299</v>
          </cell>
        </row>
        <row r="1026">
          <cell r="B1026" t="str">
            <v>WESTFIELD MANGO</v>
          </cell>
          <cell r="C1026" t="str">
            <v>LOT CN07, KCN TAN LIEN, VINH BAO, HAI PHONG</v>
          </cell>
          <cell r="D1026" t="str">
            <v>HANG CHUNG CTU- A DUNG
Viet so DN# len Bill</v>
          </cell>
          <cell r="E1026" t="str">
            <v>MS HOA: 0904 325 299</v>
          </cell>
        </row>
        <row r="1027">
          <cell r="B1027" t="str">
            <v>WIN VINA</v>
          </cell>
          <cell r="C1027" t="str">
            <v>AP BINH TIEN 2, XA DUC HOA HA, DUC HOA, LONG AN</v>
          </cell>
          <cell r="D1027">
            <v>0</v>
          </cell>
          <cell r="E1027" t="str">
            <v>MR TAN: 0918 514 693</v>
          </cell>
        </row>
        <row r="1028">
          <cell r="B1028" t="str">
            <v>WINNERS VINA</v>
          </cell>
          <cell r="C1028" t="str">
            <v>XOM 6, NGA MY, NGA SON, THANH HOA</v>
          </cell>
          <cell r="D1028" t="str">
            <v>CHO CS CONFIRM SHIPMODE (WALMART LH CS MILEY, NHAN TARGET LH CS JUDY)</v>
          </cell>
          <cell r="E1028" t="str">
            <v>HUE: 0128 207 5950</v>
          </cell>
        </row>
        <row r="1029">
          <cell r="B1029" t="str">
            <v>WOO JIN II</v>
          </cell>
          <cell r="C1029" t="str">
            <v>KM 14, THANG LOI, AN HUNG,
AN DUONG, HAI PHONG</v>
          </cell>
          <cell r="D1029">
            <v>0</v>
          </cell>
          <cell r="E1029" t="str">
            <v>0912 950 692- MS CHI</v>
          </cell>
        </row>
        <row r="1030">
          <cell r="B1030" t="str">
            <v>WOO JIN PVH</v>
          </cell>
          <cell r="C1030" t="str">
            <v>226 LE LAI-NGO QUYEN-HAI PHONG</v>
          </cell>
          <cell r="D1030" t="str">
            <v>HANG CHUNG CHUNG TU
PHAT DUNG NGUOI LIEN HE</v>
          </cell>
          <cell r="E1030" t="str">
            <v>MR JUNG/ MS HUONG
0313 768 800</v>
          </cell>
        </row>
        <row r="1031">
          <cell r="B1031" t="str">
            <v>NY HOA VIET</v>
          </cell>
          <cell r="C1031" t="str">
            <v>CHAU TU, CHAU LOC, HAU LOC, THANH HOA</v>
          </cell>
          <cell r="D1031">
            <v>0</v>
          </cell>
          <cell r="E1031" t="str">
            <v>MR VIET 0975 669 994</v>
          </cell>
        </row>
        <row r="1032">
          <cell r="B1032" t="str">
            <v>WOOIN VINA</v>
          </cell>
          <cell r="C1032" t="str">
            <v xml:space="preserve">THAP HONG KY INDUSTRIAL GROUP, DIEN CHAU, NGHE AN
NGHE AN"            
</v>
          </cell>
          <cell r="D1032">
            <v>0</v>
          </cell>
          <cell r="E1032" t="str">
            <v>THU 0986595339</v>
          </cell>
        </row>
        <row r="1033">
          <cell r="B1033" t="str">
            <v>X28 DA NANG</v>
          </cell>
          <cell r="C1033" t="str">
            <v xml:space="preserve">67 DUY TAN – TP DA NANG </v>
          </cell>
          <cell r="D1033" t="str">
            <v>VAT giao hang truoc</v>
          </cell>
          <cell r="E1033" t="str">
            <v>Anh Hoa-TPKH-0983618595</v>
          </cell>
        </row>
        <row r="1034">
          <cell r="B1034" t="str">
            <v>XÍ NGHIỆP MAY XUẤT KHẨU KHẢI HOÀN ANH SƠN</v>
          </cell>
          <cell r="C1034" t="str">
            <v>Khố 4 Thị Trấn Anh Sơn, Huyện Anh Sơn , Tỉnh Nghệ An</v>
          </cell>
          <cell r="D1034">
            <v>0</v>
          </cell>
          <cell r="E1034" t="str">
            <v>Ms Trang: 0962067377 / 0947608683</v>
          </cell>
        </row>
        <row r="1035">
          <cell r="B1035" t="str">
            <v>XK DHA</v>
          </cell>
          <cell r="C1035" t="str">
            <v>BICH HOA, THANH OAI HA NOI</v>
          </cell>
          <cell r="D1035">
            <v>0</v>
          </cell>
          <cell r="E1035" t="str">
            <v>HUONG 0978629537</v>
          </cell>
        </row>
        <row r="1036">
          <cell r="B1036" t="str">
            <v>XN MAY AN GIANG</v>
          </cell>
          <cell r="C1036" t="str">
            <v>DUONG TRAN HUNG DAO, P. PHU MY, TP LONG XUYEN, AN GIANG</v>
          </cell>
          <cell r="D1036">
            <v>0</v>
          </cell>
          <cell r="E1036" t="str">
            <v>Kim Loan: Tel       :   0763 834709 Mobile :   0946.621900</v>
          </cell>
        </row>
        <row r="1037">
          <cell r="B1037" t="str">
            <v>XN MAY BAO LOC</v>
          </cell>
          <cell r="C1037" t="str">
            <v>54 PHAM NGOC THACH, P. LOC PHAT, TP. BAO LOC, LAM DONG</v>
          </cell>
          <cell r="D1037">
            <v>0</v>
          </cell>
          <cell r="E1037" t="str">
            <v>QUANG DAO: 0977 647 346</v>
          </cell>
        </row>
        <row r="1038">
          <cell r="B1038" t="str">
            <v>Y&amp;J</v>
          </cell>
          <cell r="C1038" t="str">
            <v>A1-A3 KCN Minh Hung Han Quoc, Huyen Chon Thanh, Tinh Binh Phuoc</v>
          </cell>
          <cell r="D1038" t="str">
            <v>NETCO-KHTT</v>
          </cell>
          <cell r="E1038" t="str">
            <v>Dieu Suong  0974 014 491</v>
          </cell>
        </row>
        <row r="1039">
          <cell r="B1039" t="str">
            <v>Y&amp;J</v>
          </cell>
          <cell r="C1039" t="str">
            <v>A1-A3, KCN MINH HUNG HAN QUOC, CHON THANH, BINH PHUOC</v>
          </cell>
          <cell r="D1039">
            <v>0</v>
          </cell>
          <cell r="E1039" t="str">
            <v>THUAN/ SUONG: 0651 3644 660</v>
          </cell>
        </row>
        <row r="1040">
          <cell r="B1040" t="str">
            <v>YA2</v>
          </cell>
          <cell r="C1040" t="str">
            <v>NO. 1028 OF CT5 MY DINH, 
ME TRI, TU LIEM, HA NOI</v>
          </cell>
          <cell r="D1040">
            <v>0</v>
          </cell>
          <cell r="E1040" t="str">
            <v>MR CHOI – 04 7855637 –
 04 33546592</v>
          </cell>
        </row>
        <row r="1041">
          <cell r="B1041" t="str">
            <v>YAKJIN SAIGON</v>
          </cell>
          <cell r="C1041" t="str">
            <v>NO F5, F6, F7, F8, F9, F10 KCN BAC DONG PHU, TAN PHU, DONG PHU, BINH PHUOC</v>
          </cell>
          <cell r="D1041" t="str">
            <v>CTU</v>
          </cell>
          <cell r="E1041" t="str">
            <v>QUYNH ANH: 0935 471 807</v>
          </cell>
        </row>
        <row r="1042">
          <cell r="B1042" t="str">
            <v>YAKJIN VIETNAM</v>
          </cell>
          <cell r="C1042" t="str">
            <v>NO.B6,THUY VAN IZ,VIET TRI,PHU THO,VIET NAM</v>
          </cell>
          <cell r="D1042" t="str">
            <v>CTU</v>
          </cell>
          <cell r="E1042" t="str">
            <v>QUYNH ANH: 0935 471 807</v>
          </cell>
        </row>
        <row r="1043">
          <cell r="B1043" t="str">
            <v>YAMANI</v>
          </cell>
          <cell r="C1043" t="str">
            <v>Đường đê vòng, Quy Phú, Nam Hồng, Nam Trực, Nam Định</v>
          </cell>
          <cell r="D1043" t="str">
            <v>NHAN COACH DOI CS GUI MAIL CONFIRM KH DEN LAY, NHAN CON LAI GIAO BINH THUONG, IN PACKING LIST VA BB BAN GIAO MAIL CS GIAO KEM HOA DON SAU KHI GIAO HANG 1 NGAY</v>
          </cell>
          <cell r="E1043" t="str">
            <v>Tuyen Vu (035 0391 6899)</v>
          </cell>
        </row>
        <row r="1044">
          <cell r="B1044" t="str">
            <v>YAZ</v>
          </cell>
          <cell r="C1044" t="str">
            <v>NO.22, BAI SAY AREA, HA CAU WARD, HA DONG DIST, HA NOI</v>
          </cell>
          <cell r="D1044">
            <v>0</v>
          </cell>
          <cell r="E1044" t="str">
            <v>Ms Hue - 0982 671 779</v>
          </cell>
        </row>
        <row r="1045">
          <cell r="B1045" t="str">
            <v>VINH PHUC QUANG NAM</v>
          </cell>
          <cell r="C1045" t="str">
            <v>LOT A4/2, KCN TRUONG XUAN, TAM KY, QUANG NAM</v>
          </cell>
          <cell r="D1045">
            <v>0</v>
          </cell>
          <cell r="E1045">
            <v>0</v>
          </cell>
        </row>
        <row r="1046">
          <cell r="B1046" t="str">
            <v>YEN OF LONDON</v>
          </cell>
          <cell r="C1046" t="str">
            <v>353  PHAM VAN DONG RD-ANH DUNG VILLAGE-DUONG KINH DIST-HAI PHONG</v>
          </cell>
          <cell r="D1046">
            <v>0</v>
          </cell>
          <cell r="E1046" t="str">
            <v>YEN 0982 909 111</v>
          </cell>
        </row>
        <row r="1047">
          <cell r="B1047" t="str">
            <v>YEN VIEN</v>
          </cell>
          <cell r="C1047" t="str">
            <v>NO.488 HA HUY TAP ROAD-YEN VIEN TOWNLET-GIA LAM</v>
          </cell>
          <cell r="D1047">
            <v>0</v>
          </cell>
          <cell r="E1047" t="str">
            <v>CHI HANG- HUONG-4.8271433</v>
          </cell>
        </row>
        <row r="1048">
          <cell r="B1048" t="str">
            <v>YES VINA</v>
          </cell>
          <cell r="C1048" t="str">
            <v>KIEN BAI-THUY NGUYEN- HAI PHONG</v>
          </cell>
          <cell r="D1048">
            <v>0</v>
          </cell>
          <cell r="E1048" t="str">
            <v>MS THUY: 0906 055 862</v>
          </cell>
        </row>
        <row r="1049">
          <cell r="B1049" t="str">
            <v>YMUV</v>
          </cell>
          <cell r="C1049" t="str">
            <v>Lot AIII - 1,5 Tan Huong IZ, Tan Huong Ward, Chau Thanh Dist, Tien Giang Province</v>
          </cell>
          <cell r="D1049">
            <v>0</v>
          </cell>
          <cell r="E1049">
            <v>0</v>
          </cell>
        </row>
        <row r="1050">
          <cell r="B1050" t="str">
            <v>YONEDA</v>
          </cell>
          <cell r="C1050" t="str">
            <v>LOT J10, KCN NOMURA HAI PHONG, AN DUONG, HAI PHONG</v>
          </cell>
          <cell r="D1050" t="str">
            <v>HANG CHUNG CTU</v>
          </cell>
          <cell r="E1050" t="str">
            <v>HUONG XNK: 031 3743 308</v>
          </cell>
        </row>
        <row r="1051">
          <cell r="B1051" t="str">
            <v>YOUME</v>
          </cell>
          <cell r="C1051" t="str">
            <v>KCN Đồng Văn, DUy Tiên, Hà Nam</v>
          </cell>
          <cell r="D1051" t="str">
            <v>NETCO-KHTT</v>
          </cell>
          <cell r="E1051" t="str">
            <v>SĐT : 0918 820 286/ 0912 831 566</v>
          </cell>
        </row>
        <row r="1052">
          <cell r="B1052" t="str">
            <v>YOUNGONE PATAGONIA</v>
          </cell>
          <cell r="C1052" t="str">
            <v>HOA XA INDUSTRIAL PARK-NAM DINH CITY</v>
          </cell>
          <cell r="D1052">
            <v>0</v>
          </cell>
          <cell r="E1052" t="str">
            <v>HOAN 0123 777 0192</v>
          </cell>
        </row>
        <row r="1053">
          <cell r="B1053" t="str">
            <v>YOUNGONE PXVN</v>
          </cell>
          <cell r="C1053" t="str">
            <v>HOA XA INDUSTRIAL PARK-NAM DINH CITY</v>
          </cell>
          <cell r="D1053">
            <v>0</v>
          </cell>
          <cell r="E1053" t="str">
            <v>HONG 0989895311</v>
          </cell>
        </row>
        <row r="1054">
          <cell r="B1054" t="str">
            <v>YOUNGONE SMARTWOOL</v>
          </cell>
          <cell r="C1054" t="str">
            <v>HOA XA INDUSTRIAL PARK-NAM DINH CITY</v>
          </cell>
          <cell r="D1054">
            <v>0</v>
          </cell>
          <cell r="E1054" t="str">
            <v>PHAM THAM 0948021425</v>
          </cell>
        </row>
        <row r="1055">
          <cell r="B1055" t="str">
            <v>YOUNGONE PEARL</v>
          </cell>
          <cell r="C1055" t="str">
            <v>HOA XA INDUSTRIAL PARK-NAM DINH CITY</v>
          </cell>
          <cell r="D1055">
            <v>0</v>
          </cell>
          <cell r="E1055" t="str">
            <v>HOA 0350 670 570</v>
          </cell>
        </row>
        <row r="1056">
          <cell r="B1056" t="str">
            <v>YOUNGONE BAC GIANG</v>
          </cell>
          <cell r="C1056" t="str">
            <v>KCN DINH TRAM, VIET YEN BAC GIANG</v>
          </cell>
          <cell r="D1056">
            <v>0</v>
          </cell>
          <cell r="E1056">
            <v>0</v>
          </cell>
        </row>
        <row r="1057">
          <cell r="B1057" t="str">
            <v>YOUNGONE HUNG YEN</v>
          </cell>
          <cell r="C1057" t="str">
            <v>Ta Thuong Hamlet- Chinh Nghia commune- Kim Dong District-Hung Yen Province</v>
          </cell>
          <cell r="D1057">
            <v>0</v>
          </cell>
          <cell r="E1057" t="str">
            <v>0978 870 978</v>
          </cell>
        </row>
        <row r="1058">
          <cell r="B1058" t="str">
            <v>YOUNGONE NIKE</v>
          </cell>
          <cell r="C1058" t="str">
            <v>HOA XA INDUSTRIAL PARK-NAM DINH CITY</v>
          </cell>
          <cell r="D1058" t="str">
            <v>NEU HANG NIKE THI TU NGAY 28-CUOI MOI THANG SE K GIAO HANG</v>
          </cell>
          <cell r="E1058" t="str">
            <v>XUAN DUONG: 0936 296 270</v>
          </cell>
        </row>
        <row r="1059">
          <cell r="B1059" t="str">
            <v>YOUNGONE NORTHFACE</v>
          </cell>
          <cell r="C1059" t="str">
            <v>HOA XA INDUSTRIAL PARK-NAM DINH CITY</v>
          </cell>
          <cell r="D1059">
            <v>0</v>
          </cell>
          <cell r="E1059" t="str">
            <v>THUY: 0943 368 244</v>
          </cell>
        </row>
        <row r="1060">
          <cell r="B1060" t="str">
            <v>YOUNGONE PATAGONIA ( Giao hang tai kho xuong 2)</v>
          </cell>
          <cell r="C1060" t="str">
            <v>HOA XA INDUSTRIAL PARK-NAM DINH CITY</v>
          </cell>
          <cell r="D1060">
            <v>0</v>
          </cell>
          <cell r="E1060" t="str">
            <v>Nguoi nhan : Ms Phuong/Ms Dinh : 0936308665</v>
          </cell>
        </row>
        <row r="1061">
          <cell r="B1061" t="str">
            <v>YOUNGSHIN HANOI OFFICE</v>
          </cell>
          <cell r="C1061" t="str">
            <v>LO 6, BIET THU 5, BAN DAO LINH DA, QUAN HOANG MAI, HA NOI</v>
          </cell>
          <cell r="D1061">
            <v>0</v>
          </cell>
          <cell r="E1061" t="str">
            <v>ATTN: TRA LINH 04 3 6419228</v>
          </cell>
        </row>
        <row r="1062">
          <cell r="B1062" t="str">
            <v>YOUNGS LONG MA</v>
          </cell>
          <cell r="C1062" t="str">
            <v>DONG HUNG, YEN THO, Y YEN, VU BAN, NAM DINH</v>
          </cell>
          <cell r="D1062">
            <v>0</v>
          </cell>
          <cell r="E1062">
            <v>0</v>
          </cell>
        </row>
        <row r="1063">
          <cell r="B1063" t="str">
            <v>YOUNGSHIN HANOI OFFICE</v>
          </cell>
          <cell r="C1063">
            <v>0</v>
          </cell>
          <cell r="D1063">
            <v>0</v>
          </cell>
          <cell r="E1063">
            <v>0</v>
          </cell>
        </row>
        <row r="1064">
          <cell r="B1064" t="str">
            <v>YS VINA</v>
          </cell>
          <cell r="C1064" t="str">
            <v>DUC NGAI 1, DUC LAP THUONG, DUC HOA, LONG AN</v>
          </cell>
          <cell r="D1064">
            <v>0</v>
          </cell>
          <cell r="E1064" t="str">
            <v>MR NHUT: 0942404338</v>
          </cell>
        </row>
        <row r="1065">
          <cell r="B1065" t="str">
            <v>YSS</v>
          </cell>
          <cell r="C1065" t="str">
            <v>PLOT D6, KCN MY TRUNG, MY LOC, NAM DINH</v>
          </cell>
          <cell r="D1065" t="str">
            <v>HANG CHUNG CTU</v>
          </cell>
          <cell r="E1065" t="str">
            <v>THUY: 0350 3819 198</v>
          </cell>
        </row>
        <row r="1066">
          <cell r="B1066" t="str">
            <v>YUN GARMENT</v>
          </cell>
          <cell r="C1066" t="str">
            <v>room No 172- I9, Building, Lane 13,
Khuat Duy Tien, Thanh Xuan, Ha Noi</v>
          </cell>
          <cell r="D1066">
            <v>0</v>
          </cell>
          <cell r="E1066">
            <v>0</v>
          </cell>
        </row>
        <row r="1067">
          <cell r="B1067" t="str">
            <v>SCAVI HUE SAMPLE</v>
          </cell>
          <cell r="C1067" t="str">
            <v>KCN PHONG DIEN-HUE</v>
          </cell>
          <cell r="D1067">
            <v>0</v>
          </cell>
          <cell r="E1067" t="str">
            <v>CHI DIEM: 0905 855 169</v>
          </cell>
        </row>
        <row r="1068">
          <cell r="B1068" t="str">
            <v>YURI ABC DA NANG</v>
          </cell>
          <cell r="C1068" t="str">
            <v>DUONG SO 6, KCN HOA KHANH, LIEN CHIEU, DA NANG</v>
          </cell>
          <cell r="D1068" t="str">
            <v>CHO XNK CONFIRM</v>
          </cell>
          <cell r="E1068" t="str">
            <v>MS UYEN: 0904 094 549</v>
          </cell>
        </row>
        <row r="1299">
          <cell r="C1299" t="str">
            <v>TRUONG SON GARMENT</v>
          </cell>
          <cell r="E1299">
            <v>1</v>
          </cell>
        </row>
        <row r="1300">
          <cell r="C1300" t="str">
            <v>HANESBRAND HUNG YEN</v>
          </cell>
          <cell r="D1300" t="str">
            <v>KIM DONG CHINH NGHIA, HUNG YEN</v>
          </cell>
          <cell r="E1300">
            <v>1</v>
          </cell>
        </row>
        <row r="1716">
          <cell r="B1716">
            <v>0</v>
          </cell>
          <cell r="C1716">
            <v>0</v>
          </cell>
          <cell r="D1716">
            <v>0</v>
          </cell>
          <cell r="E1716">
            <v>0</v>
          </cell>
        </row>
        <row r="1735">
          <cell r="B1735">
            <v>0</v>
          </cell>
          <cell r="C1735">
            <v>0</v>
          </cell>
          <cell r="D1735">
            <v>0</v>
          </cell>
          <cell r="E1735">
            <v>0</v>
          </cell>
        </row>
        <row r="1742">
          <cell r="B1742">
            <v>0</v>
          </cell>
          <cell r="C1742" t="str">
            <v>MAY HAI MANGO</v>
          </cell>
        </row>
        <row r="1744">
          <cell r="B1744">
            <v>0</v>
          </cell>
          <cell r="E1744">
            <v>1</v>
          </cell>
        </row>
        <row r="1745">
          <cell r="B1745">
            <v>0</v>
          </cell>
          <cell r="C1745" t="str">
            <v>TINH LOI A&amp;F</v>
          </cell>
          <cell r="E1745">
            <v>2</v>
          </cell>
        </row>
        <row r="1746">
          <cell r="B1746">
            <v>0</v>
          </cell>
          <cell r="C1746" t="str">
            <v>viet thai</v>
          </cell>
          <cell r="E1746">
            <v>8</v>
          </cell>
        </row>
        <row r="1747">
          <cell r="B1747">
            <v>0</v>
          </cell>
          <cell r="C1747" t="str">
            <v>may 29-03</v>
          </cell>
          <cell r="E1747">
            <v>1</v>
          </cell>
        </row>
        <row r="1748">
          <cell r="B1748">
            <v>0</v>
          </cell>
          <cell r="C1748" t="str">
            <v>VN SHOE</v>
          </cell>
          <cell r="E1748">
            <v>1</v>
          </cell>
        </row>
        <row r="1749">
          <cell r="B1749">
            <v>0</v>
          </cell>
          <cell r="C1749" t="str">
            <v>MS VINA</v>
          </cell>
          <cell r="E1749">
            <v>1</v>
          </cell>
        </row>
        <row r="1750">
          <cell r="B1750">
            <v>0</v>
          </cell>
          <cell r="C1750" t="str">
            <v>MICHELLE</v>
          </cell>
          <cell r="E1750">
            <v>3</v>
          </cell>
        </row>
        <row r="1751">
          <cell r="B1751">
            <v>0</v>
          </cell>
          <cell r="C1751" t="str">
            <v>Winners vina</v>
          </cell>
          <cell r="E1751">
            <v>1</v>
          </cell>
        </row>
        <row r="1752">
          <cell r="B1752">
            <v>0</v>
          </cell>
          <cell r="C1752" t="str">
            <v>LO 3.3, 3.4, KCN DO SON, TAN THANH, DUONG KINH, HAI PHONG</v>
          </cell>
          <cell r="E1752">
            <v>1</v>
          </cell>
        </row>
        <row r="1753">
          <cell r="B1753">
            <v>0</v>
          </cell>
          <cell r="C1753" t="str">
            <v>makalot</v>
          </cell>
          <cell r="E1753">
            <v>1</v>
          </cell>
        </row>
        <row r="1754">
          <cell r="B1754">
            <v>0</v>
          </cell>
          <cell r="C1754" t="str">
            <v>TNG SONG CONG 3</v>
          </cell>
          <cell r="E1754">
            <v>1</v>
          </cell>
        </row>
        <row r="1755">
          <cell r="B1755">
            <v>0</v>
          </cell>
          <cell r="C1755" t="str">
            <v>SONG HONG C&amp;A</v>
          </cell>
          <cell r="E1755">
            <v>3</v>
          </cell>
        </row>
        <row r="1756">
          <cell r="B1756">
            <v>0</v>
          </cell>
          <cell r="C1756" t="str">
            <v>NIEN HSING</v>
          </cell>
          <cell r="E1756">
            <v>1</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NEED VAT"/>
      <sheetName val="VN GEN"/>
      <sheetName val="DSKH"/>
      <sheetName val="KHACH DEN LAY VAT"/>
      <sheetName val="KHACH DEN LAY GEN"/>
      <sheetName val="FORWARDER"/>
      <sheetName val="Tem"/>
    </sheetNames>
    <sheetDataSet>
      <sheetData sheetId="0"/>
      <sheetData sheetId="1"/>
      <sheetData sheetId="2">
        <row r="1">
          <cell r="B1" t="str">
            <v>Dang Thi Vui:</v>
          </cell>
          <cell r="C1" t="str">
            <v xml:space="preserve"> 0986 839 625</v>
          </cell>
          <cell r="D1" t="str">
            <v>ITG- PP, CUONG NGOAN ( HOLD HANG)</v>
          </cell>
          <cell r="E1">
            <v>0</v>
          </cell>
        </row>
        <row r="2">
          <cell r="B2" t="str">
            <v>Ngo Tuyet Nhung:</v>
          </cell>
          <cell r="C2" t="str">
            <v xml:space="preserve"> 0904 299 904</v>
          </cell>
          <cell r="D2" t="str">
            <v>Truong Thanh</v>
          </cell>
          <cell r="E2" t="str">
            <v>08 6271 4849</v>
          </cell>
        </row>
        <row r="3">
          <cell r="B3" t="str">
            <v>Nguyen Phuong Thao:</v>
          </cell>
          <cell r="C3" t="str">
            <v xml:space="preserve"> 0904 107 207</v>
          </cell>
          <cell r="D3" t="str">
            <v>HA BAC - Huyen Trang:( pxnk)0989 894 846</v>
          </cell>
          <cell r="E3">
            <v>0</v>
          </cell>
        </row>
        <row r="4">
          <cell r="B4">
            <v>0</v>
          </cell>
          <cell r="C4" t="str">
            <v>CUSTOMERS</v>
          </cell>
          <cell r="D4">
            <v>0</v>
          </cell>
          <cell r="E4">
            <v>0</v>
          </cell>
        </row>
        <row r="5">
          <cell r="B5">
            <v>0</v>
          </cell>
          <cell r="C5" t="str">
            <v>TAT CA NHUNG DON HANG REGENT MANGO GIAO TRUOC 12H</v>
          </cell>
          <cell r="D5">
            <v>0</v>
          </cell>
          <cell r="E5">
            <v>0</v>
          </cell>
        </row>
        <row r="6">
          <cell r="B6" t="str">
            <v xml:space="preserve">ITG- PHONG PHU (247 </v>
          </cell>
          <cell r="C6" t="str">
            <v>LH: Anh Toan: 0985 001 135</v>
          </cell>
          <cell r="D6" t="str">
            <v>ACCOUNT 2980</v>
          </cell>
          <cell r="E6">
            <v>0</v>
          </cell>
        </row>
        <row r="7">
          <cell r="B7" t="str">
            <v>XL</v>
          </cell>
          <cell r="C7" t="str">
            <v>60x40x27</v>
          </cell>
          <cell r="D7" t="str">
            <v>D</v>
          </cell>
          <cell r="E7" t="str">
            <v>41 x28x 13</v>
          </cell>
        </row>
        <row r="8">
          <cell r="B8" t="str">
            <v>A</v>
          </cell>
          <cell r="C8" t="str">
            <v>43 x30x 29</v>
          </cell>
          <cell r="D8" t="str">
            <v>E</v>
          </cell>
          <cell r="E8" t="str">
            <v>41 x28x 9</v>
          </cell>
        </row>
        <row r="9">
          <cell r="B9" t="str">
            <v>B</v>
          </cell>
          <cell r="C9" t="str">
            <v>43 x25x 29</v>
          </cell>
          <cell r="D9" t="str">
            <v>F</v>
          </cell>
          <cell r="E9" t="str">
            <v>27 x21x 9</v>
          </cell>
        </row>
        <row r="10">
          <cell r="B10" t="str">
            <v>C</v>
          </cell>
          <cell r="C10" t="str">
            <v>43 x19x 29</v>
          </cell>
          <cell r="D10" t="str">
            <v>G</v>
          </cell>
          <cell r="E10" t="str">
            <v>27 x11x 9</v>
          </cell>
        </row>
        <row r="11">
          <cell r="B11" t="str">
            <v>CUSTOMERS</v>
          </cell>
          <cell r="C11" t="str">
            <v>ADDRESS</v>
          </cell>
          <cell r="D11" t="str">
            <v>FORWARDER</v>
          </cell>
          <cell r="E11" t="str">
            <v>ATTN</v>
          </cell>
        </row>
        <row r="12">
          <cell r="B12" t="str">
            <v xml:space="preserve">                                                                                                                                                                                                                                                                                                                                                                                                                                                                                                                                                                                                                                                                                                                                                                                                                                                                                                                                                                                                                                                                                                                                                                                                                                                                                                                                                                                                                                                                                                                                                                                                                                                                                                                                                                                                                                                                                                                                                                                                                                                                                                                                                                                                                                                                                                                                                                                                                                                                                                                                                                                                                                                                                                                                                                                                                                                                                                                                                                                                                                                                                                                                                                                                                                                                                                                                                                                                                                                                                                                                                                                                                                                                                                                                                                                                                                                                                                                                                                                                                                                                                                                                                                                                                                                                                                                                                                                                                                                                                                                                                                                                                                                                                                                                                                                                                                                                                                                                                                                                                                                                                                                                                                                                                                                                                                                                                                                                                                                                                                                                                                                                                                                                                                                                                                                                                                                                                                                                                                                                                                                                                                                                                                                                                                                                                                                                                                                                                                                                                                                                                                                                                                                                                                                                                                                                                                                                                                                                                                                                                                                                                                                                                                                                                                                                                                                                                                                                                                                                                                                                                                                                                                                                                                                                                                                                                                                                                                                                                                                                                                                                                                                                                                                                                                                                                                                                                                                                                                                                                                                                                                                                                                                                                                                                                                                                                                                                                                                                                                                                                                                                                                                                                                                                                </v>
          </cell>
          <cell r="C12" t="str">
            <v>PLOT CN5, KCN THACH THAT - QUOC OAI, THACH THAT, HA NOI</v>
          </cell>
          <cell r="D12" t="str">
            <v>HANG CHUNG CTU</v>
          </cell>
          <cell r="E12" t="str">
            <v>NGA: 0989 792 844</v>
          </cell>
        </row>
        <row r="13">
          <cell r="B13" t="str">
            <v xml:space="preserve"> J LAND</v>
          </cell>
          <cell r="C13" t="str">
            <v>RM 701, 7TH FLOOR, NOZA BLDL, CAU GIAY, HA NOI</v>
          </cell>
          <cell r="D13">
            <v>0</v>
          </cell>
          <cell r="E13" t="str">
            <v>*JLAND KOREA - HANOI REPRESENTATIVE OFFICE
*FLOOR # 7, LILAMA 10 BUILDING
TO HUU STR, TRUNG VAN ,  TU LIEM, HA NOI
TEL: 84-4-916 28 58 18/ 84-4-37676652 (107)
Ms. Scarlet</v>
          </cell>
        </row>
        <row r="14">
          <cell r="B14" t="str">
            <v>OSPINTER</v>
          </cell>
          <cell r="C14" t="str">
            <v>TANG 7, TOA NHA LILAMA, LE VAN LUONG, TU LIEM, HA NOI</v>
          </cell>
          <cell r="D14">
            <v>0</v>
          </cell>
          <cell r="E14" t="str">
            <v>MS. LINH: 0989955012</v>
          </cell>
        </row>
        <row r="15">
          <cell r="B15" t="str">
            <v xml:space="preserve"> Kho Chien Thang</v>
          </cell>
          <cell r="C15" t="str">
            <v>Cong ty Co phan may Ho Guom
Km 22,thi tran Ban- Hung Yen</v>
          </cell>
          <cell r="D15">
            <v>0</v>
          </cell>
          <cell r="E15" t="str">
            <v>Ms Ha: 0972 749 720</v>
          </cell>
        </row>
        <row r="16">
          <cell r="B16" t="str">
            <v xml:space="preserve"> KOSVI</v>
          </cell>
          <cell r="C16" t="str">
            <v xml:space="preserve"> Ấp Long Phú ,Xã Phước Thái, Huyện Long Thành, Đồng Nai  </v>
          </cell>
          <cell r="D16" t="str">
            <v>KHTT-TTC</v>
          </cell>
          <cell r="E16" t="str">
            <v xml:space="preserve">CINDY DT: 0613 542 971 Fax: 0613 542 973 </v>
          </cell>
        </row>
        <row r="17">
          <cell r="B17" t="str">
            <v>PS VINA</v>
          </cell>
          <cell r="C17" t="str">
            <v xml:space="preserve">KCN Gia Lễ, huyện Đông Hưng, Tỉnh Thái Bình </v>
          </cell>
          <cell r="D17">
            <v>0</v>
          </cell>
          <cell r="E17">
            <v>0</v>
          </cell>
        </row>
        <row r="18">
          <cell r="B18" t="str">
            <v>MTV KAP VINA</v>
          </cell>
          <cell r="C18" t="str">
            <v>LO BI-5-6-7-8, KCN TAN HUONG, TAN HUONG, CHAU THANH, TIEN GIANG</v>
          </cell>
          <cell r="D18">
            <v>0</v>
          </cell>
          <cell r="E18">
            <v>0</v>
          </cell>
        </row>
        <row r="19">
          <cell r="B19" t="str">
            <v xml:space="preserve"> Robot TOSY</v>
          </cell>
          <cell r="C19" t="str">
            <v xml:space="preserve">TANG 4,  81 LE VAN LUONG, NHAN CHINH, QUAN THANH XUAN, HA NOI
</v>
          </cell>
          <cell r="D19">
            <v>0</v>
          </cell>
          <cell r="E19" t="str">
            <v xml:space="preserve">ATT: Nguyễn Hà Ngân
SDT: 0989220255                                  TEL: 04 62753387           </v>
          </cell>
        </row>
        <row r="20">
          <cell r="B20" t="str">
            <v xml:space="preserve"> THANH TRUNG</v>
          </cell>
          <cell r="C20" t="str">
            <v xml:space="preserve">DUONG THIEN HAMLET ，TRUC NOI COMMUNE TRUC NINH DISTRICT NAM DINH PROVINCE </v>
          </cell>
          <cell r="D20">
            <v>0</v>
          </cell>
          <cell r="E20" t="str">
            <v>MS THANH: 0915398241</v>
          </cell>
        </row>
        <row r="21">
          <cell r="B21" t="str">
            <v xml:space="preserve"> TNG CN MAY PHU BINH 2</v>
          </cell>
          <cell r="C21" t="str">
            <v>KHA SON, PHU BINH, THAI NGUYEN</v>
          </cell>
          <cell r="D21">
            <v>0</v>
          </cell>
          <cell r="E21" t="str">
            <v>0969722242 OR 01674682318</v>
          </cell>
        </row>
        <row r="22">
          <cell r="B22" t="str">
            <v>28 DA NANG</v>
          </cell>
          <cell r="C22" t="str">
            <v>67 DUY TAN, DA NANG</v>
          </cell>
          <cell r="D22" t="str">
            <v>HANG GEN NHAN FIGS CHO EMAIL CONFIRM GIAO HANG CUA CS</v>
          </cell>
          <cell r="E22">
            <v>0</v>
          </cell>
        </row>
        <row r="23">
          <cell r="B23" t="str">
            <v>28 QUANG NGAI</v>
          </cell>
          <cell r="C23" t="str">
            <v>121 LE TRUNG DINH, PHUONG TRAN HUNG DAO, QUANG NGAI</v>
          </cell>
          <cell r="D23" t="str">
            <v>HANG KEM HD+KH THANH TOAN, NHAN INVISTA KHONG CO HOA DON</v>
          </cell>
          <cell r="E23" t="str">
            <v>NHU 0905100138</v>
          </cell>
        </row>
        <row r="24">
          <cell r="B24" t="str">
            <v>ACE</v>
          </cell>
          <cell r="C24" t="str">
            <v>KCN THUY VAN, VIET TRI, PHU THO</v>
          </cell>
          <cell r="D24">
            <v>0</v>
          </cell>
          <cell r="E24" t="str">
            <v>YB HAN: 210 857 742</v>
          </cell>
        </row>
        <row r="25">
          <cell r="B25" t="str">
            <v>ACE</v>
          </cell>
          <cell r="C25" t="str">
            <v>Thuy Van Industrial Zone, Viet Tri, Phu Tho</v>
          </cell>
          <cell r="D25">
            <v>0</v>
          </cell>
          <cell r="E25" t="str">
            <v>chi Nga - 0916887704</v>
          </cell>
        </row>
        <row r="26">
          <cell r="B26" t="str">
            <v>ADORA</v>
          </cell>
          <cell r="C26" t="str">
            <v>KCN TAM DIEP, TX TAM DIEP, NINH BINH</v>
          </cell>
          <cell r="D26" t="str">
            <v>cho XNK confirm</v>
          </cell>
          <cell r="E26" t="str">
            <v>Ms Tuyet - 0168 8363209</v>
          </cell>
        </row>
        <row r="27">
          <cell r="B27" t="str">
            <v>ADREM</v>
          </cell>
          <cell r="C27" t="str">
            <v>HUONG CANH, BINH XUYEN, VINH PHUC</v>
          </cell>
          <cell r="D27" t="str">
            <v>KH GOI FORWARDER VAO LAY</v>
          </cell>
          <cell r="E27" t="str">
            <v>MS HUYEN</v>
          </cell>
        </row>
        <row r="28">
          <cell r="B28" t="str">
            <v>ALL WELLS</v>
          </cell>
          <cell r="C28" t="str">
            <v>DUONG 81, TOC TIEN, TAN THANH, VUNG TAU</v>
          </cell>
          <cell r="D28" t="str">
            <v>NHO CHECK MAIL CS GUI CONFIRM KH BOOK VIETSTAR LAY HANG (PUMA LH MIA.NGUYEN, ADIDAS LH HIEN.TRAN, NIKE LH SALLY.NGUYEN)</v>
          </cell>
          <cell r="E28" t="str">
            <v>NONO ZHANG: 064 394 8437</v>
          </cell>
        </row>
        <row r="29">
          <cell r="B29" t="str">
            <v>ALLIANCE ONE</v>
          </cell>
          <cell r="C29" t="str">
            <v>B1, B2, B5-12, GIAO LONG IP, AN PHUOC, CHAU THANH, BEN TRE</v>
          </cell>
          <cell r="D29" t="str">
            <v>CTU</v>
          </cell>
          <cell r="E29" t="str">
            <v>Ms.Khanh – Thu Mua ( Kitty) 
0939 979 792</v>
          </cell>
        </row>
        <row r="30">
          <cell r="B30" t="str">
            <v>AMARA</v>
          </cell>
          <cell r="C30" t="str">
            <v>Thi tran Co Le, Huyen Truc Ninh, Tinh Nam Dinh</v>
          </cell>
          <cell r="D30">
            <v>0</v>
          </cell>
          <cell r="E30" t="str">
            <v>TUAN 01299232551</v>
          </cell>
        </row>
        <row r="31">
          <cell r="B31" t="str">
            <v>AN GIANG SAMHO</v>
          </cell>
          <cell r="C31" t="str">
            <v>LO C3, KCN BINH HOA, XA BINH HOA, HUYEN CHAU THANH, AN GIANG</v>
          </cell>
          <cell r="D31">
            <v>0</v>
          </cell>
          <cell r="E31">
            <v>0</v>
          </cell>
        </row>
        <row r="32">
          <cell r="B32" t="str">
            <v>AN HUNG</v>
          </cell>
          <cell r="C32" t="str">
            <v>231 NGUYỄN TẤT THÀNH-8TH- TUY HOA-PHU YÊN</v>
          </cell>
          <cell r="D32">
            <v>0</v>
          </cell>
          <cell r="E32" t="str">
            <v>MS DUONG-57 3 838180</v>
          </cell>
        </row>
        <row r="33">
          <cell r="B33" t="str">
            <v>AN NHON</v>
          </cell>
          <cell r="C33" t="str">
            <v>NHON HOA, AN NHON, BINH DINH PROVINCE</v>
          </cell>
          <cell r="D33">
            <v>0</v>
          </cell>
          <cell r="E33" t="str">
            <v>ANH LANG 0903 588 784</v>
          </cell>
        </row>
        <row r="34">
          <cell r="B34" t="str">
            <v>AN PHAT</v>
          </cell>
          <cell r="C34" t="str">
            <v>KCN TAM QUAN, HOAI NHON, BINH DINH</v>
          </cell>
          <cell r="D34">
            <v>0</v>
          </cell>
          <cell r="E34" t="str">
            <v>MS TY: 0917 021 577</v>
          </cell>
        </row>
        <row r="35">
          <cell r="B35" t="str">
            <v>SUMMIT</v>
          </cell>
          <cell r="C35" t="str">
            <v>LO D3, D4, D5 KCN PHUC KHANH, THAI BINH</v>
          </cell>
          <cell r="D35">
            <v>0</v>
          </cell>
          <cell r="E35" t="str">
            <v xml:space="preserve">Ms Lụa 01689245630 hoặc Ms Luyến  0989.328.565 </v>
          </cell>
        </row>
        <row r="36">
          <cell r="B36" t="str">
            <v>AN THANH</v>
          </cell>
          <cell r="C36" t="str">
            <v>Lo III-5&amp;III-6, KCN My Xuan B1– Tien Hung, xa My Xuan, Huyen Tan Thanh, tinh Ba Ria Vung Tau</v>
          </cell>
          <cell r="D36">
            <v>0</v>
          </cell>
          <cell r="E36" t="str">
            <v>THUY TIEN 01233 833 911</v>
          </cell>
        </row>
        <row r="37">
          <cell r="B37" t="str">
            <v>ANH CUONG</v>
          </cell>
          <cell r="C37" t="str">
            <v>XUAN TRUONG, XUAN TRUONG, NAM DINH</v>
          </cell>
          <cell r="D37" t="str">
            <v>HANG CHUNG CTU</v>
          </cell>
          <cell r="E37" t="str">
            <v>MR VI: 0912 377 481</v>
          </cell>
        </row>
        <row r="38">
          <cell r="B38" t="str">
            <v>ANH DUC GARMENT</v>
          </cell>
          <cell r="C38" t="str">
            <v>TIEN LY VILANGE, DON XA COMUNE, BINH LUC DISTRICT, PHU LY PROVINCE</v>
          </cell>
          <cell r="D38">
            <v>0</v>
          </cell>
          <cell r="E38" t="str">
            <v>ATTN: LUU 0982669798</v>
          </cell>
        </row>
        <row r="39">
          <cell r="B39" t="str">
            <v>ANH DUONG MH</v>
          </cell>
          <cell r="C39" t="str">
            <v>SO 6, LOT 4C, DUONG TRUNG YEN 10B, CAU GIAY, HA NOI</v>
          </cell>
          <cell r="D39">
            <v>0</v>
          </cell>
          <cell r="E39" t="str">
            <v>LAN ANH: 04 3784 3624</v>
          </cell>
        </row>
        <row r="40">
          <cell r="B40" t="str">
            <v>ANH TU</v>
          </cell>
          <cell r="C40" t="str">
            <v>THON NAM, DONG PHUONG, DONG HUNG, THAI BINH</v>
          </cell>
          <cell r="D40" t="str">
            <v>SHIPTO: PHU THO HANG CHUNG CTU</v>
          </cell>
          <cell r="E40" t="str">
            <v>0976 261 522</v>
          </cell>
        </row>
        <row r="41">
          <cell r="B41" t="str">
            <v>ANH VU</v>
          </cell>
          <cell r="C41" t="str">
            <v>THI TRAN BAN, YEN NHAN, MY HAO, HUNG YEN</v>
          </cell>
          <cell r="D41">
            <v>0</v>
          </cell>
          <cell r="E41" t="str">
            <v>MR BAC: 0982 533 778</v>
          </cell>
        </row>
        <row r="42">
          <cell r="B42" t="str">
            <v>ANNORA</v>
          </cell>
          <cell r="C42" t="str">
            <v>XUAN LAM, NGHI SON, TINH GIA, THANH HOA</v>
          </cell>
          <cell r="D42" t="str">
            <v>BOOK MAIL PHUONG DONG LAY HANG, SHIP TIET KIEM, NEU CS CO BAO SHIP AIR THI BOOK SHIP AIR</v>
          </cell>
          <cell r="E42" t="str">
            <v>MS HONG: 0936 077 359</v>
          </cell>
        </row>
        <row r="43">
          <cell r="B43" t="str">
            <v>ANNORA CONVERSE</v>
          </cell>
          <cell r="C43" t="str">
            <v>XUAN LAM, NGHI SON, TINH GIA, THANH HOA</v>
          </cell>
          <cell r="D43">
            <v>0</v>
          </cell>
          <cell r="E43" t="str">
            <v>KHANH HOA: 0123 84 74 588</v>
          </cell>
        </row>
        <row r="44">
          <cell r="B44" t="str">
            <v>AOCC</v>
          </cell>
          <cell r="C44" t="str">
            <v>XUAN TRUONG, XUAN TRUONG, NAM DINH</v>
          </cell>
          <cell r="D44">
            <v>0</v>
          </cell>
          <cell r="E44">
            <v>4</v>
          </cell>
        </row>
        <row r="45">
          <cell r="B45" t="str">
            <v>PAROSY</v>
          </cell>
          <cell r="C45" t="str">
            <v>CUM CN DUYEN THAI, QUOC LO 1A, THUONG TIN, HA NOI</v>
          </cell>
          <cell r="D45">
            <v>0</v>
          </cell>
          <cell r="E45">
            <v>0</v>
          </cell>
        </row>
        <row r="46">
          <cell r="B46" t="str">
            <v>Apache Footwear</v>
          </cell>
          <cell r="C46" t="str">
            <v>Lot 79,  Long Jiang Industrial Park, Tan Lap 1 Village, Tan Phuoc District, Tien Giang Province</v>
          </cell>
          <cell r="D46">
            <v>0</v>
          </cell>
          <cell r="E46" t="str">
            <v xml:space="preserve">Holly Nguyen +84 073 651 9999 Ext: 2105 </v>
          </cell>
        </row>
        <row r="47">
          <cell r="B47" t="str">
            <v>APEX</v>
          </cell>
          <cell r="C47" t="str">
            <v>DUONG SO 3, KCN TAM PHUOC, LONG THANH, DONG NAI</v>
          </cell>
          <cell r="D47">
            <v>0</v>
          </cell>
          <cell r="E47">
            <v>0</v>
          </cell>
        </row>
        <row r="48">
          <cell r="B48" t="str">
            <v>APPAREL TECH</v>
          </cell>
          <cell r="C48" t="str">
            <v>29T2 Building, 7th floor, Room No #707 Hoang Dao Thuy street, Cau Giay Dist, Hanoi</v>
          </cell>
          <cell r="D48">
            <v>0</v>
          </cell>
          <cell r="E48" t="str">
            <v>PHUONG ANH Tel: 0462820304/ 62820301</v>
          </cell>
        </row>
        <row r="49">
          <cell r="B49" t="str">
            <v>APPAREL TECH 1</v>
          </cell>
          <cell r="C49" t="str">
            <v>VAN DINH, UNG HOA, HA TAY</v>
          </cell>
          <cell r="D49" t="str">
            <v>CTU- NHAN TIMBERLAND</v>
          </cell>
          <cell r="E49" t="str">
            <v>KIM ANH: 0913 269 420</v>
          </cell>
        </row>
        <row r="50">
          <cell r="B50" t="str">
            <v>APPAREL TECH COLUMBIA</v>
          </cell>
          <cell r="C50" t="str">
            <v>707 -29 T2 HOANG DAO THUY, CAU GIAY, HA NOI</v>
          </cell>
          <cell r="D50" t="str">
            <v>HANG CHUNG CTU</v>
          </cell>
          <cell r="E50" t="str">
            <v>MS GIANG: 04 628 20304</v>
          </cell>
        </row>
        <row r="51">
          <cell r="B51" t="str">
            <v>APPAREL TECH VINH LOC</v>
          </cell>
          <cell r="C51" t="str">
            <v>VINH LONG, VINH LOC, THANH HOA</v>
          </cell>
          <cell r="D51">
            <v>0</v>
          </cell>
          <cell r="E51" t="str">
            <v>NONG 0918.981.539</v>
          </cell>
        </row>
        <row r="52">
          <cell r="B52" t="str">
            <v>APPAREL TECH VN</v>
          </cell>
          <cell r="C52" t="str">
            <v>TANG 3A TOA NHA PCCC1 MY DINH PLAZA 138 TRAN BINH TU LIEM, HA NOI</v>
          </cell>
          <cell r="D52">
            <v>0</v>
          </cell>
          <cell r="E52">
            <v>0</v>
          </cell>
        </row>
        <row r="53">
          <cell r="B53" t="str">
            <v>ARKSUN</v>
          </cell>
          <cell r="C53" t="str">
            <v>164 TON DUC THANG ST-DONG DA DIST- HANOI</v>
          </cell>
          <cell r="D53">
            <v>0</v>
          </cell>
          <cell r="E53" t="str">
            <v>MS YEN/BICH THAO-4 732198</v>
          </cell>
        </row>
        <row r="54">
          <cell r="B54" t="str">
            <v>MY NGHE THANG LONG</v>
          </cell>
          <cell r="C54" t="str">
            <v>164 TON DUC THANG, PHUONG HANG BOT, QUAN DONG DA, HA NOI</v>
          </cell>
          <cell r="D54">
            <v>0</v>
          </cell>
          <cell r="E54">
            <v>0</v>
          </cell>
        </row>
        <row r="55">
          <cell r="B55" t="str">
            <v>AROMA BAY</v>
          </cell>
          <cell r="C55" t="str">
            <v>Hung Dao Ward - Duong Kinh District
Hai Phong city</v>
          </cell>
          <cell r="D55">
            <v>0</v>
          </cell>
          <cell r="E55" t="str">
            <v>HUONG: 0904 358 105</v>
          </cell>
        </row>
        <row r="56">
          <cell r="B56" t="str">
            <v>ASEAN CANDLE</v>
          </cell>
          <cell r="C56" t="str">
            <v>Hung Dao Ward - Duong Kinh District
Hai Phong city</v>
          </cell>
          <cell r="D56">
            <v>0</v>
          </cell>
          <cell r="E56" t="str">
            <v>Tel: 0084 031 3 925001  - Ms Liz: 108</v>
          </cell>
        </row>
        <row r="57">
          <cell r="B57" t="str">
            <v>ASEAN LINK</v>
          </cell>
          <cell r="C57" t="str">
            <v>148 NGUYEN SON, LONG BIEN, HA NOI</v>
          </cell>
          <cell r="D57" t="str">
            <v>NETCO-KHTT</v>
          </cell>
          <cell r="E57" t="str">
            <v>MS THAO: 0904 280 159</v>
          </cell>
        </row>
        <row r="58">
          <cell r="B58" t="str">
            <v>SON HA HUE</v>
          </cell>
          <cell r="C58" t="str">
            <v>KCN PHU DA, TT PHU DA, HUYEN PHU VANG, HUE</v>
          </cell>
          <cell r="D58">
            <v>0</v>
          </cell>
          <cell r="E58">
            <v>0</v>
          </cell>
        </row>
        <row r="59">
          <cell r="B59" t="str">
            <v>ASG GLOBAL</v>
          </cell>
          <cell r="C59" t="str">
            <v xml:space="preserve">LOT 4, DUONG SO 6, KCN LONG HAU HOA BINH, NHI THANH, THU THUA, LONG AN </v>
          </cell>
          <cell r="D59">
            <v>0</v>
          </cell>
          <cell r="E59" t="str">
            <v>MR LEE: 0908 327 092</v>
          </cell>
        </row>
        <row r="60">
          <cell r="B60" t="str">
            <v>ASIA GARMENT</v>
          </cell>
          <cell r="C60" t="str">
            <v>LIEU HA, TAN LAP, YEN MY, HUNG YEN</v>
          </cell>
          <cell r="D60">
            <v>0</v>
          </cell>
          <cell r="E60">
            <v>0</v>
          </cell>
        </row>
        <row r="61">
          <cell r="B61" t="str">
            <v>AU VIET</v>
          </cell>
          <cell r="C61" t="str">
            <v xml:space="preserve"> Ap Thanh Hoa 1, xa tan Thanh Binh, huyen  Mo Cay Bac, tinh Ben Tre</v>
          </cell>
          <cell r="D61" t="str">
            <v>KHTT PHI VC</v>
          </cell>
          <cell r="E61" t="str">
            <v>Tran Thanh Dien - Phone: 0975.090.643</v>
          </cell>
        </row>
        <row r="62">
          <cell r="B62" t="str">
            <v>AURORA</v>
          </cell>
          <cell r="C62" t="str">
            <v>XA THIEN HUONG, THUY NGUYEN, HAI PHONG</v>
          </cell>
          <cell r="D62">
            <v>0</v>
          </cell>
          <cell r="E62" t="str">
            <v>MS GIANG: 0904 693 423</v>
          </cell>
        </row>
        <row r="63">
          <cell r="B63" t="str">
            <v>BAC GIANG</v>
          </cell>
          <cell r="C63" t="str">
            <v>349 GIAP HAI, PHO KE, TP BAC GIANG, BAC GIANG</v>
          </cell>
          <cell r="D63">
            <v>0</v>
          </cell>
          <cell r="E63" t="str">
            <v>NHUNG HONG: 0240 3558 156</v>
          </cell>
        </row>
        <row r="64">
          <cell r="B64" t="str">
            <v>BAC GIANG BILL YOUNGONE</v>
          </cell>
          <cell r="C64" t="str">
            <v>349 GIAP HAI, TP BAC GIANG, TINH BAC GIANG</v>
          </cell>
          <cell r="D64">
            <v>0</v>
          </cell>
          <cell r="E64" t="str">
            <v>MS VAN: 0240 3558 156</v>
          </cell>
        </row>
        <row r="65">
          <cell r="B65" t="str">
            <v>BAC GIANG GARMENT</v>
          </cell>
          <cell r="C65" t="str">
            <v>349 GIAP HAI, PHO KE, TP BAC GIANG, TINH BAC GIANG</v>
          </cell>
          <cell r="D65" t="str">
            <v>INVISTA</v>
          </cell>
          <cell r="E65" t="str">
            <v>0240 3558 156- NHUNG HONG</v>
          </cell>
        </row>
        <row r="66">
          <cell r="B66" t="str">
            <v>BAC HA</v>
          </cell>
          <cell r="C66" t="str">
            <v>Thanh Hà - Thanh Liêm - Hà Nam</v>
          </cell>
          <cell r="D66">
            <v>0</v>
          </cell>
          <cell r="E66" t="str">
            <v>Ms Hue :351-880122 -0985.980.025</v>
          </cell>
        </row>
        <row r="67">
          <cell r="B67" t="str">
            <v>BAC NINH</v>
          </cell>
          <cell r="C67" t="str">
            <v>02-NGUYEN VAN CU ST-BAC NINH</v>
          </cell>
          <cell r="D67">
            <v>0</v>
          </cell>
          <cell r="E67">
            <v>0</v>
          </cell>
        </row>
        <row r="68">
          <cell r="B68" t="str">
            <v>BACH NANG</v>
          </cell>
          <cell r="C68" t="str">
            <v>Cum Cong Nghiep Kim Sen, Kim Son, Dong Trieu, Quang Ninh</v>
          </cell>
          <cell r="D68">
            <v>0</v>
          </cell>
          <cell r="E68" t="str">
            <v>Hien Vu (  Sdt 0983363076)</v>
          </cell>
        </row>
        <row r="69">
          <cell r="B69" t="str">
            <v>BAN MAI INVISTA</v>
          </cell>
          <cell r="C69" t="str">
            <v>19 LE VAN HUU, QUAN HAI BA TRUNG, HA NOI</v>
          </cell>
          <cell r="D69">
            <v>0</v>
          </cell>
          <cell r="E69" t="str">
            <v>MS LINH: 04 3943 4839</v>
          </cell>
        </row>
        <row r="70">
          <cell r="B70" t="str">
            <v>BANDO VINA</v>
          </cell>
          <cell r="C70" t="str">
            <v>AP THANH PHUOC, XA THANH DIEN, HUYEN CHAU THANH, TINH TAY NINH</v>
          </cell>
          <cell r="D70" t="str">
            <v>CHO CONFIRM XNK
C.Trang
Viettel- KHTT</v>
          </cell>
          <cell r="E70" t="str">
            <v xml:space="preserve">  Anh Trinh: (XNK- 0988 107 774) OR Thu( 01227 540 890 )</v>
          </cell>
        </row>
        <row r="71">
          <cell r="B71" t="str">
            <v>BANDO VINA</v>
          </cell>
          <cell r="C71" t="str">
            <v>HUYEN CHAU THANH, TINH TAY NINH</v>
          </cell>
          <cell r="D71">
            <v>0</v>
          </cell>
          <cell r="E71">
            <v>0</v>
          </cell>
        </row>
        <row r="72">
          <cell r="B72" t="str">
            <v>CI BAO</v>
          </cell>
          <cell r="C72" t="str">
            <v>KCN SUOI TRE. LONG KHANH, DONG NAI</v>
          </cell>
          <cell r="D72">
            <v>0</v>
          </cell>
          <cell r="E72">
            <v>0</v>
          </cell>
        </row>
        <row r="73">
          <cell r="B73" t="str">
            <v>BAO HUNG</v>
          </cell>
          <cell r="C73" t="str">
            <v>THON TIEN THANG, XA BAO KHE, HUNG YEN</v>
          </cell>
          <cell r="D73" t="str">
            <v>HANG CHUNG CHUNG TU</v>
          </cell>
          <cell r="E73" t="str">
            <v>MR LOC 0979 888 064</v>
          </cell>
        </row>
        <row r="74">
          <cell r="B74" t="str">
            <v>BEEAHN</v>
          </cell>
          <cell r="C74" t="str">
            <v>THI TRAN TRAN CAO, PHU CU, HUNG YEN</v>
          </cell>
          <cell r="D74">
            <v>0</v>
          </cell>
          <cell r="E74" t="str">
            <v>PHUONG: 0986 702 913</v>
          </cell>
        </row>
        <row r="75">
          <cell r="B75" t="str">
            <v>BEESCO VINA</v>
          </cell>
          <cell r="C75" t="str">
            <v>Khu Cong Nghiep Chon Thanh II, Xa Thanh Tam, Huyen Chon Thanh, Binh Phuoc</v>
          </cell>
          <cell r="D75">
            <v>0</v>
          </cell>
          <cell r="E75" t="str">
            <v>TUNG +84 913 368181</v>
          </cell>
        </row>
        <row r="76">
          <cell r="B76" t="str">
            <v>BICH SON</v>
          </cell>
          <cell r="C76" t="str">
            <v>Thon Kieu- Xa Bich Son- Viet Yen- Bac Giang</v>
          </cell>
          <cell r="D76">
            <v>0</v>
          </cell>
          <cell r="E76" t="str">
            <v>Mr Nhan:0903 492 507</v>
          </cell>
        </row>
        <row r="77">
          <cell r="B77" t="str">
            <v>BIM SON</v>
          </cell>
          <cell r="C77" t="str">
            <v>75 NGUYEN HUE, TX BIM SON, THANH HOA</v>
          </cell>
          <cell r="D77">
            <v>0</v>
          </cell>
          <cell r="E77" t="str">
            <v>MR HAI: 0977 336 665</v>
          </cell>
        </row>
        <row r="78">
          <cell r="B78" t="str">
            <v>BINH MINH</v>
          </cell>
          <cell r="C78" t="str">
            <v>group10- Dong Hung town-Thai Binh</v>
          </cell>
          <cell r="D78">
            <v>0</v>
          </cell>
          <cell r="E78" t="str">
            <v>BUI DUC DU-363851271</v>
          </cell>
        </row>
        <row r="79">
          <cell r="B79" t="str">
            <v>BINH THUAN NHA BE</v>
          </cell>
          <cell r="C79" t="str">
            <v>204 DUONG THONG NHAT, TAN THIEN, LAGI, BINH THUAN</v>
          </cell>
          <cell r="D79">
            <v>0</v>
          </cell>
          <cell r="E79" t="str">
            <v>MR KHUONG: 062 3871 857
MR DUC: 0122 797 0975</v>
          </cell>
        </row>
        <row r="80">
          <cell r="B80" t="str">
            <v>BLUE GATE</v>
          </cell>
          <cell r="C80" t="str">
            <v>24A, NGUYEN TRUNG TRUC ST, BEN LUC, LONG AN</v>
          </cell>
          <cell r="D80">
            <v>0</v>
          </cell>
          <cell r="E80" t="str">
            <v xml:space="preserve">ATTN: TRANG </v>
          </cell>
        </row>
        <row r="81">
          <cell r="B81" t="str">
            <v>BO HSING</v>
          </cell>
          <cell r="C81" t="str">
            <v>LOT 2A, QL 1A, KCN HOA PHU, HOA PHU, LONG HO, VINH LONG</v>
          </cell>
          <cell r="D81">
            <v>0</v>
          </cell>
          <cell r="E81" t="str">
            <v>ARIEL MAO: 070 3962750</v>
          </cell>
        </row>
        <row r="82">
          <cell r="B82" t="str">
            <v>Bodynits Company Limited</v>
          </cell>
          <cell r="C82" t="str">
            <v>Binh Tien 2 Hamlet, Duc Hoa Ha Ward,Duc Hoa Dist., Long An Province, Vietnam</v>
          </cell>
          <cell r="D82">
            <v>0</v>
          </cell>
          <cell r="E82" t="str">
            <v xml:space="preserve">Main Line: (8472) 3817 988 OR (84)904 041 022 </v>
          </cell>
        </row>
        <row r="83">
          <cell r="B83" t="str">
            <v>BONG HONG</v>
          </cell>
          <cell r="C83" t="str">
            <v>01 La Van Tien, KV3 P. Ghenh Rang TP Quy Nhon, Binh Dinh</v>
          </cell>
          <cell r="D83" t="str">
            <v>NNTT</v>
          </cell>
          <cell r="E83" t="str">
            <v>THI 01203910284</v>
          </cell>
        </row>
        <row r="84">
          <cell r="B84" t="str">
            <v>BOOMIN</v>
          </cell>
          <cell r="C84" t="str">
            <v>XÃ MỸ XUÂN, HUYỆN TÂN THÀNH, VŨNG TÀU</v>
          </cell>
          <cell r="D84">
            <v>0</v>
          </cell>
          <cell r="E84" t="str">
            <v>DUNG: 0974 904 506</v>
          </cell>
        </row>
        <row r="85">
          <cell r="B85" t="str">
            <v>3/2 JOINT STOCK COMPANY</v>
          </cell>
          <cell r="C85" t="str">
            <v>So 35 Chua Thong- Son Loc-Son Tay -Ha Noi</v>
          </cell>
          <cell r="D85">
            <v>0</v>
          </cell>
          <cell r="E85" t="str">
            <v>ANH HAI 0975602247</v>
          </cell>
        </row>
        <row r="86">
          <cell r="B86" t="str">
            <v>BUREAU VERITAS</v>
          </cell>
          <cell r="C86" t="str">
            <v>LOT C7-C9,QUAN 2,KCN CAT LAI,HCM</v>
          </cell>
          <cell r="D86">
            <v>0</v>
          </cell>
          <cell r="E86" t="str">
            <v>0963000291</v>
          </cell>
        </row>
        <row r="87">
          <cell r="B87" t="str">
            <v>C&amp;H</v>
          </cell>
          <cell r="C87" t="str">
            <v>NO. 72 PHAN TRONG TUE ROAD, VAN DIEN TOWN, THANH TRI DISTRICT,HANOI CITY</v>
          </cell>
          <cell r="D87">
            <v>0</v>
          </cell>
          <cell r="E87" t="str">
            <v>THUY 04 62825908</v>
          </cell>
        </row>
        <row r="88">
          <cell r="B88" t="str">
            <v>C&amp;M VINA</v>
          </cell>
          <cell r="C88" t="str">
            <v>THANH CHUNG, PHON XUONG, YEN THE, BAC GIANG</v>
          </cell>
          <cell r="D88" t="str">
            <v>HANG CHUNG CTU</v>
          </cell>
          <cell r="E88" t="str">
            <v>MS LOI: 0987 108 511</v>
          </cell>
        </row>
        <row r="89">
          <cell r="B89" t="str">
            <v>NYG</v>
          </cell>
          <cell r="C89" t="str">
            <v>LO C, KCN LONG KHANH, BINH LOC, LONG KHANH,
DONG NAI</v>
          </cell>
          <cell r="D89">
            <v>0</v>
          </cell>
          <cell r="E89">
            <v>0</v>
          </cell>
        </row>
        <row r="90">
          <cell r="B90" t="str">
            <v>CAM HA</v>
          </cell>
          <cell r="C90" t="str">
            <v>448 HUNG VUONG, KHOI 3, PHUONG THANH HA, THANH PHOI HOI AN, QUANG NAM</v>
          </cell>
          <cell r="D90">
            <v>0</v>
          </cell>
          <cell r="E90" t="str">
            <v>MR.QUY: 0935 053 058</v>
          </cell>
        </row>
        <row r="91">
          <cell r="B91" t="str">
            <v>CAM HOANG</v>
          </cell>
          <cell r="C91" t="str">
            <v>NGOC LAC, THANH HOA</v>
          </cell>
          <cell r="D91">
            <v>0</v>
          </cell>
          <cell r="E91" t="str">
            <v>MS HUE 0978672392</v>
          </cell>
        </row>
        <row r="92">
          <cell r="B92" t="str">
            <v>CAN SPORT</v>
          </cell>
          <cell r="C92" t="str">
            <v>THUAN HOA, TRUONG MIT, DUONG MINH CHAU, TAY NINH</v>
          </cell>
          <cell r="D92" t="str">
            <v>27-31 HANG THANG KO GIAO</v>
          </cell>
          <cell r="E92" t="str">
            <v>Ms Linh 0926 589 590
Ms Hiệp 0162 732 2312 ( số nội bộ 532)</v>
          </cell>
        </row>
        <row r="93">
          <cell r="B93" t="str">
            <v>CANIFA</v>
          </cell>
          <cell r="C93" t="str">
            <v>PHONG 404 TANG 4 TOA NHA GP INVEST 170 LA THANH HA NOI</v>
          </cell>
          <cell r="D93">
            <v>0</v>
          </cell>
          <cell r="E93" t="str">
            <v>HIEN: 01667025274</v>
          </cell>
        </row>
        <row r="94">
          <cell r="B94" t="str">
            <v>CAP 1</v>
          </cell>
          <cell r="C94" t="str">
            <v>X.Giai Phạm-H.Yên Mỹ-Hưng Yên</v>
          </cell>
          <cell r="D94">
            <v>0</v>
          </cell>
          <cell r="E94" t="str">
            <v>Mr. Lê Hồng Hải-0321 3942 839</v>
          </cell>
        </row>
        <row r="95">
          <cell r="B95" t="str">
            <v>CF GLOBAL</v>
          </cell>
          <cell r="C95" t="str">
            <v>ROAD 430., VAN PHUC WARD,HA DONG DISTRICT, HA NOI CITY</v>
          </cell>
          <cell r="D95">
            <v>0</v>
          </cell>
          <cell r="E95" t="str">
            <v xml:space="preserve"> Mr.AN,Ms.TU Tel. 84-4-33512162  Fax: 84-4-33512163</v>
          </cell>
        </row>
        <row r="96">
          <cell r="B96" t="str">
            <v>MAY KYUNG VIET</v>
          </cell>
          <cell r="C96" t="str">
            <v>KCN PHO NOI A, LAC HONG, VAN LAM. HUNG YEN</v>
          </cell>
          <cell r="D96">
            <v>0</v>
          </cell>
          <cell r="E96" t="str">
            <v>CHI HIEN 0963096743</v>
          </cell>
        </row>
        <row r="97">
          <cell r="B97" t="str">
            <v>PHU SINH</v>
          </cell>
          <cell r="C97" t="str">
            <v>MAO DONG, HO TUNG MAU, AN THI, HUNG YEN</v>
          </cell>
          <cell r="D97">
            <v>0</v>
          </cell>
          <cell r="E97" t="str">
            <v>MS HUYEN 0987822611</v>
          </cell>
        </row>
        <row r="98">
          <cell r="B98" t="str">
            <v>CHIEN THANG</v>
          </cell>
          <cell r="C98" t="str">
            <v>22 THANH CONG, BA DINH, HA NOI</v>
          </cell>
          <cell r="D98">
            <v>0</v>
          </cell>
          <cell r="E98">
            <v>0</v>
          </cell>
        </row>
        <row r="99">
          <cell r="B99" t="str">
            <v>SUNGJIN VINA</v>
          </cell>
          <cell r="C99" t="str">
            <v>Lô A2 KCN Hòa Phú, ấp Thạnh Hưng, xã Hòa Phú, 
huyện Long Hồ, tỉnh Vĩnh Long</v>
          </cell>
          <cell r="D99">
            <v>0</v>
          </cell>
          <cell r="E99" t="str">
            <v>Truc 0935623592</v>
          </cell>
        </row>
        <row r="100">
          <cell r="B100" t="str">
            <v>CHIEN THANG MANUFACTURE</v>
          </cell>
          <cell r="C100" t="str">
            <v>KHOAI CHAU, KHOA CHAU, HUNG YEN</v>
          </cell>
          <cell r="D100" t="str">
            <v>SHIPTO: PHU THO HANG CHUNG CTU</v>
          </cell>
          <cell r="E100" t="str">
            <v>THO: 0977 353 074</v>
          </cell>
        </row>
        <row r="101">
          <cell r="B101" t="str">
            <v>CHIEN THANG YOUNG SHIN</v>
          </cell>
          <cell r="C101" t="str">
            <v>SO 22-THANH CONG ST-Q BA DINH-HA NOI</v>
          </cell>
          <cell r="D101">
            <v>0</v>
          </cell>
          <cell r="E101" t="str">
            <v>THU THUY-4 8312075</v>
          </cell>
        </row>
        <row r="102">
          <cell r="B102" t="str">
            <v>CHOI SHINS VINA</v>
          </cell>
          <cell r="C102" t="str">
            <v>236C NGUYEN TRUNG TRUC, MY PHONG, MY THO</v>
          </cell>
          <cell r="D102" t="str">
            <v>NHAN MACY GIAO NETCO, CON LAI NHAN ANN TAYLOR KHACH HANG DEN LAY</v>
          </cell>
          <cell r="E102">
            <v>0</v>
          </cell>
        </row>
        <row r="103">
          <cell r="B103" t="str">
            <v>COATS PHONG PHU</v>
          </cell>
          <cell r="C103" t="str">
            <v>KCN DET MAY PHO NOI B, YEN MY, HUNG YEN</v>
          </cell>
          <cell r="D103">
            <v>0</v>
          </cell>
          <cell r="E103" t="str">
            <v>ANH THIEN/ C. LUYEN: 0321 3972 868</v>
          </cell>
        </row>
        <row r="104">
          <cell r="B104" t="str">
            <v>My Nghe Xanh</v>
          </cell>
          <cell r="C104" t="str">
            <v>So 9, ngach 10, ngo 106, duong Hoang Quoc Viet, phuong Nghia Do, quan Cau Giay, Ha Noi</v>
          </cell>
          <cell r="D104">
            <v>0</v>
          </cell>
          <cell r="E104">
            <v>0</v>
          </cell>
        </row>
        <row r="105">
          <cell r="B105" t="str">
            <v>Công ty TNHH Đại Minh</v>
          </cell>
          <cell r="C105" t="str">
            <v>Đường số 2, KCN Hòa Cẩm, Cẩm Lệ, 
Đà Nẵng</v>
          </cell>
          <cell r="D105">
            <v>0</v>
          </cell>
          <cell r="E105" t="str">
            <v>Tel: 84- 511-3697640
Fax: 84-511- 3697 639</v>
          </cell>
        </row>
        <row r="106">
          <cell r="B106" t="str">
            <v>CONG TY TNHH SAO VANG</v>
          </cell>
          <cell r="C106" t="str">
            <v>Phu Thanh Tay area,Yen Thanh district，Uong Bi city，Quang Ninh provice</v>
          </cell>
          <cell r="D106">
            <v>0</v>
          </cell>
          <cell r="E106" t="str">
            <v>Do Thi Lanh-Phone: 0166 499 4645</v>
          </cell>
        </row>
        <row r="107">
          <cell r="B107" t="str">
            <v>CONTINUANCE</v>
          </cell>
          <cell r="C107" t="str">
            <v>KM43-QL5-LAI CACH-CAM GIANG-HAI DUONG</v>
          </cell>
          <cell r="D107">
            <v>0</v>
          </cell>
          <cell r="E107" t="str">
            <v>XIAO BI-320 3784469</v>
          </cell>
        </row>
        <row r="108">
          <cell r="B108" t="str">
            <v>CP SAN XUAT THE THAO</v>
          </cell>
          <cell r="C108" t="str">
            <v>PHONG 505 TANG 5, 83B, PHO LY THUONG KIET, TRAN HUNG DAO, HOAN KIEM, HA NOI</v>
          </cell>
          <cell r="D108">
            <v>0</v>
          </cell>
          <cell r="E108">
            <v>0</v>
          </cell>
        </row>
        <row r="109">
          <cell r="B109" t="str">
            <v>NAM SON</v>
          </cell>
          <cell r="C109" t="str">
            <v>KIM AU, DANG XA, GIA LAM, HA NOI</v>
          </cell>
          <cell r="D109">
            <v>0</v>
          </cell>
          <cell r="E109">
            <v>0</v>
          </cell>
        </row>
        <row r="110">
          <cell r="B110" t="str">
            <v>CREATIVE LIGHTS</v>
          </cell>
          <cell r="C110" t="str">
            <v>KM14, QL 5, THON THANG LOI, XA AN HUNG, AN DUONG, HAI PHONG</v>
          </cell>
          <cell r="D110">
            <v>0</v>
          </cell>
          <cell r="E110" t="str">
            <v>MS KHANH 0936144990</v>
          </cell>
        </row>
        <row r="111">
          <cell r="B111" t="str">
            <v>CREST APPAREL</v>
          </cell>
          <cell r="C111" t="str">
            <v>Tang 3, Toa nha 25 T1 Lo dat NO5 Du an KDT Dong Nam Tran Duy Hung, Phuong Trung Hoa, Quan Cau Giay, Thanh Pho Ha Noi</v>
          </cell>
          <cell r="D111">
            <v>0</v>
          </cell>
          <cell r="E111" t="str">
            <v>Mr Chung, Mobile: 0904211193</v>
          </cell>
        </row>
        <row r="112">
          <cell r="B112" t="str">
            <v>CRYSTAL MARTIN</v>
          </cell>
          <cell r="C112" t="str">
            <v>LOT R (R1) KCN QUANG CHAU, VIET YEN, BAC GIANG</v>
          </cell>
          <cell r="D112" t="str">
            <v>KEM PL CHI TIET DANH SO THU TU TREN KIEN HANG- CON NHAN H&amp;M LAM THEO FORM CS</v>
          </cell>
          <cell r="E112" t="str">
            <v>Thanh: 0982 175 182</v>
          </cell>
        </row>
        <row r="113">
          <cell r="B113" t="str">
            <v>CRYSTAL MARTIN GREEN OFFICE</v>
          </cell>
          <cell r="C113" t="str">
            <v>6 Floor, Green Office, Viet A Building, No.9 Duy Tan Street, Dich Vong Hau ward, Cau Giay District, Hanoi</v>
          </cell>
          <cell r="D113">
            <v>0</v>
          </cell>
          <cell r="E113">
            <v>0</v>
          </cell>
        </row>
        <row r="114">
          <cell r="B114" t="str">
            <v>SAE-A VINA</v>
          </cell>
          <cell r="C114" t="str">
            <v>TANG 7, TOA NHA HL, LO A2B, DUONG DUY TAN, P. DICH VONG HAU, CAU GIAY, HA NOI</v>
          </cell>
          <cell r="D114">
            <v>0</v>
          </cell>
          <cell r="E114" t="str">
            <v>MS HAI 0983035723</v>
          </cell>
        </row>
        <row r="115">
          <cell r="B115" t="str">
            <v>CTY CO PHAN 3/2</v>
          </cell>
          <cell r="C115" t="str">
            <v>35 CHUA THONG, SON LOC, SON TAY, HA NOI</v>
          </cell>
          <cell r="D115" t="str">
            <v>SHIPTO: PHU THO HANG CHUNG CTU</v>
          </cell>
          <cell r="E115" t="str">
            <v>ANH HAI 0975602247</v>
          </cell>
        </row>
        <row r="116">
          <cell r="B116" t="str">
            <v>CTY TU VAN KINH DOANH HA NOI</v>
          </cell>
          <cell r="C116" t="str">
            <v>Tang 3, toa nha 301 Vu Xuan Thieu- Quan Long Bien- Ha Noi</v>
          </cell>
          <cell r="D116">
            <v>0</v>
          </cell>
          <cell r="E116" t="str">
            <v>Mr. Khanh 0913 615 899</v>
          </cell>
        </row>
        <row r="117">
          <cell r="B117" t="str">
            <v>CTY GIAY DA XK TAY DO</v>
          </cell>
          <cell r="C117" t="str">
            <v>KCN TRA NOC, Q BINH THUY, TP CAN THO</v>
          </cell>
          <cell r="D117">
            <v>0</v>
          </cell>
          <cell r="E117" t="str">
            <v>TEL: 07103841925 (MS TRANG)</v>
          </cell>
        </row>
        <row r="118">
          <cell r="B118" t="str">
            <v>CTY MAY 3/2</v>
          </cell>
          <cell r="C118" t="str">
            <v>No 35 Chua Thong street, Son tay Town, 
Ha noi city, Viet Nam</v>
          </cell>
          <cell r="D118" t="str">
            <v>KHTT-TTC</v>
          </cell>
          <cell r="E118" t="str">
            <v>Tel: A Hai: 0975 602 247 
 Ms Nhung 0942 711333</v>
          </cell>
        </row>
        <row r="119">
          <cell r="B119" t="str">
            <v>CY VINA</v>
          </cell>
          <cell r="C119" t="str">
            <v>Lot N, Road 01, Long Duc IP, Tra Vinh city, Tra Vinh Province</v>
          </cell>
          <cell r="D119" t="str">
            <v>XNK GUI MAIL BAO KH DEN LAY</v>
          </cell>
          <cell r="E119">
            <v>0</v>
          </cell>
        </row>
        <row r="120">
          <cell r="B120" t="str">
            <v>DACOTEX</v>
          </cell>
          <cell r="C120" t="str">
            <v>71 PHAN DINH PHUNG-HUE</v>
          </cell>
          <cell r="D120">
            <v>0</v>
          </cell>
          <cell r="E120" t="str">
            <v>MR: 0908351057-0543820244</v>
          </cell>
        </row>
        <row r="121">
          <cell r="B121" t="str">
            <v>DAE SEUNG</v>
          </cell>
          <cell r="C121" t="str">
            <v>DONG LANG INDUSTRIAL ZONE,PHU NINH DIST.,PHU THO PROVINCE</v>
          </cell>
          <cell r="D121">
            <v>0</v>
          </cell>
          <cell r="E121">
            <v>0</v>
          </cell>
        </row>
        <row r="122">
          <cell r="B122" t="str">
            <v>DAE WOO PVH</v>
          </cell>
          <cell r="C122" t="str">
            <v>LOT 1-KHAI QUANG IZ-VINH YEN TOWN-VINH PHUC</v>
          </cell>
          <cell r="D122" t="str">
            <v>PHAT DUNG TEN NGUOI LIEN HE</v>
          </cell>
          <cell r="E122" t="str">
            <v>MR MIN SIK KOH: 0211 3726 070</v>
          </cell>
        </row>
        <row r="123">
          <cell r="B123" t="str">
            <v>DAEHAN GLOBAL</v>
          </cell>
          <cell r="C123" t="str">
            <v>NHAM SON, XA YEN LU, HUYEN YEN DUNG, BAC GIANG</v>
          </cell>
          <cell r="D123">
            <v>0</v>
          </cell>
          <cell r="E123">
            <v>0</v>
          </cell>
        </row>
        <row r="124">
          <cell r="B124" t="str">
            <v>DAI DUONG</v>
          </cell>
          <cell r="C124" t="str">
            <v>SO 2, DUONG AN TRI, HUNG VUONG, HONG BANG, HAI PHONG</v>
          </cell>
          <cell r="D124">
            <v>0</v>
          </cell>
          <cell r="E124" t="str">
            <v>MS NGAN: 0168 716 4858</v>
          </cell>
        </row>
        <row r="125">
          <cell r="B125" t="str">
            <v>DAI MINH 1</v>
          </cell>
          <cell r="C125" t="str">
            <v>DUONG SO 2, KCN HOA CAM, CAM LE, DA NANG</v>
          </cell>
          <cell r="D125" t="str">
            <v>CTU-NETCO-DN#AWB
ghi so DN len Bill</v>
          </cell>
          <cell r="E125" t="str">
            <v>MR TRUNG: 0945 215 438</v>
          </cell>
        </row>
        <row r="126">
          <cell r="B126" t="str">
            <v>DAI NGHIA</v>
          </cell>
          <cell r="C126" t="str">
            <v>THO SON DAI NGHIA MY DUC HA NOI</v>
          </cell>
          <cell r="D126">
            <v>0</v>
          </cell>
          <cell r="E126" t="str">
            <v>SON 0913218393</v>
          </cell>
        </row>
        <row r="127">
          <cell r="B127" t="str">
            <v>DAI THANH</v>
          </cell>
          <cell r="C127" t="str">
            <v>THON 2, PHUONG TRUNG TRACH, BO TRACH, QUANG BINH</v>
          </cell>
          <cell r="D127">
            <v>0</v>
          </cell>
          <cell r="E127" t="str">
            <v>MS NA/ MS KHANH 052 3610678</v>
          </cell>
        </row>
        <row r="128">
          <cell r="B128" t="str">
            <v>TY THANH</v>
          </cell>
          <cell r="C128" t="str">
            <v>KHU PHO 4, TT BA TRI, HUYEN BA TRI, BEN TRE</v>
          </cell>
          <cell r="D128">
            <v>0</v>
          </cell>
          <cell r="E128" t="str">
            <v>THOA 0909 850 599</v>
          </cell>
        </row>
        <row r="129">
          <cell r="B129" t="str">
            <v>DAI THANH FURNITURE</v>
          </cell>
          <cell r="C129" t="str">
            <v>Số 8 Dốc ÔNg Phật, Phường Bùi Thị Xuân, TP Qui Nhơn, Binh Dinh</v>
          </cell>
          <cell r="D129">
            <v>0</v>
          </cell>
          <cell r="E129" t="str">
            <v>MS NO: 0933 522 717</v>
          </cell>
        </row>
        <row r="130">
          <cell r="B130" t="str">
            <v>DAP CAU</v>
          </cell>
          <cell r="C130" t="str">
            <v>KHU 6, THI CAU, BAC NINH</v>
          </cell>
          <cell r="D130" t="str">
            <v>BILL SERIM GIAO HANG TRC
BILL YA SAINT CHUNG CTU</v>
          </cell>
          <cell r="E130">
            <v>0</v>
          </cell>
        </row>
        <row r="131">
          <cell r="B131" t="str">
            <v>DAP CAU YEN PHONG</v>
          </cell>
          <cell r="C131" t="str">
            <v>DONG TIEN, YEN PHONG, BAC NINH</v>
          </cell>
          <cell r="D131" t="str">
            <v>HANG CHUNG CTU</v>
          </cell>
          <cell r="E131" t="str">
            <v>MS LOAN: 0241 3821 603</v>
          </cell>
        </row>
        <row r="132">
          <cell r="B132" t="str">
            <v>DASAN</v>
          </cell>
          <cell r="C132" t="str">
            <v>KCN CHAU SON  -TX.PHU LY-HA NAM</v>
          </cell>
          <cell r="D132" t="str">
            <v>neu bil dasan thi KHTT-Bill H&amp;M thi minh thanh toan</v>
          </cell>
          <cell r="E132" t="str">
            <v>GẤM: 0974 285 495</v>
          </cell>
        </row>
        <row r="133">
          <cell r="B133" t="str">
            <v>DAUM &amp; JUNGAN</v>
          </cell>
          <cell r="C133" t="str">
            <v>KM5, HAMLET 4, MY HUNG COMMUNE, MY LOC  DIST, NAM DINH</v>
          </cell>
          <cell r="D133" t="str">
            <v>HANG CTU</v>
          </cell>
          <cell r="E133" t="str">
            <v>MRS DUNG: 0943 279 768</v>
          </cell>
        </row>
        <row r="134">
          <cell r="B134" t="str">
            <v>DAYEON BIJOU</v>
          </cell>
          <cell r="C134" t="str">
            <v>KCN Dong Van - Duy Tien - Ha Nam</v>
          </cell>
          <cell r="D134" t="str">
            <v>NETCO- NNTT</v>
          </cell>
          <cell r="E134" t="str">
            <v>0351 3587 559 - MS DIEM</v>
          </cell>
        </row>
        <row r="135">
          <cell r="B135" t="str">
            <v>DELTA GALIL</v>
          </cell>
          <cell r="C135" t="str">
            <v>Xa Cat Trinh, Huyen Phu Cat, Tinh Binh Dinh</v>
          </cell>
          <cell r="D135" t="str">
            <v>HANG KEM HD</v>
          </cell>
          <cell r="E135" t="str">
            <v>TEL: Ms. Dung Tran 0907567926</v>
          </cell>
        </row>
        <row r="136">
          <cell r="B136" t="str">
            <v>C&amp;J FASHION</v>
          </cell>
          <cell r="C136" t="str">
            <v>LE THUONG, CHAU CAN, PHU XUYEN, HA NOI</v>
          </cell>
          <cell r="D136">
            <v>0</v>
          </cell>
          <cell r="E136" t="str">
            <v>JULIE REN</v>
          </cell>
        </row>
        <row r="137">
          <cell r="B137" t="str">
            <v>DELTA SPORT</v>
          </cell>
          <cell r="C137" t="str">
            <v>VINH SON, THI  TRAN BUT SON, HOANG HOA, THANH HOA</v>
          </cell>
          <cell r="D137" t="str">
            <v>HANG GIAO TRUOC</v>
          </cell>
          <cell r="E137" t="str">
            <v>MS.HUYỀN- TEL  0914 614 158</v>
          </cell>
        </row>
        <row r="138">
          <cell r="B138" t="str">
            <v>DEMCO VINA</v>
          </cell>
          <cell r="C138" t="str">
            <v>HB3, HB4, DUONG SO 5, KCN XUYEN A, MY HANH BAC, DUC HOA, LONG AN</v>
          </cell>
          <cell r="D138">
            <v>0</v>
          </cell>
          <cell r="E138">
            <v>0</v>
          </cell>
        </row>
        <row r="139">
          <cell r="B139" t="str">
            <v>DET 8 3</v>
          </cell>
          <cell r="C139" t="str">
            <v>KCN TAN LIEN, VINH BAO, HAI PHONG</v>
          </cell>
          <cell r="D139">
            <v>0</v>
          </cell>
          <cell r="E139">
            <v>0</v>
          </cell>
        </row>
        <row r="140">
          <cell r="B140" t="str">
            <v>DET 8 3 CHI NHANH TUYEN QUANG</v>
          </cell>
          <cell r="C140" t="str">
            <v>THON KHUAN RANG, PHUC UNG, SON DUONG</v>
          </cell>
          <cell r="D140">
            <v>0</v>
          </cell>
          <cell r="E140" t="str">
            <v>NHUNG HA 0936361585</v>
          </cell>
        </row>
        <row r="141">
          <cell r="B141" t="str">
            <v>DET 8 3 CHI NHANH MINH KHAI</v>
          </cell>
          <cell r="C141" t="str">
            <v>So 460 , duong Minh Khai , Phuong Vinh Tuy, Quan Hai Ba Trung, Thanh Pho Ha Noi, Viet Nam</v>
          </cell>
          <cell r="D141">
            <v>0</v>
          </cell>
          <cell r="E141" t="str">
            <v>NHUNG HA 0936361585</v>
          </cell>
        </row>
        <row r="142">
          <cell r="B142" t="str">
            <v>DET MAY HUE</v>
          </cell>
          <cell r="C142" t="str">
            <v>122 Duong Thieu Tuoc, P.Thuy Duong, TX Huong Thuy, Hue</v>
          </cell>
          <cell r="D142" t="str">
            <v>neu don hang tren 50kg, goi CS xac nhan, duoi 50kg giao netco</v>
          </cell>
          <cell r="E142" t="str">
            <v>TEL: 0934757461 A.Hoa</v>
          </cell>
        </row>
        <row r="143">
          <cell r="B143" t="str">
            <v>DET VINH PHUC</v>
          </cell>
          <cell r="C143" t="str">
            <v>115 DUONG VAN CAO, NAM DINH</v>
          </cell>
          <cell r="D143">
            <v>0</v>
          </cell>
          <cell r="E143" t="str">
            <v>MS THANH 0945107400</v>
          </cell>
        </row>
        <row r="144">
          <cell r="B144" t="str">
            <v>DHA BAC NINH</v>
          </cell>
          <cell r="C144" t="str">
            <v>ADD. TAODOI INDUSTRY AREA, THUA TOWN, LUONG TAI DISTRICT, BACNINH PROVINCE</v>
          </cell>
          <cell r="D144" t="str">
            <v>KHDL</v>
          </cell>
          <cell r="E144">
            <v>0</v>
          </cell>
        </row>
        <row r="145">
          <cell r="B145" t="str">
            <v>DIAMOND CLOTHING</v>
          </cell>
          <cell r="C145" t="str">
            <v>thon La Tinh- thi tran Tu Ky- Tinh Hai Duong</v>
          </cell>
          <cell r="D145">
            <v>0</v>
          </cell>
          <cell r="E145" t="str">
            <v>Anh Hoan:0904 376 582
Cham Anh: 0914 479 961- 03233 7471 816</v>
          </cell>
        </row>
        <row r="146">
          <cell r="B146" t="str">
            <v>DO BOI THONG NHAT</v>
          </cell>
          <cell r="C146" t="str">
            <v>LO C1, KCN SUOI DAU, HUYEN CAM LAM, KHANH HOA</v>
          </cell>
          <cell r="D146">
            <v>0</v>
          </cell>
          <cell r="E146" t="str">
            <v>MS PHUNG: 0905676882</v>
          </cell>
        </row>
        <row r="147">
          <cell r="B147" t="str">
            <v>DOAN KET</v>
          </cell>
          <cell r="C147" t="str">
            <v>Km 25, Quoc Lo 6A, KCN Phu Nghia, Xa Phu Nghia, Huyen Chuong My, Tp. Ha Noi</v>
          </cell>
          <cell r="D147">
            <v>0</v>
          </cell>
          <cell r="E147">
            <v>0</v>
          </cell>
        </row>
        <row r="148">
          <cell r="B148" t="str">
            <v>DOMEX QUANG NAM</v>
          </cell>
          <cell r="C148" t="str">
            <v>Lot B/B1, Ha Lam Industrial Group, Duoc Market,Binh Phuc Commune, Thang Binh Dist, Quang Nam Province, Viet Nam</v>
          </cell>
          <cell r="D148">
            <v>0</v>
          </cell>
          <cell r="E148" t="str">
            <v>TEL : (+84)510 3665696   EXT : 892, HP : (+84)1268 540 595, chi Huong  01268 540 595</v>
          </cell>
        </row>
        <row r="149">
          <cell r="B149" t="str">
            <v>DONA STANDARD</v>
          </cell>
          <cell r="C149" t="str">
            <v>KCN XUAN LOC, XUAN LOC, DONG NAI</v>
          </cell>
          <cell r="D149" t="str">
            <v>giao hang chung HD
ngay 27-31HANG THANG KHONG GIAO HANG</v>
          </cell>
          <cell r="E149" t="str">
            <v>LAM: 0122 829 5960
LINH:0908-902-983</v>
          </cell>
        </row>
        <row r="150">
          <cell r="B150" t="str">
            <v>DONG ANH</v>
          </cell>
          <cell r="C150" t="str">
            <v>Area 37, Donganh town, Hanoi</v>
          </cell>
          <cell r="D150" t="str">
            <v>TTC-KHTT
WOLVERINE-NETCO- KHTT</v>
          </cell>
          <cell r="E150" t="str">
            <v>Gap chi Vinh :  0982 338 322
CHI THUY 0987 224 977</v>
          </cell>
        </row>
        <row r="151">
          <cell r="B151" t="str">
            <v>DONG DO</v>
          </cell>
          <cell r="C151" t="str">
            <v>AN KHANH-HOAI DUC-HA NOI</v>
          </cell>
          <cell r="D151">
            <v>0</v>
          </cell>
          <cell r="E151" t="str">
            <v>MS CHI-04 33845920-0903436958</v>
          </cell>
        </row>
        <row r="152">
          <cell r="B152" t="str">
            <v>DONG HUNG XN MAY 10</v>
          </cell>
          <cell r="C152" t="str">
            <v>KHU 2, TT DONG HUNG, DONG HUNG, THAI BINH</v>
          </cell>
          <cell r="D152">
            <v>0</v>
          </cell>
          <cell r="E152" t="str">
            <v>A TUAN: 0934363126</v>
          </cell>
        </row>
        <row r="153">
          <cell r="B153" t="str">
            <v>DONG IN</v>
          </cell>
          <cell r="C153" t="str">
            <v>LONG TAN, DAT DO,BA RIA VUNG TAU</v>
          </cell>
          <cell r="D153" t="str">
            <v>HANG GIAO TRUOC</v>
          </cell>
          <cell r="E153" t="str">
            <v>MS VY: 0933 150 071</v>
          </cell>
        </row>
        <row r="154">
          <cell r="B154" t="str">
            <v>DONG LUC</v>
          </cell>
          <cell r="C154" t="str">
            <v>130HA DINH-THANH XUAN -HA NOI</v>
          </cell>
          <cell r="D154">
            <v>0</v>
          </cell>
          <cell r="E154" t="str">
            <v>ng phuong thanh-0983 168 601-4 3 5588418-126</v>
          </cell>
        </row>
        <row r="155">
          <cell r="B155" t="str">
            <v>DONG MY</v>
          </cell>
          <cell r="C155" t="str">
            <v>THON 2, XA DONG MY, THANH TRI, HA NOI</v>
          </cell>
          <cell r="D155">
            <v>0</v>
          </cell>
          <cell r="E155" t="str">
            <v>ATTN: MS MAI 0989153376</v>
          </cell>
        </row>
        <row r="156">
          <cell r="B156" t="str">
            <v>DONG PHUONG VUNG TAU</v>
          </cell>
          <cell r="C156" t="str">
            <v>DUONG 11, KCN DONG XUYEN, P RACH DUA, VUNG TAU</v>
          </cell>
          <cell r="D156" t="str">
            <v>CHUNG HD</v>
          </cell>
          <cell r="E156">
            <v>0</v>
          </cell>
        </row>
        <row r="157">
          <cell r="B157" t="str">
            <v>DONG TAI</v>
          </cell>
          <cell r="C157" t="str">
            <v>PHU THAI-KIM THANH-HAI DUONG</v>
          </cell>
          <cell r="D157">
            <v>0</v>
          </cell>
          <cell r="E157" t="str">
            <v>MS NGUYEN THU 032 3722061</v>
          </cell>
        </row>
        <row r="158">
          <cell r="B158" t="str">
            <v>DONG TAI PUNTO</v>
          </cell>
          <cell r="C158" t="str">
            <v>PHU THAI-KIM THANH-HAI DUONG</v>
          </cell>
          <cell r="D158" t="str">
            <v>HANG CHUNG CTU</v>
          </cell>
          <cell r="E158" t="str">
            <v>MS HUONG: 0903 281 280</v>
          </cell>
        </row>
        <row r="159">
          <cell r="B159" t="str">
            <v>DOS TEX</v>
          </cell>
          <cell r="C159" t="str">
            <v>Phố Nối B IZ, My Hao, Yen My, Hung Yen</v>
          </cell>
          <cell r="D159">
            <v>0</v>
          </cell>
          <cell r="E159" t="str">
            <v>Attn: Ms Nga/ Ms Thanh: 0321 3589165</v>
          </cell>
        </row>
        <row r="160">
          <cell r="B160" t="str">
            <v>DOU POWER</v>
          </cell>
          <cell r="C160" t="str">
            <v>LO 15-16 KCX LINH TRUNG III, TRANG BANG, TAY NINH</v>
          </cell>
          <cell r="D160">
            <v>0</v>
          </cell>
          <cell r="E160">
            <v>0</v>
          </cell>
        </row>
        <row r="161">
          <cell r="B161" t="str">
            <v>DREAM MEKONG</v>
          </cell>
          <cell r="C161" t="str">
            <v>AP AN THAI, XA AN CU, HUYEN CAI BE, TIEN GIANG</v>
          </cell>
          <cell r="D161">
            <v>0</v>
          </cell>
          <cell r="E161">
            <v>0</v>
          </cell>
        </row>
        <row r="162">
          <cell r="B162" t="str">
            <v>DREAM PLASTIC</v>
          </cell>
          <cell r="C162" t="str">
            <v>PLOT C, KCN CHAU SON, PHU LY, HA NAM</v>
          </cell>
          <cell r="D162">
            <v>0</v>
          </cell>
          <cell r="E162" t="str">
            <v>NHI: 0967 681 295</v>
          </cell>
        </row>
        <row r="163">
          <cell r="B163" t="str">
            <v>DU DUC RFID</v>
          </cell>
          <cell r="C163" t="str">
            <v>LO BIV, CI-10, KCN TAN HUONG, CHAU THANH, TIEN GIANG</v>
          </cell>
          <cell r="D163">
            <v>0</v>
          </cell>
          <cell r="E163" t="str">
            <v>CUONG 0906945724</v>
          </cell>
        </row>
        <row r="164">
          <cell r="B164" t="str">
            <v>DU DUC</v>
          </cell>
          <cell r="C164" t="str">
            <v>LO BIV, CI-10, KCN TAN HUONG, CHAU THANH, TIEN GIANG</v>
          </cell>
          <cell r="D164">
            <v>0</v>
          </cell>
          <cell r="E164" t="str">
            <v>MY QUYEN 01689119259</v>
          </cell>
        </row>
        <row r="165">
          <cell r="B165" t="str">
            <v>YEGIN VINA</v>
          </cell>
          <cell r="C165" t="str">
            <v>LO 36A-371, KCN LONG GIANG, TAN PHUOC, TIEN GIANG</v>
          </cell>
          <cell r="D165">
            <v>0</v>
          </cell>
          <cell r="E165">
            <v>0</v>
          </cell>
        </row>
        <row r="166">
          <cell r="B166" t="str">
            <v>DU DUC SAMPLE</v>
          </cell>
          <cell r="C166" t="str">
            <v>LO BIV, CI-10, KCN TAN HUONG, CHAU THANH, TIEN GIANG</v>
          </cell>
          <cell r="D166">
            <v>0</v>
          </cell>
          <cell r="E166" t="str">
            <v>NGA 0932055799</v>
          </cell>
        </row>
        <row r="167">
          <cell r="B167" t="str">
            <v>DUC GIANG</v>
          </cell>
          <cell r="C167" t="str">
            <v>59 DUC GIANG STREET-LONG BIEN DISTRICT, HA NOI</v>
          </cell>
          <cell r="D167">
            <v>0</v>
          </cell>
          <cell r="E167">
            <v>0</v>
          </cell>
        </row>
        <row r="168">
          <cell r="B168" t="str">
            <v>DUC GIANG C&amp;A</v>
          </cell>
          <cell r="C168" t="str">
            <v>59 DUC GIANG, LONG BIEN, HA NOI</v>
          </cell>
          <cell r="D168" t="str">
            <v>HANG CHUNG TU</v>
          </cell>
          <cell r="E168" t="str">
            <v>MS THUONG: 0982 155 567</v>
          </cell>
        </row>
        <row r="169">
          <cell r="B169" t="str">
            <v>DUC GIANG INVISTA</v>
          </cell>
          <cell r="C169" t="str">
            <v>59 DUC GIANG, LONG BIEN, HA NOI</v>
          </cell>
          <cell r="D169">
            <v>0</v>
          </cell>
          <cell r="E169" t="str">
            <v>MR HOAM: 04 3827 2159</v>
          </cell>
        </row>
        <row r="170">
          <cell r="B170" t="str">
            <v>DUC GIANG
(GARMENT 10)</v>
          </cell>
          <cell r="C170" t="str">
            <v>59 DUC GIANG STREET-LONG BIEN DISTRICT, HA NOI</v>
          </cell>
          <cell r="D170">
            <v>0</v>
          </cell>
          <cell r="E170" t="str">
            <v>Ms Lan Huong: +84 43 6556501 / 3 8272159</v>
          </cell>
        </row>
        <row r="171">
          <cell r="B171" t="str">
            <v>DUC THANH 2</v>
          </cell>
          <cell r="C171" t="str">
            <v>18 DUONG TRAN HUNG DAO, LONG XUYEN, AN GIANG</v>
          </cell>
          <cell r="D171" t="str">
            <v>hang chung ctu
NETCO-KHTT</v>
          </cell>
          <cell r="E171" t="str">
            <v xml:space="preserve"> A Nghia 0906989914</v>
          </cell>
        </row>
        <row r="172">
          <cell r="B172" t="str">
            <v>DYNAMIC</v>
          </cell>
          <cell r="C172" t="str">
            <v>31A, DUONG NGUYEN THI BAY, P6, TP TAN AN, LONG AN</v>
          </cell>
          <cell r="D172">
            <v>0</v>
          </cell>
          <cell r="E172" t="str">
            <v>JEEVA: 0914 908 993</v>
          </cell>
        </row>
        <row r="173">
          <cell r="B173" t="str">
            <v>THANH PHAT</v>
          </cell>
          <cell r="C173" t="str">
            <v>THUONG CAM, VU LAC, THAI BINH</v>
          </cell>
          <cell r="D173">
            <v>0</v>
          </cell>
          <cell r="E173">
            <v>0</v>
          </cell>
        </row>
        <row r="174">
          <cell r="B174" t="str">
            <v>E TOP</v>
          </cell>
          <cell r="C174" t="str">
            <v>LÔ IX-1, IX-2, IX-3, IX-4 KCN MỸ XUÂN B1- TIẾN HÙNG, 
XÃ MỸ XUÂN, HUYỆN TÂN THÀNH, BRVT</v>
          </cell>
          <cell r="D174" t="str">
            <v>CHO XNK CONFIRM</v>
          </cell>
          <cell r="E174" t="str">
            <v>MS KIEU: 0169 408 4737</v>
          </cell>
        </row>
        <row r="175">
          <cell r="B175" t="str">
            <v>ECO TANK</v>
          </cell>
          <cell r="C175" t="str">
            <v>QUI TRINH, QUI NHI, CAI LAY, TIEN GIANG</v>
          </cell>
          <cell r="D175">
            <v>0</v>
          </cell>
          <cell r="E175">
            <v>0</v>
          </cell>
        </row>
        <row r="176">
          <cell r="B176" t="str">
            <v>CONG NGHIEP NGU KIM FORTRESS VN</v>
          </cell>
          <cell r="C176" t="str">
            <v>DUONG TRAN THU DO, KCN PHUC KHANH, THAI BINH</v>
          </cell>
          <cell r="D176">
            <v>0</v>
          </cell>
          <cell r="E176">
            <v>0</v>
          </cell>
        </row>
        <row r="177">
          <cell r="B177" t="str">
            <v>EFFORT GARMENT</v>
          </cell>
          <cell r="C177" t="str">
            <v>B1-6-TAY BAC CU CHI IZ-CU CHI DIST- TP.HCM</v>
          </cell>
          <cell r="D177">
            <v>0</v>
          </cell>
          <cell r="E177">
            <v>0</v>
          </cell>
        </row>
        <row r="178">
          <cell r="B178" t="str">
            <v>ELEGANT</v>
          </cell>
          <cell r="C178" t="str">
            <v>QUE VO IZ, QUE VO DIST, BAC NINH PROVINCE</v>
          </cell>
          <cell r="D178">
            <v>0</v>
          </cell>
          <cell r="E178" t="str">
            <v>Thanh Nguyen :241 363 4399</v>
          </cell>
        </row>
        <row r="179">
          <cell r="B179" t="str">
            <v>ELEGANT 1</v>
          </cell>
          <cell r="C179" t="str">
            <v>TOA NHA I2-03, I2-04, LOT I2 KCN QUE VO MO RONG, XA PHUONG MAO, QUE VO, BAC NINH</v>
          </cell>
          <cell r="D179">
            <v>0</v>
          </cell>
          <cell r="E179" t="str">
            <v>Thanh Nguyen :241 363 4399</v>
          </cell>
        </row>
        <row r="180">
          <cell r="B180" t="str">
            <v>emperor(DE VUONG)</v>
          </cell>
          <cell r="C180" t="str">
            <v>58A QUOC LO 1A XA MY YEN-HUYEN BEN LUC-LONG AN-MS HANG KHO VAT TU PHAT TEM)</v>
          </cell>
          <cell r="D180">
            <v>0</v>
          </cell>
          <cell r="E180" t="str">
            <v>TRUC</v>
          </cell>
        </row>
        <row r="181">
          <cell r="B181" t="str">
            <v>ESQUEL HOA BINH</v>
          </cell>
          <cell r="C181" t="str">
            <v>KCN LUONG SON, HOA SON, LUONG SON, HOA BINH</v>
          </cell>
          <cell r="D181">
            <v>0</v>
          </cell>
          <cell r="E181" t="str">
            <v>MS HOA: 0972 706 082</v>
          </cell>
        </row>
        <row r="182">
          <cell r="B182" t="str">
            <v>EVER GLORY</v>
          </cell>
          <cell r="C182" t="str">
            <v>LO 13, KCN NAM SACH, NAM SACH, HAI DUONG</v>
          </cell>
          <cell r="D182" t="str">
            <v>giao hang truoc-C.Trang</v>
          </cell>
          <cell r="E182" t="str">
            <v>MS HIEN 0942 369 399</v>
          </cell>
        </row>
        <row r="183">
          <cell r="B183" t="str">
            <v>EVERBEST</v>
          </cell>
          <cell r="C183" t="str">
            <v>CAM SON WARD-CAM PHA TOWN-QUANG NINH</v>
          </cell>
          <cell r="D183" t="str">
            <v>cho XNK confirm</v>
          </cell>
          <cell r="E183" t="str">
            <v>MS VAN: 0974 692 439</v>
          </cell>
        </row>
        <row r="184">
          <cell r="B184" t="str">
            <v>EWI</v>
          </cell>
          <cell r="C184" t="str">
            <v>TANG 7, TOA NHA TTC, 19 DUY TAN , KHU DICH VONG HAU,QUAN CAU GIAY, HA NOI</v>
          </cell>
          <cell r="D184">
            <v>0</v>
          </cell>
          <cell r="E184" t="str">
            <v>Lien he Ms Ngoc - 01675913188</v>
          </cell>
        </row>
        <row r="185">
          <cell r="B185" t="str">
            <v>EXCEL</v>
          </cell>
          <cell r="C185" t="str">
            <v>KHU PHO 5, TT YEN NINH, YEN KHANH, NINH BINH</v>
          </cell>
          <cell r="D185">
            <v>0</v>
          </cell>
          <cell r="E185" t="str">
            <v>MS TUYET: 0169 5 357 895</v>
          </cell>
        </row>
        <row r="186">
          <cell r="B186" t="str">
            <v>EXCEL MANGO</v>
          </cell>
          <cell r="C186" t="str">
            <v>KHU PHO 5, TT YEN NINH, YEN KHANH, NINH BINH</v>
          </cell>
          <cell r="D186" t="str">
            <v>giao hang truoc
Viet so DN# len bill</v>
          </cell>
          <cell r="E186" t="str">
            <v>030 3840 358- C KATE/ A BINH/ HANG</v>
          </cell>
        </row>
        <row r="187">
          <cell r="B187" t="str">
            <v>EXCEL PRIMARK</v>
          </cell>
          <cell r="C187" t="str">
            <v>KHU PHO 5, TT YEN NINH, YEN KHANH, NINH BINH</v>
          </cell>
          <cell r="D187">
            <v>0</v>
          </cell>
          <cell r="E187" t="str">
            <v>MS TUYET: 0169 5 357 895</v>
          </cell>
        </row>
        <row r="188">
          <cell r="B188" t="str">
            <v>EXCEL TAILOR</v>
          </cell>
          <cell r="C188" t="str">
            <v>5 WARD, YEN NINH, YEN KHANH, NINH BINH, VIET NAM</v>
          </cell>
          <cell r="D188" t="str">
            <v>TTC-KHTT</v>
          </cell>
          <cell r="E188" t="str">
            <v>Attn: kho hoac Ms Tuyet (didong: 01695357895)</v>
          </cell>
        </row>
        <row r="189">
          <cell r="B189" t="str">
            <v>EXIM</v>
          </cell>
          <cell r="C189" t="str">
            <v>9TH FLOOR, HAI PHONG TOWR, 32 TRAN PHU, NGO QUYEN, HAI PHONG</v>
          </cell>
          <cell r="D189" t="str">
            <v>chung CTU</v>
          </cell>
          <cell r="E189">
            <v>0</v>
          </cell>
        </row>
        <row r="190">
          <cell r="B190" t="str">
            <v>FALCON HADONG</v>
          </cell>
          <cell r="C190" t="str">
            <v>TT TRÚC SƠN-TRƯƠNG MỸ-HA NOI</v>
          </cell>
          <cell r="D190">
            <v>0</v>
          </cell>
          <cell r="E190" t="str">
            <v>MR SON(TP NGHIEP VU)</v>
          </cell>
        </row>
        <row r="191">
          <cell r="B191" t="str">
            <v>FALCON SONG HONG</v>
          </cell>
          <cell r="C191" t="str">
            <v>Thi tran Chuc Son, Chuong My
Ha Noi</v>
          </cell>
          <cell r="D191">
            <v>0</v>
          </cell>
          <cell r="E191" t="str">
            <v>Ms Son: 0913 064 098</v>
          </cell>
        </row>
        <row r="192">
          <cell r="B192" t="str">
            <v>FAR EASTER</v>
          </cell>
          <cell r="C192" t="str">
            <v>Duong D1, KCN Bac Dong Phu, Thi tran Tan Phu, huyen Dong Phu, tinh Binh Phuoc</v>
          </cell>
          <cell r="D192">
            <v>0</v>
          </cell>
          <cell r="E192">
            <v>0</v>
          </cell>
        </row>
        <row r="193">
          <cell r="B193" t="str">
            <v>FIRST TEAM</v>
          </cell>
          <cell r="C193" t="str">
            <v>Lot A1, Road 787, Thanh Thanh Cong IP, An Hoa Commune,Trang Bang District, Tay Ninh Province</v>
          </cell>
          <cell r="D193">
            <v>0</v>
          </cell>
          <cell r="E193" t="str">
            <v xml:space="preserve"> 0663 88 33 88 /  0902 575 191</v>
          </cell>
        </row>
        <row r="194">
          <cell r="B194" t="str">
            <v>FLD</v>
          </cell>
          <cell r="C194" t="str">
            <v>C10 - C11 KHU CONG NGHIEP SUOI DAU- CAM LAM -KHANH HOA</v>
          </cell>
          <cell r="D194" t="str">
            <v>TTC- KHTT</v>
          </cell>
          <cell r="E194" t="str">
            <v>+84 5837 43618/ 619/ 620</v>
          </cell>
        </row>
        <row r="195">
          <cell r="B195" t="str">
            <v>FLEXCON</v>
          </cell>
          <cell r="C195" t="str">
            <v xml:space="preserve"> DINH TRI COMMUNE, BAC GIANG CITY, BAC GIANG PROVINCE, VIET NAM</v>
          </cell>
          <cell r="D195">
            <v>0</v>
          </cell>
          <cell r="E195" t="str">
            <v xml:space="preserve">Tran Thanh Giang (Ms)-240 3 836 627/ 28/ 29-0974 638 550 (Ms Thảo)
</v>
          </cell>
        </row>
        <row r="196">
          <cell r="B196" t="str">
            <v>FOMOSA TOOLS</v>
          </cell>
          <cell r="C196" t="str">
            <v>KCN PHUC KHANH, THAI BINH</v>
          </cell>
          <cell r="D196" t="str">
            <v>VIETTEL- KHTT</v>
          </cell>
          <cell r="E196" t="str">
            <v>036 3681 991</v>
          </cell>
        </row>
        <row r="197">
          <cell r="B197" t="str">
            <v>FORE MART</v>
          </cell>
          <cell r="C197" t="str">
            <v>DUONG BUI THI CUC, AN THI, HUNG YEN</v>
          </cell>
          <cell r="D197">
            <v>0</v>
          </cell>
          <cell r="E197" t="str">
            <v>MR VUI: 0985 292 190</v>
          </cell>
        </row>
        <row r="198">
          <cell r="B198" t="str">
            <v>FORE MART</v>
          </cell>
          <cell r="C198">
            <v>0</v>
          </cell>
          <cell r="D198">
            <v>0</v>
          </cell>
          <cell r="E198">
            <v>0</v>
          </cell>
        </row>
        <row r="199">
          <cell r="B199" t="str">
            <v>FORMOSA</v>
          </cell>
          <cell r="C199" t="str">
            <v>My Xuan A2 Industrial Zone, Tan Thanh District, Ba Ria-Vung Tau</v>
          </cell>
          <cell r="D199">
            <v>0</v>
          </cell>
          <cell r="E199">
            <v>0</v>
          </cell>
        </row>
        <row r="200">
          <cell r="B200" t="str">
            <v>FORMOSTAR</v>
          </cell>
          <cell r="C200" t="str">
            <v>KM57, QUOC LO 5, XA AI QUOC, NAM SACH, HAI DUONG</v>
          </cell>
          <cell r="D200">
            <v>0</v>
          </cell>
          <cell r="E200" t="str">
            <v>MS THUY 0904 990 882</v>
          </cell>
        </row>
        <row r="201">
          <cell r="B201" t="str">
            <v>FORTUNE</v>
          </cell>
          <cell r="C201" t="str">
            <v>XA DUC HOA THUONG, DUC HOA, LONG AN</v>
          </cell>
          <cell r="D201" t="str">
            <v>HOI LAI XNK</v>
          </cell>
          <cell r="E201" t="str">
            <v>MR BARRY: 072 3812 984</v>
          </cell>
        </row>
        <row r="202">
          <cell r="B202" t="str">
            <v>YEN MY</v>
          </cell>
          <cell r="C202" t="str">
            <v>GIAI PHAM, YEN MY, HUNG YEN</v>
          </cell>
          <cell r="D202">
            <v>0</v>
          </cell>
          <cell r="E202" t="str">
            <v>MS THUY 0987094465</v>
          </cell>
        </row>
        <row r="203">
          <cell r="B203" t="str">
            <v>REGINA MIRACLE KHO C</v>
          </cell>
          <cell r="C203" t="str">
            <v>SO 109, DUONG SO 6, VSIP HAI PHONG</v>
          </cell>
          <cell r="D203">
            <v>0</v>
          </cell>
          <cell r="E203" t="str">
            <v>MS THAO 0906204459</v>
          </cell>
        </row>
        <row r="204">
          <cell r="B204" t="str">
            <v>FREEVIEW</v>
          </cell>
          <cell r="C204" t="str">
            <v xml:space="preserve">LOT AIV-1-9 AND AII-1-8 , TAN HUONG INDUSTRIAL PARK , TAN HUONG  COMMUNE, CHAU THANH DIST, TIEN GIANG PROVINCE </v>
          </cell>
          <cell r="D204" t="str">
            <v>HANG CHO CONFIRM</v>
          </cell>
          <cell r="E204" t="str">
            <v>ATTN: Xuan 01688413653</v>
          </cell>
        </row>
        <row r="205">
          <cell r="B205" t="str">
            <v>FREEWELL</v>
          </cell>
          <cell r="C205" t="str">
            <v>LOT G1-G10, N3-N4, KCN BAC DONG PHU, TAN PHU, DONG PHU, BINH PHUOC</v>
          </cell>
          <cell r="D205">
            <v>0</v>
          </cell>
          <cell r="E205" t="str">
            <v>MS SHIRLEY: 0933 543 239</v>
          </cell>
        </row>
        <row r="206">
          <cell r="B206" t="str">
            <v>SMART SHIRTS HAI HAU</v>
          </cell>
          <cell r="C206" t="str">
            <v>HAMLET 4-5, HAI HA VILLAGE, HAI HAU, NAM DINH</v>
          </cell>
          <cell r="D206">
            <v>0</v>
          </cell>
          <cell r="E206">
            <v>0</v>
          </cell>
        </row>
        <row r="207">
          <cell r="B207" t="str">
            <v>TINH LOI RALPH LAUREN</v>
          </cell>
          <cell r="C207" t="str">
            <v>KCN LAI VU, HAI DUONG</v>
          </cell>
          <cell r="D207">
            <v>0</v>
          </cell>
          <cell r="E207" t="str">
            <v>MS HUONG 0982094023</v>
          </cell>
        </row>
        <row r="208">
          <cell r="B208" t="str">
            <v>FREEWELL</v>
          </cell>
          <cell r="C208" t="str">
            <v>LOT G1-G10, D5-10, N3-N4,D2,D3 KCN BAC DONG PHU, TAN PHU, DONG PHU, BINH PHUOC</v>
          </cell>
          <cell r="D208">
            <v>0</v>
          </cell>
          <cell r="E208" t="str">
            <v>MS LOAN: 01682756700</v>
          </cell>
        </row>
        <row r="209">
          <cell r="B209" t="str">
            <v>FTN</v>
          </cell>
          <cell r="C209" t="str">
            <v>MY PHUOC IP-BEN CAT-BINIH DUONG</v>
          </cell>
          <cell r="D209" t="str">
            <v>di hang va lam chi tiet</v>
          </cell>
          <cell r="E209">
            <v>0</v>
          </cell>
        </row>
        <row r="210">
          <cell r="B210" t="str">
            <v>FU LUH</v>
          </cell>
          <cell r="C210" t="str">
            <v>XA AN KIM, HUYEN CAN GIUOC, LONG AN</v>
          </cell>
          <cell r="D210" t="str">
            <v>DONG MOC TREO</v>
          </cell>
          <cell r="E210" t="str">
            <v>MS SAM: 0122 497 8912</v>
          </cell>
        </row>
        <row r="211">
          <cell r="B211" t="str">
            <v>FULGENT</v>
          </cell>
          <cell r="C211" t="str">
            <v>NGHIA HIEP-YEN MY-HUNG YEN</v>
          </cell>
          <cell r="D211">
            <v>0</v>
          </cell>
          <cell r="E211" t="str">
            <v>Oanh: 0979 572 203</v>
          </cell>
        </row>
        <row r="212">
          <cell r="B212" t="str">
            <v>FULLWEALTH</v>
          </cell>
          <cell r="C212" t="str">
            <v>NO 37 ROAD, NAM SACH TOWN , NAM SACH DISTRICT, HAI DUONG PROVINCE, VIET NAM</v>
          </cell>
          <cell r="D212">
            <v>0</v>
          </cell>
          <cell r="E212" t="str">
            <v>Phuong Thu sdt:0987689399</v>
          </cell>
        </row>
        <row r="213">
          <cell r="B213" t="str">
            <v>GARMENT 10 BHS</v>
          </cell>
          <cell r="C213" t="str">
            <v>DUONG NGUYEN VAN LINH-PHO SAI DONG-Q.LONG BIEN-HA NOI</v>
          </cell>
          <cell r="D213">
            <v>0</v>
          </cell>
          <cell r="E213" t="str">
            <v>MS THUY: 0948 505 028</v>
          </cell>
        </row>
        <row r="214">
          <cell r="B214" t="str">
            <v>GARMENT 10 C&amp;A</v>
          </cell>
          <cell r="C214" t="str">
            <v>DUONG NGUYEN VAN LINH-PHO SAI DONG-Q.LONG BIEN-HA NOI</v>
          </cell>
          <cell r="D214" t="str">
            <v>GIAO DUNG NGUOI LIEN HE</v>
          </cell>
          <cell r="E214" t="str">
            <v>MS LOAN 0976.300.207</v>
          </cell>
        </row>
        <row r="215">
          <cell r="B215" t="str">
            <v>GARMENT 10 CASUAL</v>
          </cell>
          <cell r="C215" t="str">
            <v>DUONG NGUYEN VAN LINH-PHO SAI DONG-Q.LONG BIEN-HA NOI</v>
          </cell>
          <cell r="D215">
            <v>0</v>
          </cell>
          <cell r="E215" t="str">
            <v>MS OANH: 0936162282</v>
          </cell>
        </row>
        <row r="216">
          <cell r="B216" t="str">
            <v>GARMENT 10 COLUMBIA</v>
          </cell>
          <cell r="C216" t="str">
            <v>DUONG NGUYEN VAN LINH-PHO SAI DONG-Q.LONG BIEN-HA NOI</v>
          </cell>
          <cell r="D216">
            <v>0</v>
          </cell>
          <cell r="E216" t="str">
            <v>MR TUAN: 04 3827 6923</v>
          </cell>
        </row>
        <row r="217">
          <cell r="B217" t="str">
            <v>GARMENT 10 EXPRESS</v>
          </cell>
          <cell r="C217" t="str">
            <v>DUONG NGUYEN VAN LINH-PHO SAI DONG-Q.LONG BIEN-HA NOI</v>
          </cell>
          <cell r="D217">
            <v>0</v>
          </cell>
          <cell r="E217" t="str">
            <v>MR NHU: 0987 511 268</v>
          </cell>
        </row>
        <row r="218">
          <cell r="B218" t="str">
            <v>GARMENT 10 GEORGE</v>
          </cell>
          <cell r="C218" t="str">
            <v>DUONG NGUYEN VAN LINH-PHO SAI DONG-Q.LONG BIEN-HA NOI</v>
          </cell>
          <cell r="D218" t="str">
            <v>VN GEN HANG CHUNG CTU</v>
          </cell>
          <cell r="E218" t="str">
            <v>MR MAI 04 8276932</v>
          </cell>
        </row>
        <row r="219">
          <cell r="B219" t="str">
            <v>GARMENT 10 JC PENNY</v>
          </cell>
          <cell r="C219" t="str">
            <v>DUONG NGUYEN VAN LINH,SAI DONG, LONG BIEN, HA NOI</v>
          </cell>
          <cell r="D219">
            <v>0</v>
          </cell>
          <cell r="E219" t="str">
            <v>ATTN: Huong 090 438 9856</v>
          </cell>
        </row>
        <row r="220">
          <cell r="B220" t="str">
            <v>GARMENT 10 JOHN LEWIS</v>
          </cell>
          <cell r="C220" t="str">
            <v>DUONG NGUYEN VAN LINH-PHO SAI DONG-Q.LONG BIEN-HA NOI</v>
          </cell>
          <cell r="D220">
            <v>0</v>
          </cell>
          <cell r="E220" t="str">
            <v>HIEN/LINH: 0989 655 438</v>
          </cell>
        </row>
        <row r="221">
          <cell r="B221" t="str">
            <v>GARMENT 10 KOHL'S</v>
          </cell>
          <cell r="C221" t="str">
            <v>DUONG NGUYEN VAN LINH-PHO SAI DONG-Q.LONG BIEN-HA NOI</v>
          </cell>
          <cell r="D221">
            <v>0</v>
          </cell>
          <cell r="E221" t="str">
            <v>GIANG: 0942 515 456</v>
          </cell>
        </row>
        <row r="222">
          <cell r="B222" t="str">
            <v>GARMENT 10 MACKAY</v>
          </cell>
          <cell r="C222" t="str">
            <v>DUONG NGUYEN VAN LINH-PHO SAI DONG-Q.LONG BIEN-HA NOI</v>
          </cell>
          <cell r="D222" t="str">
            <v>VN GEN HANG CHUNG CTU</v>
          </cell>
          <cell r="E222" t="str">
            <v>MR MAI: 04 3827 6923</v>
          </cell>
        </row>
        <row r="223">
          <cell r="B223" t="str">
            <v>GARMENT 10 MARKS</v>
          </cell>
          <cell r="C223" t="str">
            <v>DUONG NGUYEN VAN LINH,SAI DONG, LONG BIEN, Ha Noi</v>
          </cell>
          <cell r="D223">
            <v>0</v>
          </cell>
          <cell r="E223" t="str">
            <v>ATTN: Tra My (84) 913 23 04 89</v>
          </cell>
        </row>
        <row r="224">
          <cell r="B224" t="str">
            <v>GARMENT 10 MOTHER CARE</v>
          </cell>
          <cell r="C224" t="str">
            <v>NGUYEN VAN LINH, SAI DONG, LONG BIEN, HA NOI</v>
          </cell>
          <cell r="D224">
            <v>0</v>
          </cell>
          <cell r="E224" t="str">
            <v>LARA 0839991208</v>
          </cell>
        </row>
        <row r="225">
          <cell r="B225" t="str">
            <v>GARMENT 10 NEW LOOK</v>
          </cell>
          <cell r="C225" t="str">
            <v>DUONG NGUYEN VAN LINH-PHO SAI DONG-Q.LONG BIEN-HA NOI</v>
          </cell>
          <cell r="D225" t="str">
            <v>VN GEN HANG CHUNG CTU</v>
          </cell>
          <cell r="E225" t="str">
            <v>MR MAI: 04 3827 6923</v>
          </cell>
        </row>
        <row r="226">
          <cell r="B226" t="str">
            <v>GARMENT 10 NEXT</v>
          </cell>
          <cell r="C226" t="str">
            <v>DUONG NGUYEN VAN LINH-PHO SAI DONG-Q.LONG BIEN-HA NOI</v>
          </cell>
          <cell r="D226">
            <v>0</v>
          </cell>
          <cell r="E226" t="str">
            <v>MS DUNG: 0989 289 425</v>
          </cell>
        </row>
        <row r="227">
          <cell r="B227" t="str">
            <v>GARMENT 10 PRIMARK</v>
          </cell>
          <cell r="C227" t="str">
            <v>DUONG NGUYEN VAN LINH-PHO SAI DONG-Q.LONG BIEN-HA NOI</v>
          </cell>
          <cell r="D227">
            <v>0</v>
          </cell>
          <cell r="E227" t="str">
            <v>MS THUY: 0948 505 028</v>
          </cell>
        </row>
        <row r="228">
          <cell r="B228" t="str">
            <v>GARMENT 10 PVH</v>
          </cell>
          <cell r="C228" t="str">
            <v>DUONG NGUYEN VAN LINH-PHO SAI DONG-Q.LONG BIEN-HA NOI</v>
          </cell>
          <cell r="D228" t="str">
            <v>hang ctu
PHAT DUNG NGUOI LIEN HE</v>
          </cell>
          <cell r="E228" t="str">
            <v>Ms Trang/ Ms Dao/ Mr Su - PVH
04 3 8753847</v>
          </cell>
        </row>
        <row r="229">
          <cell r="B229" t="str">
            <v>GARMENT 10 PXVN</v>
          </cell>
          <cell r="C229" t="str">
            <v>DUONG NGUYEN VAN LINH-PHO SAI DONG-Q.LONG BIEN-HA NOI</v>
          </cell>
          <cell r="D229">
            <v>0</v>
          </cell>
          <cell r="E229" t="str">
            <v>ATTN: MS THUY 0948 505 028</v>
          </cell>
        </row>
        <row r="230">
          <cell r="B230" t="str">
            <v>GARMENT 10 STEIN MART</v>
          </cell>
          <cell r="C230" t="str">
            <v>DUONG NGUYEN VAN LINH-PHO SAI DONG-Q.LONG BIEN-HA NOI</v>
          </cell>
          <cell r="D230" t="str">
            <v>GIAO DUNG NGUOI LIEN HE</v>
          </cell>
          <cell r="E230" t="str">
            <v>MR CHUNG: 0976 804 899</v>
          </cell>
        </row>
        <row r="231">
          <cell r="B231" t="str">
            <v>GARMENT 10 TESCO</v>
          </cell>
          <cell r="C231" t="str">
            <v xml:space="preserve">DUONG NGUYEN VAN LINH,SAI DONG, LONG BIEN, </v>
          </cell>
          <cell r="D231">
            <v>0</v>
          </cell>
          <cell r="E231" t="str">
            <v>ATTN: Thuy 0948.505.028</v>
          </cell>
        </row>
        <row r="232">
          <cell r="B232" t="str">
            <v>GARMENT 10 TESCO</v>
          </cell>
          <cell r="C232" t="str">
            <v>DUONG NGUYEN VAN LINH-PHO SAI DONG-Q.LONG BIEN-HA NOI</v>
          </cell>
          <cell r="D232">
            <v>0</v>
          </cell>
          <cell r="E232" t="str">
            <v>MS THUY: 04 3827 6923</v>
          </cell>
        </row>
        <row r="233">
          <cell r="B233" t="str">
            <v>GARMENT 3</v>
          </cell>
          <cell r="C233" t="str">
            <v>SO 1, NGUYEN VAN TROI, NAM DINH</v>
          </cell>
          <cell r="D233" t="str">
            <v>HOI LAI A DUNG XNK</v>
          </cell>
          <cell r="E233" t="str">
            <v>MY LOC : 0350 3835 707</v>
          </cell>
        </row>
        <row r="234">
          <cell r="B234" t="str">
            <v>Garment Resource</v>
          </cell>
          <cell r="C234" t="str">
            <v>Lo 7, Khu Cong Nghiep Dien Nam- Dien Ngoc, Tinh Quang Nam</v>
          </cell>
          <cell r="D234">
            <v>0</v>
          </cell>
          <cell r="E234" t="str">
            <v>Ms. To Loan +84905710104</v>
          </cell>
        </row>
        <row r="235">
          <cell r="B235" t="str">
            <v>GARMENT RESOURCES</v>
          </cell>
          <cell r="C235" t="str">
            <v>LO 7 KCN DIEN NAM-DIEN NGOC, TX DIEN BAN, QUANG NAM</v>
          </cell>
          <cell r="D235">
            <v>0</v>
          </cell>
          <cell r="E235" t="str">
            <v>Ms Loan - +84905710104</v>
          </cell>
        </row>
        <row r="236">
          <cell r="B236" t="str">
            <v>GARNET</v>
          </cell>
          <cell r="C236" t="str">
            <v>C6-5, C6-6, KCN HOA XA, NAM DINH</v>
          </cell>
          <cell r="D236" t="str">
            <v>CTU- C TRANG</v>
          </cell>
          <cell r="E236" t="str">
            <v>ATTN: MR HUNG- XNK
0167 6118 228</v>
          </cell>
        </row>
        <row r="237">
          <cell r="B237" t="str">
            <v>GARVIHA</v>
          </cell>
          <cell r="C237" t="str">
            <v>X.ĐẠI ĐỒNG-H.KIẾN THỦY-HẢI PHÒNG</v>
          </cell>
          <cell r="D237">
            <v>0</v>
          </cell>
          <cell r="E237" t="str">
            <v>31-981199-P.Thuy-098 284 4380</v>
          </cell>
        </row>
        <row r="238">
          <cell r="B238" t="str">
            <v>GATEXCO 20</v>
          </cell>
          <cell r="C238" t="str">
            <v>35 PHAN DINH GIOT- PHUONG LIET-THANH XUAN-HA NOI</v>
          </cell>
          <cell r="D238">
            <v>0</v>
          </cell>
          <cell r="E238" t="str">
            <v>ANH KIEN / ANH CUONG: 0983 005 473 / 0904 211 566
PHUONG LAN: 04 3864 6710</v>
          </cell>
        </row>
        <row r="239">
          <cell r="B239" t="str">
            <v>GEN NEX</v>
          </cell>
          <cell r="C239" t="str">
            <v>Lo A1, A2, A3,va  A4 –Khu cong nghiep Giao Long, xa An Phuoc huyen Chau Thanh,tinh Ben Tre</v>
          </cell>
          <cell r="D239">
            <v>0</v>
          </cell>
          <cell r="E239">
            <v>0</v>
          </cell>
        </row>
        <row r="240">
          <cell r="B240" t="str">
            <v>GENNON</v>
          </cell>
          <cell r="C240" t="str">
            <v>DUONG NGO QUYEN 2, CAM THUONG, HAI DUONG</v>
          </cell>
          <cell r="D240" t="str">
            <v>CHUNG CTU</v>
          </cell>
          <cell r="E240" t="str">
            <v>NGA: 0945 484 668</v>
          </cell>
        </row>
        <row r="241">
          <cell r="B241" t="str">
            <v>GENTHERM</v>
          </cell>
          <cell r="C241" t="str">
            <v>KCN DONG VAN II, DUY TIEN, HA NAM</v>
          </cell>
          <cell r="D241">
            <v>0</v>
          </cell>
          <cell r="E241" t="str">
            <v>ANH HOANG: 0914366996</v>
          </cell>
        </row>
        <row r="242">
          <cell r="B242" t="str">
            <v>GG</v>
          </cell>
          <cell r="C242" t="str">
            <v>KM 30, DUONG SO 5, XA BACH SAM, MY HAO, HUNG YEN</v>
          </cell>
          <cell r="D242">
            <v>0</v>
          </cell>
          <cell r="E242" t="str">
            <v>MS HAU: 0904 348 881</v>
          </cell>
        </row>
        <row r="243">
          <cell r="B243" t="str">
            <v>GIANG NAM</v>
          </cell>
          <cell r="C243" t="str">
            <v>DUONG 208, VAN TRA, AN DONG, AN DUONG, HAI PHONG</v>
          </cell>
          <cell r="D243" t="str">
            <v>HANG CHUNG CTU</v>
          </cell>
          <cell r="E243" t="str">
            <v>MR HAI: 0919 029 428</v>
          </cell>
        </row>
        <row r="244">
          <cell r="B244" t="str">
            <v>GIAO THUY</v>
          </cell>
          <cell r="C244" t="str">
            <v>SO 4A, THI TRAN NGO DONG, GIAO THUY, NAM DINH</v>
          </cell>
          <cell r="D244" t="str">
            <v>HANG CHUNG CHUNG TU</v>
          </cell>
          <cell r="E244" t="str">
            <v>MR TUAN: 0904 270 222</v>
          </cell>
        </row>
        <row r="245">
          <cell r="B245" t="str">
            <v>GIAY CHI LINH  THANG LONG</v>
          </cell>
          <cell r="C245" t="str">
            <v>NGA 4 BINH HAN, HAI DUONG</v>
          </cell>
          <cell r="D245" t="str">
            <v>TTC- KHTT</v>
          </cell>
          <cell r="E245" t="str">
            <v>BUI THI HUONG: 0936 281 868</v>
          </cell>
        </row>
        <row r="246">
          <cell r="B246" t="str">
            <v>GIAY CHI LINH QUIKSILVER</v>
          </cell>
          <cell r="C246" t="str">
            <v>THON DAI BO, HOANG TAN, CHI LINH, HAI DUONG</v>
          </cell>
          <cell r="D246" t="str">
            <v>TTC-KHTT</v>
          </cell>
          <cell r="E246" t="str">
            <v>MS HUONG: 0943 477 994</v>
          </cell>
        </row>
        <row r="247">
          <cell r="B247" t="str">
            <v>GIAY DUNG QUAT</v>
          </cell>
          <cell r="C247" t="str">
            <v>LO L1, PHAN KCN SAI GON DUNG QUAT, XA BINH THANH, BINH SON, QUANG NGAI</v>
          </cell>
          <cell r="D247">
            <v>0</v>
          </cell>
          <cell r="E247" t="str">
            <v>MS THOAI: 0935 091 509</v>
          </cell>
        </row>
        <row r="248">
          <cell r="B248" t="str">
            <v>GIAY LIEN DINH</v>
          </cell>
          <cell r="C248" t="str">
            <v xml:space="preserve">168 ,KM 9 ĐƯỜNG PHẠM VĂN ĐỒNG -  HẢI THÀNH – DƯƠNG KINH - HẢI PHÒNG </v>
          </cell>
          <cell r="D248">
            <v>0</v>
          </cell>
          <cell r="E248" t="str">
            <v>chi Hien: 0919111840</v>
          </cell>
        </row>
        <row r="249">
          <cell r="B249" t="str">
            <v>GIAY LIEN THUAN</v>
          </cell>
          <cell r="C249" t="str">
            <v>KM 9, PHAM VAN DONG, HAI THANH, DUONG KINH, HAI PHONG</v>
          </cell>
          <cell r="D249">
            <v>0</v>
          </cell>
          <cell r="E249" t="str">
            <v>chi Thuy: 01266474780</v>
          </cell>
        </row>
        <row r="250">
          <cell r="B250" t="str">
            <v>GIAY LIEN THUAN 2</v>
          </cell>
          <cell r="C250" t="str">
            <v xml:space="preserve">NHA MAY GIAY DINH VANG -DIA CHI: NAM AM - TAM CUONG -VINH BAO-HAI PHONG </v>
          </cell>
          <cell r="D250">
            <v>0</v>
          </cell>
          <cell r="E250" t="str">
            <v>Tel:0313 928 686/8</v>
          </cell>
        </row>
        <row r="251">
          <cell r="B251" t="str">
            <v>GIAY THUY KHUE NEXT</v>
          </cell>
          <cell r="C251" t="str">
            <v>KHU CN PHÚ MINH- PHƯỜNG CỔ NHUẾ 2- QUẬN BẮC TỪ LIÊM -TP.HÀ NỘI</v>
          </cell>
          <cell r="D251">
            <v>0</v>
          </cell>
          <cell r="E251" t="str">
            <v>Chi Tâm, DT 0987 859 639</v>
          </cell>
        </row>
        <row r="252">
          <cell r="B252" t="str">
            <v>GIAY UY VIET</v>
          </cell>
          <cell r="C252" t="str">
            <v>KCN CHAU DUC, XA SUOI NGHE, HUYEN CHAU DUC, TINH BRVT</v>
          </cell>
          <cell r="D252">
            <v>0</v>
          </cell>
          <cell r="E252" t="str">
            <v>HA 0985 852 147</v>
          </cell>
        </row>
        <row r="253">
          <cell r="B253" t="str">
            <v>GIAY VENUS</v>
          </cell>
          <cell r="C253" t="str">
            <v>CUM CN LANG NGHE XA HOA BINH, HUYEN HA TRUNG, TINH THANH HOA</v>
          </cell>
          <cell r="D253" t="str">
            <v>photo bill gui kem</v>
          </cell>
          <cell r="E253" t="str">
            <v>HUE: 01643264686</v>
          </cell>
        </row>
        <row r="254">
          <cell r="B254" t="str">
            <v>GILIMEX</v>
          </cell>
          <cell r="C254" t="str">
            <v>LO N, DUONG SO 6, KCN HOA KHANH, LIEN CHIEU, DA NANG</v>
          </cell>
          <cell r="D254">
            <v>0</v>
          </cell>
          <cell r="E254" t="str">
            <v>MS HIEN: 0905 337 629</v>
          </cell>
        </row>
        <row r="255">
          <cell r="B255" t="str">
            <v>GLOBAL</v>
          </cell>
          <cell r="C255" t="str">
            <v>MINH KHAI, NHU QUYNH, VAN LAM, HUNG YEN</v>
          </cell>
          <cell r="D255" t="str">
            <v>NETCO-KHTT- HOI LAI XNK</v>
          </cell>
          <cell r="E255" t="str">
            <v>MR MIAZE: 0321 3986 500</v>
          </cell>
        </row>
        <row r="256">
          <cell r="B256" t="str">
            <v>GLOBAL GARMENT</v>
          </cell>
          <cell r="C256" t="str">
            <v>KCN Bo Trai Song Da, To 9, Phuong Huu Nghi, TP Hoa Binh</v>
          </cell>
          <cell r="D256">
            <v>0</v>
          </cell>
          <cell r="E256" t="str">
            <v>TEL : +84 2183 883 007/ 0988534489</v>
          </cell>
        </row>
        <row r="257">
          <cell r="B257" t="str">
            <v>GLOBAL MFG HAI DUONG</v>
          </cell>
          <cell r="C257" t="str">
            <v>KM50+460, QL 5, CAM THUONG, HAI DUONG</v>
          </cell>
          <cell r="D257" t="str">
            <v>HOI LAI XNK</v>
          </cell>
          <cell r="E257" t="str">
            <v>MR CHINH: 0320 3846 906</v>
          </cell>
        </row>
        <row r="258">
          <cell r="B258" t="str">
            <v>Global Sourcenet</v>
          </cell>
          <cell r="C258" t="str">
            <v>Minh Khai, Nhu Quynh, Van Lam, Hung Yen</v>
          </cell>
          <cell r="D258">
            <v>0</v>
          </cell>
          <cell r="E258" t="str">
            <v>Mr Yoon -84-321-3986-500</v>
          </cell>
        </row>
        <row r="259">
          <cell r="B259" t="str">
            <v>GLORY DAYS</v>
          </cell>
          <cell r="C259" t="str">
            <v>TO 17, AP 5, XA XUAN TAM, HUYEN XUAN LOC, DONG NAI</v>
          </cell>
          <cell r="D259">
            <v>0</v>
          </cell>
          <cell r="E259" t="str">
            <v>061 3758 899/ 061 3759 955</v>
          </cell>
        </row>
        <row r="260">
          <cell r="B260" t="str">
            <v>GLORYDAYS FASHION</v>
          </cell>
          <cell r="C260" t="str">
            <v>AP THANH HOA THANH DONG TAN CHAU TAY NINH</v>
          </cell>
          <cell r="D260">
            <v>0</v>
          </cell>
          <cell r="E260">
            <v>0</v>
          </cell>
        </row>
        <row r="261">
          <cell r="B261" t="str">
            <v>GO DAI THANH</v>
          </cell>
          <cell r="C261" t="str">
            <v>Số 8 Dốc ÔNg Phật, Phường Bùi Thị Xuân, Thành Phố Qui Nhơn. Tỉnh Bình Định</v>
          </cell>
          <cell r="D261">
            <v>0</v>
          </cell>
          <cell r="E261" t="str">
            <v xml:space="preserve"> 01208176323- Ms. Truyện</v>
          </cell>
        </row>
        <row r="262">
          <cell r="B262" t="str">
            <v>GOLDEN DRAGON</v>
          </cell>
          <cell r="C262" t="str">
            <v>1166 Nguyen Binh Khiem, Dong Hai 2 ward, Hai Phong</v>
          </cell>
          <cell r="D262">
            <v>0</v>
          </cell>
          <cell r="E262" t="str">
            <v xml:space="preserve"> Ms.Phuong: 01675075532. </v>
          </cell>
        </row>
        <row r="263">
          <cell r="B263" t="str">
            <v>GOLDEN STAR</v>
          </cell>
          <cell r="C263" t="str">
            <v xml:space="preserve">QL10-TRUONG SON-AN LAO-HAI PHONG
NEU HANG Rockport; Reebok, Adidas: goi den Chi nhanh Cong Ty TNHH SAO VANG
</v>
          </cell>
          <cell r="D263">
            <v>0</v>
          </cell>
          <cell r="E263" t="str">
            <v>MS NAM: 0167 230 0648</v>
          </cell>
        </row>
        <row r="264">
          <cell r="B264" t="str">
            <v>GOLDEN SUN</v>
          </cell>
          <cell r="C264" t="str">
            <v>KM 1+100, 188 HIEP AN, KINH MON, HAI DUONG</v>
          </cell>
          <cell r="D264" t="str">
            <v>NETCO-KHTT</v>
          </cell>
          <cell r="E264" t="str">
            <v>MS LIEN 0968 252529</v>
          </cell>
        </row>
        <row r="265">
          <cell r="B265" t="str">
            <v>GOLDEN TOP</v>
          </cell>
          <cell r="C265" t="str">
            <v>GIAO GIAY LIEN THUAN, KM 9, PHAM VAN DONG, DUONG KINH, HAI PHONG</v>
          </cell>
          <cell r="D265" t="str">
            <v>GIAO DUNG NGUOI LIEN HE</v>
          </cell>
          <cell r="E265" t="str">
            <v>HANG 0166 944 0509</v>
          </cell>
        </row>
        <row r="266">
          <cell r="B266" t="str">
            <v>GOLDEN TOP ROCKORT, REBOK</v>
          </cell>
          <cell r="C266" t="str">
            <v>GIAO GIAY LIEN THUAN, KM 9, PHAM VAN DONG, DUONG KINH, HAI PHONG</v>
          </cell>
          <cell r="D266">
            <v>0</v>
          </cell>
          <cell r="E266" t="str">
            <v>Ms Hoai: 01652682368.</v>
          </cell>
        </row>
        <row r="267">
          <cell r="B267" t="str">
            <v>GOLDEN TOP SPEERY</v>
          </cell>
          <cell r="C267" t="str">
            <v>GIAO GIAY LIEN THUAN, KM 9, PHAM VAN DONG, DUONG KINH, HAI PHONG</v>
          </cell>
          <cell r="D267">
            <v>0</v>
          </cell>
          <cell r="E267" t="str">
            <v>Ms Hang/01669440509</v>
          </cell>
        </row>
        <row r="268">
          <cell r="B268" t="str">
            <v>GOLDEN TOP WOLVERING</v>
          </cell>
          <cell r="C268" t="str">
            <v>GIAO GIAY LIEN THUAN, KM 9, PHAM VAN DONG, DUONG KINH, HAI PHONG</v>
          </cell>
          <cell r="D268">
            <v>0</v>
          </cell>
          <cell r="E268" t="str">
            <v>MS GIANG:  01695535035 (Tel: 0313 880001/002 ext:3051)</v>
          </cell>
        </row>
        <row r="269">
          <cell r="B269" t="str">
            <v>GRAND GAIN</v>
          </cell>
          <cell r="C269" t="str">
            <v>Lot D1-D14, Dong Xoai II Industrial Zone, Tien Thanh Commune, Dong Xoai Town, Binh Phuoc Province</v>
          </cell>
          <cell r="D269" t="str">
            <v>GIAO 2 DN CHO KH</v>
          </cell>
          <cell r="E269" t="str">
            <v>Ms Phượng. Tel: 0948281936</v>
          </cell>
        </row>
        <row r="270">
          <cell r="B270" t="str">
            <v>GRAND OCEAN</v>
          </cell>
          <cell r="C270" t="str">
            <v>THON PHU, THAI HOC, BINH GIANG, HAI DUONG</v>
          </cell>
          <cell r="D270">
            <v>0</v>
          </cell>
          <cell r="E270" t="str">
            <v>MS LY: 0936 955 584</v>
          </cell>
        </row>
        <row r="271">
          <cell r="B271" t="str">
            <v>GREAT GLOBAL</v>
          </cell>
          <cell r="C271" t="str">
            <v>LOT 3.6, KCN GIAN KHAU, GIA VIEN, NINH BINH</v>
          </cell>
          <cell r="D271">
            <v>0</v>
          </cell>
          <cell r="E271" t="str">
            <v>MS THAO: 030 3651 442</v>
          </cell>
        </row>
        <row r="272">
          <cell r="B272" t="str">
            <v>GREAT PROFIT</v>
          </cell>
          <cell r="C272" t="str">
            <v>LO E1, DUONG TRUNG TAM KCN LONG HAU, CAN GIUOC, LONG AN</v>
          </cell>
          <cell r="D272">
            <v>0</v>
          </cell>
          <cell r="E272" t="str">
            <v>0933 380 755 JEAN</v>
          </cell>
        </row>
        <row r="273">
          <cell r="B273" t="str">
            <v>GREAT SUPER</v>
          </cell>
          <cell r="C273" t="str">
            <v>SUOI TRE IZ- LONG KHANH- DONG NAI</v>
          </cell>
          <cell r="D273">
            <v>0</v>
          </cell>
          <cell r="E273" t="str">
            <v>Jasmine Yang:  061 364 7876
0977 038 832</v>
          </cell>
        </row>
        <row r="274">
          <cell r="B274" t="str">
            <v>GREEN LAND</v>
          </cell>
          <cell r="C274" t="str">
            <v>KM9-14TH-XA HẢI THÀNH-KIẾN THỤY-ĐỒ SƠN-HAI PHONG</v>
          </cell>
          <cell r="D274">
            <v>0</v>
          </cell>
          <cell r="E274" t="str">
            <v>Mr DO THU HUONG-31-880001/880002</v>
          </cell>
        </row>
        <row r="275">
          <cell r="B275" t="str">
            <v>GREEN LAND CLARK</v>
          </cell>
          <cell r="C275" t="str">
            <v>KM 9, PHAM VAN DONG, HAI THANH, DUONG KINH, HAI PHONG</v>
          </cell>
          <cell r="D275" t="str">
            <v>CO ADD DIA CHI THI GIAO LIEN DINH, KO ADD DIA CHI GIAO LIEN THUAN</v>
          </cell>
          <cell r="E275" t="str">
            <v>0169 553 5035- MS GIANG</v>
          </cell>
        </row>
        <row r="276">
          <cell r="B276" t="str">
            <v>GREEN TG</v>
          </cell>
          <cell r="C276" t="str">
            <v>LO AIII-11, KCN TAN HUONG, X. TAN HUONG, H.CHAU THANH, T.TIEN GIANG</v>
          </cell>
          <cell r="D276">
            <v>0</v>
          </cell>
          <cell r="E276" t="str">
            <v>MS THAM 097275801</v>
          </cell>
        </row>
        <row r="277">
          <cell r="B277" t="str">
            <v>GUMIX</v>
          </cell>
          <cell r="C277" t="str">
            <v>KCN CAU GIAT, DUY TIEN, HA NAM</v>
          </cell>
          <cell r="D277">
            <v>0</v>
          </cell>
          <cell r="E277" t="str">
            <v>0168 7156 612: MS NHUNG</v>
          </cell>
        </row>
        <row r="278">
          <cell r="B278" t="str">
            <v>H&amp;C</v>
          </cell>
          <cell r="C278" t="str">
            <v>4th Floor, Lot 42C, 63 Lane, Le Duc Tho Road, Hà Nội</v>
          </cell>
          <cell r="D278">
            <v>0</v>
          </cell>
          <cell r="E278">
            <v>0</v>
          </cell>
        </row>
        <row r="279">
          <cell r="B279" t="str">
            <v>HA BAC</v>
          </cell>
          <cell r="C279" t="str">
            <v>NGA TU DINH TRAM-HONG THAI-VIET YEN-BAC GIANG</v>
          </cell>
          <cell r="D279">
            <v>0</v>
          </cell>
          <cell r="E279" t="str">
            <v>chị nhuần:  0983522340</v>
          </cell>
        </row>
        <row r="280">
          <cell r="B280" t="str">
            <v>HA BAC 1</v>
          </cell>
          <cell r="C280" t="str">
            <v>NGA TU DINH TRAM-HONG THAI-VIET YEN-BAC GIANG</v>
          </cell>
          <cell r="D280">
            <v>0</v>
          </cell>
          <cell r="E280" t="str">
            <v>Giao Ha Bac 1 - Mr.Thanh: 0978.491.357/ Mr. Duong: 0936.228.933</v>
          </cell>
        </row>
        <row r="281">
          <cell r="B281" t="str">
            <v>HA BAC 2</v>
          </cell>
          <cell r="C281" t="str">
            <v>NGA TU DINH TRAM-HONG THAI-VIET YEN-BAC GIANG</v>
          </cell>
          <cell r="D281">
            <v>0</v>
          </cell>
          <cell r="E281" t="str">
            <v>MR BINH 0915181104</v>
          </cell>
        </row>
        <row r="282">
          <cell r="B282" t="str">
            <v>HA BAC BILL SL GLOBAL</v>
          </cell>
          <cell r="C282" t="str">
            <v>NGA 4 DINH TRAM, HONG THAI, VIET YEN, BAC GIANG</v>
          </cell>
          <cell r="D282">
            <v>0</v>
          </cell>
          <cell r="E282" t="str">
            <v>NGUYEN THI LE XNK: 0975 442 582</v>
          </cell>
        </row>
        <row r="283">
          <cell r="B283" t="str">
            <v>HA BAC GAP INC</v>
          </cell>
          <cell r="C283" t="str">
            <v>NGA 4 DINH TRAM, HONG THAI, VIET YEN, BAC GIANG</v>
          </cell>
          <cell r="D283">
            <v>0</v>
          </cell>
          <cell r="E283" t="str">
            <v>MS HUONG: 0977 047 203</v>
          </cell>
        </row>
        <row r="284">
          <cell r="B284" t="str">
            <v>HA BAC GYMBOREE</v>
          </cell>
          <cell r="C284" t="str">
            <v>NGA TU DINH TRAM-HONG THAI-VIET YEN-BAC GIANG</v>
          </cell>
          <cell r="D284">
            <v>0</v>
          </cell>
          <cell r="E284" t="str">
            <v>MS PHUONG/: 0936 750 474, MS HA 02403674178</v>
          </cell>
        </row>
        <row r="285">
          <cell r="B285" t="str">
            <v>HA BAC LANE BRYANT</v>
          </cell>
          <cell r="C285" t="str">
            <v>NGA TU DINH TRAM-HONG THAI-VIET YEN-BAC GIANG</v>
          </cell>
          <cell r="D285" t="str">
            <v>CHO CS CONFIRM SHIP MODE</v>
          </cell>
          <cell r="E285" t="str">
            <v>SON/HAI: 0928 161 983</v>
          </cell>
        </row>
        <row r="286">
          <cell r="B286" t="str">
            <v>HA BAC OLD NAVY</v>
          </cell>
          <cell r="C286" t="str">
            <v>NGA TU DINH TRAM-HONG THAI-VIET YEN-BAC GIANG</v>
          </cell>
          <cell r="D286">
            <v>0</v>
          </cell>
          <cell r="E286" t="str">
            <v>NGUYEN VAN DOAN.TEL: 04-2220-9200</v>
          </cell>
        </row>
        <row r="287">
          <cell r="B287" t="str">
            <v>HA HAE</v>
          </cell>
          <cell r="C287" t="str">
            <v>KM50+460, QL 5, CAM THUONG, HAI DUONG</v>
          </cell>
          <cell r="D287">
            <v>0</v>
          </cell>
          <cell r="E287" t="str">
            <v>Ms Bich Nga 0945 078 558</v>
          </cell>
        </row>
        <row r="288">
          <cell r="B288" t="str">
            <v>HA HAE THAI BINH</v>
          </cell>
          <cell r="C288" t="str">
            <v>KCN TIEN HAI TAY GIANG TIEN HAI THAI BINH</v>
          </cell>
          <cell r="D288">
            <v>0</v>
          </cell>
          <cell r="E288" t="str">
            <v>MS HUONG 0989 581 482</v>
          </cell>
        </row>
        <row r="289">
          <cell r="B289" t="str">
            <v>MINH DUC</v>
          </cell>
          <cell r="C289" t="str">
            <v>Ke Village, Minh Duc Commune, Viet Yen District, BAC GIANG</v>
          </cell>
          <cell r="D289">
            <v>0</v>
          </cell>
          <cell r="E289" t="str">
            <v>Nguyen Huy Minh - 84-240-3875 555</v>
          </cell>
        </row>
        <row r="290">
          <cell r="B290" t="str">
            <v>THIEU DO</v>
          </cell>
          <cell r="C290" t="str">
            <v>XA THIEU DO, HUYEN THIEU HOA, TINH THANH HOA</v>
          </cell>
          <cell r="D290">
            <v>0</v>
          </cell>
          <cell r="E290">
            <v>0</v>
          </cell>
        </row>
        <row r="291">
          <cell r="B291" t="str">
            <v>MY NGHE SHINE</v>
          </cell>
          <cell r="C291" t="str">
            <v>KCN DONG VAN I, XA DUY MINH, DUY TIEN, HA NAM</v>
          </cell>
          <cell r="D291">
            <v>0</v>
          </cell>
          <cell r="E291" t="str">
            <v>VICTOR 01693219399</v>
          </cell>
        </row>
        <row r="292">
          <cell r="B292" t="str">
            <v>HA NAM 227</v>
          </cell>
          <cell r="C292" t="str">
            <v>21A, KCN BAC THANH CHAU, PHU LY, HA NAM</v>
          </cell>
          <cell r="D292">
            <v>0</v>
          </cell>
          <cell r="E292" t="str">
            <v>A. LUONG: 0913 301 045</v>
          </cell>
        </row>
        <row r="293">
          <cell r="B293" t="str">
            <v>HA NAM HA NOI</v>
          </cell>
          <cell r="C293" t="str">
            <v>TANG 8, TOA NHA NAM HAI LAKEVIEW, KHU DO THI VINH HOANG, HOANG MAI, HA NOI</v>
          </cell>
          <cell r="D293">
            <v>0</v>
          </cell>
          <cell r="E293" t="str">
            <v>MS HUONG: 0122 2291 686</v>
          </cell>
        </row>
        <row r="294">
          <cell r="B294" t="str">
            <v>HA NAM HANOSIMEX</v>
          </cell>
          <cell r="C294" t="str">
            <v>KCN DONG VAN 2, DUY TIEN, HA NAM</v>
          </cell>
          <cell r="D294" t="str">
            <v>chung HD</v>
          </cell>
          <cell r="E294" t="str">
            <v>LE 0932020367</v>
          </cell>
        </row>
        <row r="295">
          <cell r="B295" t="str">
            <v>HA NOI TEXTILE</v>
          </cell>
          <cell r="C295" t="str">
            <v xml:space="preserve">No25 Alley 13 Linh nam Str, Mai Dong ward,  Hoang Mai Dist, Hanoi, Vietnam. </v>
          </cell>
          <cell r="D295">
            <v>0</v>
          </cell>
          <cell r="E295" t="str">
            <v>RUBI 01686703023</v>
          </cell>
        </row>
        <row r="296">
          <cell r="B296" t="str">
            <v>HA NOI TEXTILE HA NAM</v>
          </cell>
          <cell r="C296" t="str">
            <v>KCN DONG VAN II, DUY TIEN, HA NAM</v>
          </cell>
          <cell r="D296">
            <v>0</v>
          </cell>
          <cell r="E296" t="str">
            <v>MS LE: 0932 020 367</v>
          </cell>
        </row>
        <row r="297">
          <cell r="B297" t="str">
            <v>HA PHONG 4</v>
          </cell>
          <cell r="C297" t="str">
            <v>Doan Bai Commune- Hiep Hoa Dist
 Bac Giang Province</v>
          </cell>
          <cell r="D297">
            <v>0</v>
          </cell>
          <cell r="E297" t="str">
            <v>GIANG: 01687887348</v>
          </cell>
        </row>
        <row r="298">
          <cell r="B298" t="str">
            <v>HA PHONG 1</v>
          </cell>
          <cell r="C298" t="str">
            <v>Doan Bai Commune- Hiep Hoa Dist
 Bac Giang Province</v>
          </cell>
          <cell r="D298">
            <v>0</v>
          </cell>
          <cell r="E298" t="str">
            <v>MS.NA: 097 8894 809</v>
          </cell>
        </row>
        <row r="299">
          <cell r="B299" t="str">
            <v>HA PHONG 3</v>
          </cell>
          <cell r="C299" t="str">
            <v>Doan Bai Commune- Hiep Hoa Dist
 Bac Giang Province</v>
          </cell>
          <cell r="D299">
            <v>0</v>
          </cell>
          <cell r="E299" t="str">
            <v>MS. VAN  ANH: 0166 8064 718</v>
          </cell>
        </row>
        <row r="300">
          <cell r="B300" t="str">
            <v>HA PHONG 2</v>
          </cell>
          <cell r="C300" t="str">
            <v>Doan Bai Commune- Hiep Hoa Dist
 Bac Giang Province</v>
          </cell>
          <cell r="D300">
            <v>0</v>
          </cell>
          <cell r="E300" t="str">
            <v>MAI:01666019960</v>
          </cell>
        </row>
        <row r="301">
          <cell r="B301" t="str">
            <v>HA PHONG LANE BRYANT</v>
          </cell>
          <cell r="C301" t="str">
            <v>Doan Bai Commune- Hiep Hoa Dist
 Bac Giang Province</v>
          </cell>
          <cell r="D301">
            <v>0</v>
          </cell>
          <cell r="E301" t="str">
            <v>DUNG/BANG: 0968 874 313</v>
          </cell>
        </row>
        <row r="302">
          <cell r="B302" t="str">
            <v>HA QUANG GARMENT 10</v>
          </cell>
          <cell r="C302" t="str">
            <v>Tieu khu 7 phuong Bac Ly, thanh pho Dong Hoi, Quang Binh</v>
          </cell>
          <cell r="D302">
            <v>0</v>
          </cell>
          <cell r="E302" t="str">
            <v>Quang- 911444089</v>
          </cell>
        </row>
        <row r="303">
          <cell r="B303" t="str">
            <v>HA TAY</v>
          </cell>
          <cell r="C303" t="str">
            <v>TANLAP VILLAGE-DAN PHUONG DIST-HANOI</v>
          </cell>
          <cell r="D303" t="str">
            <v>TTC-KHTT</v>
          </cell>
          <cell r="E303" t="str">
            <v>Mr quang-04 33665147-0912913401
BACH PHI NGA 0912 047 188</v>
          </cell>
        </row>
        <row r="304">
          <cell r="B304" t="str">
            <v>HAFASCO XN MAY YEN MY</v>
          </cell>
          <cell r="C304" t="str">
            <v>KCN PHO NOI A, XA GIAI PHAM, YEN MY, HUNG YEN</v>
          </cell>
          <cell r="D304">
            <v>0</v>
          </cell>
          <cell r="E304" t="str">
            <v>ATTN: A SON 0982 015 586</v>
          </cell>
        </row>
        <row r="305">
          <cell r="B305" t="str">
            <v>HAI ANH TEX</v>
          </cell>
          <cell r="C305" t="str">
            <v>BA DONG, BINH MINH, BINH GIANG, HAI DUONG</v>
          </cell>
          <cell r="D305" t="str">
            <v>NHAN TARGET CHO CS CONFIRM MAIL FW HANJIN HOAC DAESUN</v>
          </cell>
          <cell r="E305" t="str">
            <v>MS DUYEN: 0985 939 862</v>
          </cell>
        </row>
        <row r="306">
          <cell r="B306" t="str">
            <v>HAI DUONG</v>
          </cell>
          <cell r="C306" t="str">
            <v>KM54+100M-QL5-NGOC CHAU-HAI DUONG</v>
          </cell>
          <cell r="D306" t="str">
            <v>HOI LAI XNK</v>
          </cell>
          <cell r="E306" t="str">
            <v>MS HUONG: 0932 296 866</v>
          </cell>
        </row>
        <row r="307">
          <cell r="B307" t="str">
            <v>HAI DUONG NEXT</v>
          </cell>
          <cell r="C307" t="str">
            <v>KM54+100M-QL5-NGOC CHAU-HAI DUONG</v>
          </cell>
          <cell r="D307">
            <v>0</v>
          </cell>
          <cell r="E307" t="str">
            <v>093 229 6866- MS HUONG</v>
          </cell>
        </row>
        <row r="308">
          <cell r="B308" t="str">
            <v>HAI DUONG SHOE</v>
          </cell>
          <cell r="C308" t="str">
            <v>No:1077, Le Thanh Nghi Street, Hai Tan Ward, Hai Duong</v>
          </cell>
          <cell r="D308" t="str">
            <v>C.KATE</v>
          </cell>
          <cell r="E308" t="str">
            <v>Attn: Anh Tuyen: 0904 314 138</v>
          </cell>
        </row>
        <row r="309">
          <cell r="B309" t="str">
            <v>HAI DUONG TOPSHOP</v>
          </cell>
          <cell r="C309" t="str">
            <v>KM54+100M-QL5-NGOC CHAU-HAI DUONG</v>
          </cell>
          <cell r="D309">
            <v>0</v>
          </cell>
          <cell r="E309" t="str">
            <v>QUYNH ANH: 0982 860 789</v>
          </cell>
        </row>
        <row r="310">
          <cell r="B310" t="str">
            <v>HAI MY PHU THO</v>
          </cell>
          <cell r="C310" t="str">
            <v>CUM CN LANG NGHE SOC DANG, DOAN HUNG, PHU THO</v>
          </cell>
          <cell r="D310">
            <v>0</v>
          </cell>
          <cell r="E310" t="str">
            <v>PHILIP: 0162 848 1321</v>
          </cell>
        </row>
        <row r="311">
          <cell r="B311" t="str">
            <v>HAI PHONG</v>
          </cell>
          <cell r="C311" t="str">
            <v>TO 1, KDC PHUONG LUNG, HUNG DAO, DUONG KINH, HAI PHONG</v>
          </cell>
          <cell r="D311" t="str">
            <v>chung HD</v>
          </cell>
          <cell r="E311" t="str">
            <v>MR CHUNG : 0936 185 442</v>
          </cell>
        </row>
        <row r="312">
          <cell r="B312" t="str">
            <v>HAI PHONG STATIONERY</v>
          </cell>
          <cell r="C312" t="str">
            <v>HUNG DAO WARD-DUONG KINH DISTRICT-HAI PHONG</v>
          </cell>
          <cell r="D312">
            <v>0</v>
          </cell>
          <cell r="E312">
            <v>0</v>
          </cell>
        </row>
        <row r="313">
          <cell r="B313" t="str">
            <v>HAI VINA</v>
          </cell>
          <cell r="C313" t="str">
            <v>Gia Tan Commune, Gia Loc Dist, Hai Duong</v>
          </cell>
          <cell r="D313" t="str">
            <v>hang chung ctu</v>
          </cell>
          <cell r="E313" t="str">
            <v>Ms Rucy( Sales Dept)
A. Tinh - 0975 002 062</v>
          </cell>
        </row>
        <row r="314">
          <cell r="B314" t="str">
            <v>HAI VINA INVISTA</v>
          </cell>
          <cell r="C314" t="str">
            <v>KCN NAM SACH- HAI DUONG</v>
          </cell>
          <cell r="D314" t="str">
            <v>hang chung ctu</v>
          </cell>
          <cell r="E314">
            <v>0</v>
          </cell>
        </row>
        <row r="315">
          <cell r="B315" t="str">
            <v>HAI VINA KIM LIEN</v>
          </cell>
          <cell r="C315" t="str">
            <v>CUM CN NAM GIANG, HUYEN NAM DAN, NGHE AN</v>
          </cell>
          <cell r="D315">
            <v>0</v>
          </cell>
          <cell r="E315" t="str">
            <v>MR THANH 0166 650 4728</v>
          </cell>
        </row>
        <row r="316">
          <cell r="B316" t="str">
            <v>HAI VINA NAM SACH</v>
          </cell>
          <cell r="C316" t="str">
            <v>KCN NAM SACH- HAI DUONG</v>
          </cell>
          <cell r="D316" t="str">
            <v>hang chung ctu</v>
          </cell>
          <cell r="E316" t="str">
            <v>LAN ANH: 0915175682</v>
          </cell>
        </row>
        <row r="317">
          <cell r="B317" t="str">
            <v>HAI YANG</v>
          </cell>
          <cell r="C317" t="str">
            <v>Thuan Hoa 2, Hoa Khanh Nam, Duc Hoa, Long An</v>
          </cell>
          <cell r="D317">
            <v>0</v>
          </cell>
          <cell r="E317" t="str">
            <v>Mr.Yyu : 072 768 654/ 655/ 656</v>
          </cell>
        </row>
        <row r="318">
          <cell r="B318" t="str">
            <v>HAMALIN</v>
          </cell>
          <cell r="C318" t="str">
            <v>LO B, KCN TRUNG HA, TAM NONG, PHU THO</v>
          </cell>
          <cell r="D318" t="str">
            <v>CHO XNK CONFIRM
VIET DN# LEN BILL</v>
          </cell>
          <cell r="E318" t="str">
            <v>Ms Minh - 84 982 097 789      ​</v>
          </cell>
        </row>
        <row r="319">
          <cell r="B319" t="str">
            <v>HANA KOVI</v>
          </cell>
          <cell r="C319" t="str">
            <v xml:space="preserve">Cum CN Dong Dinh, Xa Cao Thuong, Huyen Tan Yen, </v>
          </cell>
          <cell r="D319">
            <v>0</v>
          </cell>
          <cell r="E319" t="str">
            <v>Chi Huyen (Kho) 01215322667</v>
          </cell>
        </row>
        <row r="320">
          <cell r="B320" t="str">
            <v>HANESBRANDS HUE</v>
          </cell>
          <cell r="C320" t="str">
            <v>Lo C-2-6 &amp; 2-7-KCN PHU BAI-HUONG THUY-THUA THIEN HUE</v>
          </cell>
          <cell r="D320" t="str">
            <v>CS BOOK MAC DEN LAY HANG</v>
          </cell>
          <cell r="E320" t="str">
            <v>MR DUC: 0905 120 343</v>
          </cell>
        </row>
        <row r="321">
          <cell r="B321" t="str">
            <v>DO GO NGHIA TIN</v>
          </cell>
          <cell r="C321" t="str">
            <v>PHUOC AN, TUY PHUOC, BINH DINH</v>
          </cell>
          <cell r="D321">
            <v>0</v>
          </cell>
          <cell r="E321">
            <v>0</v>
          </cell>
        </row>
        <row r="322">
          <cell r="B322" t="str">
            <v>HANESBRANDS HUNG YEN</v>
          </cell>
          <cell r="C322" t="str">
            <v>DÂN TIẾN COMMUNE- KHOÁI CHAU DISTRICT- HUNG YEN</v>
          </cell>
          <cell r="D322" t="str">
            <v>Avery thanh toan, BT-di bo, if KH confirm gap- di air</v>
          </cell>
          <cell r="E322" t="str">
            <v>MS. THANH THUY (0988 625 686)-3213713994</v>
          </cell>
        </row>
        <row r="323">
          <cell r="B323" t="str">
            <v>HANESBRANDS KHO 90</v>
          </cell>
          <cell r="C323" t="str">
            <v>Lo C-2-6 &amp; 2-7-KCN PHU BAI-HUONG THUY-THUA THIEN HUE</v>
          </cell>
          <cell r="D323" t="str">
            <v>CS BOOK MAC DEN LAY HANG VAO SANG THU 6 HANG TUAN</v>
          </cell>
          <cell r="E323">
            <v>0</v>
          </cell>
        </row>
        <row r="324">
          <cell r="B324" t="str">
            <v>HANESBRANDS KHO 91</v>
          </cell>
          <cell r="C324" t="str">
            <v>DÂN TIẾN COMMUNE- KHOÁI CHAU DISTRICT- HUNG YEN</v>
          </cell>
          <cell r="D324" t="str">
            <v>CS BOOK MAC DEN LAY HANG VAO SANG THU 6 HANG TUAN</v>
          </cell>
          <cell r="E324">
            <v>0</v>
          </cell>
        </row>
        <row r="325">
          <cell r="B325" t="str">
            <v>HANESBRANDS KHO 96</v>
          </cell>
          <cell r="C325" t="str">
            <v>DÂN TIẾN COMMUNE- KHOÁI CHAU DISTRICT- HUNG YEN</v>
          </cell>
          <cell r="D325" t="str">
            <v>CS BOOK MAC DEN LAY HANG VAO SANG THU 6 HANG TUAN</v>
          </cell>
          <cell r="E325">
            <v>0</v>
          </cell>
        </row>
        <row r="326">
          <cell r="B326" t="str">
            <v>HANESBRANDS KHO 95</v>
          </cell>
          <cell r="C326" t="str">
            <v>DÂN TIẾN COMMUNE- KHOÁI CHAU DISTRICT- HUNG YEN</v>
          </cell>
          <cell r="D326" t="str">
            <v>CS BOOK MAC DEN LAY HANG VAO SANG THU 6 HANG TUAN</v>
          </cell>
          <cell r="E326">
            <v>0</v>
          </cell>
        </row>
        <row r="327">
          <cell r="B327" t="str">
            <v>HANNAM</v>
          </cell>
          <cell r="C327" t="str">
            <v>KHU CONG NGHIEP BINH XUYEN, HUYEN BINH XUYEN, TINH VINH PHUC</v>
          </cell>
          <cell r="D327" t="str">
            <v>CHO XNK CONFIRM</v>
          </cell>
          <cell r="E327" t="str">
            <v>MS DUYEN 0169 959 4112</v>
          </cell>
        </row>
        <row r="328">
          <cell r="B328" t="str">
            <v>HANNAM INC</v>
          </cell>
          <cell r="C328" t="str">
            <v>BINH XUYEN IZ-BINH XUYEN DIST-VINH PHUC</v>
          </cell>
          <cell r="D328">
            <v>0</v>
          </cell>
          <cell r="E328" t="str">
            <v>HANH</v>
          </cell>
        </row>
        <row r="329">
          <cell r="B329" t="str">
            <v xml:space="preserve">HaNoi Business </v>
          </cell>
          <cell r="C329" t="str">
            <v>TANG 3, 301 VU XUAN THIEU, PHUC LOI, LONG BIEN, HN</v>
          </cell>
          <cell r="D329">
            <v>0</v>
          </cell>
          <cell r="E329" t="str">
            <v>Ms Huyen: 04 62512666</v>
          </cell>
        </row>
        <row r="330">
          <cell r="B330" t="str">
            <v>HANOI SALES OFFICE</v>
          </cell>
          <cell r="C330" t="str">
            <v xml:space="preserve"> SO 8 NGO 97/24/1-VAN CAO STR-BA DINH- HA NOI</v>
          </cell>
          <cell r="D330">
            <v>0</v>
          </cell>
          <cell r="E330">
            <v>0</v>
          </cell>
        </row>
        <row r="331">
          <cell r="B331" t="str">
            <v>HANOSIMEX</v>
          </cell>
          <cell r="C331" t="str">
            <v>TANG 6, TOA  NHA HAI NAM, KHU DO THI VINH HOANG, HOANG MAI, HA NOI</v>
          </cell>
          <cell r="D331">
            <v>0</v>
          </cell>
          <cell r="E331" t="str">
            <v>A BINH: 0904 223 406</v>
          </cell>
        </row>
        <row r="332">
          <cell r="B332" t="str">
            <v>HANSAE TG</v>
          </cell>
          <cell r="C332" t="str">
            <v>LOT B III&amp;V, KCN TAN HUONG, TIEN GIANG</v>
          </cell>
          <cell r="D332" t="str">
            <v>CHO XNK CONFIRM</v>
          </cell>
          <cell r="E332" t="str">
            <v>MS MAI: 0167 890 2591</v>
          </cell>
        </row>
        <row r="333">
          <cell r="B333" t="str">
            <v>HANSAE TN</v>
          </cell>
          <cell r="C333" t="str">
            <v xml:space="preserve">ROAD 4, LINH TRUNG EPZ &amp; IP III, ROAD 4, LINH TRUNG EPZ &amp; IP III, </v>
          </cell>
          <cell r="D333">
            <v>0</v>
          </cell>
          <cell r="E333" t="str">
            <v>Truc 01663646605</v>
          </cell>
        </row>
        <row r="334">
          <cell r="B334" t="str">
            <v>HANUL</v>
          </cell>
          <cell r="C334" t="str">
            <v>TT THANH NE-KIEN XUONG-THAI BINH</v>
          </cell>
          <cell r="D334">
            <v>0</v>
          </cell>
          <cell r="E334" t="str">
            <v>HOAI-01682396706-036 3152769</v>
          </cell>
        </row>
        <row r="335">
          <cell r="B335" t="str">
            <v>HANUL</v>
          </cell>
          <cell r="C335" t="str">
            <v>Thi tran Thanh Ne, huyen Kien Xuong, tinh Thai Binh</v>
          </cell>
          <cell r="D335">
            <v>0</v>
          </cell>
          <cell r="E335" t="str">
            <v>84-36-3512769</v>
          </cell>
        </row>
        <row r="336">
          <cell r="B336" t="str">
            <v>HAPPY TEX</v>
          </cell>
          <cell r="C336" t="str">
            <v>DUONG LE CHAN, PHUONG LE HONG PHONG, PHU LY, HA NAM</v>
          </cell>
          <cell r="D336" t="str">
            <v>HANG CHO XNK CONFIRM
VIET SO DN# LEN BILL</v>
          </cell>
          <cell r="E336" t="str">
            <v>MR DAT: 0988 771 449</v>
          </cell>
        </row>
        <row r="337">
          <cell r="B337" t="str">
            <v>HAS FASHION</v>
          </cell>
          <cell r="C337" t="str">
            <v>Lot C3.3, Gian Khau Industry Zone, Gia Tan Commune, Gia Vien District, Ninh Binh Province</v>
          </cell>
          <cell r="D337">
            <v>0</v>
          </cell>
          <cell r="E337" t="str">
            <v>HANG  0965 755 332</v>
          </cell>
        </row>
        <row r="338">
          <cell r="B338" t="str">
            <v>HA THANH FASHION</v>
          </cell>
          <cell r="C338" t="str">
            <v>NGOC LAM, HOANG THANH, HIEP HOA, BAC GIANG</v>
          </cell>
          <cell r="D338">
            <v>0</v>
          </cell>
          <cell r="E338">
            <v>0</v>
          </cell>
        </row>
        <row r="339">
          <cell r="B339" t="str">
            <v>HIGH VINA</v>
          </cell>
          <cell r="C339" t="str">
            <v>LONG YEN, LONG THANH NAM, HOA THANH, TAY NINH</v>
          </cell>
          <cell r="D339" t="str">
            <v>BOOK VNPT GIAO NHANH GOI ANH TUNG 01267325818</v>
          </cell>
          <cell r="E339" t="str">
            <v>MS MAI: 0903 054 057</v>
          </cell>
        </row>
        <row r="340">
          <cell r="B340" t="str">
            <v>HK VINA</v>
          </cell>
          <cell r="C340" t="str">
            <v>xã Ngũ Hùng- H. Thanh Miện - 
Hải Dương</v>
          </cell>
          <cell r="D340" t="str">
            <v>CTU-C.Trang</v>
          </cell>
          <cell r="E340" t="str">
            <v>Ms Thao: 0977 115 245
TEL: 320 355 0855</v>
          </cell>
        </row>
        <row r="341">
          <cell r="B341" t="str">
            <v>HNJ VINA</v>
          </cell>
          <cell r="C341" t="str">
            <v>LOT2, DONG TU INDUSTRIAL GROUP, HUNG HA DISTRICT, THAI BINH PROVINCE</v>
          </cell>
          <cell r="D341">
            <v>0</v>
          </cell>
          <cell r="E341" t="str">
            <v xml:space="preserve"> Ms Thuy 84-363-971-010</v>
          </cell>
        </row>
        <row r="342">
          <cell r="B342" t="str">
            <v>HO GUOM</v>
          </cell>
          <cell r="C342" t="str">
            <v>201  TRUONG DINH- HOANG MAI- HANOI</v>
          </cell>
          <cell r="D342">
            <v>0</v>
          </cell>
          <cell r="E342" t="str">
            <v>VAN ANH</v>
          </cell>
        </row>
        <row r="343">
          <cell r="B343" t="str">
            <v>HO GUOM FACTORY 2</v>
          </cell>
          <cell r="C343" t="str">
            <v>KM 22 BAN-YEN NHAN-HUNG YEN DIST</v>
          </cell>
          <cell r="D343">
            <v>0</v>
          </cell>
          <cell r="E343" t="str">
            <v>MS.HANG -MB: 0904458861 OR MR.DUNG .0988317342</v>
          </cell>
        </row>
        <row r="344">
          <cell r="B344" t="str">
            <v>HO GUOM FACTORY 3</v>
          </cell>
          <cell r="C344" t="str">
            <v>KM 22-QL5-TTBAN-HUNG YEN</v>
          </cell>
          <cell r="D344">
            <v>0</v>
          </cell>
          <cell r="E344" t="str">
            <v>MS.HANG -MB: 0904458861 OR MR.DUNG .0988317342</v>
          </cell>
        </row>
        <row r="345">
          <cell r="B345" t="str">
            <v>HO GUOM HA DONG</v>
          </cell>
          <cell r="C345" t="str">
            <v>HO GUOM PLAZA 102 TRAN PHU MO LAO HA DONG, HA NOI</v>
          </cell>
          <cell r="D345">
            <v>0</v>
          </cell>
          <cell r="E345">
            <v>0</v>
          </cell>
        </row>
        <row r="346">
          <cell r="B346" t="str">
            <v>HO GUOM HAI PHONG</v>
          </cell>
          <cell r="C346" t="str">
            <v>KM 83, QL5, AN HUNG, AN HAI, HAI PHONG</v>
          </cell>
          <cell r="D346">
            <v>0</v>
          </cell>
          <cell r="E346" t="str">
            <v>MS HIEN: 031 3618560</v>
          </cell>
        </row>
        <row r="347">
          <cell r="B347" t="str">
            <v>HO GUOM INVISTA</v>
          </cell>
          <cell r="C347" t="str">
            <v>201 TRUONG  DINH, HOANG MAI, HA NOI</v>
          </cell>
          <cell r="D347">
            <v>0</v>
          </cell>
          <cell r="E347" t="str">
            <v>04 36624559 CHI THU HIEN</v>
          </cell>
        </row>
        <row r="348">
          <cell r="B348" t="str">
            <v>HO GUOM MANGO</v>
          </cell>
          <cell r="C348" t="str">
            <v>110 TRAN PHU, HA DONG, HA NOI</v>
          </cell>
          <cell r="D348" t="str">
            <v>HANG CHUNG CTU
VIET SO DN# LEN BILL</v>
          </cell>
          <cell r="E348" t="str">
            <v>HIEN/ TRINH: 04 3662 4559</v>
          </cell>
        </row>
        <row r="349">
          <cell r="B349" t="str">
            <v>HO GUOM WLLAND</v>
          </cell>
          <cell r="C349" t="str">
            <v>201  TRUONG DINH- HOANG MAI- HANOI</v>
          </cell>
          <cell r="D349">
            <v>0</v>
          </cell>
          <cell r="E349" t="str">
            <v>chi Hoai  090 496 4728
chi Hien 0904409045</v>
          </cell>
        </row>
        <row r="350">
          <cell r="B350" t="str">
            <v>HO GUOM
FACTORY 5</v>
          </cell>
          <cell r="C350" t="str">
            <v>KM 83-AN HUNG-AN HAI- HAI PHONG</v>
          </cell>
          <cell r="D350">
            <v>0</v>
          </cell>
          <cell r="E350" t="str">
            <v>.</v>
          </cell>
        </row>
        <row r="351">
          <cell r="B351" t="str">
            <v>HOA SEN PHU THO</v>
          </cell>
          <cell r="C351" t="str">
            <v>AREA 10- PHONG CHAU TOWN,  PHU NINH DISTRICT, PHU THO PROVINCE</v>
          </cell>
          <cell r="D351">
            <v>0</v>
          </cell>
          <cell r="E351" t="str">
            <v>JIMMY 0985.851.345</v>
          </cell>
        </row>
        <row r="352">
          <cell r="B352" t="str">
            <v>HOA THAN</v>
          </cell>
          <cell r="C352" t="str">
            <v>KCN TIEN SON MO RONG, TAN DONG, TU SON, BAC NINH</v>
          </cell>
          <cell r="D352">
            <v>0</v>
          </cell>
          <cell r="E352" t="str">
            <v>MS DUYEN: 0979 447 168</v>
          </cell>
        </row>
        <row r="353">
          <cell r="B353" t="str">
            <v>HOA THO</v>
          </cell>
          <cell r="C353" t="str">
            <v>36 ONG ICH DUONG STR-DA NANG CITY-VIET NAM</v>
          </cell>
          <cell r="D353" t="str">
            <v>HANG CHUNG HOA DON, NHAN INVISTA KHONG CO HOA DON</v>
          </cell>
          <cell r="E353" t="str">
            <v>THAO 0905634611</v>
          </cell>
        </row>
        <row r="354">
          <cell r="B354" t="str">
            <v>HOA THO</v>
          </cell>
          <cell r="C354" t="str">
            <v>36 ONG ICH DUONG STR-DA NANG CITY-VIET NAM</v>
          </cell>
          <cell r="D354" t="str">
            <v>HANG CHUNG HOA DON, NHAN INVISTA KHONG CO HOA DON</v>
          </cell>
          <cell r="E354" t="str">
            <v>THANH THAO
+84.905. 634. 611</v>
          </cell>
        </row>
        <row r="355">
          <cell r="B355" t="str">
            <v>HOA THO CASUAL</v>
          </cell>
          <cell r="C355" t="str">
            <v>36 ONG ICH DUONG STR-DA NANG CITY-VIET NAM</v>
          </cell>
          <cell r="D355">
            <v>0</v>
          </cell>
          <cell r="E355" t="str">
            <v>QUYEN 0937.584.451</v>
          </cell>
        </row>
        <row r="356">
          <cell r="B356" t="str">
            <v>HOA THO DILLARDS</v>
          </cell>
          <cell r="C356" t="str">
            <v>36 ONG ICH DUONG STR-DA NANG CITY-VIET NAM</v>
          </cell>
          <cell r="D356">
            <v>0</v>
          </cell>
          <cell r="E356" t="str">
            <v xml:space="preserve">ATTN Tran+84 905.795.990  </v>
          </cell>
        </row>
        <row r="357">
          <cell r="B357" t="str">
            <v>HOA THO Haggar</v>
          </cell>
          <cell r="C357" t="str">
            <v>36 ONG ICH DUONG STR-DA NANG CITY-VIET NAM</v>
          </cell>
          <cell r="D357" t="str">
            <v>hoa don photo kem theo hang</v>
          </cell>
          <cell r="E357" t="str">
            <v>Chị Thương-phụ trách phụ liệu kho TCT-​ SĐT: 0511 3 674 661</v>
          </cell>
        </row>
        <row r="358">
          <cell r="B358" t="str">
            <v>HOA THO INVISTA</v>
          </cell>
          <cell r="C358" t="str">
            <v>36 ONG ICH DUONG STR-DA NANG CITY-VIET NAM</v>
          </cell>
          <cell r="D358">
            <v>0</v>
          </cell>
          <cell r="E358" t="str">
            <v>MS NGOC: 0511 3879 367</v>
          </cell>
        </row>
        <row r="359">
          <cell r="B359" t="str">
            <v>HOA THO JC PENNEY</v>
          </cell>
          <cell r="C359" t="str">
            <v>36 ONG ICH DUONG STR-DA NANG CITY-VIET NAM</v>
          </cell>
          <cell r="D359">
            <v>0</v>
          </cell>
          <cell r="E359" t="str">
            <v>THUY AN: 0973 791 797</v>
          </cell>
        </row>
        <row r="360">
          <cell r="B360" t="str">
            <v>HOA THO KOHL</v>
          </cell>
          <cell r="C360" t="str">
            <v>36 ONG ICH DUONG STR-DA NANG CITY-VIET NAM</v>
          </cell>
          <cell r="D360" t="str">
            <v>HANG CHUNG HOA DON</v>
          </cell>
          <cell r="E360" t="str">
            <v>DUONG NHI: 0935 999 136/MS THUONG 0935261055</v>
          </cell>
        </row>
        <row r="361">
          <cell r="B361" t="str">
            <v>HOA THO LOUIS RAPHAEL</v>
          </cell>
          <cell r="C361" t="str">
            <v>36 ONG ICH DUONG STR-DA NANG CITY-VIET NAM</v>
          </cell>
          <cell r="D361" t="str">
            <v>HANG CHUNG HOA DON</v>
          </cell>
          <cell r="E361" t="str">
            <v>DUONG NHI: 0935 999 136</v>
          </cell>
        </row>
        <row r="362">
          <cell r="B362" t="str">
            <v>HOA THO WALMART</v>
          </cell>
          <cell r="C362" t="str">
            <v>36 ONG ICH DUONG STR-DA NANG CITY-VIET NAM</v>
          </cell>
          <cell r="D362" t="str">
            <v>HANG CHUNG HOA DON</v>
          </cell>
          <cell r="E362" t="str">
            <v>Le Thi Thuy Linh (Ms)
Mobile: +84.935.907.295</v>
          </cell>
        </row>
        <row r="363">
          <cell r="B363" t="str">
            <v>HOANG ANH</v>
          </cell>
          <cell r="C363" t="str">
            <v>KHU 4B, THI TRAN QUYNH COI, QUYNH PHU, THAI BINH</v>
          </cell>
          <cell r="D363" t="str">
            <v>HANG THANG LONG GIAO HOANG ANH- CTU</v>
          </cell>
          <cell r="E363" t="str">
            <v>MS LAN: 0976 262 998</v>
          </cell>
        </row>
        <row r="364">
          <cell r="B364" t="str">
            <v>HOANG PHAT</v>
          </cell>
          <cell r="C364" t="str">
            <v>PHU TAI INDUSTRIAL ZONE-P.TRAN QUANG DIEU- QUY NHON</v>
          </cell>
          <cell r="D364">
            <v>0</v>
          </cell>
          <cell r="E364" t="str">
            <v>Ms NGOC: 0905 765 407</v>
          </cell>
        </row>
        <row r="365">
          <cell r="B365" t="str">
            <v>HOANG THANG</v>
          </cell>
          <cell r="C365" t="str">
            <v>KHANH PHU INDUSTRIAL ZONE, NINH BINH</v>
          </cell>
          <cell r="D365">
            <v>0</v>
          </cell>
          <cell r="E365" t="str">
            <v>Tel: 0084-303-762339 ATTN: Mr. Thanh &amp; Miss Nguyet</v>
          </cell>
        </row>
        <row r="366">
          <cell r="B366" t="str">
            <v>ALERON</v>
          </cell>
          <cell r="C366" t="str">
            <v>KCN VA DO THI HOANG LONG, TAO XUYEN, THANH HOA</v>
          </cell>
          <cell r="D366" t="str">
            <v>cho XNK confirm</v>
          </cell>
          <cell r="E366" t="str">
            <v>ANH TRI 01633973037 HOAC HUONG 0973532565</v>
          </cell>
        </row>
        <row r="367">
          <cell r="B367" t="str">
            <v>ALERON PUMA</v>
          </cell>
          <cell r="C367" t="str">
            <v>KCN VA DO THI HOANG LONG, TAO XUYEN, THANH HOA</v>
          </cell>
          <cell r="D367">
            <v>0</v>
          </cell>
          <cell r="E367" t="str">
            <v>MS HELEN 0165 6565 432</v>
          </cell>
        </row>
        <row r="368">
          <cell r="B368" t="str">
            <v>HA NOI TEXTILE NGHE AN</v>
          </cell>
          <cell r="C368" t="str">
            <v>KCN NAM GIANG, NAM DAN, NGHE AN</v>
          </cell>
          <cell r="D368">
            <v>0</v>
          </cell>
          <cell r="E368" t="str">
            <v>MS HUONG 0919190266</v>
          </cell>
        </row>
        <row r="369">
          <cell r="B369" t="str">
            <v>ALERON CLARK</v>
          </cell>
          <cell r="C369" t="str">
            <v>KCN VA DO THI HOANG LONG, TAO XUYEN, THANH HOA</v>
          </cell>
          <cell r="D369" t="str">
            <v>cho XNK confirm</v>
          </cell>
          <cell r="E369" t="str">
            <v>MS HUYEN: 01656235789</v>
          </cell>
        </row>
        <row r="370">
          <cell r="B370" t="str">
            <v>HONG JAE</v>
          </cell>
          <cell r="C370" t="str">
            <v>KM32, KCN TRANG BANG, AN TINH, TRANG BANG, TAY NINH</v>
          </cell>
          <cell r="D370">
            <v>0</v>
          </cell>
          <cell r="E370" t="str">
            <v>MR MOI: 0907 000 016</v>
          </cell>
        </row>
        <row r="371">
          <cell r="B371" t="str">
            <v>Hong Seng Thai Vina</v>
          </cell>
          <cell r="C371" t="str">
            <v xml:space="preserve">Lô 14-16, đường số 3, KCN Tân Đức, xã Đức Hòa Hạ, huyện Đức Hòa, tỉnh Long An </v>
          </cell>
          <cell r="D371">
            <v>0</v>
          </cell>
          <cell r="E371" t="str">
            <v xml:space="preserve">Uyên - Phòng xuất nhập khẩu: 0122.992.7692 </v>
          </cell>
        </row>
        <row r="372">
          <cell r="B372" t="str">
            <v>HS VINA</v>
          </cell>
          <cell r="C372" t="str">
            <v>236C NGUYEN TRUNG TRUC,AP MY THANH,MY PHONG,MY THO,TIEN GIANG</v>
          </cell>
          <cell r="D372">
            <v>0</v>
          </cell>
          <cell r="E372">
            <v>0</v>
          </cell>
        </row>
        <row r="373">
          <cell r="B373" t="str">
            <v>HUDATEX</v>
          </cell>
          <cell r="C373" t="str">
            <v>1 Phan Dinh Phung, Vinh Ninh ward, Hue city, THUA THIEN HUE</v>
          </cell>
          <cell r="D373">
            <v>0</v>
          </cell>
          <cell r="E373" t="str">
            <v>Mr Tuan - 0916425139</v>
          </cell>
        </row>
        <row r="374">
          <cell r="B374" t="str">
            <v>HUE TEXTILE</v>
          </cell>
          <cell r="C374" t="str">
            <v>THUY DUONG-HUONG THUY-TT HUE</v>
          </cell>
          <cell r="D374">
            <v>0</v>
          </cell>
          <cell r="E374" t="str">
            <v>NGUYEN THUY HA-0913425722</v>
          </cell>
        </row>
        <row r="375">
          <cell r="B375" t="str">
            <v>HUE TEXTILE PVH</v>
          </cell>
          <cell r="C375" t="str">
            <v>THUY DUONG-HUONG THUY-TT HUE</v>
          </cell>
          <cell r="D375" t="str">
            <v>CHO XNK CONFIRM-PHAT DUNG NGUOI LIEN HE</v>
          </cell>
          <cell r="E375" t="str">
            <v>LIEN/ HA:  051 3864 026</v>
          </cell>
        </row>
        <row r="376">
          <cell r="B376" t="str">
            <v>HUE VINA</v>
          </cell>
          <cell r="C376" t="str">
            <v>NO.270.DIEN BIEN ROAD CUA BAC WARD.NAM DINH CITY.</v>
          </cell>
          <cell r="D376">
            <v>0</v>
          </cell>
          <cell r="E376" t="str">
            <v>Ms THANH 0915398241</v>
          </cell>
        </row>
        <row r="377">
          <cell r="B377" t="str">
            <v>HUMITEX</v>
          </cell>
          <cell r="C377" t="str">
            <v>130 NGO QUYEN, MAY CHAI, HAI PHONG</v>
          </cell>
          <cell r="D377">
            <v>0</v>
          </cell>
          <cell r="E377">
            <v>0</v>
          </cell>
        </row>
        <row r="378">
          <cell r="B378" t="str">
            <v>HUNG HA</v>
          </cell>
          <cell r="C378" t="str">
            <v>THI TRAN HUNG HA, HUNG HA, THAI BINH</v>
          </cell>
          <cell r="D378">
            <v>0</v>
          </cell>
          <cell r="E378" t="str">
            <v>MR BINH 0912 401 002</v>
          </cell>
        </row>
        <row r="379">
          <cell r="B379" t="str">
            <v>HUNG KIET</v>
          </cell>
          <cell r="C379" t="str">
            <v>AP 3, XA LONG AN, LONG THANH, DONG NAI</v>
          </cell>
          <cell r="D379" t="str">
            <v>HANG CHUNG CTU</v>
          </cell>
          <cell r="E379" t="str">
            <v>MS THOM: 0903 600 510</v>
          </cell>
        </row>
        <row r="380">
          <cell r="B380" t="str">
            <v>HUNG LONG</v>
          </cell>
          <cell r="C380" t="str">
            <v>KM 24-HIGHWAY 5-DI SU-MY HAO-HUNG YEN</v>
          </cell>
          <cell r="D380" t="str">
            <v>PHO TO BILL GUI KEM CHO KH</v>
          </cell>
          <cell r="E380" t="str">
            <v xml:space="preserve">0321 944045-321-943-458 
0914 720 887- CHI MAI
</v>
          </cell>
        </row>
        <row r="381">
          <cell r="B381" t="str">
            <v>HUNG YEN</v>
          </cell>
          <cell r="C381" t="str">
            <v>8 BACH DANG, HUNG YEN</v>
          </cell>
          <cell r="D381" t="str">
            <v>CTU-NETCO-DN#AWB
ghi so DN len Bill</v>
          </cell>
          <cell r="E381" t="str">
            <v>Mr Hong Doan (phone no:+84904379546)</v>
          </cell>
        </row>
        <row r="382">
          <cell r="B382" t="str">
            <v>HUNG YEN 1</v>
          </cell>
          <cell r="C382" t="str">
            <v>83 TRUNG TRAC ST-HUNG YEN TOWN-HUNG YEN</v>
          </cell>
          <cell r="D382">
            <v>0</v>
          </cell>
          <cell r="E382" t="str">
            <v>HANH(Kho vat tu)-321-515741-32-862314/862312- LUONG THI HUU (Mrs.)</v>
          </cell>
        </row>
        <row r="383">
          <cell r="B383" t="str">
            <v>HUNG YEN 2</v>
          </cell>
          <cell r="C383" t="str">
            <v>AN TAO PRECINCT-HUNG YEN TOWN-HUNG YEN</v>
          </cell>
          <cell r="D383">
            <v>0</v>
          </cell>
          <cell r="E383">
            <v>321862423</v>
          </cell>
        </row>
        <row r="384">
          <cell r="B384" t="str">
            <v>HUNG YEN COLUMBIA</v>
          </cell>
          <cell r="C384" t="str">
            <v>8 BACH DANG, HUNG YEN</v>
          </cell>
          <cell r="D384">
            <v>0</v>
          </cell>
          <cell r="E384" t="str">
            <v>MS PHAN HUONG: 0321 3862 314</v>
          </cell>
        </row>
        <row r="385">
          <cell r="B385" t="str">
            <v>HUONG LINH</v>
          </cell>
          <cell r="C385" t="str">
            <v>THON TRA LAM, HIEP CUONG, KIM DONG, HUNG YEN</v>
          </cell>
          <cell r="D385">
            <v>0</v>
          </cell>
          <cell r="E385" t="str">
            <v>Quy: 0987505501</v>
          </cell>
        </row>
        <row r="386">
          <cell r="B386" t="str">
            <v>HUU NGHI DA NANG</v>
          </cell>
          <cell r="C386" t="str">
            <v>DUONG SO 3 - KCN AN DON, P AN HAI BAC, Q. SON TRA, DA NANG</v>
          </cell>
          <cell r="D386">
            <v>0</v>
          </cell>
          <cell r="E386" t="str">
            <v>CHI THANH: 0905471005</v>
          </cell>
        </row>
        <row r="387">
          <cell r="B387" t="str">
            <v>HYPHEN</v>
          </cell>
          <cell r="C387" t="str">
            <v>CIVIL GROUP 1, CAT DA STREET, LAM HA WARD, KIEN AN DISTRICT, HAIPHONG</v>
          </cell>
          <cell r="D387">
            <v>0</v>
          </cell>
          <cell r="E387" t="str">
            <v xml:space="preserve">  Ms. Hue 84 313 576 795</v>
          </cell>
        </row>
        <row r="388">
          <cell r="B388" t="str">
            <v>INDO CHINE</v>
          </cell>
          <cell r="C388" t="str">
            <v>LONG PHU, PHUOC THAI, LONG THANH, DONG NAI</v>
          </cell>
          <cell r="D388">
            <v>0</v>
          </cell>
          <cell r="E388" t="str">
            <v>MR VIET 0907 885 545</v>
          </cell>
        </row>
        <row r="389">
          <cell r="B389" t="str">
            <v>ITG PHONG PHU</v>
          </cell>
          <cell r="C389" t="str">
            <v>2RD-HOA KHANH IZ-LIEN CHIEU- DA NANG</v>
          </cell>
          <cell r="D389">
            <v>0</v>
          </cell>
          <cell r="E389" t="str">
            <v>NGA/ VAN/THU- 84 0511 3842897.
EXT-2511-THU-0989076697</v>
          </cell>
        </row>
        <row r="390">
          <cell r="B390" t="str">
            <v>ITG PHONG PHU  PVH</v>
          </cell>
          <cell r="C390" t="str">
            <v>DUONG SO 2, KCN HOA KHANH, LIEN CHIEU, DA NANG</v>
          </cell>
          <cell r="D390">
            <v>0</v>
          </cell>
          <cell r="E390" t="str">
            <v>Thu Nguyen / Jackie Boatman
0511 842 897</v>
          </cell>
        </row>
        <row r="391">
          <cell r="B391" t="str">
            <v>IVORY</v>
          </cell>
          <cell r="C391" t="str">
            <v>KM6+500, Road 10 Thai Binh-
Nam Dinh, Vu Thu Dist., Thai Binh Prov.</v>
          </cell>
          <cell r="D391" t="str">
            <v>DOI CS CONFIRM</v>
          </cell>
          <cell r="E391" t="str">
            <v>MS MAI: 036 3616 075</v>
          </cell>
        </row>
        <row r="392">
          <cell r="B392" t="str">
            <v>IVORY THANH HOA</v>
          </cell>
          <cell r="C392" t="str">
            <v>THO VUC, TRIEU SON, THANH HOA</v>
          </cell>
          <cell r="D392">
            <v>0</v>
          </cell>
          <cell r="E392" t="str">
            <v>MS HUONG: 0373 631 266 ext: 110
0936 467 896</v>
          </cell>
        </row>
        <row r="393">
          <cell r="B393" t="str">
            <v>PUNGKOOK LONG AN</v>
          </cell>
          <cell r="C393" t="str">
            <v xml:space="preserve">khu B, R.1, Cum Cong nghiep Loi Binh Nhon, xa Loi Binh Nhon, thanh pho Tan An, Tinh Long An
</v>
          </cell>
          <cell r="D393">
            <v>0</v>
          </cell>
          <cell r="E393">
            <v>0</v>
          </cell>
        </row>
        <row r="394">
          <cell r="B394" t="str">
            <v>IVORY VIETNAM</v>
          </cell>
          <cell r="C394" t="str">
            <v>DUONG 10 THAI BINH VU THU NAM DINH</v>
          </cell>
          <cell r="D394">
            <v>0</v>
          </cell>
          <cell r="E394">
            <v>0</v>
          </cell>
        </row>
        <row r="395">
          <cell r="B395" t="str">
            <v>J&amp;D VINAKO</v>
          </cell>
          <cell r="C395" t="str">
            <v>DUONG SO 5 KCN TRANG BANG TAY NINH</v>
          </cell>
          <cell r="D395">
            <v>0</v>
          </cell>
          <cell r="E395">
            <v>0</v>
          </cell>
        </row>
        <row r="396">
          <cell r="B396" t="str">
            <v>J&amp;Y</v>
          </cell>
          <cell r="C396" t="str">
            <v>17T5 TRUNG HOA, NHANH CHINH, HA NOI</v>
          </cell>
          <cell r="D396">
            <v>0</v>
          </cell>
          <cell r="E396" t="str">
            <v>MS HUE: 0912 767 424</v>
          </cell>
        </row>
        <row r="397">
          <cell r="B397" t="str">
            <v>JASAN</v>
          </cell>
          <cell r="C397" t="str">
            <v>So 2 duong 17 Khu DT, CN va DV VSIP Hai phong, X. Thuy Trieu, H. Thuy Nguyen, TP Hai Phong</v>
          </cell>
          <cell r="D397">
            <v>0</v>
          </cell>
          <cell r="E397" t="str">
            <v>A.THAI 0987588988</v>
          </cell>
        </row>
        <row r="398">
          <cell r="B398" t="str">
            <v>JHCOS</v>
          </cell>
          <cell r="C398" t="str">
            <v>Thi Tran Truong Son, Huyen An Lao, Thanh Pho Hai Phong</v>
          </cell>
          <cell r="D398">
            <v>0</v>
          </cell>
          <cell r="E398">
            <v>0</v>
          </cell>
        </row>
        <row r="399">
          <cell r="B399" t="str">
            <v>JHCOS</v>
          </cell>
          <cell r="C399" t="str">
            <v>THI TRAN TRUONG SON, AN LAO, HAI PHONG</v>
          </cell>
          <cell r="D399">
            <v>0</v>
          </cell>
          <cell r="E399" t="str">
            <v>Ms. Vui. tel: 84-031 3679592/3 .</v>
          </cell>
        </row>
        <row r="400">
          <cell r="B400" t="str">
            <v>J-LAND KOREA</v>
          </cell>
          <cell r="C400" t="str">
            <v>7TH FLOOR, NOZA BUILDING 
243A, CAU GIAY,
 HA NOI, VIETNAM</v>
          </cell>
          <cell r="D400">
            <v>0</v>
          </cell>
          <cell r="E400" t="str">
            <v xml:space="preserve">TOMMY
Tel: 844-3767-6652 </v>
          </cell>
        </row>
        <row r="401">
          <cell r="B401" t="str">
            <v>JMC</v>
          </cell>
          <cell r="C401" t="str">
            <v>HONG THAI, VIET YEN, BAC GIANG</v>
          </cell>
          <cell r="D401">
            <v>0</v>
          </cell>
          <cell r="E401" t="str">
            <v>MS MAI: 84.936.165.615</v>
          </cell>
        </row>
        <row r="402">
          <cell r="B402" t="str">
            <v>JUNG KWANG</v>
          </cell>
          <cell r="C402" t="str">
            <v>DUONG 13, TRANG BANG, TAY NINH</v>
          </cell>
          <cell r="D402">
            <v>0</v>
          </cell>
          <cell r="E402" t="str">
            <v>DIEU SAM: 066 3896 052</v>
          </cell>
        </row>
        <row r="403">
          <cell r="B403" t="str">
            <v>JUNZHEN</v>
          </cell>
          <cell r="C403" t="str">
            <v>Lo E, duong N3B, khu cong nghiep Bao Minh, huyen Vu Ban, Nam Dinh</v>
          </cell>
          <cell r="D403">
            <v>0</v>
          </cell>
          <cell r="E403" t="str">
            <v>Ms. Cherry 0961 002 911</v>
          </cell>
        </row>
        <row r="404">
          <cell r="B404" t="str">
            <v>SPORT TEAM</v>
          </cell>
          <cell r="C404" t="str">
            <v>KCN Thuan Yen - P. Hoa Thuan - TP. Tam Ky - Quang Nam</v>
          </cell>
          <cell r="D404">
            <v>0</v>
          </cell>
          <cell r="E404" t="str">
            <v>SUSAN 0902936733</v>
          </cell>
        </row>
        <row r="405">
          <cell r="B405" t="str">
            <v>JY HA NAM</v>
          </cell>
          <cell r="C405" t="str">
            <v>Pho Ca, xa Thanh Nguyen, huyen Thanh Liem, Ha Nam</v>
          </cell>
          <cell r="D405">
            <v>0</v>
          </cell>
          <cell r="E405" t="str">
            <v>Huong (0978432072)</v>
          </cell>
        </row>
        <row r="406">
          <cell r="B406" t="str">
            <v>K+K FASHION</v>
          </cell>
          <cell r="C406" t="str">
            <v>CUM CN NGOC HOA, NGOC GIA, NGOC HOA, CHUONG MY, HA NOI</v>
          </cell>
          <cell r="D406" t="str">
            <v>CHUNG CTU</v>
          </cell>
          <cell r="E406" t="str">
            <v>Hoàng Thị Huyền 0972508992 phòng xuất nhập khẩu</v>
          </cell>
        </row>
        <row r="407">
          <cell r="B407" t="str">
            <v>KAI YANG</v>
          </cell>
          <cell r="C407" t="str">
            <v>196 HOANG QUOC VIET STR, KIEN AN DIST, HAI PHONG PROVINCE</v>
          </cell>
          <cell r="D407">
            <v>0</v>
          </cell>
          <cell r="E407" t="str">
            <v>MS THAM: 0313591476</v>
          </cell>
        </row>
        <row r="408">
          <cell r="B408" t="str">
            <v>KAINAN</v>
          </cell>
          <cell r="C408" t="str">
            <v>So 276, Duong Hang Kenh, Quan Le Chan, Thanh pho Hai Phong</v>
          </cell>
          <cell r="D408">
            <v>0</v>
          </cell>
          <cell r="E408" t="str">
            <v>Ms Xuan - 0902069182</v>
          </cell>
        </row>
        <row r="409">
          <cell r="B409" t="str">
            <v>KANAAN</v>
          </cell>
          <cell r="C409" t="str">
            <v>DUC HOA HA VILLAGE-DUC HOA TOWN-LONG AN</v>
          </cell>
          <cell r="D409">
            <v>0</v>
          </cell>
          <cell r="E409" t="str">
            <v>MS LINH: 0907 727 046 / MR JIMMY VU: 0972 158 577</v>
          </cell>
        </row>
        <row r="410">
          <cell r="B410" t="str">
            <v>CP TU VAN KINH DOANH HA NOI</v>
          </cell>
          <cell r="C410">
            <v>0</v>
          </cell>
          <cell r="D410">
            <v>0</v>
          </cell>
          <cell r="E410">
            <v>0</v>
          </cell>
        </row>
        <row r="411">
          <cell r="B411" t="str">
            <v>KANGAROO</v>
          </cell>
          <cell r="C411" t="str">
            <v>TAY SON, TIEN HAI,  THAI BINH</v>
          </cell>
          <cell r="D411">
            <v>0</v>
          </cell>
          <cell r="E411" t="str">
            <v>MR LEE: 0122 8067 009</v>
          </cell>
        </row>
        <row r="412">
          <cell r="B412" t="str">
            <v>KG VINA</v>
          </cell>
          <cell r="C412" t="str">
            <v>LOT CN1, PHUC TRI NEW URBAN AREA, PHUC TRI NAM THANH, NINH BINH</v>
          </cell>
          <cell r="D412">
            <v>0</v>
          </cell>
          <cell r="E412">
            <v>0</v>
          </cell>
        </row>
        <row r="413">
          <cell r="B413" t="str">
            <v>KHAI HOAN</v>
          </cell>
          <cell r="C413" t="str">
            <v>Pho Noi B textile and garment Industrial  Zone, Yen My, Hung Yen province</v>
          </cell>
          <cell r="D413" t="str">
            <v>CTU-NETCO-DN#AWB
ghi so DN len Bill</v>
          </cell>
          <cell r="E413" t="str">
            <v xml:space="preserve">0321 397 2628-Ms. Vu Thi Khanh Van (HP: 0913 213 132) vankhaihoan@gmail.com
</v>
          </cell>
        </row>
        <row r="414">
          <cell r="B414" t="str">
            <v>KHAI MINH</v>
          </cell>
          <cell r="C414" t="str">
            <v>E15, NO 5, LY TU TRONG STREET, HONG BANG, HAI PHONG</v>
          </cell>
          <cell r="D414">
            <v>0</v>
          </cell>
          <cell r="E414" t="str">
            <v>0936 217 238</v>
          </cell>
        </row>
        <row r="415">
          <cell r="B415" t="str">
            <v>KHANH HOA</v>
          </cell>
          <cell r="C415" t="str">
            <v>12LE THANH TON-NHA TRANG-KHANH HOA</v>
          </cell>
          <cell r="D415">
            <v>0</v>
          </cell>
          <cell r="E415" t="str">
            <v>ANH BAY-0903508075</v>
          </cell>
        </row>
        <row r="416">
          <cell r="B416" t="str">
            <v>KHANH HOA GARMENT</v>
          </cell>
          <cell r="C416" t="str">
            <v>SO 4 NGUYEN THIEN THUAT, P TAN LAP, TP NHA TRANG, KHANH HOA</v>
          </cell>
          <cell r="D416">
            <v>0</v>
          </cell>
          <cell r="E416" t="str">
            <v>ANH CUONG: 0903 588 095</v>
          </cell>
        </row>
        <row r="417">
          <cell r="B417" t="str">
            <v>KHANH VIET CORPORATION (KHATOCO)</v>
          </cell>
          <cell r="C417" t="str">
            <v>84 HUNG VUONG-NHA TRANG-KHANH  HOA</v>
          </cell>
          <cell r="D417">
            <v>0</v>
          </cell>
          <cell r="E417" t="str">
            <v>TRINH THI LE, tel : 058 3 521 443.</v>
          </cell>
        </row>
        <row r="418">
          <cell r="B418" t="str">
            <v>KHATOCO</v>
          </cell>
          <cell r="C418" t="str">
            <v>SO 7, DUONG VO THI SAU, PHUONG VINH NGUYEN, TP NHA TRANG, TINH KHANH HOA</v>
          </cell>
          <cell r="D418">
            <v>0</v>
          </cell>
          <cell r="E418" t="str">
            <v>Ms Ngọc Anh ( 0903 513 649)</v>
          </cell>
        </row>
        <row r="419">
          <cell r="B419" t="str">
            <v>RYHYING VN</v>
          </cell>
          <cell r="C419" t="str">
            <v>301 VU XUAN THIEU, PHUC LOI, LONG BIEN, HA NOI</v>
          </cell>
          <cell r="D419">
            <v>0</v>
          </cell>
          <cell r="E419">
            <v>0</v>
          </cell>
        </row>
        <row r="420">
          <cell r="B420" t="str">
            <v>KHC FASHION</v>
          </cell>
          <cell r="C420" t="str">
            <v>DIEM CN NGOC HOA-THON NGOC GIA-NGOC HOA- CHUONG MY-HANOI</v>
          </cell>
          <cell r="D420">
            <v>0</v>
          </cell>
          <cell r="E420">
            <v>0</v>
          </cell>
        </row>
        <row r="421">
          <cell r="B421" t="str">
            <v>KIDO HANOI</v>
          </cell>
          <cell r="C421" t="str">
            <v>KHU D-KCN PHO NOI A- HUNG YEN</v>
          </cell>
          <cell r="D421">
            <v>0</v>
          </cell>
          <cell r="E421" t="str">
            <v>MS LAN-321972750</v>
          </cell>
        </row>
        <row r="422">
          <cell r="B422" t="str">
            <v>KIM ANH</v>
          </cell>
          <cell r="C422" t="str">
            <v>LO 1-3, KCN TAY BAC GA, THANH HOA</v>
          </cell>
          <cell r="D422" t="str">
            <v>HANG CHUNG CTU</v>
          </cell>
          <cell r="E422" t="str">
            <v>KIM ANH: 0913 269 420</v>
          </cell>
        </row>
        <row r="423">
          <cell r="B423" t="str">
            <v>KIM DO</v>
          </cell>
          <cell r="C423" t="str">
            <v>LO 2/5 KHU CONG NGHIEP PHAN THIET - XA PHONG NAM, TP PHAN THIET - TINH BINH THUAN</v>
          </cell>
          <cell r="D423">
            <v>0</v>
          </cell>
          <cell r="E423" t="str">
            <v>HOAI THI 0908230589</v>
          </cell>
        </row>
        <row r="424">
          <cell r="B424" t="str">
            <v>KIM DONG</v>
          </cell>
          <cell r="C424" t="str">
            <v xml:space="preserve">Thôn Đồng Lý – Thị Trấn Lương Bằng – Huyện Kim Động – Tỉnh Hưng Yên </v>
          </cell>
          <cell r="D424" t="str">
            <v>HANG CHUNG CTU</v>
          </cell>
          <cell r="E424" t="str">
            <v>ms Bich.0983502219</v>
          </cell>
        </row>
        <row r="425">
          <cell r="B425" t="str">
            <v>KIM SON</v>
          </cell>
          <cell r="C425" t="str">
            <v>DUONG THUONG KIEM, KIM SON, NINH BINH</v>
          </cell>
          <cell r="D425" t="str">
            <v>HANG CHUNG CTU</v>
          </cell>
          <cell r="E425" t="str">
            <v>MR CUONG - P. KE HOACH: 0912 968 067</v>
          </cell>
        </row>
        <row r="426">
          <cell r="B426" t="str">
            <v>KING DRAGON</v>
          </cell>
          <cell r="C426" t="str">
            <v>C11, LO 9, KHU DO THI DINH CONG, HOANG MAI, HA NOI</v>
          </cell>
          <cell r="D426">
            <v>0</v>
          </cell>
          <cell r="E426" t="str">
            <v>MS GIANG: 0934 686 893</v>
          </cell>
        </row>
        <row r="427">
          <cell r="B427" t="str">
            <v>KOMEGA SPORT</v>
          </cell>
          <cell r="C427" t="str">
            <v>242 TO KY, TAN CHANH HIEP, Q12, HCM</v>
          </cell>
          <cell r="D427" t="str">
            <v>TTC-KHTT</v>
          </cell>
          <cell r="E427" t="str">
            <v>MS NGAN 08 3891 1740</v>
          </cell>
        </row>
        <row r="428">
          <cell r="B428" t="str">
            <v>KOMEGA X</v>
          </cell>
          <cell r="C428" t="str">
            <v>LOTS M2-M7-SUOI DAU IP-CAM LAM-KHANH HOA</v>
          </cell>
          <cell r="D428" t="str">
            <v>KHTT-TTC</v>
          </cell>
          <cell r="E428" t="str">
            <v>0904 141251- MS DUNG</v>
          </cell>
        </row>
        <row r="429">
          <cell r="B429" t="str">
            <v>KOSVI</v>
          </cell>
          <cell r="C429" t="str">
            <v>LONG PHU, PHUOC THAI, LONG THANH, DONG NAI</v>
          </cell>
          <cell r="D429">
            <v>0</v>
          </cell>
          <cell r="E429" t="str">
            <v>MS NGOC: 0937 248 939</v>
          </cell>
        </row>
        <row r="430">
          <cell r="B430" t="str">
            <v>KOSVI</v>
          </cell>
          <cell r="C430" t="str">
            <v>LONG PHU HAMLET, PHUOC THAI VILLAGE, LONG THANH DISCT, DONG NAI</v>
          </cell>
          <cell r="D430">
            <v>0</v>
          </cell>
          <cell r="E430" t="str">
            <v>CINDY: 06513542971</v>
          </cell>
        </row>
        <row r="431">
          <cell r="B431" t="str">
            <v>KOVI KYUNG SEUNG</v>
          </cell>
          <cell r="C431" t="str">
            <v>KCN DONG DINH, TAN YEN, BAC GIANG</v>
          </cell>
          <cell r="D431" t="str">
            <v>HANG TRC CTU</v>
          </cell>
          <cell r="E431" t="str">
            <v>MS BAO ANH
0977 770 290</v>
          </cell>
        </row>
        <row r="432">
          <cell r="B432" t="str">
            <v>KOVINA</v>
          </cell>
          <cell r="C432" t="str">
            <v xml:space="preserve">KCN TRANG BANG-AN TINH-TAY NINH </v>
          </cell>
          <cell r="D432" t="str">
            <v>HANG CHUNG CHUNG TU</v>
          </cell>
          <cell r="E432" t="str">
            <v>ATTN: CHI CHAU: 
0982020407
AN: 0919 048 028</v>
          </cell>
        </row>
        <row r="433">
          <cell r="B433" t="str">
            <v>KR VIET NAM</v>
          </cell>
          <cell r="C433" t="str">
            <v>LAI CACH, CAM GIANG, HAI DUONG</v>
          </cell>
          <cell r="D433">
            <v>0</v>
          </cell>
          <cell r="E433" t="str">
            <v>Ms. Jenny Han Dao DT: 84-320-378-1018</v>
          </cell>
        </row>
        <row r="434">
          <cell r="B434" t="str">
            <v>KRD IMPORTS</v>
          </cell>
          <cell r="C434" t="str">
            <v>Số 68, Ngõ 34 , Đường Hoàng Cầu, Đống Đa, Hà Nội</v>
          </cell>
          <cell r="D434" t="str">
            <v>NETCO- NNTT</v>
          </cell>
          <cell r="E434" t="str">
            <v>Liên hệ chị Hania: +84 988 099 142</v>
          </cell>
        </row>
        <row r="435">
          <cell r="B435" t="str">
            <v>PEARL GLOBAL</v>
          </cell>
          <cell r="C435" t="str">
            <v>THON NUM, XA DINH TRI, TP BAC GIANG, TINH BAC GIANG</v>
          </cell>
          <cell r="D435">
            <v>0</v>
          </cell>
          <cell r="E435">
            <v>0</v>
          </cell>
        </row>
        <row r="436">
          <cell r="B436" t="str">
            <v>THIEN SON HUNG YEN</v>
          </cell>
          <cell r="C436" t="str">
            <v>THON NAM SON, XA THIEN PHIEN, HUYEN TIEN LU
TINH HUNG YEN</v>
          </cell>
          <cell r="D436">
            <v>0</v>
          </cell>
          <cell r="E436">
            <v>0</v>
          </cell>
        </row>
        <row r="437">
          <cell r="B437" t="str">
            <v>TAKSON HUE</v>
          </cell>
          <cell r="C437" t="str">
            <v>LOT K2, KCN PHU BAI, PHU BAI, HUONG THUY, HUE</v>
          </cell>
          <cell r="D437">
            <v>0</v>
          </cell>
          <cell r="E437">
            <v>0</v>
          </cell>
        </row>
        <row r="438">
          <cell r="B438" t="str">
            <v>ROSVIET</v>
          </cell>
          <cell r="C438" t="str">
            <v>KHU 11, PHUONG BINH HAN, TP HAI DUONG</v>
          </cell>
          <cell r="D438">
            <v>0</v>
          </cell>
          <cell r="E438">
            <v>0</v>
          </cell>
        </row>
        <row r="439">
          <cell r="B439" t="str">
            <v>KWANG JIN</v>
          </cell>
          <cell r="C439" t="str">
            <v>209 HO NGOC LAN, KINH BAC, BAC NINH</v>
          </cell>
          <cell r="D439">
            <v>0</v>
          </cell>
          <cell r="E439" t="str">
            <v>THU THUY 0912 412 878</v>
          </cell>
        </row>
        <row r="440">
          <cell r="B440" t="str">
            <v>SING LUN KINH BAC</v>
          </cell>
          <cell r="C440" t="str">
            <v>SO 8, DUONG THANH BAC, TP BAC NINH</v>
          </cell>
          <cell r="D440">
            <v>0</v>
          </cell>
          <cell r="E440" t="str">
            <v>MS NU 0915224482</v>
          </cell>
        </row>
        <row r="441">
          <cell r="B441" t="str">
            <v>MAY KINH BAC</v>
          </cell>
          <cell r="C441" t="str">
            <v>DUONG THANH BAC, TP BAC NINH</v>
          </cell>
          <cell r="D441">
            <v>0</v>
          </cell>
          <cell r="E441" t="str">
            <v>DUC ANH 0943700291</v>
          </cell>
        </row>
        <row r="442">
          <cell r="B442" t="str">
            <v>KWONG LUNG MEKO</v>
          </cell>
          <cell r="C442" t="str">
            <v>LOT 2.20C, TRA NOC INDUSTRIAL ZONE, CAN THO</v>
          </cell>
          <cell r="D442">
            <v>0</v>
          </cell>
          <cell r="E442" t="str">
            <v>0710 3844 1026
MR GU WEN JUN 0919 978 816</v>
          </cell>
        </row>
        <row r="443">
          <cell r="B443" t="str">
            <v>VAN PHONG MAKALOT</v>
          </cell>
          <cell r="C443" t="str">
            <v>TANG 8, TOA NHA HCC, 28 LY THUONG KIET, HUE</v>
          </cell>
          <cell r="D443">
            <v>0</v>
          </cell>
          <cell r="E443" t="str">
            <v>0935 089 833</v>
          </cell>
        </row>
        <row r="444">
          <cell r="B444" t="str">
            <v>VINA KNF</v>
          </cell>
          <cell r="C444" t="str">
            <v>HAMLET 1&amp;2, CO PHUC TOWN, TRAN YEN, YEN BAI</v>
          </cell>
          <cell r="D444">
            <v>0</v>
          </cell>
          <cell r="E444">
            <v>0</v>
          </cell>
        </row>
        <row r="445">
          <cell r="B445" t="str">
            <v>DONG MY</v>
          </cell>
          <cell r="C445" t="str">
            <v>Thôn 2- Xã Đông mỹ- Thanh Trì - Hà Nội</v>
          </cell>
          <cell r="D445">
            <v>0</v>
          </cell>
          <cell r="E445" t="str">
            <v>chị Thơm 0986 371 045</v>
          </cell>
        </row>
        <row r="446">
          <cell r="B446" t="str">
            <v>VINATEX TEXTILE</v>
          </cell>
          <cell r="C446" t="str">
            <v>3rd Floor, ICT Building/ 02-9A Lot, Vinh Hoang I.Z. Hoang Van Thu Ward, Hoang Mai Dist., Hanoi, Viet Nam.</v>
          </cell>
          <cell r="D446">
            <v>0</v>
          </cell>
          <cell r="E446">
            <v>0</v>
          </cell>
        </row>
        <row r="447">
          <cell r="B447" t="str">
            <v>KY TUONG</v>
          </cell>
          <cell r="C447" t="str">
            <v>KCN XUYEN A- DUC HOA-LONG AN
(CUM A LO A2- XA MY HANH BAC)</v>
          </cell>
          <cell r="D447">
            <v>0</v>
          </cell>
          <cell r="E447">
            <v>0</v>
          </cell>
        </row>
        <row r="448">
          <cell r="B448" t="str">
            <v>KYUNG VIET</v>
          </cell>
          <cell r="C448" t="str">
            <v>Khu CN Phố Nối A, xã Lạc Hồng, Văn Lâm, Hưng Yên</v>
          </cell>
          <cell r="D448">
            <v>0</v>
          </cell>
          <cell r="E448" t="str">
            <v>0321 398 2209
Attn: Ms Hien ( 0934 245 648 )</v>
          </cell>
        </row>
        <row r="449">
          <cell r="B449" t="str">
            <v>LAC TY II</v>
          </cell>
          <cell r="C449" t="str">
            <v>B1, B2 lot, Tan Phu Thanh Industrial Zone, Phase I, Chau Thanh A District, Hau Giang Province.</v>
          </cell>
          <cell r="D449">
            <v>0</v>
          </cell>
          <cell r="E449" t="str">
            <v>MS BICH LIEN (0974 521 071)
 0711 3953 295 / 0711 395 33 99 - Fax : 0711 3953 449</v>
          </cell>
        </row>
        <row r="450">
          <cell r="B450" t="str">
            <v>LAM HAM</v>
          </cell>
          <cell r="C450" t="str">
            <v>Block 24,Street No.6,Trang Bang Industrial Zone,Km 32,An Tinh Commune,Trang Bang Dist.,Tay Ninh Province</v>
          </cell>
          <cell r="D450">
            <v>0</v>
          </cell>
          <cell r="E450" t="str">
            <v>AMANDA 0128.437.1016</v>
          </cell>
        </row>
        <row r="451">
          <cell r="B451" t="str">
            <v>LAM NGUYEN PHAT</v>
          </cell>
          <cell r="C451" t="str">
            <v>SO 42, TO 9, DUONG K3, CAU DIEN, TU LIEM, HA NOI</v>
          </cell>
          <cell r="D451">
            <v>0</v>
          </cell>
          <cell r="E451" t="str">
            <v>MS DUNG: 0903 418 389</v>
          </cell>
        </row>
        <row r="452">
          <cell r="B452" t="str">
            <v>LAN LAN</v>
          </cell>
          <cell r="C452" t="str">
            <v>KM4, HUNG VUONG, PHU KHANH, THAI BINH</v>
          </cell>
          <cell r="D452">
            <v>0</v>
          </cell>
          <cell r="E452" t="str">
            <v>MS Diep: 036 3836 638</v>
          </cell>
        </row>
        <row r="453">
          <cell r="B453" t="str">
            <v>LAN LAN</v>
          </cell>
          <cell r="C453">
            <v>0</v>
          </cell>
          <cell r="D453">
            <v>0</v>
          </cell>
          <cell r="E453">
            <v>0</v>
          </cell>
        </row>
        <row r="454">
          <cell r="B454" t="str">
            <v>LANG HAM</v>
          </cell>
          <cell r="C454" t="str">
            <v>LOT24-6 RD-TRANG BANG IZ-TRANG BANG-TAY NINH</v>
          </cell>
          <cell r="D454">
            <v>0</v>
          </cell>
          <cell r="E454" t="str">
            <v>66898088-MS KATHY- 0909 158 288
0907 009 502- MR TIN</v>
          </cell>
        </row>
        <row r="455">
          <cell r="B455" t="str">
            <v>LEADER</v>
          </cell>
          <cell r="C455" t="str">
            <v>LO II-7, KCN Hoa Phu (giai Doan 2), xa Hoa Phu, huyen Long Ho, tinh Vinh Long</v>
          </cell>
          <cell r="D455" t="str">
            <v>CHUNG HD</v>
          </cell>
          <cell r="E455" t="str">
            <v>Nguyễn Minh Thư- Sdt: 0963 861 760</v>
          </cell>
        </row>
        <row r="456">
          <cell r="B456" t="str">
            <v>LEO JINS</v>
          </cell>
          <cell r="C456" t="str">
            <v>KCN Dong Van - Duy Tien - Ha Nam</v>
          </cell>
          <cell r="D456">
            <v>0</v>
          </cell>
          <cell r="E456" t="str">
            <v>351 3582835</v>
          </cell>
        </row>
        <row r="457">
          <cell r="B457" t="str">
            <v>GGS HA NOI</v>
          </cell>
          <cell r="C457" t="str">
            <v>Lau 2, Toa nha Simco, 28 Pham Hung, Quan Nam Tu Liem, HA NOI</v>
          </cell>
          <cell r="D457">
            <v>0</v>
          </cell>
          <cell r="E457">
            <v>0</v>
          </cell>
        </row>
        <row r="458">
          <cell r="B458" t="str">
            <v>LI &amp; FUNG</v>
          </cell>
          <cell r="C458" t="str">
            <v xml:space="preserve">CONG TY RAPEXCO-DAINAM LLC SUOI DAU INDUSTRIAL,CAM LAM DISTRICT, KHANH HOA PROVICE, VIET NAM, </v>
          </cell>
          <cell r="D458">
            <v>0</v>
          </cell>
          <cell r="E458" t="str">
            <v>Ms Lien- SDT:84 58 373516</v>
          </cell>
        </row>
        <row r="459">
          <cell r="B459" t="str">
            <v>LIEN HIEP</v>
          </cell>
          <cell r="C459" t="str">
            <v>Thôn Quán Dọc, xã Thanh An, huyện Thanh Hà, tỉnh Hải Dương</v>
          </cell>
          <cell r="D459">
            <v>0</v>
          </cell>
          <cell r="E459" t="str">
            <v>+84320 3818699</v>
          </cell>
        </row>
        <row r="460">
          <cell r="B460" t="str">
            <v>LINEA AQUA</v>
          </cell>
          <cell r="C460" t="str">
            <v>Plot No L1, Pho Noi B Textile &amp; Garment Industrial Park, Di Su Ward, My Hao District, Hung Yen Province</v>
          </cell>
          <cell r="D460">
            <v>0</v>
          </cell>
          <cell r="E460">
            <v>0</v>
          </cell>
        </row>
        <row r="461">
          <cell r="B461" t="str">
            <v>LONG AN</v>
          </cell>
          <cell r="C461" t="str">
            <v>373 QL 1A, PHUONG 4, TP TAN AN, LONG AN</v>
          </cell>
          <cell r="D461" t="str">
            <v>HANG CHO CONFIRM</v>
          </cell>
          <cell r="E461" t="str">
            <v>A PHUONG: 0976 191 137</v>
          </cell>
        </row>
        <row r="462">
          <cell r="B462" t="str">
            <v>LONG HANH THIEN HA</v>
          </cell>
          <cell r="C462" t="str">
            <v>KCN VU QUY, KIEN XUONG, THAI BINH</v>
          </cell>
          <cell r="D462">
            <v>0</v>
          </cell>
          <cell r="E462">
            <v>0</v>
          </cell>
        </row>
        <row r="463">
          <cell r="B463" t="str">
            <v>LONG MA</v>
          </cell>
          <cell r="C463" t="str">
            <v>BICH HOA IZ-BICH HOA-THANH OAI DIST-HA TAY</v>
          </cell>
          <cell r="D463">
            <v>0</v>
          </cell>
          <cell r="E463" t="str">
            <v>BUI VIET SAM</v>
          </cell>
        </row>
        <row r="464">
          <cell r="B464" t="str">
            <v>LONG YU</v>
          </cell>
          <cell r="C464" t="str">
            <v>KM 9, xa Tan Thinh, H Nam Truc, Nam Dinh</v>
          </cell>
          <cell r="D464">
            <v>0</v>
          </cell>
          <cell r="E464" t="str">
            <v>Attn: Dung (0902 160 899 )
MS NHU: 0350 3929380</v>
          </cell>
        </row>
        <row r="465">
          <cell r="B465" t="str">
            <v>LONGFA</v>
          </cell>
          <cell r="C465" t="str">
            <v>LO D, DUONG N11, KHU CONG NGHIEP MINH HUNG, XA MINH HUNG HUYEN CHON THANH, TINH BINH PHUOC</v>
          </cell>
          <cell r="D465">
            <v>0</v>
          </cell>
          <cell r="E465" t="str">
            <v>MS HUONG: 0933347667</v>
          </cell>
        </row>
        <row r="466">
          <cell r="B466" t="str">
            <v>LONGYU</v>
          </cell>
          <cell r="C466" t="str">
            <v>KM9, XA TAN THINH, HUYEN NAM TRUC, NAM DINH</v>
          </cell>
          <cell r="D466">
            <v>0</v>
          </cell>
          <cell r="E466" t="str">
            <v>Mr. Sumiya 0350 3929380</v>
          </cell>
        </row>
        <row r="467">
          <cell r="B467" t="str">
            <v>LOTUS TEXTILE</v>
          </cell>
          <cell r="C467" t="str">
            <v>Trang Bang Industrial Park,
 Tay Ninh Province</v>
          </cell>
          <cell r="D467" t="str">
            <v>CHUNG TU</v>
          </cell>
          <cell r="E467" t="str">
            <v>MS THAM: 0164 946 9310</v>
          </cell>
        </row>
        <row r="468">
          <cell r="B468" t="str">
            <v>LUONG LE</v>
          </cell>
          <cell r="C468" t="str">
            <v>PHONG 1412, TOA NHA HEMISCO, PHUONG PHUC LA , HA DONG, HA NOI</v>
          </cell>
          <cell r="D468">
            <v>0</v>
          </cell>
          <cell r="E468" t="str">
            <v>TEL: 0908702067</v>
          </cell>
        </row>
        <row r="469">
          <cell r="B469" t="str">
            <v>MACALLAN</v>
          </cell>
          <cell r="C469" t="str">
            <v>THON NGOC GIA, NGOC HOA, CHUONG MY, HA NOI</v>
          </cell>
          <cell r="D469">
            <v>0</v>
          </cell>
          <cell r="E469" t="str">
            <v>MS THOA: 0988 303 555</v>
          </cell>
        </row>
        <row r="470">
          <cell r="B470" t="str">
            <v>MAI HUONG</v>
          </cell>
          <cell r="C470" t="str">
            <v>P 306, KHU A1, CHUNG CU BAC SON , HAI PHONG</v>
          </cell>
          <cell r="D470">
            <v>0</v>
          </cell>
          <cell r="E470" t="str">
            <v>Mr Mạnh-0973 577 787-313 598060</v>
          </cell>
        </row>
        <row r="471">
          <cell r="B471" t="str">
            <v>MAKALOT</v>
          </cell>
          <cell r="C471" t="str">
            <v>THANH HAI -  THANH HA -  HAI DUONG</v>
          </cell>
          <cell r="D471" t="str">
            <v>VAT- DONG MOC TREO- CHUNG HD</v>
          </cell>
          <cell r="E471" t="str">
            <v>ANH TUAN: 0979 399 357</v>
          </cell>
        </row>
        <row r="472">
          <cell r="B472" t="str">
            <v>MANSEON</v>
          </cell>
          <cell r="C472" t="str">
            <v>Xóm 8, xã Vĩnh Thành, Huyện Vĩnh Lộc, Tỉnh Thanh Hóa</v>
          </cell>
          <cell r="D472">
            <v>0</v>
          </cell>
          <cell r="E472" t="str">
            <v>Ms Huyền: 0974 351 557
Ms Hường: 0936 852 010/ 0912 231 885</v>
          </cell>
        </row>
        <row r="473">
          <cell r="B473" t="str">
            <v>MASCOT</v>
          </cell>
          <cell r="C473" t="str">
            <v>BOUNDER WAREHOUSE LOT 3.1-TAN TRUONG IZ-CAM GIANG DIST-HAI DUONG</v>
          </cell>
          <cell r="D473" t="str">
            <v>CHO XNK CONFIRM</v>
          </cell>
          <cell r="E473" t="str">
            <v>QUYNH: 0904 011 547</v>
          </cell>
        </row>
        <row r="474">
          <cell r="B474" t="str">
            <v>MAX PLANNING</v>
          </cell>
          <cell r="C474" t="str">
            <v>Street No. 2,Hoa Cam Industrial Zone, Hoa Tho Tay ward, Cam Le District, Da Nang</v>
          </cell>
          <cell r="D474">
            <v>0</v>
          </cell>
          <cell r="E474" t="str">
            <v>Ms Nien - 0918636784</v>
          </cell>
        </row>
        <row r="475">
          <cell r="B475" t="str">
            <v>MAXPORT 6</v>
          </cell>
          <cell r="C475" t="str">
            <v>NANG TINH, NAM DINH</v>
          </cell>
          <cell r="D475">
            <v>0</v>
          </cell>
          <cell r="E475" t="str">
            <v>NHAT 0944 747 267</v>
          </cell>
        </row>
        <row r="476">
          <cell r="B476" t="str">
            <v>MAXPORT 2</v>
          </cell>
          <cell r="C476" t="str">
            <v>LOT 1, TA HIEN STREET, KCN PHUC KHANH, THAI BINH</v>
          </cell>
          <cell r="D476">
            <v>0</v>
          </cell>
          <cell r="E476">
            <v>0</v>
          </cell>
        </row>
        <row r="477">
          <cell r="B477" t="str">
            <v>MAXPORT HA NOI</v>
          </cell>
          <cell r="C477" t="str">
            <v>88 HA DINH, THANH XUAN, HA NOI</v>
          </cell>
          <cell r="D477" t="str">
            <v>NHAN NIKE CHO CS CONFIRM MAIL MOI GIAO HANG- GIAO BANG NETCO
IN PKL TU MAIL CUA CS, KEM THEO DE GIAO HANG</v>
          </cell>
          <cell r="E477" t="str">
            <v>MS HUYEN: 84-4-38583225 Ext: 88121.</v>
          </cell>
        </row>
        <row r="478">
          <cell r="B478" t="str">
            <v>MAXPORT NIKE</v>
          </cell>
          <cell r="C478" t="str">
            <v>Nguyen Duc Canh IZ-Tran Thai Tong road-Thai Binh</v>
          </cell>
          <cell r="D478" t="str">
            <v>1 tuan giao 1 lan, duong bo- xnk confirm</v>
          </cell>
          <cell r="E478" t="str">
            <v>MS HANH: 036 3844111 EXT: 781</v>
          </cell>
        </row>
        <row r="479">
          <cell r="B479" t="str">
            <v>MAXPORT NORTHFACE</v>
          </cell>
          <cell r="C479" t="str">
            <v>88 HA DINH-THANH XUAN-HANOI</v>
          </cell>
          <cell r="D479" t="str">
            <v>KO GIAO CHO CS CONFIRM</v>
          </cell>
          <cell r="E479" t="str">
            <v>MS LAN-04-8583225</v>
          </cell>
        </row>
        <row r="480">
          <cell r="B480" t="str">
            <v>MAXPORT PATAGONIA</v>
          </cell>
          <cell r="C480" t="str">
            <v>Nguyen Duc Canh IZ-Tran Thai Tong road-Thai Binh</v>
          </cell>
          <cell r="D480" t="str">
            <v>1 tuan giao 1 lan, duong bo- xnk confirm</v>
          </cell>
          <cell r="E480" t="str">
            <v>NINH: 0986 807 759</v>
          </cell>
        </row>
        <row r="481">
          <cell r="B481" t="str">
            <v>MAXTURN</v>
          </cell>
          <cell r="C481" t="str">
            <v>UNIT G1-B, KCN QUE VO, PHUONG LIEU, QUE VO, BAC NINH</v>
          </cell>
          <cell r="D481" t="str">
            <v>CHUNG CTU</v>
          </cell>
          <cell r="E481" t="str">
            <v>LILY: 0167 4523 233</v>
          </cell>
        </row>
        <row r="482">
          <cell r="B482" t="str">
            <v>MAY 2 HAI DUONG</v>
          </cell>
          <cell r="C482" t="str">
            <v>KM54+100M-QL5-NGOC CHAU-HAI DUONG</v>
          </cell>
          <cell r="D482">
            <v>0</v>
          </cell>
          <cell r="E482">
            <v>0</v>
          </cell>
        </row>
        <row r="483">
          <cell r="B483" t="str">
            <v>MAY 29 03</v>
          </cell>
          <cell r="C483" t="str">
            <v>60-ME NHU-DA NANG</v>
          </cell>
          <cell r="D483" t="str">
            <v>HANG GEN NHAN FIGS CHO EMAIL CONFIRM GIAO HANG CUA CS, KEM PKL CHI TIET (DECATHLON)</v>
          </cell>
          <cell r="E483" t="str">
            <v>ANH CHAU- KHO PHU LIEU-05113-759249</v>
          </cell>
        </row>
        <row r="484">
          <cell r="B484" t="str">
            <v>MAY DA LAT</v>
          </cell>
          <cell r="C484" t="str">
            <v xml:space="preserve">S ố 9 Phù Đổng Thiên Vương P.8 Đà Lạt. </v>
          </cell>
          <cell r="D484">
            <v>0</v>
          </cell>
          <cell r="E484" t="str">
            <v>ATTN:HOÀNG NGỌC THỊNH-01699655227</v>
          </cell>
        </row>
        <row r="485">
          <cell r="B485" t="str">
            <v>MAY GIA LAI</v>
          </cell>
          <cell r="C485" t="str">
            <v>TO 12, P. YEN DO, TP. PLEIKU, GIA LAI</v>
          </cell>
          <cell r="D485">
            <v>0</v>
          </cell>
          <cell r="E485" t="str">
            <v>THUY: 0987 384 437</v>
          </cell>
        </row>
        <row r="486">
          <cell r="B486" t="str">
            <v>STS VINA</v>
          </cell>
          <cell r="C486" t="str">
            <v>NO 32/39 TUC MAC, LOC VUONG, NAM DINH</v>
          </cell>
          <cell r="D486">
            <v>0</v>
          </cell>
          <cell r="E486" t="str">
            <v>TUAN 0913227271</v>
          </cell>
        </row>
        <row r="487">
          <cell r="B487" t="str">
            <v>MAY HAI</v>
          </cell>
          <cell r="C487" t="str">
            <v>216 TRAN THANH NGO ST-KIEN AN DIST-HAI PHONG</v>
          </cell>
          <cell r="D487" t="str">
            <v>cho XNK confirm-NETCO-DN#AWB
ghi so DN len Bill</v>
          </cell>
          <cell r="E487" t="str">
            <v>0169 640 1182- MS HUE</v>
          </cell>
        </row>
        <row r="488">
          <cell r="B488" t="str">
            <v>MAY HAI COLUMBIA</v>
          </cell>
          <cell r="C488" t="str">
            <v>216 TRAN THANH NGO ST-KIEN AN DIST-HAI PHONG</v>
          </cell>
          <cell r="D488">
            <v>0</v>
          </cell>
          <cell r="E488" t="str">
            <v>0936 124 689- THUY</v>
          </cell>
        </row>
        <row r="489">
          <cell r="B489" t="str">
            <v>GREAT SUPER</v>
          </cell>
          <cell r="C489" t="str">
            <v>KCN SUOI TRE, LONG KHANH, DONG NAI</v>
          </cell>
          <cell r="D489">
            <v>0</v>
          </cell>
          <cell r="E489" t="str">
            <v>TEL: +84-2513- 647 870~-7 MR BOB</v>
          </cell>
        </row>
        <row r="490">
          <cell r="B490" t="str">
            <v>MAY HAI TIMBERLAND</v>
          </cell>
          <cell r="C490" t="str">
            <v>216 TRAN THANH NGO ST-KIEN AN DIST-HAI PHONG</v>
          </cell>
          <cell r="D490" t="str">
            <v>FWDER KHDL DOI CHI VAN CF</v>
          </cell>
          <cell r="E490">
            <v>0</v>
          </cell>
        </row>
        <row r="491">
          <cell r="B491" t="str">
            <v>MAY HAI VAT</v>
          </cell>
          <cell r="C491" t="str">
            <v>216 TRAN THANH NGO ST-KIEN AN DIST-HAI PHONG</v>
          </cell>
          <cell r="D491">
            <v>0</v>
          </cell>
          <cell r="E491" t="str">
            <v>MS HIEN: 0988 969 755</v>
          </cell>
        </row>
        <row r="492">
          <cell r="B492" t="str">
            <v>May hanosimex 1</v>
          </cell>
          <cell r="C492" t="str">
            <v>Tầng 8, tòa nhà Nam Hải, lô 9A Vĩnh Hoàng, Hoàng Mai, Hà Nội.</v>
          </cell>
          <cell r="D492">
            <v>0</v>
          </cell>
          <cell r="E492" t="str">
            <v>Tel: 01679842135</v>
          </cell>
        </row>
        <row r="493">
          <cell r="B493" t="str">
            <v>MAY LANG GIANG</v>
          </cell>
          <cell r="C493" t="str">
            <v>Thôn: Bằng, xã Nghĩa Hòa, Huyện Lạng Giang, tỉnh Bắc Giang</v>
          </cell>
          <cell r="D493">
            <v>0</v>
          </cell>
          <cell r="E493">
            <v>0</v>
          </cell>
        </row>
        <row r="494">
          <cell r="B494" t="str">
            <v>MAY MAC DO BOI THONG NHAT</v>
          </cell>
          <cell r="C494" t="str">
            <v>LO C1 C2 C12 C13 C14, KCN SUOI DAU, SUOI TAN, CAM LAM, KHANH HOA</v>
          </cell>
          <cell r="D494">
            <v>0</v>
          </cell>
          <cell r="E494">
            <v>0</v>
          </cell>
        </row>
        <row r="495">
          <cell r="B495" t="str">
            <v>MAY MAC OCEAN SKY</v>
          </cell>
          <cell r="C495" t="str">
            <v>LO 75 76 KCX LINH TRUNG III, TRANG BANG, TAY NINH</v>
          </cell>
          <cell r="D495">
            <v>0</v>
          </cell>
          <cell r="E495">
            <v>0</v>
          </cell>
        </row>
        <row r="496">
          <cell r="B496" t="str">
            <v>MAY PHOENIX</v>
          </cell>
          <cell r="C496" t="str">
            <v>KCN TAM DIEP, TX TAM DIEP, NINH BINH</v>
          </cell>
          <cell r="D496" t="str">
            <v>HANG CHUNG CTU, COMBINE GIAO HANG THU 5 HANG TUAN BANG TRUCK</v>
          </cell>
          <cell r="E496" t="str">
            <v>MS LIEN: 0968 217191</v>
          </cell>
        </row>
        <row r="497">
          <cell r="B497" t="str">
            <v>MAY PHU THO</v>
          </cell>
          <cell r="C497" t="str">
            <v>PHUONG PHONG CHAU, TX PHU THO, PHU THO</v>
          </cell>
          <cell r="D497" t="str">
            <v>HANG CHO CONFIRM</v>
          </cell>
          <cell r="E497" t="str">
            <v>0210 3821 915</v>
          </cell>
        </row>
        <row r="498">
          <cell r="B498" t="str">
            <v>MAY QUOC TE WOO JIN</v>
          </cell>
          <cell r="C498" t="str">
            <v>226 LE LAI-NGO QUYEN-HAI PHONG</v>
          </cell>
          <cell r="D498">
            <v>0</v>
          </cell>
          <cell r="E498" t="str">
            <v>MS TRANG: 0974 910 262
MS NHUNG: 0936 813 688</v>
          </cell>
        </row>
        <row r="499">
          <cell r="B499" t="str">
            <v>MAY TRE HA LINH</v>
          </cell>
          <cell r="C499" t="str">
            <v>KCN PHU NGHIA, HUYEN CHUONG MY, HA NOI</v>
          </cell>
          <cell r="D499">
            <v>0</v>
          </cell>
          <cell r="E499" t="str">
            <v>MAI NGUYEN +84 127 554 1811</v>
          </cell>
        </row>
        <row r="500">
          <cell r="B500" t="str">
            <v>MAY VA IN 1 THANG 5</v>
          </cell>
          <cell r="C500" t="str">
            <v>SO 37 NGO 67 PHO DUC GIANG, PHUONG DUC GIANG, LONG BIEN HA NOI</v>
          </cell>
          <cell r="D500">
            <v>0</v>
          </cell>
          <cell r="E500">
            <v>0</v>
          </cell>
        </row>
        <row r="501">
          <cell r="B501" t="str">
            <v>MEKO</v>
          </cell>
          <cell r="C501" t="str">
            <v>DUONG TRUC CHINH, KCN TRA NOC, Q. BINH THUY, TP. CAN THO</v>
          </cell>
          <cell r="D501">
            <v>0</v>
          </cell>
          <cell r="E501" t="str">
            <v>PHUONG THANH: 01265992728-TAM: 0918472185-07103842263</v>
          </cell>
        </row>
        <row r="502">
          <cell r="B502" t="str">
            <v>MICHELLE</v>
          </cell>
          <cell r="C502" t="str">
            <v>THANG LOI, AN HUNG, AN DUONG, HAI PHONG</v>
          </cell>
          <cell r="D502">
            <v>0</v>
          </cell>
          <cell r="E502" t="str">
            <v>A DUC: 01676 999 777</v>
          </cell>
        </row>
        <row r="503">
          <cell r="B503" t="str">
            <v>MICHIGAN HAI DUONG</v>
          </cell>
          <cell r="C503" t="str">
            <v>TAN DAN, CHI LINH, HAI DUONG</v>
          </cell>
          <cell r="D503">
            <v>0</v>
          </cell>
          <cell r="E503" t="str">
            <v>MS QUYNH: 01689931762</v>
          </cell>
        </row>
        <row r="504">
          <cell r="B504" t="str">
            <v>MINH ANH</v>
          </cell>
          <cell r="C504" t="str">
            <v>KCN PHO NOI B, NGHIA HIEP, YEN MY, HUNG YEN</v>
          </cell>
          <cell r="D504" t="str">
            <v>HANG CHO CONFIRM</v>
          </cell>
          <cell r="E504" t="str">
            <v xml:space="preserve"> MS HUONG 0978 695 777/
 MR QUAN 0913 580 180</v>
          </cell>
        </row>
        <row r="505">
          <cell r="B505" t="str">
            <v>MINH ANH EX IM</v>
          </cell>
          <cell r="C505" t="str">
            <v xml:space="preserve"> NO.28 ALLEY 207/66，XUAN DINH，TU LIEM，HANOI CITY</v>
          </cell>
          <cell r="D505">
            <v>0</v>
          </cell>
          <cell r="E505" t="str">
            <v>MS SAM 0913322129</v>
          </cell>
        </row>
        <row r="506">
          <cell r="B506" t="str">
            <v>MINH ANH KIM LIEN</v>
          </cell>
          <cell r="C506" t="str">
            <v>KCN BAC VINH, HUNG DONG, TP. VINH, NGHE AN</v>
          </cell>
          <cell r="D506">
            <v>0</v>
          </cell>
          <cell r="E506" t="str">
            <v>MS DUNG: 0912 922 456</v>
          </cell>
        </row>
        <row r="507">
          <cell r="B507" t="str">
            <v>HOA THO QUANG NGAI</v>
          </cell>
          <cell r="C507" t="str">
            <v>DUONG SO 6, LO C6, KCN TINH PHONG, QUANG NGAI</v>
          </cell>
          <cell r="D507">
            <v>0</v>
          </cell>
          <cell r="E507" t="str">
            <v>LUU 0908099619</v>
          </cell>
        </row>
        <row r="508">
          <cell r="B508" t="str">
            <v>MINH HOANG</v>
          </cell>
          <cell r="C508" t="str">
            <v>LOT12 DIEN NAM-DIEN NGOC-QUANG NAM-DN</v>
          </cell>
          <cell r="D508">
            <v>0</v>
          </cell>
          <cell r="E508" t="str">
            <v>MS ÁNH-0510 944888</v>
          </cell>
        </row>
        <row r="509">
          <cell r="B509" t="str">
            <v>MINH PHUONG</v>
          </cell>
          <cell r="C509" t="str">
            <v>TÍCH GIANG-PHÚC THỌ-HA NOI</v>
          </cell>
          <cell r="D509">
            <v>0</v>
          </cell>
          <cell r="E509" t="str">
            <v>MR HA-433641239-Mr Thang 0913 268 037</v>
          </cell>
        </row>
        <row r="510">
          <cell r="B510" t="str">
            <v>MINH TRI</v>
          </cell>
          <cell r="C510" t="str">
            <v>VINH TUY INS ZONE- HA NOI</v>
          </cell>
          <cell r="D510" t="str">
            <v>CTU( HANG DI TRUOC CTU DI SAU)</v>
          </cell>
          <cell r="E510" t="str">
            <v>NGOC(KHO)-04-6440458-phuong0988087290</v>
          </cell>
        </row>
        <row r="511">
          <cell r="B511" t="str">
            <v>MINH TRI PVH</v>
          </cell>
          <cell r="C511" t="str">
            <v>KCN VINH TUY, HA NOI</v>
          </cell>
          <cell r="D511" t="str">
            <v>PHAT DUNG TEN NGUOI LIEN HE</v>
          </cell>
          <cell r="E511" t="str">
            <v>MS HANG: 04 6446 802</v>
          </cell>
        </row>
        <row r="512">
          <cell r="B512" t="str">
            <v>MINH TRI THAI BINH DECATHLON</v>
          </cell>
          <cell r="C512" t="str">
            <v>DUONG BUI VIEN, KCN NGUYEN DUC CANH, P. TIEN PHONG, THAI BINH</v>
          </cell>
          <cell r="D512">
            <v>0</v>
          </cell>
          <cell r="E512" t="str">
            <v>MS TIEN: 04 36448 629</v>
          </cell>
        </row>
        <row r="513">
          <cell r="B513" t="str">
            <v>MINH TRI THAI BINH EXPRESS</v>
          </cell>
          <cell r="C513" t="str">
            <v>BUI VIEN, KCN NGUYEN DUC CANH, TRAN HUNG DAO, THAI BINH</v>
          </cell>
          <cell r="D513" t="str">
            <v>NETCO-KHTT</v>
          </cell>
          <cell r="E513" t="str">
            <v>MS LIEN : 0903 463 454</v>
          </cell>
        </row>
        <row r="514">
          <cell r="B514" t="str">
            <v>MINH TRI THAI BINH PVH</v>
          </cell>
          <cell r="C514" t="str">
            <v>DUONG BUI VIEN, KCN NGUYEN DUC CANH, P. TIEN PHONG, THAI BINH</v>
          </cell>
          <cell r="D514" t="str">
            <v>GIAO DUNG NGUOI LIEN HE</v>
          </cell>
          <cell r="E514" t="str">
            <v>0915330479- MS GIANG</v>
          </cell>
        </row>
        <row r="515">
          <cell r="B515" t="str">
            <v>MINH TRI VINH</v>
          </cell>
          <cell r="C515" t="str">
            <v>KCN BẮC VINH, XÃ HƯNG ĐÔNG, TP VINH, NGHỆ AN</v>
          </cell>
          <cell r="D515">
            <v>0</v>
          </cell>
          <cell r="E515" t="str">
            <v>MS BICH: 0902 201 180</v>
          </cell>
        </row>
        <row r="516">
          <cell r="B516" t="str">
            <v>MOLAND</v>
          </cell>
          <cell r="C516" t="str">
            <v>Road 6, Song May IZ, Bac Son Commune, Trang Bom Dist, Dong Nai</v>
          </cell>
          <cell r="D516">
            <v>0</v>
          </cell>
          <cell r="E516" t="str">
            <v>Attn: Ms Tam 0913 931 896</v>
          </cell>
        </row>
        <row r="517">
          <cell r="B517" t="str">
            <v>MS VINA</v>
          </cell>
          <cell r="C517" t="str">
            <v>SO 1, 10 07 KCN LANG NGHE, THI TRAN NGA SON, THANH HOA</v>
          </cell>
          <cell r="D517">
            <v>0</v>
          </cell>
          <cell r="E517" t="str">
            <v>A VINH: 0936 271 529</v>
          </cell>
        </row>
        <row r="518">
          <cell r="B518" t="str">
            <v>MSA HAPRO  QUIKSILVER</v>
          </cell>
          <cell r="C518" t="str">
            <v>KCN SAI DONG B, GIA LAM, HA NOI</v>
          </cell>
          <cell r="D518">
            <v>0</v>
          </cell>
          <cell r="E518" t="str">
            <v>PHAM NGOC HA-4-6750213/ 9282742
Ms Mo: 01674 156872</v>
          </cell>
        </row>
        <row r="519">
          <cell r="B519" t="str">
            <v>MSA VN</v>
          </cell>
          <cell r="C519" t="str">
            <v>TIEN PHONG, ME LINH, HA NOI</v>
          </cell>
          <cell r="D519">
            <v>0</v>
          </cell>
          <cell r="E519">
            <v>27</v>
          </cell>
        </row>
        <row r="520">
          <cell r="B520" t="str">
            <v>MSA YB QUIKSILVER</v>
          </cell>
          <cell r="C520" t="str">
            <v>KHE XOAN. DOI CAN, TUYEN QUANG</v>
          </cell>
          <cell r="D520">
            <v>0</v>
          </cell>
          <cell r="E520" t="str">
            <v>Mr. Quynh: 0975900275
Ms. Trang 0973876354</v>
          </cell>
        </row>
        <row r="521">
          <cell r="B521" t="str">
            <v>MTV 76</v>
          </cell>
          <cell r="C521" t="str">
            <v xml:space="preserve">Kieu Ky commune - Gia Lam district - Hanoi city- Vietnam
</v>
          </cell>
          <cell r="D521" t="str">
            <v>HANG CHUNG HD</v>
          </cell>
          <cell r="E521" t="str">
            <v>HP: + 84 976.568.702</v>
          </cell>
        </row>
        <row r="522">
          <cell r="B522" t="str">
            <v>MXP</v>
          </cell>
          <cell r="C522" t="str">
            <v>KCN NGUYEN DUC CANH- THAI BINH</v>
          </cell>
          <cell r="D522">
            <v>0</v>
          </cell>
          <cell r="E522" t="str">
            <v>MS NGOC: 0974 856 259</v>
          </cell>
        </row>
        <row r="523">
          <cell r="B523" t="str">
            <v>MXP1</v>
          </cell>
          <cell r="C523" t="str">
            <v>NGUYEN DUC CANH INDUSTRIAL ZONE, TRAN THAI TONG ROAD, THAI BINH CITY</v>
          </cell>
          <cell r="D523">
            <v>0</v>
          </cell>
          <cell r="E523">
            <v>0</v>
          </cell>
        </row>
        <row r="524">
          <cell r="B524" t="str">
            <v>MXP8</v>
          </cell>
          <cell r="C524" t="str">
            <v>CUM CN XUAN QUANG, DONG XUAN, DONG HUNG, THAI BINH</v>
          </cell>
          <cell r="D524">
            <v>0</v>
          </cell>
          <cell r="E524" t="str">
            <v>CHI BICH 0936171499</v>
          </cell>
        </row>
        <row r="525">
          <cell r="B525" t="str">
            <v>MY HUNG</v>
          </cell>
          <cell r="C525" t="str">
            <v>Km 24 + 500 Highway- No. 5A Di Su- My Hao- Hung Yen</v>
          </cell>
          <cell r="D525">
            <v>0</v>
          </cell>
          <cell r="E525" t="str">
            <v>MS GIANG: 0902 175 065</v>
          </cell>
        </row>
        <row r="526">
          <cell r="B526" t="str">
            <v>MY HUNG</v>
          </cell>
          <cell r="C526" t="str">
            <v>KM24+500, QL 5, DI SU, MY HAO, HUNG YEN</v>
          </cell>
          <cell r="D526" t="str">
            <v>hang chung chung tu</v>
          </cell>
          <cell r="E526" t="str">
            <v>MS THOA 0975 737 145/
 MS THUAN 0986 475 152</v>
          </cell>
        </row>
        <row r="527">
          <cell r="B527" t="str">
            <v>MY NGHE LAC VIET</v>
          </cell>
          <cell r="C527" t="str">
            <v>44 AN TRUNG 1, QUAN SON TRA, TP DA NANG</v>
          </cell>
          <cell r="D527">
            <v>0</v>
          </cell>
          <cell r="E527">
            <v>0</v>
          </cell>
        </row>
        <row r="528">
          <cell r="B528" t="str">
            <v>MY TAI BINH DINH</v>
          </cell>
          <cell r="C528" t="str">
            <v>LO B25, DUONG TRUNG TAM, PHUONG TRAN QUANG DIEU, KCN PHU TAI, QUY NHON, BINH DINH</v>
          </cell>
          <cell r="D528">
            <v>0</v>
          </cell>
          <cell r="E528" t="str">
            <v>MS HONG SEN: 0935 477 139</v>
          </cell>
        </row>
        <row r="529">
          <cell r="B529" t="str">
            <v>MY THO GARMENT</v>
          </cell>
          <cell r="C529" t="str">
            <v>101, National Rout 1A, ward 10, My Tho City, Tien Giang Province, Vietnam-</v>
          </cell>
          <cell r="D529">
            <v>0</v>
          </cell>
          <cell r="E529" t="str">
            <v>Tel: Ms Hanh: 0986 16 2273, Ms Thao: 0986 825 394 or Ms Ngoc: 0934 181 465</v>
          </cell>
        </row>
        <row r="530">
          <cell r="B530" t="str">
            <v>BINH THUAN NHA BE XN MAY TUY PHONG</v>
          </cell>
          <cell r="C530" t="str">
            <v>CUM CN BAC TUY PHONG, THON LAC TRI- PHU LAC, HUYEN TUY PHONG, TINH BINH THUAN</v>
          </cell>
          <cell r="D530">
            <v>0</v>
          </cell>
          <cell r="E530">
            <v>0</v>
          </cell>
        </row>
        <row r="531">
          <cell r="B531" t="str">
            <v>MY THO GARMENT</v>
          </cell>
          <cell r="C531" t="str">
            <v>101, National Rout 1A, ward 10, My Tho City, Tien Giang Province, Vietnam</v>
          </cell>
          <cell r="D531">
            <v>0</v>
          </cell>
          <cell r="E531" t="str">
            <v>Ms Hanh: 0986 16 2273, Ms Thao: 0986 825 394 or Ms Ngoc: 0934 181 465</v>
          </cell>
        </row>
        <row r="532">
          <cell r="B532" t="str">
            <v>NAJIMEX</v>
          </cell>
          <cell r="C532" t="str">
            <v>LOT C10-9 KCN HOA XA, NAM DINH</v>
          </cell>
          <cell r="D532">
            <v>0</v>
          </cell>
          <cell r="E532" t="str">
            <v> </v>
          </cell>
        </row>
        <row r="533">
          <cell r="B533" t="str">
            <v>NAM AN</v>
          </cell>
          <cell r="C533" t="str">
            <v>01 GIAI PHONG, NAM DINH</v>
          </cell>
          <cell r="D533" t="str">
            <v>hang chung ctu</v>
          </cell>
          <cell r="E533" t="str">
            <v>TRUC: 0937 856 326</v>
          </cell>
        </row>
        <row r="534">
          <cell r="B534" t="str">
            <v>NAM ANH</v>
          </cell>
          <cell r="C534" t="str">
            <v>QUANG XA, QUANG HUNG, PHU CU, HUNG YEN</v>
          </cell>
          <cell r="D534" t="str">
            <v>Cho CS confirm</v>
          </cell>
          <cell r="E534" t="str">
            <v>ANH TRINH: 0321 3854 417</v>
          </cell>
        </row>
        <row r="535">
          <cell r="B535" t="str">
            <v>NAM CHAU</v>
          </cell>
          <cell r="C535" t="str">
            <v>Hau village, Dai Lam commune, Lang Giang district, Bac Giang province</v>
          </cell>
          <cell r="D535">
            <v>0</v>
          </cell>
          <cell r="E535">
            <v>0</v>
          </cell>
        </row>
        <row r="536">
          <cell r="B536" t="str">
            <v>NAM CO LONDON</v>
          </cell>
          <cell r="C536" t="str">
            <v>KCN DONG HUONG, KIM SON, NINH BINH</v>
          </cell>
          <cell r="D536">
            <v>0</v>
          </cell>
          <cell r="E536">
            <v>0</v>
          </cell>
        </row>
        <row r="537">
          <cell r="B537" t="str">
            <v>NAM DINH</v>
          </cell>
          <cell r="C537" t="str">
            <v>KHU A-LO H1-H5- Duong Pham Ngu Lao-Khu Cong Nghiep Hoa Xa-TP Nam Dinh</v>
          </cell>
          <cell r="D537">
            <v>0</v>
          </cell>
          <cell r="E537" t="str">
            <v>A Thinh (MR) 904770343
TEL : 0350 849 451</v>
          </cell>
        </row>
        <row r="538">
          <cell r="B538" t="str">
            <v>NAM DINH 2</v>
          </cell>
          <cell r="C538" t="str">
            <v>91 NGUYEN VAN TROI, NAM DINH</v>
          </cell>
          <cell r="D538" t="str">
            <v>hang chung chung tu</v>
          </cell>
          <cell r="E538" t="str">
            <v>LE VAN BINH
TEL: 0084 350 3849617/ FAX: 3862851</v>
          </cell>
        </row>
        <row r="539">
          <cell r="B539" t="str">
            <v>NAM HA</v>
          </cell>
          <cell r="C539" t="str">
            <v xml:space="preserve"> 510 TRUONG CHINH STR-NAM DINH</v>
          </cell>
          <cell r="D539">
            <v>0</v>
          </cell>
          <cell r="E539" t="str">
            <v>Mr. D Tien Dung-350-649563-HIEU- 0983 740 929</v>
          </cell>
        </row>
        <row r="540">
          <cell r="B540" t="str">
            <v>NAM HA GARMENT</v>
          </cell>
          <cell r="C540" t="str">
            <v>No.510 Truong Chinh Str., Nam Dinh, Viet Nam</v>
          </cell>
          <cell r="D540">
            <v>0</v>
          </cell>
          <cell r="E540" t="str">
            <v>Mr Tap: 0912342833</v>
          </cell>
        </row>
        <row r="541">
          <cell r="B541" t="str">
            <v>NAM HAI</v>
          </cell>
          <cell r="C541" t="str">
            <v>189 NGUYEN VAN TROI-NANG TINH-TP NAM DINH</v>
          </cell>
          <cell r="D541">
            <v>0</v>
          </cell>
          <cell r="E541" t="str">
            <v>MS NGA 0915 133 216</v>
          </cell>
        </row>
        <row r="542">
          <cell r="B542" t="str">
            <v>HENRY COTTONS GOLF VINA INSAN</v>
          </cell>
          <cell r="C542" t="str">
            <v>MY CAU, TAN MY, BAC GIANG</v>
          </cell>
          <cell r="D542">
            <v>0</v>
          </cell>
          <cell r="E542">
            <v>0</v>
          </cell>
        </row>
        <row r="543">
          <cell r="B543" t="str">
            <v>VN GOLDEN VICTORY</v>
          </cell>
          <cell r="C543" t="str">
            <v>DONG KY, NGHIA MINH, NGHIA HUNG, NAM DINH</v>
          </cell>
          <cell r="D543">
            <v>0</v>
          </cell>
          <cell r="E543" t="str">
            <v>PHUONG MAI 0964 309 166</v>
          </cell>
        </row>
        <row r="544">
          <cell r="B544" t="str">
            <v>NAM LEE</v>
          </cell>
          <cell r="C544" t="str">
            <v>PHU THAI-KIM THANH-HAI DUONG</v>
          </cell>
          <cell r="D544">
            <v>0</v>
          </cell>
          <cell r="E544" t="str">
            <v>Tel:84 -320-3560- 971 Fax:84-320- 3560- 972
ATTN: Ken</v>
          </cell>
        </row>
        <row r="545">
          <cell r="B545" t="str">
            <v>NAM OF LONDON</v>
          </cell>
          <cell r="C545" t="str">
            <v>MY THO IZ-TIEN GIANG</v>
          </cell>
          <cell r="D545">
            <v>0</v>
          </cell>
          <cell r="E545" t="str">
            <v>NGA 0934 038 532</v>
          </cell>
        </row>
        <row r="546">
          <cell r="B546" t="str">
            <v>MAXPORT NAM DINH</v>
          </cell>
          <cell r="C546" t="str">
            <v>QUOC LO 10, LOC VUONG, TP NAM DINH</v>
          </cell>
          <cell r="D546">
            <v>0</v>
          </cell>
          <cell r="E546">
            <v>0</v>
          </cell>
        </row>
        <row r="547">
          <cell r="B547" t="str">
            <v>NAM SON</v>
          </cell>
          <cell r="C547" t="str">
            <v>Thon Kim Âu, Xã Đại Xá, Gia Lâm, Hà Nội</v>
          </cell>
          <cell r="D547">
            <v>0</v>
          </cell>
          <cell r="E547" t="str">
            <v>Attn: Ms Nguyet ( 0169.213.6477 )</v>
          </cell>
        </row>
        <row r="548">
          <cell r="B548" t="str">
            <v>NAM THUAN</v>
          </cell>
          <cell r="C548" t="str">
            <v>XA THUY SON, THUY NGUYEN,
 HAI PHONG</v>
          </cell>
          <cell r="D548">
            <v>0</v>
          </cell>
          <cell r="E548" t="str">
            <v>MS. THINH - 0912253583
MS CHAU- 0988907292
MS HANH- 0983 128 224</v>
          </cell>
        </row>
        <row r="549">
          <cell r="B549" t="str">
            <v>NAMLEE</v>
          </cell>
          <cell r="C549" t="str">
            <v>Phân khu phía Tây - KCN Phú Thái - TT Phú Thái - H.Kim Thành - T.Hải Dương</v>
          </cell>
          <cell r="D549" t="str">
            <v>NETCO-KHTT</v>
          </cell>
          <cell r="E549" t="str">
            <v>Điện thoại: 0320.3560971 Ext: 217- KATE</v>
          </cell>
        </row>
        <row r="550">
          <cell r="B550" t="str">
            <v>NAMSUNG</v>
          </cell>
          <cell r="C550" t="str">
            <v>Thap Hong Ky Industrial Group, Dien Chau Dist, Nghe An</v>
          </cell>
          <cell r="D550">
            <v>0</v>
          </cell>
          <cell r="E550" t="str">
            <v>THAO 01674031987</v>
          </cell>
        </row>
        <row r="551">
          <cell r="B551" t="str">
            <v>NAMYANG DELTA</v>
          </cell>
          <cell r="C551" t="str">
            <v>PLOT XN2-3, KCN DAI AN, HAI DUONG</v>
          </cell>
          <cell r="D551" t="str">
            <v>HANG CHUNG CTU</v>
          </cell>
          <cell r="E551" t="str">
            <v>HIEU 098 378 6458</v>
          </cell>
        </row>
        <row r="552">
          <cell r="B552" t="str">
            <v>NEOBAGS</v>
          </cell>
          <cell r="C552" t="str">
            <v>185B, 14/9 STREET, PHUONG 5, TP. VINH LONG, VINH LONG</v>
          </cell>
          <cell r="D552" t="str">
            <v>cho XNK confirm</v>
          </cell>
          <cell r="E552" t="str">
            <v>ANDIE NGO: 070 6252266</v>
          </cell>
        </row>
        <row r="553">
          <cell r="B553" t="str">
            <v>NEW DAY</v>
          </cell>
          <cell r="C553" t="str">
            <v>69 TRUNG YEN 12, TRUNG HOA, CAU GIAY, HA NOI</v>
          </cell>
          <cell r="D553" t="str">
            <v>NETCO- KHTT</v>
          </cell>
          <cell r="E553" t="str">
            <v>HONG: 0983 155 520</v>
          </cell>
        </row>
        <row r="554">
          <cell r="B554" t="str">
            <v>NEW WORLD FASHION</v>
          </cell>
          <cell r="C554" t="str">
            <v>SO 353 ANH DUNG, DUONG KINH, HAI PHONG</v>
          </cell>
          <cell r="D554">
            <v>0</v>
          </cell>
          <cell r="E554">
            <v>0</v>
          </cell>
        </row>
        <row r="555">
          <cell r="B555" t="str">
            <v>NGHIA PHAT</v>
          </cell>
          <cell r="C555" t="str">
            <v>PHUOC AN VILLAGE, TUY PHUOC DISTRICT, BINH DINH</v>
          </cell>
          <cell r="D555">
            <v>0</v>
          </cell>
          <cell r="E555" t="str">
            <v>ATTN: MR BANG 0905082080
A KHOA: 0909 467 437</v>
          </cell>
        </row>
        <row r="556">
          <cell r="B556" t="str">
            <v>NGOC HA</v>
          </cell>
          <cell r="C556" t="str">
            <v>DUONG SO 5, KCN VUA VA NHO PHU THI, GIA LAM, HA NOI</v>
          </cell>
          <cell r="D556" t="str">
            <v>NETCO-KHTT</v>
          </cell>
          <cell r="E556" t="str">
            <v xml:space="preserve">TRANG: 0912.932.333 </v>
          </cell>
        </row>
        <row r="557">
          <cell r="B557" t="str">
            <v>NGOC TE</v>
          </cell>
          <cell r="C557" t="str">
            <v>PHO NOI, XA NGHIA HIEP, YEN MY, HUNG YEN</v>
          </cell>
          <cell r="D557">
            <v>0</v>
          </cell>
          <cell r="E557" t="str">
            <v>LE: 0982 526 853</v>
          </cell>
        </row>
        <row r="558">
          <cell r="B558" t="str">
            <v>NGOC VIET</v>
          </cell>
          <cell r="C558" t="str">
            <v>THI TRAN VAN DINH, UNG HOA, HA NOI</v>
          </cell>
          <cell r="D558">
            <v>0</v>
          </cell>
          <cell r="E558" t="str">
            <v>MS HIEN: 0978 807 252</v>
          </cell>
        </row>
        <row r="559">
          <cell r="B559" t="str">
            <v>NGUON LUC VIET NAM</v>
          </cell>
          <cell r="C559" t="str">
            <v>KHU VUON XIM,THI TRAN HUONG CANH-BINH XUYEN, VINH PHUC</v>
          </cell>
          <cell r="D559">
            <v>0</v>
          </cell>
          <cell r="E559" t="str">
            <v>ATTN: HUYEN: 0903 439616/HUONG : 01674 532668</v>
          </cell>
        </row>
        <row r="560">
          <cell r="B560" t="str">
            <v>J-PACK</v>
          </cell>
          <cell r="C560" t="str">
            <v>J-PACK TRADING CO.,LTD REPRESENTATIVE OFFICE IN HANOI
ROOM#1205,FLOOR 12 TH,BUILDING 17T5,TRUNG HOA NHAN CHINH URBAN AREA, THANH XUAN DISTRICT, HANOI CITY, VIETNAM</v>
          </cell>
          <cell r="D560">
            <v>0</v>
          </cell>
          <cell r="E560" t="str">
            <v>MS.NHUNG: TEL: 84-4-6281-5371</v>
          </cell>
        </row>
        <row r="561">
          <cell r="B561" t="str">
            <v>THONG NHAT GARMENT</v>
          </cell>
          <cell r="C561" t="str">
            <v>THONG NHAT, THU SY WARD, TIEN LU DISTRICT, HUNG YEN</v>
          </cell>
          <cell r="D561">
            <v>0</v>
          </cell>
          <cell r="E561">
            <v>0</v>
          </cell>
        </row>
        <row r="562">
          <cell r="B562" t="str">
            <v>ANTONIA</v>
          </cell>
          <cell r="C562" t="str">
            <v>Khu Cn Tam Diep, thanh pho Tam Diep, tinh Ninh Binh</v>
          </cell>
          <cell r="D562">
            <v>0</v>
          </cell>
          <cell r="E562" t="str">
            <v>MS ROBIN 0985509049</v>
          </cell>
        </row>
        <row r="563">
          <cell r="B563" t="str">
            <v>VN DITECH</v>
          </cell>
          <cell r="C563" t="str">
            <v>169/2/1, THAI HA STREET, DONG DA, HA NOI</v>
          </cell>
          <cell r="D563">
            <v>0</v>
          </cell>
          <cell r="E563">
            <v>0</v>
          </cell>
        </row>
        <row r="564">
          <cell r="B564" t="str">
            <v>NGUYEN TOAN</v>
          </cell>
          <cell r="C564" t="str">
            <v>KCN CHAU SON  -TX.PHU LY-HA NAM</v>
          </cell>
          <cell r="D564">
            <v>0</v>
          </cell>
          <cell r="E564" t="str">
            <v>Mr Hao 0903 443 059</v>
          </cell>
        </row>
        <row r="565">
          <cell r="B565" t="str">
            <v>PHONG PHU QUANG TRI</v>
          </cell>
          <cell r="C565" t="str">
            <v>KCN DIEN SANH, HUYEN HAI LANG, QUANG TRI</v>
          </cell>
          <cell r="D565">
            <v>0</v>
          </cell>
          <cell r="E565">
            <v>0</v>
          </cell>
        </row>
        <row r="566">
          <cell r="B566" t="str">
            <v>NGUYEN TOAN</v>
          </cell>
          <cell r="C566" t="str">
            <v>CHAU SON INDUSTRIAL ZONE, PHU  LY TOWN, HA NAM PROVINCE</v>
          </cell>
          <cell r="D566">
            <v>0</v>
          </cell>
          <cell r="E566" t="str">
            <v>Mr Hao 0903 443 059</v>
          </cell>
        </row>
        <row r="567">
          <cell r="B567" t="str">
            <v>Nhà Máy may Dung Quất</v>
          </cell>
          <cell r="C567" t="str">
            <v>Lô L1, Phân khu CN Sài Gòn Dung Quất – Xã Bình Thạnh – Huyện Bình Sơn- Quảng Ngãi</v>
          </cell>
          <cell r="D567">
            <v>0</v>
          </cell>
          <cell r="E567">
            <v>0</v>
          </cell>
        </row>
        <row r="568">
          <cell r="B568" t="str">
            <v>NHAT HOA</v>
          </cell>
          <cell r="C568" t="str">
            <v>TAN QUANG, VAN LAM, HUNG YEN</v>
          </cell>
          <cell r="D568">
            <v>0</v>
          </cell>
          <cell r="E568">
            <v>0</v>
          </cell>
        </row>
        <row r="569">
          <cell r="B569" t="str">
            <v>NHAT HONG</v>
          </cell>
          <cell r="C569" t="str">
            <v>P314- No 4A BUILDING, LINH NAM, HA NOI</v>
          </cell>
          <cell r="D569">
            <v>0</v>
          </cell>
          <cell r="E569" t="str">
            <v>MS NGAN: 0947 029 086</v>
          </cell>
        </row>
        <row r="570">
          <cell r="B570" t="str">
            <v>NHUA COTEC</v>
          </cell>
          <cell r="C570" t="str">
            <v>LO E4+E5 KCN PHUC KHANH, TP THAI BINH, T THAI BINH</v>
          </cell>
          <cell r="D570">
            <v>0</v>
          </cell>
          <cell r="E570" t="str">
            <v>Mr Stephen Yiu: 0169.706.8819</v>
          </cell>
        </row>
        <row r="571">
          <cell r="B571" t="str">
            <v>NIEN HSING AEO</v>
          </cell>
          <cell r="C571" t="str">
            <v>DUONG TRAN THI DUNG, KCN PHUC KHANH, THAI BINH</v>
          </cell>
          <cell r="D571">
            <v>0</v>
          </cell>
          <cell r="E571">
            <v>0</v>
          </cell>
        </row>
        <row r="572">
          <cell r="B572" t="str">
            <v>NIEN HSING NINH BINH</v>
          </cell>
          <cell r="C572" t="str">
            <v>KHANH PHU INDUSTRIAL ZONE, YEN KHANH, NINH BINH</v>
          </cell>
          <cell r="D572">
            <v>0</v>
          </cell>
          <cell r="E572">
            <v>0</v>
          </cell>
        </row>
        <row r="573">
          <cell r="B573" t="str">
            <v>NIENHSING AEO</v>
          </cell>
          <cell r="C573" t="str">
            <v>DUONG TRAN THI DUNG, KCN PHUC KHANH, THAI BINH</v>
          </cell>
          <cell r="D573">
            <v>0</v>
          </cell>
          <cell r="E573" t="str">
            <v>OANH</v>
          </cell>
        </row>
        <row r="574">
          <cell r="B574" t="str">
            <v>NIENHSING LEVI'S</v>
          </cell>
          <cell r="C574" t="str">
            <v>KHANH PHU INDUSTRIAL ZONE,
YEN KHANH DISTRICT,
NINH BINH PROVINCE,VIET NAM.</v>
          </cell>
          <cell r="D574" t="str">
            <v>CHO XNK CONFIRM</v>
          </cell>
          <cell r="E574" t="str">
            <v>MS HONG: 0169 255 7340</v>
          </cell>
        </row>
        <row r="575">
          <cell r="B575" t="str">
            <v>NIENHSING NINH BINH</v>
          </cell>
          <cell r="C575" t="str">
            <v>KCN KHANH PHU YEN KHANH NINH BINH</v>
          </cell>
          <cell r="D575">
            <v>0</v>
          </cell>
          <cell r="E575">
            <v>0</v>
          </cell>
        </row>
        <row r="576">
          <cell r="B576" t="str">
            <v>DAC SAN XUAT KHAU QUANG NAM</v>
          </cell>
          <cell r="C576" t="str">
            <v>Khoi pho Cau Ha, Phuong Dien Ngoc, Thi xa Dien Ban, Tinh Quang Nam</v>
          </cell>
          <cell r="D576">
            <v>0</v>
          </cell>
          <cell r="E576">
            <v>0</v>
          </cell>
        </row>
        <row r="577">
          <cell r="B577" t="str">
            <v>NINH BINH</v>
          </cell>
          <cell r="C577" t="str">
            <v>NO.37, LANE 4, YET KIEU STREET, NAM THANH WARD,NINH BINH CITY,</v>
          </cell>
          <cell r="D577">
            <v>0</v>
          </cell>
          <cell r="E577">
            <v>0</v>
          </cell>
        </row>
        <row r="578">
          <cell r="B578" t="str">
            <v>NINH BINH ENTER B</v>
          </cell>
          <cell r="C578" t="str">
            <v>NO.37 LANE 4, YET KIEU STREET, NAM THANH WARD, NINH BINH</v>
          </cell>
          <cell r="D578">
            <v>0</v>
          </cell>
          <cell r="E578">
            <v>0</v>
          </cell>
        </row>
        <row r="579">
          <cell r="B579" t="str">
            <v>NJUNG TRADING</v>
          </cell>
          <cell r="C579" t="str">
            <v>ROOM 503, TANG 5, 17-1 SAI DONG, LONG BIEN, HA NOI</v>
          </cell>
          <cell r="D579">
            <v>0</v>
          </cell>
          <cell r="E579" t="str">
            <v>MS HAI: 0946 280 042</v>
          </cell>
        </row>
        <row r="580">
          <cell r="B580" t="str">
            <v>NORFOLK HA NAM</v>
          </cell>
          <cell r="C580" t="str">
            <v>Đồng Văn Industrial Area - Duy Tiên - Hà Nam</v>
          </cell>
          <cell r="D580" t="str">
            <v>HANG CHUNG HOA DON</v>
          </cell>
          <cell r="E580" t="str">
            <v>QUYNH HOA: 0936 729 206</v>
          </cell>
        </row>
        <row r="581">
          <cell r="B581" t="str">
            <v>NORFOLK HA NOI 1</v>
          </cell>
          <cell r="C581" t="str">
            <v>143 NGUYEN TUAN, THANH XUAN, HA NOI</v>
          </cell>
          <cell r="D581">
            <v>0</v>
          </cell>
          <cell r="E581" t="str">
            <v>LAN ANH: 0972 290 965/0988 899329</v>
          </cell>
        </row>
        <row r="582">
          <cell r="B582" t="str">
            <v>NORFOLK HANOI</v>
          </cell>
          <cell r="C582" t="str">
            <v>203-NG HUY TUONG ST-THANH XUAN-HNOI</v>
          </cell>
          <cell r="D582">
            <v>0</v>
          </cell>
          <cell r="E582" t="str">
            <v>THU PHUONG/VAN-8586024</v>
          </cell>
        </row>
        <row r="583">
          <cell r="B583" t="str">
            <v>THANG LONG INVESTMENT</v>
          </cell>
          <cell r="C583" t="str">
            <v>6TH FL, 478 MINH KHAI, HA NOI</v>
          </cell>
          <cell r="D583" t="str">
            <v>CHUNG CTU</v>
          </cell>
          <cell r="E583" t="str">
            <v>MS MERRY: 0989 709 898</v>
          </cell>
        </row>
        <row r="584">
          <cell r="B584" t="str">
            <v>NOW VINA</v>
          </cell>
          <cell r="C584" t="str">
            <v>Khu 6 xa Phu Loc, huyen Phu Ninh, tinh Phu Tho</v>
          </cell>
          <cell r="D584">
            <v>0</v>
          </cell>
          <cell r="E584" t="str">
            <v>Nhung 0948325628</v>
          </cell>
        </row>
        <row r="585">
          <cell r="B585" t="str">
            <v>OKUDA</v>
          </cell>
          <cell r="C585" t="str">
            <v>LO 6, KCN DIEN NAM - DIEN NGOC, QUANG NAM</v>
          </cell>
          <cell r="D585">
            <v>0</v>
          </cell>
          <cell r="E585" t="str">
            <v>LIEU: 0510 3942 504</v>
          </cell>
        </row>
        <row r="586">
          <cell r="B586" t="str">
            <v>OPUS ONE</v>
          </cell>
          <cell r="C586" t="str">
            <v>GIA CAM WARD-VIET TRI CITY-PHU THO PROVINCE</v>
          </cell>
          <cell r="D586">
            <v>0</v>
          </cell>
          <cell r="E586" t="str">
            <v>Mr Ra Byuong Mun : 0210 38 54 005</v>
          </cell>
        </row>
        <row r="587">
          <cell r="B587" t="str">
            <v>ORIENTAL</v>
          </cell>
          <cell r="C587" t="str">
            <v>DONG LAC COMMUNE-NAM SACH DIST-HAI DUONG</v>
          </cell>
          <cell r="D587">
            <v>0</v>
          </cell>
          <cell r="E587" t="str">
            <v>HUE: 0320 3751 156</v>
          </cell>
        </row>
        <row r="588">
          <cell r="B588" t="str">
            <v>PADMAC</v>
          </cell>
          <cell r="C588" t="str">
            <v>Lo G9- mot phan lo G2, G3, G8, duong N-1, KCN Bao Minh,  huyen Vu Ban, tinh Nam Dinh</v>
          </cell>
          <cell r="D588">
            <v>0</v>
          </cell>
          <cell r="E588" t="str">
            <v>Attn: Tran Tuyet 0983 694 802</v>
          </cell>
        </row>
        <row r="589">
          <cell r="B589" t="str">
            <v>PAN PACIFIC VINH</v>
          </cell>
          <cell r="C589" t="str">
            <v>HAMLET 2, THANH TIEN, THANH CHUONG, NGHE AN</v>
          </cell>
          <cell r="D589">
            <v>0</v>
          </cell>
          <cell r="E589">
            <v>0</v>
          </cell>
        </row>
        <row r="590">
          <cell r="B590" t="str">
            <v>PANGRIM</v>
          </cell>
          <cell r="C590" t="str">
            <v>13th floor, Zodiac building, Alley 19, Duy Tan Street, Cau Giay, Hanoi</v>
          </cell>
          <cell r="D590">
            <v>0</v>
          </cell>
          <cell r="E590" t="str">
            <v>Attn: Ms Linh - 0972 298 358</v>
          </cell>
        </row>
        <row r="591">
          <cell r="B591" t="str">
            <v>PANGRIM</v>
          </cell>
          <cell r="C591" t="str">
            <v>13th floor, Zodiac building, Alley 19, Duy Tan Street, Cau Giay, Ha Noi</v>
          </cell>
          <cell r="D591">
            <v>0</v>
          </cell>
          <cell r="E591" t="str">
            <v>Attn: Ms Linh - 0972 298 358</v>
          </cell>
        </row>
        <row r="592">
          <cell r="B592" t="str">
            <v>PANKO TAM THANG</v>
          </cell>
          <cell r="C592" t="str">
            <v>LOT#1 TAM THANG INDUSTRIAL ZONE, TAM KY CITY, QUANG NAM PROVINCE</v>
          </cell>
          <cell r="D592">
            <v>0</v>
          </cell>
          <cell r="E592">
            <v>0</v>
          </cell>
        </row>
        <row r="593">
          <cell r="B593" t="str">
            <v>PANLOF</v>
          </cell>
          <cell r="C593" t="str">
            <v>THIEN TON TOWN, HOA LU, NINH BINH</v>
          </cell>
          <cell r="D593">
            <v>0</v>
          </cell>
          <cell r="E593" t="str">
            <v>MS HOA: 030 3625 526</v>
          </cell>
        </row>
        <row r="594">
          <cell r="B594" t="str">
            <v>PAN-PACIFIC</v>
          </cell>
          <cell r="C594" t="str">
            <v>Tang 8 toa nha Suced, so 108 Nguyen Hoang, My Dinh, Nam Tu Liem, Ha Noi</v>
          </cell>
          <cell r="D594">
            <v>0</v>
          </cell>
          <cell r="E594">
            <v>0</v>
          </cell>
        </row>
        <row r="595">
          <cell r="B595" t="str">
            <v>PARK CORP</v>
          </cell>
          <cell r="C595" t="str">
            <v>Duong 13, KCN Trang Bang, Quoc lo 22, Xa An Tinh, Huyen Trang Bang,  Tinh Tay Ninh</v>
          </cell>
          <cell r="D595" t="str">
            <v>GIAO KEM HOA DON</v>
          </cell>
          <cell r="E595">
            <v>0</v>
          </cell>
        </row>
        <row r="596">
          <cell r="B596" t="str">
            <v>PEARL GARMENT</v>
          </cell>
          <cell r="C596" t="str">
            <v>469 NGUYEN DU STREET, DUU LAU WARD,VIET TRI CITY PHU THO PROVINCE ,VIETNAM</v>
          </cell>
          <cell r="D596">
            <v>0</v>
          </cell>
          <cell r="E596" t="str">
            <v>NGAN 0974 412 073</v>
          </cell>
        </row>
        <row r="597">
          <cell r="B597" t="str">
            <v>PEARL VINA</v>
          </cell>
          <cell r="C597" t="str">
            <v>VAN DINH, UNG HOA, HA NOI</v>
          </cell>
          <cell r="D597">
            <v>0</v>
          </cell>
          <cell r="E597" t="str">
            <v>MR HOA: 0903 434 076</v>
          </cell>
        </row>
        <row r="598">
          <cell r="B598" t="str">
            <v>PHAN THIET GARMENT</v>
          </cell>
          <cell r="C598" t="str">
            <v>282 NGUYEN HOI, TP. PHAN THIET, BINH THUAN</v>
          </cell>
          <cell r="D598">
            <v>0</v>
          </cell>
          <cell r="E598" t="str">
            <v>MS XUAN MAI: 062 3821 947</v>
          </cell>
        </row>
        <row r="599">
          <cell r="B599" t="str">
            <v>PHI</v>
          </cell>
          <cell r="C599" t="str">
            <v xml:space="preserve">XN10, Dai An Industrial Zone, KM51,
Highway No. 5, Hai Duong, , Vietnam </v>
          </cell>
          <cell r="D599" t="str">
            <v>giao hang truoc-C.Trang- KHTT- NETCO</v>
          </cell>
          <cell r="E599" t="str">
            <v>MR KM Phone: (84) 3203555865 ex- 738, 
 Cell # +84 942 863 502
LAN: 0904 360 462</v>
          </cell>
        </row>
        <row r="600">
          <cell r="B600" t="str">
            <v>PHILIKO</v>
          </cell>
          <cell r="C600" t="str">
            <v>296 DUC THANG-HIEP HOA-BAC GIANG</v>
          </cell>
          <cell r="D600">
            <v>0</v>
          </cell>
          <cell r="E600" t="str">
            <v>MS LUYEN-0917338707-0240 3 865145</v>
          </cell>
        </row>
        <row r="601">
          <cell r="B601" t="str">
            <v>PHILKO</v>
          </cell>
          <cell r="C601" t="str">
            <v>296 DUC THANH, HIEP HOA, BAC GIANG</v>
          </cell>
          <cell r="D601">
            <v>0</v>
          </cell>
          <cell r="E601" t="str">
            <v>MR PARK JONG CHUL : 0240 3865 145</v>
          </cell>
        </row>
        <row r="602">
          <cell r="B602" t="str">
            <v>PHONG KINH DOANH CHI NHANH SONG CONG 3</v>
          </cell>
          <cell r="C602" t="str">
            <v>PHONG KINH DOANH CHI NHANH SONG CONG 3, KCN SONG CONG, SONG CONG, THAI NGUYEN</v>
          </cell>
          <cell r="D602">
            <v>0</v>
          </cell>
          <cell r="E602" t="str">
            <v>BA NGOC: 01635888486</v>
          </cell>
        </row>
        <row r="603">
          <cell r="B603" t="str">
            <v>PHONG PHU CN DA NANG</v>
          </cell>
          <cell r="C603" t="str">
            <v>LO M, DUONG SO 3, KCN HOA KHANH, P. HOA KHANH BAC, LIEN CHIEU, DA NANG</v>
          </cell>
          <cell r="D603">
            <v>0</v>
          </cell>
          <cell r="E603" t="str">
            <v>MS SUONG: 0905 267 641</v>
          </cell>
        </row>
        <row r="604">
          <cell r="B604" t="str">
            <v>CONG TY TNHH 888</v>
          </cell>
          <cell r="C604" t="str">
            <v>Thôn Hợp Phương, Xã Quảng Hợp, Huyện Quảng Xương, Thanh Hoá</v>
          </cell>
          <cell r="D604">
            <v>0</v>
          </cell>
          <cell r="E604" t="str">
            <v>Bùi Anh/Tracy 01649102382 MsMai 01688372595</v>
          </cell>
        </row>
        <row r="605">
          <cell r="B605" t="str">
            <v>PHONG PHU NHA TRANG</v>
          </cell>
          <cell r="C605" t="str">
            <v>1447 QL1A, Dac Loc Vi., Vinh Phuong Town, Nha Trang City, Khanh Hoa Province., Vietnam</v>
          </cell>
          <cell r="D605">
            <v>0</v>
          </cell>
          <cell r="E605" t="str">
            <v>Chi Ha: Dthoai 0168 6080 423</v>
          </cell>
        </row>
        <row r="606">
          <cell r="B606" t="str">
            <v>PHONG PHU PHU YEN</v>
          </cell>
          <cell r="C606" t="str">
            <v>235 NGUYEN TAT THANH TUY HOA PHU YEN</v>
          </cell>
          <cell r="D606">
            <v>0</v>
          </cell>
          <cell r="E606" t="str">
            <v>HANG 0905279922</v>
          </cell>
        </row>
        <row r="607">
          <cell r="B607" t="str">
            <v>PHU DIEN</v>
          </cell>
          <cell r="C607" t="str">
            <v>26A-CAU DIEN MARKET ST-TU  LIEM-HA NOI</v>
          </cell>
          <cell r="D607">
            <v>0</v>
          </cell>
          <cell r="E607">
            <v>0</v>
          </cell>
        </row>
        <row r="608">
          <cell r="B608" t="str">
            <v>PHU HUNG</v>
          </cell>
          <cell r="C608" t="str">
            <v>Xa Dinh Cao- Phu Cu - Hung Yen</v>
          </cell>
          <cell r="D608">
            <v>0</v>
          </cell>
          <cell r="E608" t="str">
            <v>Attn: Mr Thuong: 0982 493 888</v>
          </cell>
        </row>
        <row r="609">
          <cell r="B609" t="str">
            <v>PHU HUNG TRADING</v>
          </cell>
          <cell r="C609" t="str">
            <v>GAO NAM, HO TUNG MAU, AN THI, HUNG YEN</v>
          </cell>
          <cell r="D609">
            <v>0</v>
          </cell>
          <cell r="E609" t="str">
            <v>MR DOAN: 0986 330 212</v>
          </cell>
        </row>
        <row r="610">
          <cell r="B610" t="str">
            <v>PHU KHANG</v>
          </cell>
          <cell r="C610" t="str">
            <v>QL 39A, XA BAO KHE, TP. HUNG YEN, HUNG YEN</v>
          </cell>
          <cell r="D610">
            <v>0</v>
          </cell>
          <cell r="E610" t="str">
            <v>MS KIM TOAN: 0977 945 671</v>
          </cell>
        </row>
        <row r="611">
          <cell r="B611" t="str">
            <v>WINGA VN</v>
          </cell>
          <cell r="C611" t="str">
            <v>N3, KCN THANH THANH CONG, AN HOA, TRANG BANG, TAY NINH</v>
          </cell>
          <cell r="D611">
            <v>0</v>
          </cell>
          <cell r="E611" t="str">
            <v>HA TRAN 0962171056</v>
          </cell>
        </row>
        <row r="612">
          <cell r="B612" t="str">
            <v>MAXCORE</v>
          </cell>
          <cell r="C612" t="str">
            <v>HOA XA, UNG HOA, HA NOI</v>
          </cell>
          <cell r="D612">
            <v>0</v>
          </cell>
          <cell r="E612">
            <v>0</v>
          </cell>
        </row>
        <row r="613">
          <cell r="B613" t="str">
            <v>VINA MTP</v>
          </cell>
          <cell r="C613" t="str">
            <v>So 1, Hem 9, Duong Nguyen Trai, Khu Pho 7, Phuong 3, Tay Ninh</v>
          </cell>
          <cell r="D613">
            <v>0</v>
          </cell>
          <cell r="E613" t="str">
            <v>Toản (0963783402)</v>
          </cell>
        </row>
        <row r="614">
          <cell r="B614" t="str">
            <v>SEBANG CHAIN VINA</v>
          </cell>
          <cell r="C614" t="str">
            <v>DUONG D2, KCN HOA MAC, DUY TIEN, HA NAM</v>
          </cell>
          <cell r="D614" t="str">
            <v>BOOK VNPT GOI ANH TUNG 01267325818</v>
          </cell>
          <cell r="E614">
            <v>0</v>
          </cell>
        </row>
        <row r="615">
          <cell r="B615" t="str">
            <v>KIARA</v>
          </cell>
          <cell r="C615" t="str">
            <v>SO 6, THI SON, KIM BANG, HA NAM</v>
          </cell>
          <cell r="D615">
            <v>0</v>
          </cell>
          <cell r="E615" t="str">
            <v>MR PHAT 0946642386</v>
          </cell>
        </row>
        <row r="616">
          <cell r="B616" t="str">
            <v>KIARA</v>
          </cell>
          <cell r="C616" t="str">
            <v>PHU AN, CAT THANH, TRUC NINH, NAM DINH</v>
          </cell>
          <cell r="D616">
            <v>0</v>
          </cell>
          <cell r="E616" t="str">
            <v>MR HOAI 0934206639</v>
          </cell>
        </row>
        <row r="617">
          <cell r="B617" t="str">
            <v>DAC RANG</v>
          </cell>
          <cell r="C617" t="str">
            <v>SUOI CAO, PHUOC DONG, GO DAU, TAY NINH</v>
          </cell>
          <cell r="D617" t="str">
            <v>KHTT-NETCO</v>
          </cell>
          <cell r="E617" t="str">
            <v>THUY 01626621770</v>
          </cell>
        </row>
        <row r="618">
          <cell r="B618" t="str">
            <v>SWIMAX</v>
          </cell>
          <cell r="C618" t="str">
            <v>VAN PHU, PHU LA, HA DONG, HA NOI</v>
          </cell>
          <cell r="D618">
            <v>0</v>
          </cell>
          <cell r="E618">
            <v>0</v>
          </cell>
        </row>
        <row r="619">
          <cell r="B619" t="str">
            <v>SWIMAX THANH HOA</v>
          </cell>
          <cell r="C619" t="str">
            <v>THO NGUYEN, THO XUAN, THANH HOA</v>
          </cell>
          <cell r="D619">
            <v>0</v>
          </cell>
          <cell r="E619">
            <v>0</v>
          </cell>
        </row>
        <row r="620">
          <cell r="B620" t="str">
            <v>CREATIVE SOURCE</v>
          </cell>
          <cell r="C620" t="str">
            <v>LO CN2 VA CN3 CUM CN MINH LANG, XA MINH LANG,
HUYEN VU THU, TINH THAI BINH</v>
          </cell>
          <cell r="D620">
            <v>0</v>
          </cell>
          <cell r="E620">
            <v>0</v>
          </cell>
        </row>
        <row r="621">
          <cell r="B621" t="str">
            <v>PHU LONG</v>
          </cell>
          <cell r="C621" t="str">
            <v>PHU TRUONG VILLAGE, PHU LONG TOWN, HAM THUAN BAC DISTRICT, BINH THUAN PROVINCE</v>
          </cell>
          <cell r="D621">
            <v>0</v>
          </cell>
          <cell r="E621" t="str">
            <v>MS LINH-0918 680 362</v>
          </cell>
        </row>
        <row r="622">
          <cell r="B622" t="str">
            <v>PHU LONG 2</v>
          </cell>
          <cell r="C622" t="str">
            <v>PHU TUONG, PHU LONG, HAM THUAN BAC, BINH THUAN</v>
          </cell>
          <cell r="D622" t="str">
            <v>HANG CHUNG CTU</v>
          </cell>
          <cell r="E622" t="str">
            <v>MR LAM: 0168 495 5775</v>
          </cell>
        </row>
        <row r="623">
          <cell r="B623" t="str">
            <v>PHU LUONG</v>
          </cell>
          <cell r="C623" t="str">
            <v>SO 7, XA SON CAM, HUYEN PHU LUONG, THAI NGUYEN</v>
          </cell>
          <cell r="D623">
            <v>0</v>
          </cell>
          <cell r="E623" t="str">
            <v>THUY TRANG: 0985 200 229</v>
          </cell>
        </row>
        <row r="624">
          <cell r="B624" t="str">
            <v>PHU MY</v>
          </cell>
          <cell r="C624" t="str">
            <v>Quoc lo 1A – thi tran Phu My , Huyen Phu My - tinh Binh Dinh</v>
          </cell>
          <cell r="D624">
            <v>0</v>
          </cell>
          <cell r="E624" t="str">
            <v>THAO 0914763607</v>
          </cell>
        </row>
        <row r="625">
          <cell r="B625" t="str">
            <v>PHU NGUYEN</v>
          </cell>
          <cell r="C625" t="str">
            <v>QUOC LO 37, THI TRAN NAM SACH, HUYEN NAM SACH, TINH HAI DUONG</v>
          </cell>
          <cell r="D625">
            <v>0</v>
          </cell>
          <cell r="E625" t="str">
            <v>WATER 0988 269 723</v>
          </cell>
        </row>
        <row r="626">
          <cell r="B626" t="str">
            <v>PHU TAI LINH</v>
          </cell>
          <cell r="C626" t="str">
            <v>THON PHU CO, XA QUYET TIEN, HUYEN TIEN LANG, HAI PHONG</v>
          </cell>
          <cell r="D626" t="str">
            <v>DIA CHI DUNG</v>
          </cell>
          <cell r="E626" t="str">
            <v>NGAN 01233963696</v>
          </cell>
        </row>
        <row r="627">
          <cell r="B627" t="str">
            <v>PHU TAI LINH 1</v>
          </cell>
          <cell r="C627" t="str">
            <v>131 LUONG KHANH THIEN, P. CAU DAT, Q. NGO QUYEN, HAI PHONG</v>
          </cell>
          <cell r="D627" t="str">
            <v>CHUNG CTU</v>
          </cell>
          <cell r="E627" t="str">
            <v>0164 869 9699- A TUAN</v>
          </cell>
        </row>
        <row r="628">
          <cell r="B628" t="str">
            <v>PHU TAI LINH GEORGE</v>
          </cell>
          <cell r="C628" t="str">
            <v>KCN NAM TAI, PHU THAI, KIM THANH, HAI DUONG</v>
          </cell>
          <cell r="D628" t="str">
            <v>CHO XNK CONFIRM</v>
          </cell>
          <cell r="E628" t="str">
            <v>01276826827- MS NGAN</v>
          </cell>
        </row>
        <row r="629">
          <cell r="B629" t="str">
            <v>PHU TAI LINH HAI PHONG</v>
          </cell>
          <cell r="C629" t="str">
            <v>Thôn Phú Cơ, xã Quyết Tiến, huyện Tiên Lãng, tp. Hải Phòng</v>
          </cell>
          <cell r="D629">
            <v>0</v>
          </cell>
          <cell r="E629">
            <v>0</v>
          </cell>
        </row>
        <row r="630">
          <cell r="B630" t="str">
            <v>PHU TAI LINH PRIMARK</v>
          </cell>
          <cell r="C630" t="str">
            <v>KCN NAM TAI, PHU THAI, KIM THANH, HAI DUONG</v>
          </cell>
          <cell r="D630" t="str">
            <v>CHO XNK CONFIRM</v>
          </cell>
          <cell r="E630" t="str">
            <v>01276826827- MS NGAN</v>
          </cell>
        </row>
        <row r="631">
          <cell r="B631" t="str">
            <v>PHU THO</v>
          </cell>
          <cell r="C631" t="str">
            <v>16 DUONG HOA PHONG, GIA LAM, VIET TRI, PHU THO</v>
          </cell>
          <cell r="D631" t="str">
            <v>HANG CTU</v>
          </cell>
          <cell r="E631" t="str">
            <v>ANH HAI: 0919677261</v>
          </cell>
        </row>
        <row r="632">
          <cell r="B632" t="str">
            <v>PHU THO 1 ( VP VINEX)</v>
          </cell>
          <cell r="C632" t="str">
            <v>LAU 6, 478 MINH KHAI, HAI BA TRUNG, HA NOI</v>
          </cell>
          <cell r="D632">
            <v>0</v>
          </cell>
          <cell r="E632" t="str">
            <v>Mrs.  Merry/Huong
+84-0989709898</v>
          </cell>
        </row>
        <row r="633">
          <cell r="B633" t="str">
            <v>PHU THO 2</v>
          </cell>
          <cell r="C633" t="str">
            <v>Phuong Phong Chau, TX Phu Tho</v>
          </cell>
          <cell r="D633">
            <v>0</v>
          </cell>
          <cell r="E633" t="str">
            <v>Vat tu - Ms. Nam - 0384 387 823</v>
          </cell>
        </row>
        <row r="634">
          <cell r="B634" t="str">
            <v>TINH LOI RALPH</v>
          </cell>
          <cell r="C634" t="str">
            <v>KCN LAI VU, HAI DUONG</v>
          </cell>
          <cell r="D634">
            <v>0</v>
          </cell>
          <cell r="E634" t="str">
            <v>MS HUONG 0982094023</v>
          </cell>
        </row>
        <row r="635">
          <cell r="B635" t="str">
            <v>PHU TUONG</v>
          </cell>
          <cell r="C635" t="str">
            <v>NONG SON HAMLET, DIEN PHUOC WARDS, DIEN BAN DIST, QUANG NAM PROVINCE</v>
          </cell>
          <cell r="D635">
            <v>0</v>
          </cell>
          <cell r="E635" t="str">
            <v>HO ANH: 0947 574 646</v>
          </cell>
        </row>
        <row r="636">
          <cell r="B636" t="str">
            <v>PHUC DAT</v>
          </cell>
          <cell r="C636" t="str">
            <v>le loi commune- an duong hai phong</v>
          </cell>
          <cell r="D636">
            <v>0</v>
          </cell>
          <cell r="E636" t="str">
            <v>thu-0313 597 978</v>
          </cell>
        </row>
        <row r="637">
          <cell r="B637" t="str">
            <v>PHUOC HIEP THANH</v>
          </cell>
          <cell r="C637" t="str">
            <v>Huong Van Ward, Huong Tra Town, Thua Thien Hue province</v>
          </cell>
          <cell r="D637">
            <v>0</v>
          </cell>
          <cell r="E637" t="str">
            <v>Ms Tham  0944 341 357</v>
          </cell>
        </row>
        <row r="638">
          <cell r="B638" t="str">
            <v>HOA PHONG</v>
          </cell>
          <cell r="C638" t="str">
            <v>SO 511, KHU QH DAT O, THON KIEU DONG, HONG THAI, AN DUONG, HAI PHONG</v>
          </cell>
          <cell r="D638">
            <v>0</v>
          </cell>
          <cell r="E638">
            <v>0</v>
          </cell>
        </row>
        <row r="639">
          <cell r="B639" t="str">
            <v>PRETTY VINA</v>
          </cell>
          <cell r="C639" t="str">
            <v>KCN HOA MAC, DUY TIEN, HA NAM</v>
          </cell>
          <cell r="D639" t="str">
            <v>BOOK VIETTEL GOI ANH NAM 01679630423</v>
          </cell>
          <cell r="E639" t="str">
            <v>JOHN 01656201930</v>
          </cell>
        </row>
        <row r="640">
          <cell r="B640" t="str">
            <v>DAT DANG</v>
          </cell>
          <cell r="C640" t="str">
            <v>DONG PHUONG, DONG HUNG, THAI BINH</v>
          </cell>
          <cell r="D640">
            <v>0</v>
          </cell>
          <cell r="E640">
            <v>0</v>
          </cell>
        </row>
        <row r="641">
          <cell r="B641" t="str">
            <v>TIANYE OUTDOOR</v>
          </cell>
          <cell r="C641" t="str">
            <v>NHA XUONG F4, LO DAT CN9 CN10, KCN PHU THAI, KIM THANH, HAI DUONG</v>
          </cell>
          <cell r="D641">
            <v>0</v>
          </cell>
          <cell r="E641">
            <v>0</v>
          </cell>
        </row>
        <row r="642">
          <cell r="B642" t="str">
            <v>HOAN VINH</v>
          </cell>
          <cell r="C642" t="str">
            <v>108 QL 1A, TAN PHU, TAN LY TAY, CHAU THANH, TIEN GIANG</v>
          </cell>
          <cell r="D642">
            <v>0</v>
          </cell>
          <cell r="E642">
            <v>0</v>
          </cell>
        </row>
        <row r="643">
          <cell r="B643" t="str">
            <v>MAPLE CHI NHANH PEONY</v>
          </cell>
          <cell r="C643" t="str">
            <v>SO 15, DUONG 7, VSIP BAC NINH, PHU CHAN, TU SON, BAC NINH</v>
          </cell>
          <cell r="D643">
            <v>0</v>
          </cell>
          <cell r="E643">
            <v>0</v>
          </cell>
        </row>
        <row r="644">
          <cell r="B644" t="str">
            <v>MASEON GLOBAL</v>
          </cell>
          <cell r="C644" t="str">
            <v>Alley.8-Vinh Thanh Village-Vinh Loc Dist-Thanh Hoa Province</v>
          </cell>
          <cell r="D644">
            <v>0</v>
          </cell>
          <cell r="E644">
            <v>0</v>
          </cell>
        </row>
        <row r="645">
          <cell r="B645" t="str">
            <v>HANEX HUE</v>
          </cell>
          <cell r="C645" t="str">
            <v>LO C-3, KCN PHU BAI, HUONG THUY, HUE</v>
          </cell>
          <cell r="D645">
            <v>0</v>
          </cell>
          <cell r="E645">
            <v>0</v>
          </cell>
        </row>
        <row r="646">
          <cell r="B646" t="str">
            <v>PHUOC KY NAM</v>
          </cell>
          <cell r="C646" t="str">
            <v>KCN Thuan Yen - P. Hoa Thuan - TP. Tam Ky - Tinh Quang Nam</v>
          </cell>
          <cell r="D646">
            <v>0</v>
          </cell>
          <cell r="E646" t="str">
            <v>Truong Thi Hoang Linh - packing team.So dt: 0905 024 608</v>
          </cell>
        </row>
        <row r="647">
          <cell r="B647" t="str">
            <v>PI VINA DANANG</v>
          </cell>
          <cell r="C647" t="str">
            <v xml:space="preserve"> KCN HOA KHANH Q.LIEN CHIEU, TP. DA NANG</v>
          </cell>
          <cell r="D647">
            <v>0</v>
          </cell>
          <cell r="E647" t="str">
            <v>HUONG 01208361859</v>
          </cell>
        </row>
        <row r="648">
          <cell r="B648" t="str">
            <v>PINE TREE</v>
          </cell>
          <cell r="C648" t="str">
            <v>TRA BAN 1 HAMLET, CHAU HUNG A COMMUNE, VINH LOI DISTRICT, BAC LIEU PROVINCE</v>
          </cell>
          <cell r="D648" t="str">
            <v>BOOK VNPT GOI ANH TUNG 01267325818</v>
          </cell>
          <cell r="E648" t="str">
            <v>Hand phone: 0984 530 372  A.SANG</v>
          </cell>
        </row>
        <row r="649">
          <cell r="B649" t="str">
            <v>PIT VINA</v>
          </cell>
          <cell r="C649" t="str">
            <v>KM 14, THANG LOI, AN HUNG,
AN DUONG, HAI PHONG</v>
          </cell>
          <cell r="D649" t="str">
            <v>HANG CHO XNK CONFIRM</v>
          </cell>
          <cell r="E649" t="str">
            <v>0912 950 692- MS CHI</v>
          </cell>
        </row>
        <row r="650">
          <cell r="B650" t="str">
            <v>SUNRISE SPORT</v>
          </cell>
          <cell r="C650" t="str">
            <v>HOANG THANH, HOANG HOA, THANH HOA</v>
          </cell>
          <cell r="D650">
            <v>0</v>
          </cell>
          <cell r="E650">
            <v>0</v>
          </cell>
        </row>
        <row r="651">
          <cell r="B651">
            <v>0</v>
          </cell>
          <cell r="C651">
            <v>0</v>
          </cell>
          <cell r="D651">
            <v>0</v>
          </cell>
          <cell r="E651">
            <v>0</v>
          </cell>
        </row>
        <row r="652">
          <cell r="B652" t="str">
            <v>PLUMMY</v>
          </cell>
          <cell r="C652" t="str">
            <v>KHU TAI DINH CU HOA PHU, PHU MAN, QUOC OAI, HA NOI</v>
          </cell>
          <cell r="D652" t="str">
            <v>GAP INC GIAO THAI BINH, CON LAI GIAO HA NOI</v>
          </cell>
          <cell r="E652" t="str">
            <v>HUE/NGUYET: 04 3394 7153</v>
          </cell>
        </row>
        <row r="653">
          <cell r="B653" t="str">
            <v>PLUMMY THAI BINH</v>
          </cell>
          <cell r="C653" t="str">
            <v>LOT CN2, KCN HUNG NHAN, HUNG HA, THAI BINH</v>
          </cell>
          <cell r="D653">
            <v>0</v>
          </cell>
          <cell r="E653" t="str">
            <v>MS THAO 0947938288</v>
          </cell>
        </row>
        <row r="654">
          <cell r="B654" t="str">
            <v>DET MAY PHU HOA AN</v>
          </cell>
          <cell r="C654" t="str">
            <v>KCN PHU BAI, THUA THIEN, HUE</v>
          </cell>
          <cell r="D654">
            <v>0</v>
          </cell>
          <cell r="E654">
            <v>0</v>
          </cell>
        </row>
        <row r="655">
          <cell r="B655" t="str">
            <v>PNG</v>
          </cell>
          <cell r="C655" t="str">
            <v>KM 52- HIGH WAY No. 5, VIET NAM, CAM THUONG, TP. HAI DUONG</v>
          </cell>
          <cell r="D655" t="str">
            <v>CHUNG HD</v>
          </cell>
          <cell r="E655" t="str">
            <v>Đt: 0320. 3845. 187 (Máy lẻ: 222)
0985 793 138- MS NHIEN</v>
          </cell>
        </row>
        <row r="656">
          <cell r="B656" t="str">
            <v>POONG SHIN</v>
          </cell>
          <cell r="C656" t="str">
            <v>số 10- B5, Ngõ 6, Kim Động, Giáp Bát, Hoàng Mai, Hà Nội</v>
          </cell>
          <cell r="D656" t="str">
            <v>C.KATE</v>
          </cell>
          <cell r="E656" t="str">
            <v>Attn: Ms Dung: 0982 308 380</v>
          </cell>
        </row>
        <row r="657">
          <cell r="B657" t="str">
            <v xml:space="preserve">POONGSHIN </v>
          </cell>
          <cell r="C657" t="str">
            <v>10B5 KIM DONG-GIAP BAT-HOANG MAI-HANOI, VIETNAM</v>
          </cell>
          <cell r="D657">
            <v>0</v>
          </cell>
          <cell r="E657" t="str">
            <v xml:space="preserve">ATTN: Ms Phuong Lan/ Mr Ha
Tel: +84-(0)4-3864-6710
Fax: +84-(0)4-3864-6928
</v>
          </cell>
        </row>
        <row r="658">
          <cell r="B658" t="str">
            <v>POONGSHIN VINA</v>
          </cell>
          <cell r="C658" t="str">
            <v>KCN PHUC KHANH, THAI BINH</v>
          </cell>
          <cell r="D658">
            <v>0</v>
          </cell>
          <cell r="E658" t="str">
            <v>MS NGOC/HA: 0363 3684 5941</v>
          </cell>
        </row>
        <row r="659">
          <cell r="B659" t="str">
            <v>POU HUNG</v>
          </cell>
          <cell r="C659" t="str">
            <v>DUONG SO 1, KCN CHA LA, BINH LINH, CHA LA, DUONG MINH CHAU, TAY NINH</v>
          </cell>
          <cell r="D659">
            <v>0</v>
          </cell>
          <cell r="E659" t="str">
            <v>LANH: 0965 359 389
KIEU NHI: 0166 238 9971</v>
          </cell>
        </row>
        <row r="660">
          <cell r="B660" t="str">
            <v>POU LI</v>
          </cell>
          <cell r="C660" t="str">
            <v xml:space="preserve"> LOTS 37-9A,37-10,37-11,37-12,37-13 ,37-14A PHUOC DONG, INDUSTRIAL PARK ,GO DAU DISTRICT, TAY NINH PROVINCE</v>
          </cell>
          <cell r="D660">
            <v>0</v>
          </cell>
          <cell r="E660" t="str">
            <v xml:space="preserve">Huyền: 0977114330 </v>
          </cell>
        </row>
        <row r="661">
          <cell r="B661" t="str">
            <v>POU LI TIMBERLAND</v>
          </cell>
          <cell r="C661" t="str">
            <v xml:space="preserve"> LOTS 37-9A,37-10,37-11,37-12,37-13 ,37-14A PHUOC DONG, INDUSTRIAL PARK ,GO DAU DISTRICT, TAY NINH PROVINCE</v>
          </cell>
          <cell r="D661">
            <v>0</v>
          </cell>
          <cell r="E661" t="str">
            <v>THẢO kho : 0162.803.5191</v>
          </cell>
        </row>
        <row r="662">
          <cell r="B662" t="str">
            <v>VIET THUAN</v>
          </cell>
          <cell r="C662" t="str">
            <v>DUONG N5A, KCN HOA XA, MY XA, NAM DINH</v>
          </cell>
          <cell r="D662">
            <v>0</v>
          </cell>
          <cell r="E662">
            <v>0</v>
          </cell>
        </row>
        <row r="663">
          <cell r="B663" t="str">
            <v>VIET TRI GARMENT</v>
          </cell>
          <cell r="C663" t="str">
            <v>DONG LA, HONG QUANG, THANH MIEN, HAI DUONG</v>
          </cell>
          <cell r="D663">
            <v>0</v>
          </cell>
          <cell r="E663" t="str">
            <v>MRS LINH 0966.326.926</v>
          </cell>
        </row>
        <row r="664">
          <cell r="B664" t="str">
            <v>BEST BASE</v>
          </cell>
          <cell r="C664" t="str">
            <v>LO 35, 36, KCX LINH TRUNG III, TRANG BANG, TAY NINH</v>
          </cell>
          <cell r="D664">
            <v>0</v>
          </cell>
          <cell r="E664">
            <v>0</v>
          </cell>
        </row>
        <row r="665">
          <cell r="B665" t="str">
            <v>MAY CAM RANH</v>
          </cell>
          <cell r="C665" t="str">
            <v>Tổ Dân Phố Hòa Do 6B, Phường Cam Phúc Bắc, TP.Cam Ranh, Tỉnh.Khánh Hòa</v>
          </cell>
          <cell r="D665">
            <v>0</v>
          </cell>
          <cell r="E665" t="str">
            <v>Ms Duyen 0935456607</v>
          </cell>
        </row>
        <row r="666">
          <cell r="B666" t="str">
            <v>PREMIER PEARL</v>
          </cell>
          <cell r="C666" t="str">
            <v>LOT B3-B4-GIAO LONG IZ-CHAU THANH-BEN TRE</v>
          </cell>
          <cell r="D666">
            <v>0</v>
          </cell>
          <cell r="E666" t="str">
            <v>075 3637 346/347/333</v>
          </cell>
        </row>
        <row r="667">
          <cell r="B667" t="str">
            <v>PREX VINH</v>
          </cell>
          <cell r="C667" t="str">
            <v>CUM CN XA LAC SON, HUYEN DO LUONG, NGHE AN</v>
          </cell>
          <cell r="D667">
            <v>0</v>
          </cell>
          <cell r="E667" t="str">
            <v>MS LIEN 01634615428</v>
          </cell>
        </row>
        <row r="668">
          <cell r="B668" t="str">
            <v>PRO SPORTS</v>
          </cell>
          <cell r="C668" t="str">
            <v>KHU 4A, THI TRAN NGO DONG, GIAO THUY, NẠM DINH</v>
          </cell>
          <cell r="D668">
            <v>0</v>
          </cell>
          <cell r="E668" t="str">
            <v>MS LINH: 0944801718</v>
          </cell>
        </row>
        <row r="669">
          <cell r="B669" t="str">
            <v>PROMADE LINGERIE</v>
          </cell>
          <cell r="C669" t="str">
            <v>A7, DUONG SO 1, CUM CN NHO, VI THANH, HAU GIANG</v>
          </cell>
          <cell r="D669">
            <v>0</v>
          </cell>
          <cell r="E669" t="str">
            <v>PING PAI: 0711 3582 498</v>
          </cell>
        </row>
        <row r="670">
          <cell r="B670" t="str">
            <v>PROSPORTS HA NOI</v>
          </cell>
          <cell r="C670" t="str">
            <v>TANG 15 LILAMA 10 TOWER TO HUU TRUNG VAN TU LIEM HA NOI</v>
          </cell>
          <cell r="D670">
            <v>0</v>
          </cell>
          <cell r="E670" t="str">
            <v>MINH: 0985 024 353</v>
          </cell>
        </row>
        <row r="671">
          <cell r="B671" t="str">
            <v>PUNGKOOK BEN TRE</v>
          </cell>
          <cell r="C671" t="str">
            <v>LOT E4, E5, E10, E11, KCN GIAO LONG, AN PHUOC, CHAU THANH, BEN TRE</v>
          </cell>
          <cell r="D671">
            <v>0</v>
          </cell>
          <cell r="E671" t="str">
            <v>YEN: 0986 885 110</v>
          </cell>
        </row>
        <row r="672">
          <cell r="B672" t="str">
            <v>QTNP</v>
          </cell>
          <cell r="C672" t="str">
            <v>NO 18, LOT 18, RESETTLEMENT AREA, LONG BIEN, HA NOI</v>
          </cell>
          <cell r="D672">
            <v>0</v>
          </cell>
          <cell r="E672" t="str">
            <v>Điện thoại: 04-3670 0001 
Người liên lạc: 
Hương- 0987 888 418 
Duyên-0978 858 385</v>
          </cell>
        </row>
        <row r="673">
          <cell r="B673" t="str">
            <v>QTNP CHI HA</v>
          </cell>
          <cell r="C673" t="str">
            <v>94/75 HONG HA RD-BA DINH-HANOI</v>
          </cell>
          <cell r="D673">
            <v>0</v>
          </cell>
          <cell r="E673" t="str">
            <v>Điện thoại: 04-3670 0001 
Người liên lạc: 
Hương- ĐT di động: 0987 888 418 
Duyên- DDT di động: 0978 858 385</v>
          </cell>
        </row>
        <row r="674">
          <cell r="B674" t="str">
            <v>Quang and Artex</v>
          </cell>
          <cell r="C674" t="str">
            <v>95 Ba Trieu- Hai Ba Trung- Ha Noi</v>
          </cell>
          <cell r="D674" t="str">
            <v>TTC- KHTT - HD</v>
          </cell>
          <cell r="E674" t="str">
            <v>Nguyen Thanh Tuan: 04 39454235</v>
          </cell>
        </row>
        <row r="675">
          <cell r="B675" t="str">
            <v>QUANG MINH</v>
          </cell>
          <cell r="C675" t="str">
            <v>207C, DUONG NGUYEN THI THAP, PHUONG 10, TP. MY THO, TIEN GIANG</v>
          </cell>
          <cell r="D675">
            <v>0</v>
          </cell>
          <cell r="E675" t="str">
            <v>MS THANH: 0908 608 688</v>
          </cell>
        </row>
        <row r="676">
          <cell r="B676" t="str">
            <v>QUANG VIET TIEN GIANG</v>
          </cell>
          <cell r="C676" t="str">
            <v>LOT K1-1, KCN TAN HUONG, TAN HUONG, CHAU THANH, TIEN GIANG</v>
          </cell>
          <cell r="D676" t="str">
            <v>HANG KHONG GAP- T5 GIAO XE TAI, HANG GAP-GUI KERRY</v>
          </cell>
          <cell r="E676" t="str">
            <v>MS TIEN: 0167 747 8607</v>
          </cell>
        </row>
        <row r="677">
          <cell r="B677" t="str">
            <v>QUANNON</v>
          </cell>
          <cell r="C677" t="str">
            <v>05A DUONG SO 2, KCN LONG HAU, CAN GIUOC, LONG AN</v>
          </cell>
          <cell r="D677">
            <v>0</v>
          </cell>
          <cell r="E677" t="str">
            <v>ATTN: HENRY/ CAROL: 083 8734165</v>
          </cell>
        </row>
        <row r="678">
          <cell r="B678" t="str">
            <v>QUANON</v>
          </cell>
          <cell r="C678" t="str">
            <v>LO H05A, DUONG SO 2, KCN LONG HAU, CAN GIUOC, LONG AN</v>
          </cell>
          <cell r="D678">
            <v>0</v>
          </cell>
          <cell r="E678">
            <v>0</v>
          </cell>
        </row>
        <row r="679">
          <cell r="B679" t="str">
            <v>R.SENSE</v>
          </cell>
          <cell r="C679" t="str">
            <v>TRAN HUNG DAO BOUNDARY-DONG HAI WARD-HAI AN DIST-HAI PHONG</v>
          </cell>
          <cell r="D679">
            <v>0</v>
          </cell>
          <cell r="E679" t="str">
            <v>BARRY/JIM-313 979902</v>
          </cell>
        </row>
        <row r="680">
          <cell r="B680" t="str">
            <v>RAPEXCO – DAINAM LLC</v>
          </cell>
          <cell r="C680" t="str">
            <v>SUOI DAU IZ-CAM LAM-KHANH HOA</v>
          </cell>
          <cell r="D680">
            <v>0</v>
          </cell>
          <cell r="E680" t="str">
            <v>MS TAM-058.3743516</v>
          </cell>
        </row>
        <row r="681">
          <cell r="B681" t="str">
            <v>DONG HAI</v>
          </cell>
          <cell r="C681" t="str">
            <v>132 NGUYEN VAN CU, P. NGOC TRAO, TX. BIM SON, T.THANH HOA</v>
          </cell>
          <cell r="D681">
            <v>0</v>
          </cell>
          <cell r="E681" t="str">
            <v>MS. MINH THUY 0937948294</v>
          </cell>
        </row>
        <row r="682">
          <cell r="B682" t="str">
            <v>REGINA MIRACLE</v>
          </cell>
          <cell r="C682" t="str">
            <v>So 9, Duong Dong Tay, VSIP Hai Phong, Huyen Thuy Nguyen, thuoc KKT Dinh Vu, Cat Hai, Hai Phong, Viet Nam</v>
          </cell>
          <cell r="D682">
            <v>0</v>
          </cell>
          <cell r="E682">
            <v>0</v>
          </cell>
        </row>
        <row r="683">
          <cell r="B683" t="str">
            <v>REHONG</v>
          </cell>
          <cell r="C683" t="str">
            <v>LOT NO.A4, 13-14, THANH THANH CONG INDUSTRIAL PARK, AN HOA COMMUNE, TRANG BANG, TAY NINH</v>
          </cell>
          <cell r="D683">
            <v>0</v>
          </cell>
          <cell r="E683">
            <v>0</v>
          </cell>
        </row>
        <row r="684">
          <cell r="B684" t="str">
            <v>Representative Office of Unico Global Vn</v>
          </cell>
          <cell r="C684" t="str">
            <v>4th Floor, An Phu Building, 24 Hoang Quoc Viet Street, Cau Giay District, Ha Noi</v>
          </cell>
          <cell r="D684">
            <v>0</v>
          </cell>
          <cell r="E684">
            <v>0</v>
          </cell>
        </row>
        <row r="685">
          <cell r="B685" t="str">
            <v>REPRESENTATIVE UNICO</v>
          </cell>
          <cell r="C685" t="str">
            <v>4th Floor, An Phu Building, 24 Hoang Quoc Viet Street, Cau Giay District, Ha Noi</v>
          </cell>
          <cell r="D685">
            <v>0</v>
          </cell>
          <cell r="E685" t="str">
            <v>ATTN: HUONG 01655225094</v>
          </cell>
        </row>
        <row r="686">
          <cell r="B686" t="str">
            <v>RICH</v>
          </cell>
          <cell r="C686" t="str">
            <v>MINH DUC, MY HAO, HUNG YEN</v>
          </cell>
          <cell r="D686">
            <v>0</v>
          </cell>
          <cell r="E686" t="str">
            <v>MS NGOC 0977 845 290</v>
          </cell>
        </row>
        <row r="687">
          <cell r="B687" t="str">
            <v>RICH GARMENT</v>
          </cell>
          <cell r="C687" t="str">
            <v>NAM SACH IZ-HAI DUONG</v>
          </cell>
          <cell r="D687">
            <v>0</v>
          </cell>
          <cell r="E687" t="str">
            <v>NGAN/NGOC/THUY/HAU-3203574168</v>
          </cell>
        </row>
        <row r="688">
          <cell r="B688" t="str">
            <v>RICH GARMENT1</v>
          </cell>
          <cell r="C688" t="str">
            <v>X.MINH DUC-H.MY HAO-HUNG YEN</v>
          </cell>
          <cell r="D688">
            <v>0</v>
          </cell>
          <cell r="E688" t="str">
            <v>NGOC-32103955188</v>
          </cell>
        </row>
        <row r="689">
          <cell r="B689" t="str">
            <v>RICH WAY</v>
          </cell>
          <cell r="C689" t="str">
            <v>KCN KY SON, TU KY, HAI DUONG</v>
          </cell>
          <cell r="D689">
            <v>0</v>
          </cell>
          <cell r="E689">
            <v>0</v>
          </cell>
        </row>
        <row r="690">
          <cell r="B690" t="str">
            <v>RIGHT RICH</v>
          </cell>
          <cell r="C690" t="str">
            <v>LO C7-1, C7-2, C7-3, C7-4 KCN HAM KIEM II - BITA'S, HAM THUAN NAM, BINH THUAN</v>
          </cell>
          <cell r="D690" t="str">
            <v>HANG CHUNG CTU</v>
          </cell>
          <cell r="E690" t="str">
            <v>MS QUYEN: 0975 358 064</v>
          </cell>
        </row>
        <row r="691">
          <cell r="B691" t="str">
            <v>RIO VINA</v>
          </cell>
          <cell r="C691" t="str">
            <v>359 AP LONG KHANH, XA TAM PHUOC, LONG THANH, DONG NAI</v>
          </cell>
          <cell r="D691">
            <v>0</v>
          </cell>
          <cell r="E691" t="str">
            <v>MR KY/ MS PHUONG: 0613 513241
0168 871 7393- MS HANH</v>
          </cell>
        </row>
        <row r="692">
          <cell r="B692" t="str">
            <v>ROLLSPORT</v>
          </cell>
          <cell r="C692" t="str">
            <v>KCN VA DO THI HOANG LONG, TAO XUYEN. THANH HOA</v>
          </cell>
          <cell r="D692" t="str">
            <v xml:space="preserve">HANG VAT BOOK NEWPOST(NOTE PICK SLIT VIETTEL LAY HANG)
HANG GEN BOOK MAIL KERRY HANG TUAN VAO THU 4 BOOK SHIP DUONG BO </v>
          </cell>
          <cell r="E692" t="str">
            <v>MR VIET: 0973 799 128</v>
          </cell>
        </row>
        <row r="693">
          <cell r="B693" t="str">
            <v>ROLLSPORT  NORTHFACE</v>
          </cell>
          <cell r="C693" t="str">
            <v>KCN VA DO THI HOANG LONG, TAO XUYEN. THANH HOA</v>
          </cell>
          <cell r="D693" t="str">
            <v>NORTHFACE GIAO NETCO</v>
          </cell>
          <cell r="E693" t="str">
            <v>JULIE: 0973 292 681</v>
          </cell>
        </row>
        <row r="694">
          <cell r="B694" t="str">
            <v>SAKURAI VN</v>
          </cell>
          <cell r="C694" t="str">
            <v>PLOT 2, F AREA, LEMON INDUSTRIAL PARK, THANH HOA CITY</v>
          </cell>
          <cell r="D694">
            <v>0</v>
          </cell>
          <cell r="E694" t="str">
            <v>TUAN 0932214898</v>
          </cell>
        </row>
        <row r="695">
          <cell r="B695">
            <v>0</v>
          </cell>
          <cell r="C695">
            <v>0</v>
          </cell>
          <cell r="D695">
            <v>0</v>
          </cell>
          <cell r="E695">
            <v>0</v>
          </cell>
        </row>
        <row r="696">
          <cell r="B696" t="str">
            <v>SHILLA GLOVIS</v>
          </cell>
          <cell r="C696" t="str">
            <v>CHO MOI, LONG HOA, GO CONG, TIEN GIANG</v>
          </cell>
          <cell r="D696">
            <v>0</v>
          </cell>
          <cell r="E696" t="str">
            <v>Ms Phung 01687770829</v>
          </cell>
        </row>
        <row r="697">
          <cell r="B697" t="str">
            <v>SANG INH VINA</v>
          </cell>
          <cell r="C697" t="str">
            <v>HAMLET 2, HOA HUNG, XUYEN MOC, BA RIA VUNG TAU</v>
          </cell>
          <cell r="D697">
            <v>0</v>
          </cell>
          <cell r="E697">
            <v>0</v>
          </cell>
        </row>
        <row r="698">
          <cell r="B698" t="str">
            <v>SAMETEX</v>
          </cell>
          <cell r="C698" t="str">
            <v>386/2 DUONG 62, PHUONG 6, THI XA TAN AN, LONG AN</v>
          </cell>
          <cell r="D698">
            <v>0</v>
          </cell>
          <cell r="E698">
            <v>0</v>
          </cell>
        </row>
        <row r="699">
          <cell r="B699" t="str">
            <v>SAMHO</v>
          </cell>
          <cell r="C699" t="str">
            <v xml:space="preserve">KCN TRANG BANG-AN TINH-TAY NINH </v>
          </cell>
          <cell r="D699">
            <v>0</v>
          </cell>
          <cell r="E699" t="str">
            <v>MR HUYNH-0909896097</v>
          </cell>
        </row>
        <row r="700">
          <cell r="B700" t="str">
            <v>SAMIL HANOI VN</v>
          </cell>
          <cell r="C700" t="str">
            <v>KM 52. QUOC LO 5, BINH HAN, HAI DUONG</v>
          </cell>
          <cell r="D700" t="str">
            <v>GOI FORWARDER ADC DEN LAY- 0650 6257 333- GIAO DUONG BO- NNTT</v>
          </cell>
          <cell r="E700" t="str">
            <v>CHỊ THANH- PHONG VAT TU: 0904 811 639</v>
          </cell>
        </row>
        <row r="701">
          <cell r="B701" t="str">
            <v>Sampo Vina</v>
          </cell>
          <cell r="C701" t="str">
            <v>Lo B8, KCN Que Vo, P.Van Duong, Tp.Bac Ninh, Bac Ninh</v>
          </cell>
          <cell r="D701">
            <v>0</v>
          </cell>
          <cell r="E701" t="str">
            <v xml:space="preserve"> Ms Nga 01632.455.666 </v>
          </cell>
        </row>
        <row r="702">
          <cell r="B702" t="str">
            <v>SANG HUN</v>
          </cell>
          <cell r="C702" t="str">
            <v>KCN DONG XOAI 1, XA TAN THANH, TX DONG XOAI, BINH PHUOC</v>
          </cell>
          <cell r="D702">
            <v>0</v>
          </cell>
          <cell r="E702" t="str">
            <v>Ms Huệ - 0904250450</v>
          </cell>
        </row>
        <row r="703">
          <cell r="B703" t="str">
            <v>SANG SEUNG</v>
          </cell>
          <cell r="C703" t="str">
            <v>AP AN LAC, AN NHUT, LONG DIEN, BA RIA-VUNG TAU</v>
          </cell>
          <cell r="D703" t="str">
            <v>INVISTA</v>
          </cell>
          <cell r="E703" t="str">
            <v>MS YEN: 0983 397 798</v>
          </cell>
        </row>
        <row r="704">
          <cell r="B704" t="str">
            <v>JY VINA</v>
          </cell>
          <cell r="C704" t="str">
            <v>NGHIA HUAN, MY THANH, GIONG TROM, BEN TRE</v>
          </cell>
          <cell r="D704" t="str">
            <v>COMBINE VOI HANG DREAM MEKONG, CHO CS CONFIRM SD: VNPT</v>
          </cell>
          <cell r="E704">
            <v>0</v>
          </cell>
        </row>
        <row r="705">
          <cell r="B705" t="str">
            <v>SANTA CLARA</v>
          </cell>
          <cell r="C705" t="str">
            <v>An Tinh Hamlet, Yen Binh Commune, Y Yen District, Nam Dinh</v>
          </cell>
          <cell r="D705">
            <v>0</v>
          </cell>
          <cell r="E705" t="str">
            <v>Ms Anna Dinh 0961280099</v>
          </cell>
        </row>
        <row r="706">
          <cell r="B706" t="str">
            <v>SAO MAI</v>
          </cell>
          <cell r="C706" t="str">
            <v>BINH MINH RESIDENTIAL QUARTER, VINH BAO TOWN, HAI PHONG CITY</v>
          </cell>
          <cell r="D706">
            <v>0</v>
          </cell>
          <cell r="E706">
            <v>0</v>
          </cell>
        </row>
        <row r="707">
          <cell r="B707" t="str">
            <v xml:space="preserve">SAO MAI </v>
          </cell>
          <cell r="C707" t="str">
            <v>163, 30TH PROVINCIAL ROAD, MY PHU WARD, CAO LANH TOWN, DONG THAP PROVINCE</v>
          </cell>
          <cell r="D707">
            <v>0</v>
          </cell>
          <cell r="E707">
            <v>0</v>
          </cell>
        </row>
        <row r="708">
          <cell r="B708" t="str">
            <v>SAO VANG</v>
          </cell>
          <cell r="C708" t="str">
            <v>Chi nhanh Cong Ty TNHH SAO VANG
Khu PhúThanh Tây- Phương Yên Thanh,
thi xa Uong Bi,tinh Quang Ninh</v>
          </cell>
          <cell r="D708">
            <v>0</v>
          </cell>
          <cell r="E708" t="str">
            <v>HOA
DT:0988 11 0026</v>
          </cell>
        </row>
        <row r="709">
          <cell r="B709" t="str">
            <v>SAO VANG CLARKS</v>
          </cell>
          <cell r="C709" t="str">
            <v>Nga 3 Truong Son An Lao Hai Phong</v>
          </cell>
          <cell r="D709">
            <v>0</v>
          </cell>
          <cell r="E709" t="str">
            <v xml:space="preserve">Em Luyen kho vat lieu sdt :0936 862 057 + Em Thanh sdt :01678 120 979 </v>
          </cell>
        </row>
        <row r="710">
          <cell r="B710" t="str">
            <v>SAO VANG THAI BINH 1</v>
          </cell>
          <cell r="C710" t="str">
            <v>Lo dat dien tich 88.707m vuong , cum cong nghiep Quynh Coi,Xa Quynh My - Huyen Quynh Phu, Thai Binh</v>
          </cell>
          <cell r="D710">
            <v>0</v>
          </cell>
          <cell r="E710" t="str">
            <v>CHI DANG 0984388614</v>
          </cell>
        </row>
        <row r="711">
          <cell r="B711" t="str">
            <v>SCAVI DA NANG</v>
          </cell>
          <cell r="C711" t="str">
            <v>LO 17, DUONG SO 5, KCN DA NANG, AN HAI BAC, SON HA</v>
          </cell>
          <cell r="D711">
            <v>0</v>
          </cell>
          <cell r="E711">
            <v>0</v>
          </cell>
        </row>
        <row r="712">
          <cell r="B712" t="str">
            <v>SCAVI HUE</v>
          </cell>
          <cell r="C712" t="str">
            <v>PHONG DIEN IZ-PHONG DIEN DIST- TT HUE</v>
          </cell>
          <cell r="D712" t="str">
            <v>HANG CHUNG HOA DON, KEM PKL CHI TIET</v>
          </cell>
          <cell r="E712" t="str">
            <v>QUYEN-0919727279
MR TRAI 054 3751 751- EXT:146</v>
          </cell>
        </row>
        <row r="713">
          <cell r="B713" t="str">
            <v>SCAVI LAO</v>
          </cell>
          <cell r="C713" t="str">
            <v>NONGPHING VILLAGE-CHANTHABOULY DIST-VIENTIANE-LAO P.D.R</v>
          </cell>
          <cell r="D713">
            <v>0</v>
          </cell>
          <cell r="E713">
            <v>0</v>
          </cell>
        </row>
        <row r="714">
          <cell r="B714" t="str">
            <v>SD QUANG BINH</v>
          </cell>
          <cell r="C714" t="str">
            <v>Lang Nghe Industrial Area - Quan Hau Town Quang Ninh District - Quang Binh Province</v>
          </cell>
          <cell r="D714">
            <v>0</v>
          </cell>
          <cell r="E714" t="str">
            <v>Ms Thu 0902151398</v>
          </cell>
        </row>
        <row r="715">
          <cell r="B715" t="str">
            <v>SEDO</v>
          </cell>
          <cell r="C715" t="str">
            <v>AP 5, XA AN PHUOC, LONG THANH, DONG NAI</v>
          </cell>
          <cell r="D715">
            <v>0</v>
          </cell>
          <cell r="E715" t="str">
            <v>MR CHUONG: 09086663955</v>
          </cell>
        </row>
        <row r="716">
          <cell r="B716" t="str">
            <v>SEES VINA</v>
          </cell>
          <cell r="C716" t="str">
            <v>XA MINH DUC, HUYEN TU KY, HAI DUONG</v>
          </cell>
          <cell r="D716" t="str">
            <v>HANG CHUNG CTU</v>
          </cell>
          <cell r="E716" t="str">
            <v>ATTN: MS PHUONG 01682 591291
0320 3 744600</v>
          </cell>
        </row>
        <row r="717">
          <cell r="B717" t="str">
            <v>SEETHING 2</v>
          </cell>
          <cell r="C717" t="str">
            <v>KCN TAM DIEP, TAM DIEN, NINH BINH</v>
          </cell>
          <cell r="D717">
            <v>0</v>
          </cell>
          <cell r="E717" t="str">
            <v>LOAN 0985 691 695</v>
          </cell>
        </row>
        <row r="718">
          <cell r="B718" t="str">
            <v>SEETHING VN</v>
          </cell>
          <cell r="C718" t="str">
            <v>BLOCK L3.1&amp;1/2 L3.2, DO SON INDUSTRIAL ZONE, HAI PHONG</v>
          </cell>
          <cell r="D718">
            <v>0</v>
          </cell>
          <cell r="E718" t="str">
            <v>MS CHI. Mobile : 01289.270.808
Tel : 0313.663.868  Ext : 3825</v>
          </cell>
        </row>
        <row r="719">
          <cell r="B719" t="str">
            <v>SEIDEN STICKER</v>
          </cell>
          <cell r="C719" t="str">
            <v>KM 13, DUONG 18, VAN AN, CHI LINH, HAI DUONG</v>
          </cell>
          <cell r="D719">
            <v>0</v>
          </cell>
          <cell r="E719" t="str">
            <v>MS SEN: 0320 3922 560</v>
          </cell>
        </row>
        <row r="720">
          <cell r="B720" t="str">
            <v>KEE EUN</v>
          </cell>
          <cell r="C720" t="str">
            <v>LOT 6-THUY VAN IZ-PHU THO</v>
          </cell>
          <cell r="D720">
            <v>0</v>
          </cell>
          <cell r="E720" t="str">
            <v xml:space="preserve">MR AN: 0210-3857-580 </v>
          </cell>
        </row>
        <row r="721">
          <cell r="B721" t="str">
            <v>SERIM</v>
          </cell>
          <cell r="C721" t="str">
            <v>NO1, VALLEY 321, VINH HUNG STREET, HOANG MAI DIST, HA NOI</v>
          </cell>
          <cell r="D721">
            <v>0</v>
          </cell>
          <cell r="E721" t="str">
            <v>MS HUONG: 0913 301 994</v>
          </cell>
        </row>
        <row r="722">
          <cell r="B722" t="str">
            <v>SESHIN</v>
          </cell>
          <cell r="C722" t="str">
            <v>THUY VAN IZ-LOT 10-VIET TRI-PHU THO</v>
          </cell>
          <cell r="D722">
            <v>0</v>
          </cell>
          <cell r="E722" t="str">
            <v>TUAN: 0942 935 662</v>
          </cell>
        </row>
        <row r="723">
          <cell r="B723" t="str">
            <v>SESHIN VN2</v>
          </cell>
          <cell r="C723" t="str">
            <v>Khe Xoan Hamlet – Doi Can commune – Tuyen Quang City</v>
          </cell>
          <cell r="D723">
            <v>0</v>
          </cell>
          <cell r="E723" t="str">
            <v xml:space="preserve"> Khanh:  +84 273 898301~2</v>
          </cell>
        </row>
        <row r="724">
          <cell r="B724" t="str">
            <v>SEVEN CORP</v>
          </cell>
          <cell r="C724" t="str">
            <v>D19/34 WARD 4, VINH LOC B, BINH CHANH, TP HCM</v>
          </cell>
          <cell r="D724" t="str">
            <v>VIETTEL- KHTT</v>
          </cell>
          <cell r="E724" t="str">
            <v>MR VU: 0903 758 857</v>
          </cell>
        </row>
        <row r="725">
          <cell r="B725" t="str">
            <v>SEWON</v>
          </cell>
          <cell r="C725" t="str">
            <v>SO 1, LO 6-7, KCN LANG NGHE, THI TRAN NGA SON, THANH HOA</v>
          </cell>
          <cell r="D725" t="str">
            <v>hang chung ctu</v>
          </cell>
          <cell r="E725" t="str">
            <v>MS VAN- XNK: 0933 848 850</v>
          </cell>
        </row>
        <row r="726">
          <cell r="B726" t="str">
            <v>MAY TBT</v>
          </cell>
          <cell r="C726" t="str">
            <v>KM24 - TL390 XA THANH HAI - H.THANH HA-T. HAI DUONG</v>
          </cell>
          <cell r="D726">
            <v>0</v>
          </cell>
          <cell r="E726" t="str">
            <v>NHUNG: 01649606408</v>
          </cell>
        </row>
        <row r="727">
          <cell r="B727" t="str">
            <v>SEYANG</v>
          </cell>
          <cell r="C727" t="str">
            <v>LÔ SỐ 54, CỤM TTCN LÀNG NGHỀ XÃ NHẬT TÂN, HUYỆN KIM BẢNG , TỈNH HÀ NAM</v>
          </cell>
          <cell r="D727" t="str">
            <v>HANG CHUNG CTU</v>
          </cell>
          <cell r="E727" t="str">
            <v>Ms.Thu : 84 91 487 6779
Ms.Phuong Anh: 84 96 419 0968</v>
          </cell>
        </row>
        <row r="728">
          <cell r="B728" t="str">
            <v>SEYOUNG</v>
          </cell>
          <cell r="C728" t="str">
            <v>P603 TẦNG 1, TÒA NHÀ CT5, KĐT MỸ ĐÌNH MỄ TRÌ, HA NOI</v>
          </cell>
          <cell r="D728" t="str">
            <v>GIAO THU 7 HANG TUAN
DUONG BO- NETCO- KHTT- hang chung ctu</v>
          </cell>
          <cell r="E728" t="str">
            <v>ms Lien (0983507984) -04-37875516</v>
          </cell>
        </row>
        <row r="729">
          <cell r="B729" t="str">
            <v>SH</v>
          </cell>
          <cell r="C729" t="str">
            <v>NHON HOA 1, DUC HOA, LONG AN</v>
          </cell>
          <cell r="D729">
            <v>0</v>
          </cell>
          <cell r="E729" t="str">
            <v>MS HA 0909 799 711</v>
          </cell>
        </row>
        <row r="730">
          <cell r="B730" t="str">
            <v>SH VINA</v>
          </cell>
          <cell r="C730" t="str">
            <v>Thon Tan Ly, xa Thanh Tam, huyen Thach Thanh, tinh Thanh Hoa</v>
          </cell>
          <cell r="D730" t="str">
            <v>CHO CS CONFIRM SHIPMODE (WALMART LH CS MILEY, NHAN TARGET LH CS JUDY)</v>
          </cell>
          <cell r="E730">
            <v>0</v>
          </cell>
        </row>
        <row r="731">
          <cell r="B731" t="str">
            <v>SHINHWA THIEN XUAN</v>
          </cell>
          <cell r="C731" t="str">
            <v>ZONE 6, VAN CO, VIET TRI, PHU THO</v>
          </cell>
          <cell r="D731" t="str">
            <v>HANG CHUNG CTU</v>
          </cell>
          <cell r="E731" t="str">
            <v>Mr.Hung: 0210 3992 772</v>
          </cell>
        </row>
        <row r="732">
          <cell r="B732" t="str">
            <v>SHINTS</v>
          </cell>
          <cell r="C732" t="str">
            <v>THACH KHOI- GIA LOC- HAI DUONG</v>
          </cell>
          <cell r="D732">
            <v>0</v>
          </cell>
          <cell r="E732" t="str">
            <v>ATTENTION : MS.Nghia/ Mrs thuý /Mrs Ha
TEL: 84-320.3861727/ ext 138  FAX: 84-320.3861730</v>
          </cell>
        </row>
        <row r="733">
          <cell r="B733" t="str">
            <v>SHINWON EBENAZER HANOI</v>
          </cell>
          <cell r="C733" t="str">
            <v>CAI DAN, SONG CONG, THAI NGUYEN</v>
          </cell>
          <cell r="D733" t="str">
            <v>NEU CO NOTE GIAO BAROM, BOOK BAROM MAIL, SAU 2H CHUYEN SANG NGAY MAI BOOK</v>
          </cell>
          <cell r="E733" t="str">
            <v>0169 785 0504- MR JEON</v>
          </cell>
        </row>
        <row r="734">
          <cell r="B734" t="str">
            <v>SHINWON EBENEZER A&amp;F</v>
          </cell>
          <cell r="C734" t="str">
            <v>Cn 14- Khai quang sub-industrial zone, Khai Quang commune, Vinh Yen capital town, Vinh Phuc province.</v>
          </cell>
          <cell r="D734" t="str">
            <v>GIAO BAROOM</v>
          </cell>
          <cell r="E734" t="str">
            <v>0211 3842830 ~4</v>
          </cell>
        </row>
        <row r="735">
          <cell r="B735" t="str">
            <v>SHINWON EBENEZER HA NOI</v>
          </cell>
          <cell r="C735" t="str">
            <v>NGUYEN GON VILLAGE,, CAI DAN WARD, SONG CONG TOWN, THAI NGUYEN PROVINCE</v>
          </cell>
          <cell r="D735" t="str">
            <v>NEU CO NOTE GIAO BAROM, BOOK BAROM MAIL, SAU 2H CHUYEN SANG NGAY MAI BOOK</v>
          </cell>
          <cell r="E735" t="str">
            <v>Cloudy 0978998609</v>
          </cell>
        </row>
        <row r="736">
          <cell r="B736" t="str">
            <v>SHINWON EBENEZER VN</v>
          </cell>
          <cell r="C736" t="str">
            <v>Cn 14- Khai quang sub-industrial zone, Khai Quang commune, Vinh Yen capital town, Vinh Phuc province.</v>
          </cell>
          <cell r="D736" t="str">
            <v>NEU CO NOTE GIAO BAROM, BOOK BAROM MAIL, SAU 2H CHUYEN SANG NGAY MAI BOOK</v>
          </cell>
          <cell r="E736">
            <v>0</v>
          </cell>
        </row>
        <row r="737">
          <cell r="B737" t="str">
            <v>SHYANG YING</v>
          </cell>
          <cell r="C737" t="str">
            <v>B1-B12 AND E1-E12 LOT, DONG XOAI II, INDUSTRIAL PARK, TIEN THANH COMMUNE, DONG XOAI TOWN, BINH PHUOC</v>
          </cell>
          <cell r="D737">
            <v>0</v>
          </cell>
          <cell r="E737" t="str">
            <v>Hong 01674608151</v>
          </cell>
        </row>
        <row r="738">
          <cell r="B738" t="str">
            <v xml:space="preserve">SHYANG YING </v>
          </cell>
          <cell r="C738" t="str">
            <v>B1-B12 AND E1-E12 LOT, DONG XOAI II, INDUSTRIAL PARK, TIEN THANH COMMUNE, DONG XOAI TOWN, BINH PHUOC</v>
          </cell>
          <cell r="D738">
            <v>0</v>
          </cell>
          <cell r="E738" t="str">
            <v>YUNQUAN ZHANG-651-388 9970</v>
          </cell>
        </row>
        <row r="739">
          <cell r="B739" t="str">
            <v>SIMONE</v>
          </cell>
          <cell r="C739" t="str">
            <v xml:space="preserve">Lô AI, AI-1, AVI, AVII, KII-1, Khu Cong Nghiep Tân Hương, Châu Thành, Tiền Giang. </v>
          </cell>
          <cell r="D739">
            <v>0</v>
          </cell>
          <cell r="E739" t="str">
            <v>chị Hương - SĐT: 0909 709609</v>
          </cell>
        </row>
        <row r="740">
          <cell r="B740" t="str">
            <v>SINJOOBO</v>
          </cell>
          <cell r="C740" t="str">
            <v>TIEU TRA-HUNG DAO WARD-KIEN THUY DIST-HAI PHONG</v>
          </cell>
          <cell r="D740">
            <v>0</v>
          </cell>
          <cell r="E740" t="str">
            <v>HA/NGUYET-0313580199</v>
          </cell>
        </row>
        <row r="741">
          <cell r="B741" t="str">
            <v>DET KIM SMART SHIRTS</v>
          </cell>
          <cell r="C741" t="str">
            <v>PHU UNG, AN THI, HUNG YEN</v>
          </cell>
          <cell r="D741">
            <v>0</v>
          </cell>
          <cell r="E741" t="str">
            <v>KATE NGUYEN: 0169 3123 015</v>
          </cell>
        </row>
        <row r="742">
          <cell r="B742" t="str">
            <v>SMART SHIRTS GARMENT</v>
          </cell>
          <cell r="C742" t="str">
            <v>KCN VAN TRUNG, VIET YEN, BAC GIANG</v>
          </cell>
          <cell r="D742">
            <v>0</v>
          </cell>
          <cell r="E742">
            <v>0</v>
          </cell>
        </row>
        <row r="743">
          <cell r="B743" t="str">
            <v>SON HA</v>
          </cell>
          <cell r="C743" t="str">
            <v>208 LE LOI ST-SON TAY-HA  NOI</v>
          </cell>
          <cell r="D743" t="str">
            <v>HANG UNDER AMOR KEM PL</v>
          </cell>
          <cell r="E743" t="str">
            <v>MR DUY (P. DICH VU)- 0988 616 478</v>
          </cell>
        </row>
        <row r="744">
          <cell r="B744" t="str">
            <v>SON HA PHU THO</v>
          </cell>
          <cell r="C744" t="str">
            <v>Cum CN Hoang Xa, Thanh Thuy, Phu Tho</v>
          </cell>
          <cell r="D744">
            <v>0</v>
          </cell>
          <cell r="E744">
            <v>0</v>
          </cell>
        </row>
        <row r="745">
          <cell r="B745" t="str">
            <v>SON HA THAI BINH</v>
          </cell>
          <cell r="C745" t="str">
            <v>KM 6, DUONG 39, VU NINH, KIEN XUONG, THAI BINH</v>
          </cell>
          <cell r="D745">
            <v>0</v>
          </cell>
          <cell r="E745" t="str">
            <v>Tôn Nhung – 0904 160 149</v>
          </cell>
        </row>
        <row r="746">
          <cell r="B746" t="str">
            <v>REGINA MIRACLE NHA MAY C</v>
          </cell>
          <cell r="C746" t="str">
            <v>SO 109, DUONG SO 6, VSIP HAI PHONG</v>
          </cell>
          <cell r="D746">
            <v>0</v>
          </cell>
          <cell r="E746" t="str">
            <v>MS THAO 0906204459</v>
          </cell>
        </row>
        <row r="747">
          <cell r="B747" t="str">
            <v>SONG CHAU</v>
          </cell>
          <cell r="C747" t="str">
            <v>LOT17-DA NANG IP-AN HAI BAC-SON TRA- DA NANG CITY</v>
          </cell>
          <cell r="D747">
            <v>0</v>
          </cell>
          <cell r="E747" t="str">
            <v>MR HAI-0511 3 931202</v>
          </cell>
        </row>
        <row r="748">
          <cell r="B748" t="str">
            <v>SONG HONG 3</v>
          </cell>
          <cell r="C748" t="str">
            <v>DUONG 10 LOC HA NAM DINH</v>
          </cell>
          <cell r="D748">
            <v>0</v>
          </cell>
          <cell r="E748" t="str">
            <v>MS PHUONG 01238230440</v>
          </cell>
        </row>
        <row r="749">
          <cell r="B749" t="str">
            <v>SONG HONG 4</v>
          </cell>
          <cell r="C749" t="str">
            <v>XUAN TRUONG, NAM DINH</v>
          </cell>
          <cell r="D749">
            <v>0</v>
          </cell>
          <cell r="E749" t="str">
            <v>MR HAN: 0912 520 704</v>
          </cell>
        </row>
        <row r="750">
          <cell r="B750" t="str">
            <v>SONG HONG 7</v>
          </cell>
          <cell r="C750" t="str">
            <v>KCN HAI PHUONG, HAI HAU, NAM DINH</v>
          </cell>
          <cell r="D750">
            <v>0</v>
          </cell>
          <cell r="E750" t="str">
            <v>HONG:0913 059 357
HUE: 0919 084 179
HUNG: 0974 426 176
HAN: 0912 520 704</v>
          </cell>
        </row>
        <row r="751">
          <cell r="B751" t="str">
            <v>SONG HONG 9</v>
          </cell>
          <cell r="C751" t="str">
            <v>TAM THON, NGHIA THAI, NGHIA HUNG, NAM DINH</v>
          </cell>
          <cell r="D751">
            <v>0</v>
          </cell>
          <cell r="E751" t="str">
            <v>KHO PHU LIEU 01666574579</v>
          </cell>
        </row>
        <row r="752">
          <cell r="B752" t="str">
            <v>SONG HONG C A</v>
          </cell>
          <cell r="C752" t="str">
            <v>DUONG TRUONG CHINH, XUAN TRUONG, NAM DINH</v>
          </cell>
          <cell r="D752">
            <v>0</v>
          </cell>
          <cell r="E752" t="str">
            <v>MR TRANG: 0979 059 125</v>
          </cell>
        </row>
        <row r="753">
          <cell r="B753" t="str">
            <v>SONG HONG C&amp;A</v>
          </cell>
          <cell r="C753" t="str">
            <v>105 NGUYEN DUC THUAN, NAM DINH</v>
          </cell>
          <cell r="D753">
            <v>0</v>
          </cell>
          <cell r="E753" t="str">
            <v>MR DUC 0989 921 518</v>
          </cell>
        </row>
        <row r="754">
          <cell r="B754" t="str">
            <v>SONG HONG C&amp;A 1</v>
          </cell>
          <cell r="C754" t="str">
            <v>SONG HONG GARMENTJCS, XUAN TRUONG TOWN, XUAN TRUONG DISTRICT, NAM DINH PROVICE</v>
          </cell>
          <cell r="D754">
            <v>0</v>
          </cell>
          <cell r="E754" t="str">
            <v>MR TRANG: 0979 059 125</v>
          </cell>
        </row>
        <row r="755">
          <cell r="B755" t="str">
            <v>SONG HONG COLUMBIA</v>
          </cell>
          <cell r="C755" t="str">
            <v>DUONG TRUONG CHINH, XUAN TRUONG, NAM DINH</v>
          </cell>
          <cell r="D755" t="str">
            <v>VN GEN -CHUNG CTU</v>
          </cell>
          <cell r="E755" t="str">
            <v>TRAN THI THOM: 0978742354</v>
          </cell>
        </row>
        <row r="756">
          <cell r="B756" t="str">
            <v>SONG HONG COLUMBIA GEN</v>
          </cell>
          <cell r="C756" t="str">
            <v>DUONG TRUONG CHINH, XUAN TRUONG, NAM DINH</v>
          </cell>
          <cell r="D756">
            <v>0</v>
          </cell>
          <cell r="E756" t="str">
            <v>THOM 0978 742 354</v>
          </cell>
        </row>
        <row r="757">
          <cell r="B757" t="str">
            <v>SONG HONG COLUMBIA VAT</v>
          </cell>
          <cell r="C757" t="str">
            <v>DUONG 10-LOC HA-NAM DINH</v>
          </cell>
          <cell r="D757">
            <v>0</v>
          </cell>
          <cell r="E757" t="str">
            <v>BONNY- 0918 428 398</v>
          </cell>
        </row>
        <row r="758">
          <cell r="B758" t="str">
            <v>SONG HONG GAP INC</v>
          </cell>
          <cell r="C758" t="str">
            <v>DUONG TRUONG CHINH, XUAN TRUONG, NAM DINH</v>
          </cell>
          <cell r="D758">
            <v>0</v>
          </cell>
          <cell r="E758" t="str">
            <v>MR TRANG: 0979 059 125</v>
          </cell>
        </row>
        <row r="759">
          <cell r="B759" t="str">
            <v>song hong garment</v>
          </cell>
          <cell r="C759" t="str">
            <v>Song Hong 4 :Thi Tran Xuan Truong (Sau tuong dai Tr­uong Chinh ) Huyen Xuan truong   - Nam Dinh -</v>
          </cell>
          <cell r="D759">
            <v>0</v>
          </cell>
          <cell r="E759" t="str">
            <v>Anh Trang- Kho PL – so di dong 0979059125​</v>
          </cell>
        </row>
        <row r="760">
          <cell r="B760" t="str">
            <v>SONG HONG H&amp;M</v>
          </cell>
          <cell r="C760" t="str">
            <v>DUONG 10-LOC HA-NAM DINH</v>
          </cell>
          <cell r="D760">
            <v>0</v>
          </cell>
          <cell r="E760" t="str">
            <v>KATTY</v>
          </cell>
        </row>
        <row r="761">
          <cell r="B761" t="str">
            <v>SONG HONG JC PENNY</v>
          </cell>
          <cell r="C761" t="str">
            <v>105 NGUYEN DUC THUAN, NAM DINH</v>
          </cell>
          <cell r="D761">
            <v>0</v>
          </cell>
          <cell r="E761" t="str">
            <v>84-972 447 179</v>
          </cell>
        </row>
        <row r="762">
          <cell r="B762" t="str">
            <v>SONG HONG KOHL</v>
          </cell>
          <cell r="C762" t="str">
            <v>105 NGUYEN DUC THUAN, NAM DINH</v>
          </cell>
          <cell r="D762" t="str">
            <v>VN GEN -CHUNG CTU</v>
          </cell>
          <cell r="E762" t="str">
            <v>MR TUNG: 0350 3649 365</v>
          </cell>
        </row>
        <row r="763">
          <cell r="B763" t="str">
            <v>SONG HONG LONG AN</v>
          </cell>
          <cell r="C763" t="str">
            <v>10A1-TAN LONG VILLAGE-THANH THU COMMUNE-BEN LUC-LONG AN</v>
          </cell>
          <cell r="D763">
            <v>0</v>
          </cell>
          <cell r="E763" t="str">
            <v>MR CUONG-0909 135336</v>
          </cell>
        </row>
        <row r="764">
          <cell r="B764" t="str">
            <v>SONG HONG MANGO</v>
          </cell>
          <cell r="C764" t="str">
            <v>105 NGUYEN DUC THUAN, NAM DINH</v>
          </cell>
          <cell r="D764" t="str">
            <v>NETCO-DN#AWB
ghi so DN len Bill
CHUNG CTU</v>
          </cell>
          <cell r="E764" t="str">
            <v xml:space="preserve">LOAN: 0350-649 365
tel: 0915 303 739
</v>
          </cell>
        </row>
        <row r="765">
          <cell r="B765" t="str">
            <v>SONG HONG WALMART 1</v>
          </cell>
          <cell r="C765" t="str">
            <v>105 NGUYEN DUC THUAN, NAM DINH</v>
          </cell>
          <cell r="D765">
            <v>0</v>
          </cell>
          <cell r="E765">
            <v>0</v>
          </cell>
        </row>
        <row r="766">
          <cell r="B766" t="str">
            <v>SONG HONG MANGO 1</v>
          </cell>
          <cell r="C766" t="str">
            <v>thi tran xuan truong (sau tuong dai truong trinh ),Huyen Xuan truong   - Nam Dinh</v>
          </cell>
          <cell r="D766">
            <v>0</v>
          </cell>
          <cell r="E766" t="str">
            <v>Anh Trang- Kho PL  0979059125</v>
          </cell>
        </row>
        <row r="767">
          <cell r="B767" t="str">
            <v>SONG HONG NEW YORK</v>
          </cell>
          <cell r="C767" t="str">
            <v>105 NGUYEN DUC THUAN, NAM DINH</v>
          </cell>
          <cell r="D767">
            <v>0</v>
          </cell>
          <cell r="E767">
            <v>0</v>
          </cell>
        </row>
        <row r="768">
          <cell r="B768" t="str">
            <v>SONG HONG PXVN</v>
          </cell>
          <cell r="C768" t="str">
            <v>KHU CANH DIEU VANG, MY TRUNG, MY LOC, NAM DINH</v>
          </cell>
          <cell r="D768">
            <v>0</v>
          </cell>
          <cell r="E768" t="str">
            <v>MR THIEU: 0912 453 331</v>
          </cell>
        </row>
        <row r="769">
          <cell r="B769" t="str">
            <v>SONG HONG REEBOK</v>
          </cell>
          <cell r="C769" t="str">
            <v>105 NGUYEN DUC THUAN, NAM DINH</v>
          </cell>
          <cell r="D769" t="str">
            <v>VN GEN -CHUNG CTU</v>
          </cell>
          <cell r="E769" t="str">
            <v>MR TUNG: 0350 3649 365</v>
          </cell>
        </row>
        <row r="770">
          <cell r="B770" t="str">
            <v>SONG TIEN</v>
          </cell>
          <cell r="C770" t="str">
            <v>864 STREET, BINH TAO HAMLET, TRUNG AN, MY THO, TIEN GIANG</v>
          </cell>
          <cell r="D770">
            <v>0</v>
          </cell>
          <cell r="E770">
            <v>0</v>
          </cell>
        </row>
        <row r="771">
          <cell r="B771" t="str">
            <v>SONG TIEN NEXT</v>
          </cell>
          <cell r="C771" t="str">
            <v>864 STREET, BINH TAO HAMLET, TRUNG AN, MY THO, TIEN GIANG</v>
          </cell>
          <cell r="D771" t="str">
            <v>CHUNG CTU</v>
          </cell>
          <cell r="E771" t="str">
            <v>0903 684 186- MR NHAN</v>
          </cell>
        </row>
        <row r="772">
          <cell r="B772" t="str">
            <v>SOTO</v>
          </cell>
          <cell r="C772" t="str">
            <v>TIEN TRANG TOURIST AND INDUSTRIAL ZONE, QUANG LOI, QUANG XUONG, THANH HOA</v>
          </cell>
          <cell r="D772" t="str">
            <v>hang chung ctu</v>
          </cell>
          <cell r="E772" t="str">
            <v>MS LOAN: 0129 534 9322</v>
          </cell>
        </row>
        <row r="773">
          <cell r="B773" t="str">
            <v>SOUTH ISLAND ML</v>
          </cell>
          <cell r="C773" t="str">
            <v>1488 mukim12-seberang perai selatan -14200 sungai bakep-penang- malaysia</v>
          </cell>
          <cell r="D773">
            <v>0</v>
          </cell>
          <cell r="E773" t="str">
            <v>604 5821214</v>
          </cell>
        </row>
        <row r="774">
          <cell r="B774" t="str">
            <v>SPECTRE</v>
          </cell>
          <cell r="C774" t="str">
            <v>KCN NGUYEN DUC CANH, BUI VIEN, THAI BINH</v>
          </cell>
          <cell r="D774">
            <v>0</v>
          </cell>
          <cell r="E774" t="str">
            <v>MR CUONG: 0916 193 887</v>
          </cell>
        </row>
        <row r="775">
          <cell r="B775" t="str">
            <v>SPLENDOUR</v>
          </cell>
          <cell r="C775" t="str">
            <v>DUONG SO 3, KCN NHON TRACH 1, HUYEN NHON TRACH, DONG NAI</v>
          </cell>
          <cell r="D775">
            <v>0</v>
          </cell>
          <cell r="E775" t="str">
            <v>MS DENH</v>
          </cell>
        </row>
        <row r="776">
          <cell r="B776" t="str">
            <v>Sporteam</v>
          </cell>
          <cell r="C776" t="str">
            <v>Cty TNHH 29/3
60 Me Nhu - Thanh Khe - Da Nang</v>
          </cell>
          <cell r="D776">
            <v>0</v>
          </cell>
          <cell r="E776" t="str">
            <v>Ms Nhung: 0988 220087
Tel: 0511 37592 49</v>
          </cell>
        </row>
        <row r="777">
          <cell r="B777" t="str">
            <v>SSV</v>
          </cell>
          <cell r="C777" t="str">
            <v>CUM CN HOANG DIEU, GIA LOC, HAI DUONG</v>
          </cell>
          <cell r="D777" t="str">
            <v>nhãn Limited giao BaRom- KHTT
TTC-KHTT
CHUNG CTU</v>
          </cell>
          <cell r="E777" t="str">
            <v>MR MINH: 0904 875 595</v>
          </cell>
        </row>
        <row r="778">
          <cell r="B778" t="str">
            <v>SSV COLUMBIA</v>
          </cell>
          <cell r="C778" t="str">
            <v>CUM CN HOANG DIEU, GIA LOC, HAI DUONG</v>
          </cell>
          <cell r="D778" t="str">
            <v>CHUNG CTU</v>
          </cell>
          <cell r="E778" t="str">
            <v>MS AN: 0320 3718 301</v>
          </cell>
        </row>
        <row r="779">
          <cell r="B779" t="str">
            <v>STAR FASHION</v>
          </cell>
          <cell r="C779" t="str">
            <v>LÔ 3, KHU CN PHÚ NGHĨA, HUYỆN CHƯƠNG MỸ, HÀ NỘI</v>
          </cell>
          <cell r="D779" t="str">
            <v>HANG VN GEN KHDL (TRU NHAN MACY'S), HANG VAT GIAO NETCO</v>
          </cell>
          <cell r="E779" t="str">
            <v>MS HUONG: 0987 873 437</v>
          </cell>
        </row>
        <row r="780">
          <cell r="B780" t="str">
            <v>STARITE</v>
          </cell>
          <cell r="C780" t="str">
            <v>KCN BAU XEO-TRANG BOM-DONG NAI</v>
          </cell>
          <cell r="D780">
            <v>0</v>
          </cell>
          <cell r="E780" t="str">
            <v>hien-0902-798358-061-8951160</v>
          </cell>
        </row>
        <row r="781">
          <cell r="B781" t="str">
            <v>SUN CHANG</v>
          </cell>
          <cell r="C781" t="str">
            <v xml:space="preserve">LO CN5, KCN THACH THAT - QUOC OAI, HUYEN THACH THAT, HA NOI </v>
          </cell>
          <cell r="D781">
            <v>0</v>
          </cell>
          <cell r="E781" t="str">
            <v>MS NGA: 0989 792 844</v>
          </cell>
        </row>
        <row r="782">
          <cell r="B782" t="str">
            <v>SUN JADE</v>
          </cell>
          <cell r="C782" t="str">
            <v>LO B-KCN LỄ MÔN-TP. THANH HOA</v>
          </cell>
          <cell r="D782" t="str">
            <v>cho XNK confirm
TTC- KHTT</v>
          </cell>
          <cell r="E782" t="str">
            <v>31 3645391-DIEM-01686427989</v>
          </cell>
        </row>
        <row r="783">
          <cell r="B783" t="str">
            <v>SUNRISE SMART SHIRT</v>
          </cell>
          <cell r="C783" t="str">
            <v>PLOT D6, KCN MY TRUNG, MY LOC, NAM DINH</v>
          </cell>
          <cell r="D783">
            <v>0</v>
          </cell>
          <cell r="E783" t="str">
            <v>THAO 01297604668</v>
          </cell>
        </row>
        <row r="784">
          <cell r="B784" t="str">
            <v>SUNRISE SPINNING</v>
          </cell>
          <cell r="C784" t="str">
            <v>LO C4 DUONG D4 KCN BAO MINH HUYEN VU BAN, TINH NAM DINH</v>
          </cell>
          <cell r="D784">
            <v>0</v>
          </cell>
          <cell r="E784">
            <v>0</v>
          </cell>
        </row>
        <row r="785">
          <cell r="B785" t="str">
            <v>SMART SHIRTS</v>
          </cell>
          <cell r="C785" t="str">
            <v>ES PART G2 + G3 + G7 + G8, BAO MINH INDUSTRIAL PARK, VU BAN DISTRICT, NAM DINH PROVI</v>
          </cell>
          <cell r="D785">
            <v>0</v>
          </cell>
          <cell r="E785">
            <v>0</v>
          </cell>
        </row>
        <row r="786">
          <cell r="B786" t="str">
            <v>TADLACK</v>
          </cell>
          <cell r="C786" t="str">
            <v>Cao An commune, Cam Giang district, Hai Duong province, Vietnam.</v>
          </cell>
          <cell r="D786" t="str">
            <v>VIETTEL- KHTT</v>
          </cell>
          <cell r="E786" t="str">
            <v>ms Dina:84-3203781074/ 84 1696855633</v>
          </cell>
        </row>
        <row r="787">
          <cell r="B787" t="str">
            <v>TAE YANG</v>
          </cell>
          <cell r="C787" t="str">
            <v>PHO NOI A INDUSTRIAL ESTATE-TRUNG TRAC COMMUNE-VAN LAM DIST-HUNG YEN</v>
          </cell>
          <cell r="D787" t="str">
            <v>CTU- C.hoa</v>
          </cell>
          <cell r="E787">
            <v>0</v>
          </cell>
        </row>
        <row r="788">
          <cell r="B788" t="str">
            <v>TAL</v>
          </cell>
          <cell r="C788" t="str">
            <v>Binh Xuyen Industrial Zone, Binh Xuyen District, Vinh Phuc Province</v>
          </cell>
          <cell r="D788" t="str">
            <v>HANG CHUNG CTU</v>
          </cell>
          <cell r="E788" t="str">
            <v>Emma /Christine  (+84) 2113 565 980.</v>
          </cell>
        </row>
        <row r="789">
          <cell r="B789" t="str">
            <v>TAM QUAN</v>
          </cell>
          <cell r="C789" t="str">
            <v>CUM CN TAM QUAN, THI TRAN TAM QUAN, HOAI NHON, BINH DINH</v>
          </cell>
          <cell r="D789">
            <v>0</v>
          </cell>
          <cell r="E789" t="str">
            <v>MS HOA: 0987 883 526</v>
          </cell>
        </row>
        <row r="790">
          <cell r="B790" t="str">
            <v>TAM TIEN</v>
          </cell>
          <cell r="C790" t="str">
            <v>KCN CAU GAO, DAN PHUONG, HA NOI</v>
          </cell>
          <cell r="D790">
            <v>0</v>
          </cell>
          <cell r="E790" t="str">
            <v>MS DIEP: 0904 488 303</v>
          </cell>
        </row>
        <row r="791">
          <cell r="B791" t="str">
            <v xml:space="preserve">TAMDA </v>
          </cell>
          <cell r="C791" t="str">
            <v>BINH KIEU-DONG HAI WARD-HAI AN DIST-HAI PHONG</v>
          </cell>
          <cell r="D791">
            <v>0</v>
          </cell>
          <cell r="E791" t="str">
            <v>MR NHAT-0313877528</v>
          </cell>
        </row>
        <row r="792">
          <cell r="B792" t="str">
            <v>TAN BINH MINH</v>
          </cell>
          <cell r="C792" t="str">
            <v>THANH XUYEN 4 HAMLET, TRUNG THANH COMMUNE,PHO YEN DISTRICT,THAI NGUYEN PROVINCE</v>
          </cell>
          <cell r="D792">
            <v>0</v>
          </cell>
          <cell r="E792">
            <v>0</v>
          </cell>
        </row>
        <row r="793">
          <cell r="B793" t="str">
            <v>TAN HA</v>
          </cell>
          <cell r="C793" t="str">
            <v>SO 2, DUONG TRUONG CHINH, PHU LY, HA NAM</v>
          </cell>
          <cell r="D793" t="str">
            <v>giao hang truoc-C.Trang</v>
          </cell>
          <cell r="E793" t="str">
            <v>ATTN: MS. XUYEN XNK
0989 263 395</v>
          </cell>
        </row>
        <row r="794">
          <cell r="B794" t="str">
            <v>TAN HOANG LONG</v>
          </cell>
          <cell r="C794" t="str">
            <v>KHU DO THI MOI YEN HOA, CAU GIAY, HA NOI</v>
          </cell>
          <cell r="D794">
            <v>0</v>
          </cell>
          <cell r="E794" t="str">
            <v>MR THANH: 0982 035 790</v>
          </cell>
        </row>
        <row r="795">
          <cell r="B795" t="str">
            <v>TAV</v>
          </cell>
          <cell r="C795" t="str">
            <v xml:space="preserve">
Lot4.KCN Nguyen Duc Canh. Tp Thai Binh.Tinh Thai Binh 
Att:Jacks Tuan( Phong XNK) Tel:+84 36 3846 788 Ext:219,Fax:36 3847 019</v>
          </cell>
          <cell r="D795">
            <v>0</v>
          </cell>
          <cell r="E795" t="str">
            <v>Mr. Nguyen Van Hai:
  090 600 1643</v>
          </cell>
        </row>
        <row r="796">
          <cell r="B796" t="str">
            <v>TAV EXPRESS</v>
          </cell>
          <cell r="C796" t="str">
            <v>LOT 4, KCN NGUYEN DUC CANH, THAI BINH</v>
          </cell>
          <cell r="D796">
            <v>0</v>
          </cell>
          <cell r="E796" t="str">
            <v>THUY: 0123 664 2196</v>
          </cell>
        </row>
        <row r="797">
          <cell r="B797" t="str">
            <v>TAV PVH</v>
          </cell>
          <cell r="C797" t="str">
            <v>LOT 4, KCN NGUYEN DUC CANH, THAI BINH</v>
          </cell>
          <cell r="D797">
            <v>0</v>
          </cell>
          <cell r="E797" t="str">
            <v>YAYA: 036 3846 788 EXT:2</v>
          </cell>
        </row>
        <row r="798">
          <cell r="B798" t="str">
            <v>TAY SON</v>
          </cell>
          <cell r="C798" t="str">
            <v>PHU XUAN, PHU PHONG, TAY SON, BINH DINH</v>
          </cell>
          <cell r="D798">
            <v>0</v>
          </cell>
          <cell r="E798" t="str">
            <v>ANH QUANG: 0913 626 377</v>
          </cell>
        </row>
        <row r="799">
          <cell r="B799" t="str">
            <v>TBS</v>
          </cell>
          <cell r="C799" t="str">
            <v>KM 85 + 300 QUỐC LỘ 10, XÃ TÂN BÌNH, TP.THÁI BÌNH, TỈNH THÁI BÌNH</v>
          </cell>
          <cell r="D799">
            <v>0</v>
          </cell>
          <cell r="E799" t="str">
            <v>Ms.Hương (kế toán kho) 0948.180.088</v>
          </cell>
        </row>
        <row r="800">
          <cell r="B800" t="str">
            <v>TDT INVESTMENT</v>
          </cell>
          <cell r="C800" t="str">
            <v>THUAN PHAP, DIEM THUY, PHU BINH, THAI NGUYEN</v>
          </cell>
          <cell r="D800">
            <v>0</v>
          </cell>
          <cell r="E800">
            <v>0</v>
          </cell>
        </row>
        <row r="801">
          <cell r="B801" t="str">
            <v>GO DAI THANH BINH DINH</v>
          </cell>
          <cell r="C801" t="str">
            <v>90 TAY SON, QUY NHON, BINH DINH</v>
          </cell>
          <cell r="D801">
            <v>0</v>
          </cell>
          <cell r="E801">
            <v>0</v>
          </cell>
        </row>
        <row r="802">
          <cell r="B802" t="str">
            <v>TESORO WOOJIN</v>
          </cell>
          <cell r="C802" t="str">
            <v>​SO 14, DUONG AN DUONG VUONG, P. CHAM MAT, TP. HOA BINH</v>
          </cell>
          <cell r="D802">
            <v>0</v>
          </cell>
          <cell r="E802" t="str">
            <v>Attn: Ms HANG 0915387383</v>
          </cell>
        </row>
        <row r="803">
          <cell r="B803" t="str">
            <v>TEX GIANG</v>
          </cell>
          <cell r="C803" t="str">
            <v>BII-8 SECTION-D3 ST-TAN HUONG IZ-TIEN GIANG</v>
          </cell>
          <cell r="D803" t="str">
            <v>cho chi Tien cofirm di hang( vp tex-giang)</v>
          </cell>
          <cell r="E803" t="str">
            <v>bill ledway-Ms Phuoc-0984924564</v>
          </cell>
        </row>
        <row r="804">
          <cell r="B804" t="str">
            <v>TEXMA</v>
          </cell>
          <cell r="C804" t="str">
            <v>NO32-2A RD-BIEN HOA IZ II-BIEN HOA-DONG NAI</v>
          </cell>
          <cell r="D804">
            <v>0</v>
          </cell>
          <cell r="E804" t="str">
            <v>MS SUN-613 992951</v>
          </cell>
        </row>
        <row r="805">
          <cell r="B805" t="str">
            <v>THAI ANH INVISTA</v>
          </cell>
          <cell r="C805" t="str">
            <v>437 DA NANG, HAI AN, HAI PHONG</v>
          </cell>
          <cell r="D805">
            <v>0</v>
          </cell>
          <cell r="E805" t="str">
            <v>DONG DONG: 0978 999 981</v>
          </cell>
        </row>
        <row r="806">
          <cell r="B806" t="str">
            <v>THAI BINH GARMENT</v>
          </cell>
          <cell r="C806" t="str">
            <v>128 QUANG TRUNG, THAI BINH</v>
          </cell>
          <cell r="D806">
            <v>0</v>
          </cell>
          <cell r="E806" t="str">
            <v>MS HUONG: 0977 411 072</v>
          </cell>
        </row>
        <row r="807">
          <cell r="B807" t="str">
            <v>THAI BINH STATE</v>
          </cell>
          <cell r="C807" t="str">
            <v>01 HAI BA TRUNG, THAI BINH</v>
          </cell>
          <cell r="D807">
            <v>0</v>
          </cell>
          <cell r="E807" t="str">
            <v>MS DUNG: 036 3731 722</v>
          </cell>
        </row>
        <row r="808">
          <cell r="B808" t="str">
            <v>THANG BINH</v>
          </cell>
          <cell r="C808" t="str">
            <v>HALAM-CHO DUOC INDUSTRIAL ZONE,
 THANG BINH DISTRICT, QUANG NAM</v>
          </cell>
          <cell r="D808" t="str">
            <v>Cho CS confirm</v>
          </cell>
          <cell r="E808" t="str">
            <v>Attn. Mr Nhi – 0905764660</v>
          </cell>
        </row>
        <row r="809">
          <cell r="B809" t="str">
            <v>THANG LONG</v>
          </cell>
          <cell r="C809" t="str">
            <v>KM3-500-HUNG VUONG-PHU KHANH-THAI BINH</v>
          </cell>
          <cell r="D809">
            <v>0</v>
          </cell>
          <cell r="E809" t="str">
            <v>VAN-03 63834219</v>
          </cell>
        </row>
        <row r="810">
          <cell r="B810" t="str">
            <v>THANG LONG SHOES</v>
          </cell>
          <cell r="C810" t="str">
            <v>327 TO 45, HOANG VAN THU, HOANG MAI, HA NOI</v>
          </cell>
          <cell r="D810">
            <v>0</v>
          </cell>
          <cell r="E810" t="str">
            <v>HOA 0966 356 988</v>
          </cell>
        </row>
        <row r="811">
          <cell r="B811" t="str">
            <v>THANH HUNG HAI PHONG</v>
          </cell>
          <cell r="C811" t="str">
            <v>KM16. DUONG 353, PHUONG MINH DUC, DO SON, HAI PHONG</v>
          </cell>
          <cell r="D811">
            <v>0</v>
          </cell>
          <cell r="E811">
            <v>0</v>
          </cell>
        </row>
        <row r="812">
          <cell r="B812" t="str">
            <v>THANH TRI</v>
          </cell>
          <cell r="C812" t="str">
            <v>KM11 NATIONAL ROAD NO 1A  VAN DIEW TOWN - HA NOI</v>
          </cell>
          <cell r="D812">
            <v>0</v>
          </cell>
          <cell r="E812" t="str">
            <v>Ms Huong/Ms Hong: 84-4-38615334
Tel: 0944 538 499</v>
          </cell>
        </row>
        <row r="813">
          <cell r="B813" t="str">
            <v>THANH HUNG</v>
          </cell>
          <cell r="C813" t="str">
            <v>BAO LY, PHU BINH, THAI NGUYEN</v>
          </cell>
          <cell r="D813">
            <v>0</v>
          </cell>
          <cell r="E813" t="str">
            <v>HIEU 0978 504 407</v>
          </cell>
        </row>
        <row r="814">
          <cell r="B814" t="str">
            <v>THANH TRI  SALOMON</v>
          </cell>
          <cell r="C814" t="str">
            <v>KM11 NATIONAL ROAD NO 1A  VAN DIEW TOWN - HA NOI</v>
          </cell>
          <cell r="D814">
            <v>0</v>
          </cell>
          <cell r="E814" t="str">
            <v>Ms Huong/Ms Hong: 84-4-38615334
Tel: 0944 538 499</v>
          </cell>
        </row>
        <row r="815">
          <cell r="B815" t="str">
            <v>THANH TRI THAI BINH</v>
          </cell>
          <cell r="C815" t="str">
            <v>K11, QL 1A, VAN DIEN, THANH TRI, HA NOI</v>
          </cell>
          <cell r="D815">
            <v>0</v>
          </cell>
          <cell r="E815" t="str">
            <v>MS HANH: 0982 099 672
MS NGUYET: 0983 019 675</v>
          </cell>
        </row>
        <row r="816">
          <cell r="B816" t="str">
            <v>THAO NGUYEN</v>
          </cell>
          <cell r="C816" t="str">
            <v>40 – To 4 – Khu I – Quan Toan – Hong Bang Hai Phong</v>
          </cell>
          <cell r="D816">
            <v>0</v>
          </cell>
          <cell r="E816" t="str">
            <v>Tel: 0084 313 848050
Ms Phuong</v>
          </cell>
        </row>
        <row r="817">
          <cell r="B817" t="str">
            <v>THE BLUES</v>
          </cell>
          <cell r="C817" t="str">
            <v>DUONG SO 6, LO 4, KCN NAM DIEN NGOC, QUANG NAM</v>
          </cell>
          <cell r="D817">
            <v>0</v>
          </cell>
          <cell r="E817">
            <v>0</v>
          </cell>
        </row>
        <row r="818">
          <cell r="B818" t="str">
            <v>THEIN NAM</v>
          </cell>
          <cell r="C818" t="str">
            <v>GIAO HANG DEN KM SO 3, DUONG PHAM VAN DONG, PHUONG ANH DUNG, QUAN DUONG KINH, HAI PHONG,</v>
          </cell>
          <cell r="D818">
            <v>0</v>
          </cell>
          <cell r="E818" t="str">
            <v xml:space="preserve"> NGUOI NHAN : TU 0939316239</v>
          </cell>
        </row>
        <row r="819">
          <cell r="B819" t="str">
            <v>THIEN AN PHAT</v>
          </cell>
          <cell r="C819" t="str">
            <v>THUY DUONG-HUONG THUY-
TT HUE</v>
          </cell>
          <cell r="D819" t="str">
            <v>HANG TRUOC CHUNG TU</v>
          </cell>
          <cell r="E819" t="str">
            <v>MS CHI: 0935 930 434</v>
          </cell>
        </row>
        <row r="820">
          <cell r="B820" t="str">
            <v>THIEN AN PHAT (nhan KOHL'S)</v>
          </cell>
          <cell r="C820" t="str">
            <v>DUONG SO 5, CUM CN LANG NGHE AN HOA, AN HOA, HUE</v>
          </cell>
          <cell r="D820" t="str">
            <v>TTC-KHTT</v>
          </cell>
          <cell r="E820" t="str">
            <v>CAM NHUNG: 0972 92 6363</v>
          </cell>
        </row>
        <row r="821">
          <cell r="B821" t="str">
            <v>THIEN NAM</v>
          </cell>
          <cell r="C821" t="str">
            <v xml:space="preserve">Km số 3, đường Phạm Văn Đồng, Phường Anh Dũng, Quận Dương Kinh, Hải Phòng, </v>
          </cell>
          <cell r="D821">
            <v>0</v>
          </cell>
          <cell r="E821" t="str">
            <v>nguoi nhan: Tu 0939316239</v>
          </cell>
        </row>
        <row r="822">
          <cell r="B822" t="str">
            <v>thien quang</v>
          </cell>
          <cell r="C822" t="str">
            <v>No.49,871 Provincial Street,Go Luc Hamlet, Tan Dong Commune,Go Cong Dong District,Tien Giang</v>
          </cell>
          <cell r="D822">
            <v>0</v>
          </cell>
          <cell r="E822" t="str">
            <v>ATTN: 073-3571779/78</v>
          </cell>
        </row>
        <row r="823">
          <cell r="B823" t="str">
            <v>THINH DAT</v>
          </cell>
          <cell r="C823" t="str">
            <v>VAM HAMLET, BEN LUC, LONG AN</v>
          </cell>
          <cell r="D823" t="str">
            <v>HANG CTU</v>
          </cell>
          <cell r="E823" t="str">
            <v>MS DIEN: 0913 728 841</v>
          </cell>
        </row>
        <row r="824">
          <cell r="B824" t="str">
            <v>THINH PHAT</v>
          </cell>
          <cell r="C824" t="str">
            <v>KM 07. 31 ROAD, DAI LAM VILLAGE, LANG GIANG DISTRICT, BAC GIANG PROVINCE</v>
          </cell>
          <cell r="D824">
            <v>0</v>
          </cell>
          <cell r="E824" t="str">
            <v>Ms Hien  +84240383668</v>
          </cell>
        </row>
        <row r="825">
          <cell r="B825" t="str">
            <v>THINH VUONG</v>
          </cell>
          <cell r="C825" t="str">
            <v>AP NHON HOA 1, XA DUC HOA THUONG, HUYEN DUC HOA, LONG AN</v>
          </cell>
          <cell r="D825">
            <v>0</v>
          </cell>
          <cell r="E825" t="str">
            <v xml:space="preserve">MS NGAN: 0932384082 – 0909840213 </v>
          </cell>
        </row>
        <row r="826">
          <cell r="B826" t="str">
            <v>THUAN THANH</v>
          </cell>
          <cell r="C826" t="str">
            <v>XA XUAN LAM, HUYEN THUAN THANH, TINH BAC NINH</v>
          </cell>
          <cell r="D826">
            <v>0</v>
          </cell>
          <cell r="E826">
            <v>0</v>
          </cell>
        </row>
        <row r="827">
          <cell r="B827" t="str">
            <v>THUONG DINH</v>
          </cell>
          <cell r="C827" t="str">
            <v>277, NGUYEN TRAI ROAD,
 THANH XUAN, HA NOI</v>
          </cell>
          <cell r="D827" t="str">
            <v>NETCO- KHTT</v>
          </cell>
          <cell r="E827" t="str">
            <v>ATTN: HUY 0904117795
 0904472347</v>
          </cell>
        </row>
        <row r="828">
          <cell r="B828" t="str">
            <v>THUY KHUE</v>
          </cell>
          <cell r="C828" t="str">
            <v>KHU CN PHÚ MINH- PHƯỜNG CỔ NHUẾ 2- QUẬN BẮC TỪ LIÊM -TP.HÀ NỘI</v>
          </cell>
          <cell r="D828" t="str">
            <v>NETCO- KHTT</v>
          </cell>
          <cell r="E828" t="str">
            <v>Chi Tâm, DT 0987 859 639</v>
          </cell>
        </row>
        <row r="829">
          <cell r="B829" t="str">
            <v>THUYEN NGUYEN</v>
          </cell>
          <cell r="C829" t="str">
            <v>LO C 07(07-06),KCN TINH PHONG,X. TINH PHONG,H.SON TINH, QUANG NGAI</v>
          </cell>
          <cell r="D829">
            <v>0</v>
          </cell>
          <cell r="E829" t="str">
            <v>Ms Oanh: 055 3674 888</v>
          </cell>
        </row>
        <row r="830">
          <cell r="B830" t="str">
            <v>THYGESEN TEXTILE</v>
          </cell>
          <cell r="C830" t="str">
            <v>Tan Quang Commune, Van Lam Dist.. Hung Yen</v>
          </cell>
          <cell r="D830">
            <v>0</v>
          </cell>
          <cell r="E830" t="str">
            <v>MS HIEN:  0903294379</v>
          </cell>
        </row>
        <row r="831">
          <cell r="B831" t="str">
            <v>TIEN DAT</v>
          </cell>
          <cell r="C831" t="str">
            <v>QL1A, KHU VUC 7, P. BUI THI XUAN, QUY NHON, BINH DINH</v>
          </cell>
          <cell r="D831">
            <v>0</v>
          </cell>
          <cell r="E831" t="str">
            <v>THU: 0983 400 399</v>
          </cell>
        </row>
        <row r="832">
          <cell r="B832" t="str">
            <v>TIEN HUNG</v>
          </cell>
          <cell r="C832" t="str">
            <v>THI TRAN VUONG, TIEN LU, HUNG YEN</v>
          </cell>
          <cell r="D832">
            <v>0</v>
          </cell>
          <cell r="E832" t="str">
            <v>MS NINH 0987 930 558/
 MR CUONG 0919 686 228</v>
          </cell>
        </row>
        <row r="833">
          <cell r="B833" t="str">
            <v>TIEN HUNG GYMBOREE</v>
          </cell>
          <cell r="C833" t="str">
            <v>THI TRAN VUONG, TIEN LU, HUNG YEN</v>
          </cell>
          <cell r="D833">
            <v>0</v>
          </cell>
          <cell r="E833" t="str">
            <v>MANH CUONG: 0903 278 330</v>
          </cell>
        </row>
        <row r="834">
          <cell r="B834" t="str">
            <v>TIEN LU</v>
          </cell>
          <cell r="C834" t="str">
            <v>BA HANG, THU SY, TIEN LU, HUNG YEN</v>
          </cell>
          <cell r="D834">
            <v>0</v>
          </cell>
          <cell r="E834" t="str">
            <v xml:space="preserve">A Son-dt0321 3878878 </v>
          </cell>
        </row>
        <row r="835">
          <cell r="B835" t="str">
            <v>TIEN NHI</v>
          </cell>
          <cell r="C835" t="str">
            <v>476 QL 1A, KHU PHO BINH CU, PHUONG 4, TP. TAN AN, LONG AN</v>
          </cell>
          <cell r="D835">
            <v>0</v>
          </cell>
          <cell r="E835" t="str">
            <v>MS HONG-072 3 511 596</v>
          </cell>
        </row>
        <row r="836">
          <cell r="B836" t="str">
            <v>TIEN SON THANH HOA</v>
          </cell>
          <cell r="C836" t="str">
            <v>NO 09, KCN BAC SON, BIM SON, THANH HOA</v>
          </cell>
          <cell r="D836" t="str">
            <v>hang chung ctu</v>
          </cell>
          <cell r="E836" t="str">
            <v>MS HUONG: 0124 724 6666</v>
          </cell>
        </row>
        <row r="837">
          <cell r="B837" t="str">
            <v>TIEN THANG</v>
          </cell>
          <cell r="C837" t="str">
            <v>LA BONG, HOA TIEN, HOA VANG, DA NANG</v>
          </cell>
          <cell r="D837" t="str">
            <v>hang chung ctu
TTC-KHTT</v>
          </cell>
          <cell r="E837">
            <v>0</v>
          </cell>
        </row>
        <row r="838">
          <cell r="B838" t="str">
            <v>TIEN THANH</v>
          </cell>
          <cell r="C838" t="str">
            <v>DUONG D3, KCN PHO NOI, VAN LAM, HUNG YEN</v>
          </cell>
          <cell r="D838">
            <v>0</v>
          </cell>
          <cell r="E838" t="str">
            <v>MR GIAP: 0978 726 840</v>
          </cell>
        </row>
        <row r="839">
          <cell r="B839" t="str">
            <v>TIEN TIEN</v>
          </cell>
          <cell r="C839" t="str">
            <v>234, PHUONG 9,TP.MY THO, TIEN GIANG</v>
          </cell>
          <cell r="D839">
            <v>0</v>
          </cell>
          <cell r="E839" t="str">
            <v>MS THU: 0902 371 055</v>
          </cell>
        </row>
        <row r="840">
          <cell r="B840" t="str">
            <v>TIEN TIEN</v>
          </cell>
          <cell r="C840" t="str">
            <v>234-SECTION 6-WARD 9-MY THO-TIEN GIANG</v>
          </cell>
          <cell r="D840">
            <v>0</v>
          </cell>
          <cell r="E840" t="str">
            <v>MADAM PHAM THI DU: 84 738 512 012
MS TRANG: 84 733 851 201</v>
          </cell>
        </row>
        <row r="841">
          <cell r="B841" t="str">
            <v>TIN TRUC</v>
          </cell>
          <cell r="C841" t="str">
            <v>Chi nhanh Cong Ty TNHH SAO VANG
Khu PhúThanh Tây- Phương Yên Thanh,
thi xa Uong Bi,tinh Quang Ninh</v>
          </cell>
          <cell r="D841">
            <v>0</v>
          </cell>
          <cell r="E841" t="str">
            <v>HuỆ NHÂN-0903492407</v>
          </cell>
        </row>
        <row r="842">
          <cell r="B842" t="str">
            <v>TIN TRUC MANGO</v>
          </cell>
          <cell r="C842" t="str">
            <v xml:space="preserve"> NHÀ MÁY MAY XK BÍCH SƠN, THÔN KIỂU, XA BICH DONG, VIET YEN, BAC GIANG</v>
          </cell>
          <cell r="D842">
            <v>0</v>
          </cell>
          <cell r="E842" t="str">
            <v xml:space="preserve"> ATTN: VÂN ANH - 0979 435 405</v>
          </cell>
        </row>
        <row r="843">
          <cell r="B843" t="str">
            <v>TINH LOI BLOCK 4</v>
          </cell>
          <cell r="C843" t="str">
            <v>KCN LAI VU, HAI DUONG</v>
          </cell>
          <cell r="D843">
            <v>0</v>
          </cell>
          <cell r="E843" t="str">
            <v>MINH 0968 536 659</v>
          </cell>
        </row>
        <row r="844">
          <cell r="B844" t="str">
            <v>FWKK</v>
          </cell>
          <cell r="C844" t="str">
            <v>DOI TRAI QUAN, SON DAONG, LAP THACH, VINH PHUC</v>
          </cell>
          <cell r="D844">
            <v>0</v>
          </cell>
          <cell r="E844">
            <v>0</v>
          </cell>
        </row>
        <row r="845">
          <cell r="B845" t="str">
            <v>TEXHONG THAI BINH</v>
          </cell>
          <cell r="C845" t="str">
            <v>KCN PHUC KHANH, PHU KHANH, THAI BINH</v>
          </cell>
          <cell r="D845">
            <v>0</v>
          </cell>
          <cell r="E845">
            <v>0</v>
          </cell>
        </row>
        <row r="846">
          <cell r="B846" t="str">
            <v>TINH LOI A&amp;F</v>
          </cell>
          <cell r="C846" t="str">
            <v>KCN NAM SACH , HAI DUONG</v>
          </cell>
          <cell r="D846" t="str">
            <v>HANG CHUNG CTU- NEU HANG GAP GIAO TRUOC</v>
          </cell>
          <cell r="E846" t="str">
            <v>MS NGA: 0987 820 658</v>
          </cell>
        </row>
        <row r="847">
          <cell r="B847" t="str">
            <v>TINH LOI ANN TAYLOR</v>
          </cell>
          <cell r="C847" t="str">
            <v>KCN LAI VU, HAI DUONG</v>
          </cell>
          <cell r="D847" t="str">
            <v>HANG CHUNG CTU- NEU HANG GAP GIAO TRUOC</v>
          </cell>
          <cell r="E847" t="str">
            <v>Hao 0967465293</v>
          </cell>
        </row>
        <row r="848">
          <cell r="B848" t="str">
            <v>TINH LOI ANN TAYLOR</v>
          </cell>
          <cell r="C848" t="str">
            <v>KCN LAI VU, HAI DUONG</v>
          </cell>
          <cell r="D848">
            <v>0</v>
          </cell>
          <cell r="E848" t="str">
            <v>HAO 0967465293</v>
          </cell>
        </row>
        <row r="849">
          <cell r="B849" t="str">
            <v>DU DUC KHU A</v>
          </cell>
          <cell r="C849" t="str">
            <v>LO BIV, CI-10, KCN TAN HUONG, CHAU THANH, TIEN GIANG</v>
          </cell>
          <cell r="D849">
            <v>0</v>
          </cell>
          <cell r="E849" t="str">
            <v>HANG 01693460264</v>
          </cell>
        </row>
        <row r="850">
          <cell r="B850" t="str">
            <v>GG VINA</v>
          </cell>
          <cell r="C850" t="str">
            <v>SO 226 PHO LE LAI, PHUONG MAY CHAI, QUAN NGO QUYEN, HAI PHONG</v>
          </cell>
          <cell r="D850">
            <v>0</v>
          </cell>
          <cell r="E850">
            <v>0</v>
          </cell>
        </row>
        <row r="851">
          <cell r="B851" t="str">
            <v>FORVIET</v>
          </cell>
          <cell r="C851" t="str">
            <v>VINH HONG, BINH GIANG, HAI DUONG</v>
          </cell>
          <cell r="D851">
            <v>0</v>
          </cell>
          <cell r="E851" t="str">
            <v>HIEN 0320 3773333</v>
          </cell>
        </row>
        <row r="852">
          <cell r="B852" t="str">
            <v>TINH LOI GAP INC</v>
          </cell>
          <cell r="C852" t="str">
            <v>KCN NAM SACH, HAI DUONG</v>
          </cell>
          <cell r="D852">
            <v>0</v>
          </cell>
          <cell r="E852">
            <v>0</v>
          </cell>
        </row>
        <row r="853">
          <cell r="B853" t="str">
            <v xml:space="preserve">TINH LOI 2 GAP INC </v>
          </cell>
          <cell r="C853" t="str">
            <v>KCN LAI VU, HAI DUONG</v>
          </cell>
          <cell r="D853">
            <v>0</v>
          </cell>
          <cell r="E853" t="str">
            <v>MS DUNG: 0963 528 138</v>
          </cell>
        </row>
        <row r="854">
          <cell r="B854" t="str">
            <v>TINH LOI H&amp;M</v>
          </cell>
          <cell r="C854" t="str">
            <v>KCN NAM SACH, HAI DUONG</v>
          </cell>
          <cell r="D854" t="str">
            <v>HANG CHUNG CTU- NEU HANG GAP GIAO TRUOC</v>
          </cell>
          <cell r="E854" t="str">
            <v>MS NGA: 0987 820 658</v>
          </cell>
        </row>
        <row r="855">
          <cell r="B855" t="str">
            <v>TINH LOI JC PENNEY</v>
          </cell>
          <cell r="C855" t="str">
            <v>KCN LAI VU- HAI DUONG</v>
          </cell>
          <cell r="D855" t="str">
            <v>HANG CHUNG CTU- NEU HANG GAP GIAO TRUOC</v>
          </cell>
          <cell r="E855" t="str">
            <v>MS NGA: 0987 820 658</v>
          </cell>
        </row>
        <row r="856">
          <cell r="B856" t="str">
            <v>TINH LOI JC PENNEY</v>
          </cell>
          <cell r="C856" t="str">
            <v>KCN NAM SACH, HAI DUONG</v>
          </cell>
          <cell r="D856">
            <v>0</v>
          </cell>
          <cell r="E856" t="str">
            <v>MS NGA: 0987 820 658</v>
          </cell>
        </row>
        <row r="857">
          <cell r="B857" t="str">
            <v>TINH LOI KOHL</v>
          </cell>
          <cell r="C857" t="str">
            <v>KCN LAI VU, HAI DUONG</v>
          </cell>
          <cell r="D857">
            <v>0</v>
          </cell>
          <cell r="E857" t="str">
            <v>THU 0982094023</v>
          </cell>
        </row>
        <row r="858">
          <cell r="B858" t="str">
            <v>TINH LOI MANGO</v>
          </cell>
          <cell r="C858" t="str">
            <v>NAM SACH IZ-HAI DUONG</v>
          </cell>
          <cell r="D858" t="str">
            <v>HANG CHUNG CTU- NEU HANG GAP GIAO TRUOC</v>
          </cell>
          <cell r="E858" t="str">
            <v>MS HANH 0168 2094 534</v>
          </cell>
        </row>
        <row r="859">
          <cell r="B859" t="str">
            <v>TINH LOI NEXT</v>
          </cell>
          <cell r="C859" t="str">
            <v>KCN NAM SACH, HAI DUONG</v>
          </cell>
          <cell r="D859">
            <v>0</v>
          </cell>
          <cell r="E859" t="str">
            <v>LUAN 01674241088</v>
          </cell>
        </row>
        <row r="860">
          <cell r="B860" t="str">
            <v>TINH LOI OLD NAVY</v>
          </cell>
          <cell r="C860" t="str">
            <v>KCN NAM SACH, HAI DUONG</v>
          </cell>
          <cell r="D860">
            <v>0</v>
          </cell>
          <cell r="E860" t="str">
            <v>HOA 0968747693</v>
          </cell>
        </row>
        <row r="861">
          <cell r="B861" t="str">
            <v>TINH LOI 2 OLD NAVY</v>
          </cell>
          <cell r="C861" t="str">
            <v>KCN LAI VU, HAI DUONG</v>
          </cell>
          <cell r="D861">
            <v>0</v>
          </cell>
          <cell r="E861" t="str">
            <v>MS DUNG: 0963 528 138</v>
          </cell>
        </row>
        <row r="862">
          <cell r="B862" t="str">
            <v>TINH LOI TARGET</v>
          </cell>
          <cell r="C862" t="str">
            <v>KCN NAM SACH, HAI DUONG</v>
          </cell>
          <cell r="D862">
            <v>0</v>
          </cell>
          <cell r="E862" t="str">
            <v>LUAN 01674241088</v>
          </cell>
        </row>
        <row r="863">
          <cell r="B863" t="str">
            <v>HOA DO 3</v>
          </cell>
          <cell r="C863" t="str">
            <v xml:space="preserve"> Thôn An Lạc - xã An Dục - huyện Quỳnh Phụ - Tỉnh Thái Bình</v>
          </cell>
          <cell r="D863">
            <v>0</v>
          </cell>
          <cell r="E863" t="str">
            <v>VU 01635538000</v>
          </cell>
        </row>
        <row r="864">
          <cell r="B864" t="str">
            <v>TINH LOI UNIQLO</v>
          </cell>
          <cell r="C864" t="str">
            <v>KCN LAI VU, HAI DUONG</v>
          </cell>
          <cell r="D864">
            <v>0</v>
          </cell>
          <cell r="E864" t="str">
            <v>HAU: 0128 833 0267</v>
          </cell>
        </row>
        <row r="865">
          <cell r="B865" t="str">
            <v>TINH LOI UNIQLO NAM SACH</v>
          </cell>
          <cell r="C865" t="str">
            <v>KCN NAM SACH HAI DUONG</v>
          </cell>
          <cell r="D865">
            <v>0</v>
          </cell>
          <cell r="E865" t="str">
            <v>HANH 01682094534</v>
          </cell>
        </row>
        <row r="866">
          <cell r="B866" t="str">
            <v>TISU</v>
          </cell>
          <cell r="C866" t="str">
            <v>DUONG TS 13, KCN TIEN SON, TUONG GIANG, TU SON, BAC NINH</v>
          </cell>
          <cell r="D866">
            <v>0</v>
          </cell>
          <cell r="E866" t="str">
            <v>NGOC LAN: 0975 852 685</v>
          </cell>
        </row>
        <row r="867">
          <cell r="B867" t="str">
            <v>TNG  JC PENNEY</v>
          </cell>
          <cell r="C867" t="str">
            <v>GIAO TNG 4, XUONG 4, KHU B, KCN SONG CONG, SONG CONG, THAI NGUYEN</v>
          </cell>
          <cell r="D867" t="str">
            <v>hang giao truoc</v>
          </cell>
          <cell r="E867" t="str">
            <v>MR TUNG: 0916 629 986</v>
          </cell>
        </row>
        <row r="868">
          <cell r="B868" t="str">
            <v>TNG 1 C&amp;A</v>
          </cell>
          <cell r="C868" t="str">
            <v>160 MINH CAU, THAI NGUYEN</v>
          </cell>
          <cell r="D868">
            <v>0</v>
          </cell>
          <cell r="E868" t="str">
            <v>Phan Trang Phone: +84 1258 006 626</v>
          </cell>
        </row>
        <row r="869">
          <cell r="B869" t="str">
            <v>TNG 1 COLUMBIA</v>
          </cell>
          <cell r="C869" t="str">
            <v>160 MINH CAU, THAI NGUYEN</v>
          </cell>
          <cell r="D869">
            <v>0</v>
          </cell>
          <cell r="E869" t="str">
            <v>MY 01693796888</v>
          </cell>
        </row>
        <row r="870">
          <cell r="B870" t="str">
            <v>TNG 1 DECATHLON</v>
          </cell>
          <cell r="C870" t="str">
            <v>160 MINH CAU, THAI NGUYEN</v>
          </cell>
          <cell r="D870">
            <v>0</v>
          </cell>
          <cell r="E870" t="str">
            <v>MY: 0168 547 6223</v>
          </cell>
        </row>
        <row r="871">
          <cell r="B871" t="str">
            <v>CIBAO</v>
          </cell>
          <cell r="C871" t="str">
            <v>N 5 SUOI TRE, LONG KHANH, DONG NAI</v>
          </cell>
          <cell r="D871">
            <v>0</v>
          </cell>
          <cell r="E871">
            <v>0</v>
          </cell>
        </row>
        <row r="872">
          <cell r="B872" t="str">
            <v>MICRAFTS</v>
          </cell>
          <cell r="C872" t="str">
            <v>SO 32B, DUONG DOI NHAN, BA DINH, HA NOI</v>
          </cell>
          <cell r="D872">
            <v>0</v>
          </cell>
          <cell r="E872">
            <v>0</v>
          </cell>
        </row>
        <row r="873">
          <cell r="B873" t="str">
            <v>TNG 4</v>
          </cell>
          <cell r="C873" t="str">
            <v>GIAO TNG 4, XUONG 4, KHU B, KCN SONG CONG, SONG CONG, THAI NGUYEN</v>
          </cell>
          <cell r="D873">
            <v>0</v>
          </cell>
          <cell r="E873" t="str">
            <v>01677 564 575 MR HOANG</v>
          </cell>
        </row>
        <row r="874">
          <cell r="B874" t="str">
            <v>TNG BAC CAN</v>
          </cell>
          <cell r="C874" t="str">
            <v>434/1 BAC CAN THAI NGUYEN</v>
          </cell>
          <cell r="D874">
            <v>0</v>
          </cell>
          <cell r="E874" t="str">
            <v>MS GRACE 0904 043 828</v>
          </cell>
        </row>
        <row r="875">
          <cell r="B875" t="str">
            <v>TNG BILL PAN PACIFIC</v>
          </cell>
          <cell r="C875" t="str">
            <v>160 MINH CAU, THAI NGUYEN</v>
          </cell>
          <cell r="D875">
            <v>0</v>
          </cell>
          <cell r="E875" t="str">
            <v>MS HUONG THU KHO: 0913 873 007</v>
          </cell>
        </row>
        <row r="876">
          <cell r="B876" t="str">
            <v>TNG C&amp;A</v>
          </cell>
          <cell r="C876" t="str">
            <v>221 Thong Nhat, Thai Nguyen</v>
          </cell>
          <cell r="D876">
            <v>0</v>
          </cell>
          <cell r="E876" t="str">
            <v>TRANG: 01685 151 959</v>
          </cell>
        </row>
        <row r="877">
          <cell r="B877" t="str">
            <v>TNG CN VIET DUC</v>
          </cell>
          <cell r="C877" t="str">
            <v>160 MINH CAU, THAI NGUYEN</v>
          </cell>
          <cell r="D877" t="str">
            <v>hang giao truoc</v>
          </cell>
          <cell r="E877" t="str">
            <v>MS HUYEN: 0983 911 440
MS NHUNG: 0984 063 748</v>
          </cell>
        </row>
        <row r="878">
          <cell r="B878" t="str">
            <v>VINEX SPOL</v>
          </cell>
          <cell r="C878" t="str">
            <v xml:space="preserve"> 6th Floor,  No.478 Minh Khai Str,Hai Ba Trung Dist, Hanoi  </v>
          </cell>
          <cell r="D878">
            <v>0</v>
          </cell>
          <cell r="E878" t="str">
            <v>Mrs.  Merry/Huong +84-0989709898</v>
          </cell>
        </row>
        <row r="879">
          <cell r="B879" t="str">
            <v>TNG CN VIET THAI</v>
          </cell>
          <cell r="C879" t="str">
            <v>221 Thong Nhat, Thai Nguyen</v>
          </cell>
          <cell r="D879">
            <v>0</v>
          </cell>
          <cell r="E879" t="str">
            <v>Thanh Tuan:0915 311 775
nguoi lien he : cho cs confim</v>
          </cell>
        </row>
        <row r="880">
          <cell r="B880" t="str">
            <v>TNG INVESTMENT</v>
          </cell>
          <cell r="C880" t="str">
            <v>TIEN HOI COMMUNE. DAI TU DISTRICT, THAI NGUYEN</v>
          </cell>
          <cell r="D880">
            <v>0</v>
          </cell>
          <cell r="E880" t="str">
            <v>Ms. Ngọc - 01693029385</v>
          </cell>
        </row>
        <row r="881">
          <cell r="B881" t="str">
            <v>TNG MACKAYS</v>
          </cell>
          <cell r="C881" t="str">
            <v>221 Thong Nhat, Thai Nguyen</v>
          </cell>
          <cell r="D881">
            <v>0</v>
          </cell>
          <cell r="E881" t="str">
            <v>0169 302 9385</v>
          </cell>
        </row>
        <row r="882">
          <cell r="B882" t="str">
            <v>TNG PHU BINH 3 MANGO</v>
          </cell>
          <cell r="C882" t="str">
            <v>CHI NHANH MAY PHU BINH, KHA SON, PHU BINH, THAI NGUYEN</v>
          </cell>
          <cell r="D882" t="str">
            <v>hang chung tu</v>
          </cell>
          <cell r="E882" t="str">
            <v>01688372595 Mai</v>
          </cell>
        </row>
        <row r="883">
          <cell r="B883" t="str">
            <v>TNG MUJI</v>
          </cell>
          <cell r="C883" t="str">
            <v>160 MINH CAU THAI NGUYEN</v>
          </cell>
          <cell r="D883">
            <v>0</v>
          </cell>
          <cell r="E883" t="str">
            <v>MS VAN 0966438333</v>
          </cell>
        </row>
        <row r="884">
          <cell r="B884" t="str">
            <v>TNG PHU BINH 1</v>
          </cell>
          <cell r="C884" t="str">
            <v>KHA SON, PHU BINH, THAI NGUYEN</v>
          </cell>
          <cell r="D884">
            <v>0</v>
          </cell>
          <cell r="E884" t="str">
            <v>MR LANH 0987731294</v>
          </cell>
        </row>
        <row r="885">
          <cell r="B885" t="str">
            <v>TNG PHU BINH 3</v>
          </cell>
          <cell r="C885" t="str">
            <v>KHA SON, PHU BINH, THAI NGUYEN</v>
          </cell>
          <cell r="D885">
            <v>0</v>
          </cell>
          <cell r="E885" t="str">
            <v>01688372595 Mai</v>
          </cell>
        </row>
        <row r="886">
          <cell r="B886" t="str">
            <v>TNG PHU BINH 4</v>
          </cell>
          <cell r="C886" t="str">
            <v>KHA SON, PHU BINH, THAI NGUYEN</v>
          </cell>
          <cell r="D886">
            <v>0</v>
          </cell>
          <cell r="E886" t="str">
            <v>01679255184</v>
          </cell>
        </row>
        <row r="887">
          <cell r="B887" t="str">
            <v>TNG PRIMARK - GEORGE- TESCO</v>
          </cell>
          <cell r="C887" t="str">
            <v>221 Thong Nhat, Thai Nguyen</v>
          </cell>
          <cell r="D887">
            <v>0</v>
          </cell>
          <cell r="E887" t="str">
            <v>VINH: 0949 832 845</v>
          </cell>
        </row>
        <row r="888">
          <cell r="B888" t="str">
            <v>TNG PXVN</v>
          </cell>
          <cell r="C888" t="str">
            <v>221 Thong Nhat, Thai Nguyen</v>
          </cell>
          <cell r="D888">
            <v>0</v>
          </cell>
          <cell r="E888" t="str">
            <v>0169 302 9385</v>
          </cell>
        </row>
        <row r="889">
          <cell r="B889" t="str">
            <v>TNG SONG CONG 1</v>
          </cell>
          <cell r="C889" t="str">
            <v>SONG CONG 1, KHU B, KCN SONG CONG, THAI NGUYEN</v>
          </cell>
          <cell r="D889">
            <v>0</v>
          </cell>
          <cell r="E889" t="str">
            <v>QUANG HUNG: 0977 008 544</v>
          </cell>
        </row>
        <row r="890">
          <cell r="B890" t="str">
            <v>TNG SONG CONG 2</v>
          </cell>
          <cell r="C890" t="str">
            <v>SONG CONG 2, KHU B, KCN SONG CONG, THAI NGUYEN</v>
          </cell>
          <cell r="D890">
            <v>0</v>
          </cell>
          <cell r="E890" t="str">
            <v>PHUONG: 0280 3509 724</v>
          </cell>
        </row>
        <row r="891">
          <cell r="B891" t="str">
            <v>TNG SONG CONG 3</v>
          </cell>
          <cell r="C891" t="str">
            <v>SONG CONG 3, KHU B, KCN SONG CONG, THAI NGUYEN</v>
          </cell>
          <cell r="D891">
            <v>0</v>
          </cell>
          <cell r="E891" t="str">
            <v>THANH TRA: 0169 266 1597</v>
          </cell>
        </row>
        <row r="892">
          <cell r="B892" t="str">
            <v>TNG SONG CONG 4</v>
          </cell>
          <cell r="C892" t="str">
            <v>TNG CHI NHANH SONG CONG 4, KHU B, KCN SONG CONG, TP SONG CONG, THAI NGUYEN</v>
          </cell>
          <cell r="D892">
            <v>0</v>
          </cell>
          <cell r="E892" t="str">
            <v>MS TRANG: 01258006626</v>
          </cell>
        </row>
        <row r="893">
          <cell r="B893" t="str">
            <v>TNG VIET DUC</v>
          </cell>
          <cell r="C893" t="str">
            <v>160 MINH CAU, THAI NGUYEN</v>
          </cell>
          <cell r="D893">
            <v>0</v>
          </cell>
          <cell r="E893" t="str">
            <v>Ngoc Duong _ 01693029385</v>
          </cell>
        </row>
        <row r="894">
          <cell r="B894" t="str">
            <v>TOAN CAU SONG TOAN</v>
          </cell>
          <cell r="C894" t="str">
            <v>17B, AP SUOI CAO, PHUOC DONG, GO DAU, TAY NINH</v>
          </cell>
          <cell r="D894">
            <v>0</v>
          </cell>
          <cell r="E894" t="str">
            <v>MS THAO: 0166 234 2174</v>
          </cell>
        </row>
        <row r="895">
          <cell r="B895" t="str">
            <v>TRANG SUC LIAAN</v>
          </cell>
          <cell r="C895" t="str">
            <v>KCN DONG VAN I, DUY TIEN, HA NAM</v>
          </cell>
          <cell r="D895">
            <v>0</v>
          </cell>
          <cell r="E895">
            <v>0</v>
          </cell>
        </row>
        <row r="896">
          <cell r="B896" t="str">
            <v>TRUNG PHAT</v>
          </cell>
          <cell r="C896" t="str">
            <v>243B Long Hội, Giao Long,
Châu Thành, Tỉnh Bến Tre</v>
          </cell>
          <cell r="D896">
            <v>0</v>
          </cell>
          <cell r="E896" t="str">
            <v>ATTN: MR THINH/ MR VIET
075. 3636373</v>
          </cell>
        </row>
        <row r="897">
          <cell r="B897" t="str">
            <v>TRUONG AN</v>
          </cell>
          <cell r="C897" t="str">
            <v>10-HO SEN-LE CHAN-HAI PHONG</v>
          </cell>
          <cell r="D897">
            <v>0</v>
          </cell>
          <cell r="E897" t="str">
            <v>MS HUONG(P.KH)-031 2213149</v>
          </cell>
        </row>
        <row r="898">
          <cell r="B898" t="str">
            <v>TRUONG SON</v>
          </cell>
          <cell r="C898" t="str">
            <v>313 Da Nang-Ngo Quyen-Hai Phong</v>
          </cell>
          <cell r="D898">
            <v>0</v>
          </cell>
          <cell r="E898" t="str">
            <v>MR SON: 0909 360 793</v>
          </cell>
        </row>
        <row r="899">
          <cell r="B899" t="str">
            <v>TRUONG SON FACTORY</v>
          </cell>
          <cell r="C899" t="str">
            <v>NGA 4 DONG SON, KENH GIANG, THUY NGUYEN, HAI PHONG</v>
          </cell>
          <cell r="D899">
            <v>0</v>
          </cell>
          <cell r="E899" t="str">
            <v>MS NGUYET: 0984 364 206</v>
          </cell>
        </row>
        <row r="900">
          <cell r="B900" t="str">
            <v>TRUONG SON GARMENT</v>
          </cell>
          <cell r="C900" t="str">
            <v>402 ST- HOA NGHIA-DUONG KINH-HAI PHONG</v>
          </cell>
          <cell r="D900">
            <v>0</v>
          </cell>
          <cell r="E900" t="str">
            <v>MR BINH: 0904 659 810</v>
          </cell>
        </row>
        <row r="901">
          <cell r="B901" t="str">
            <v>TRUONG THANG</v>
          </cell>
          <cell r="C901" t="str">
            <v>SO 208, DUONG LAM SON, HUYEN NONG CONG, THANH HOA</v>
          </cell>
          <cell r="D901">
            <v>0</v>
          </cell>
          <cell r="E901" t="str">
            <v>Ms ly: 0912927880</v>
          </cell>
        </row>
        <row r="902">
          <cell r="B902" t="str">
            <v>TUAN DAT</v>
          </cell>
          <cell r="C902" t="str">
            <v>KCN TRUONG XUAN, TAM KY, QUANG NAM</v>
          </cell>
          <cell r="D902">
            <v>0</v>
          </cell>
          <cell r="E902" t="str">
            <v>TRAN THI DUNG
0510 3841154</v>
          </cell>
        </row>
        <row r="903">
          <cell r="B903" t="str">
            <v>TUAN DAT PVH</v>
          </cell>
          <cell r="C903" t="str">
            <v>KCN TRUONG XUAN, TAM KY, QUANG NAM</v>
          </cell>
          <cell r="D903" t="str">
            <v>PHAT DUNG TEN NGUOI LIEN HE</v>
          </cell>
          <cell r="E903" t="str">
            <v>TRAN THI DUNG
0510 3841154</v>
          </cell>
        </row>
        <row r="904">
          <cell r="B904" t="str">
            <v>TUAN THANG</v>
          </cell>
          <cell r="C904" t="str">
            <v>THON NAM, DONG PHUONG, DONG HUNG, THAI BINH</v>
          </cell>
          <cell r="D904">
            <v>0</v>
          </cell>
          <cell r="E904" t="str">
            <v>MS THOA: 01666 416 647</v>
          </cell>
        </row>
        <row r="905">
          <cell r="B905" t="str">
            <v>TUNGTEX FASHION ANN TAYLOR</v>
          </cell>
          <cell r="C905" t="str">
            <v>LOT A2, DUONG SO 2, KCN THUAN DAO, BEN LUC, LONG AN</v>
          </cell>
          <cell r="D905" t="str">
            <v>CHUNG CTU</v>
          </cell>
          <cell r="E905" t="str">
            <v>MS HANG: 0124 4466 005</v>
          </cell>
        </row>
        <row r="906">
          <cell r="B906" t="str">
            <v>TUNGTEX SOC TRANG</v>
          </cell>
          <cell r="C906" t="str">
            <v>LO H, KCN AN HIEP, XA AN HIEP, CHAU THANH, SOC TRANG</v>
          </cell>
          <cell r="D906">
            <v>0</v>
          </cell>
          <cell r="E906" t="str">
            <v>ATTN:Kim Tuyến: 0947 48 2299</v>
          </cell>
        </row>
        <row r="907">
          <cell r="B907" t="str">
            <v>TY XUAN</v>
          </cell>
          <cell r="C907" t="str">
            <v>KHU CON NGHIEP HOA PHU-VINH LONG</v>
          </cell>
          <cell r="D907">
            <v>0</v>
          </cell>
          <cell r="E907" t="str">
            <v>0166 444 3755- MS THUY</v>
          </cell>
        </row>
        <row r="908">
          <cell r="B908" t="str">
            <v>UNICO BAC GIANG</v>
          </cell>
          <cell r="C908" t="str">
            <v>TAN DAN, YEN DUNG, BAC GIANG</v>
          </cell>
          <cell r="D908">
            <v>0</v>
          </cell>
          <cell r="E908" t="str">
            <v xml:space="preserve">MS HUE: 0240 3768 467
</v>
          </cell>
        </row>
        <row r="909">
          <cell r="B909" t="str">
            <v>UNICO LL BEAN</v>
          </cell>
          <cell r="C909" t="str">
            <v>TAN DAN, YEN DUNG, BAC GIANG</v>
          </cell>
          <cell r="D909" t="str">
            <v>HANG CTU-</v>
          </cell>
          <cell r="E909" t="str">
            <v>MS HUYEN: 0987 397 984- L L BEAN</v>
          </cell>
        </row>
        <row r="910">
          <cell r="B910" t="str">
            <v>UNICO YEN BAI</v>
          </cell>
          <cell r="C910" t="str">
            <v>KCN AU LAU XA AU LAU, THANH PHO YEN BAI, TINH YEN BAI</v>
          </cell>
          <cell r="D910">
            <v>0</v>
          </cell>
          <cell r="E910">
            <v>0</v>
          </cell>
        </row>
        <row r="911">
          <cell r="B911" t="str">
            <v>UNISOLL</v>
          </cell>
          <cell r="C911" t="str">
            <v>BI, BII, BIII, BIV SECTION,  GIAO LONG INDUSTRIAL ZONE PHASE II,AN PHUOC COMMUNE, CHAU THANH DISTRICT, BEN TRE PROVINCE</v>
          </cell>
          <cell r="D911">
            <v>0</v>
          </cell>
          <cell r="E911" t="str">
            <v>Tel: 84-75- 3635600   Fax: 84-75- 3635601</v>
          </cell>
        </row>
        <row r="912">
          <cell r="B912" t="str">
            <v>UNITED SWIMWEAR LAND'S END</v>
          </cell>
          <cell r="C912" t="str">
            <v>LOT C1, KCN  SUOI DAU, CAM LAM, KHANH HOA</v>
          </cell>
          <cell r="D912" t="str">
            <v>TTC-DV Nhat Tinh</v>
          </cell>
          <cell r="E912" t="str">
            <v>Britney: 09 3737 9409</v>
          </cell>
        </row>
        <row r="913">
          <cell r="B913" t="str">
            <v>UNO</v>
          </cell>
          <cell r="C913" t="str">
            <v>Quang Minh Park, Me Linh Dist,
 Ha Noi</v>
          </cell>
          <cell r="D913" t="str">
            <v>CTU- C.Trang</v>
          </cell>
          <cell r="E913" t="str">
            <v>Attn: Maria :(0906 216 229)
04 358 60 656</v>
          </cell>
        </row>
        <row r="914">
          <cell r="B914" t="str">
            <v>V.J.ONE</v>
          </cell>
          <cell r="C914" t="str">
            <v>HONG CHAU, DONG HUNG, THAI BINH</v>
          </cell>
          <cell r="D914">
            <v>0</v>
          </cell>
          <cell r="E914" t="str">
            <v>JS LEE/ SUSAN/ PHUONG: 0363 898 643</v>
          </cell>
        </row>
        <row r="915">
          <cell r="B915" t="str">
            <v>V.J.ONE WALMART</v>
          </cell>
          <cell r="C915" t="str">
            <v>HONG CHAU, DONG HUNG, THAI BINH</v>
          </cell>
          <cell r="D915">
            <v>0</v>
          </cell>
          <cell r="E915" t="str">
            <v>SOAI: 0985 097 881</v>
          </cell>
        </row>
        <row r="916">
          <cell r="B916" t="str">
            <v>Valley View</v>
          </cell>
          <cell r="C916" t="str">
            <v>no1,street 2, Da Nang IZ, An Don, An Hai Bac, Son Tra, Da Nang</v>
          </cell>
          <cell r="D916" t="str">
            <v>HANG CHO CONFIRM</v>
          </cell>
          <cell r="E916" t="str">
            <v>Ms Hanh : 0511 3935 666</v>
          </cell>
        </row>
        <row r="917">
          <cell r="B917" t="str">
            <v>VAN HA MASS HITEK</v>
          </cell>
          <cell r="C917" t="str">
            <v>QL 45, 12, VAN HA, THIEU HOA, THANH HOA</v>
          </cell>
          <cell r="D917">
            <v>0</v>
          </cell>
          <cell r="E917" t="str">
            <v>MAI KA: 037 3842 746</v>
          </cell>
        </row>
        <row r="918">
          <cell r="B918" t="str">
            <v>VAN LACCK</v>
          </cell>
          <cell r="C918" t="str">
            <v>CUM CN NGOC HOI, THANH TRI, HA NOI</v>
          </cell>
          <cell r="D918">
            <v>0</v>
          </cell>
          <cell r="E918" t="str">
            <v>MS HUONG: 0919 388 668</v>
          </cell>
        </row>
        <row r="919">
          <cell r="B919" t="str">
            <v>VAN PHU</v>
          </cell>
          <cell r="C919" t="str">
            <v>PHU LAM VILLALE-VAN PHU COMMUNE, NHO QUAN DISTRICT,NINH BINH PROVINE</v>
          </cell>
          <cell r="D919">
            <v>0</v>
          </cell>
          <cell r="E919" t="str">
            <v>01634.540.895
HUONG( Mr Cường: 0963.877.688     or Mr Phú: 0989.302.482)</v>
          </cell>
        </row>
        <row r="920">
          <cell r="B920" t="str">
            <v>VAN TAI SO 5</v>
          </cell>
          <cell r="C920" t="str">
            <v>NGA 3 QUAN BAU, TP VINH, NGHE AN</v>
          </cell>
          <cell r="D920" t="str">
            <v>NETCO-KHTT</v>
          </cell>
          <cell r="E920" t="str">
            <v>MR VINH: 0988 911 154</v>
          </cell>
        </row>
        <row r="921">
          <cell r="B921" t="str">
            <v>VAST APPAREL</v>
          </cell>
          <cell r="C921" t="str">
            <v>A5,6,7,B1,2 TAM DAN INDUSTRIAL ZONE, PHU NINH DISTRICT, QUANG NAM PROVINCE</v>
          </cell>
          <cell r="D921" t="str">
            <v>DAN SHIPPING MARK THEO TUNG DON HANG</v>
          </cell>
          <cell r="E921" t="str">
            <v>THUY TIEN 84 5103 810 797</v>
          </cell>
        </row>
        <row r="922">
          <cell r="B922" t="str">
            <v>Venture International JSC</v>
          </cell>
          <cell r="C922" t="str">
            <v>Km40, Highway 5A, Lai Cach commune, Cam Giang District, Hai Duong province, Vietnam</v>
          </cell>
          <cell r="D922">
            <v>0</v>
          </cell>
          <cell r="E922" t="str">
            <v>Hau: 043 8528 084</v>
          </cell>
        </row>
        <row r="923">
          <cell r="B923" t="str">
            <v>EVERGREEN SHOES</v>
          </cell>
          <cell r="C923" t="str">
            <v>LOC TRU, TIEN THANG, TIEN LANG, HAI PHONG</v>
          </cell>
          <cell r="D923">
            <v>0</v>
          </cell>
          <cell r="E923">
            <v>0</v>
          </cell>
        </row>
        <row r="924">
          <cell r="B924" t="str">
            <v>VINEX SPLO</v>
          </cell>
          <cell r="C924" t="str">
            <v xml:space="preserve"> 6th Floor,  No.478 Minh Khai Str,Hai Ba Trung Dist, Hanoi  </v>
          </cell>
          <cell r="D924">
            <v>0</v>
          </cell>
          <cell r="E924" t="str">
            <v>TUAN ANH 0966543689</v>
          </cell>
        </row>
        <row r="925">
          <cell r="B925" t="str">
            <v>FASHION GARMENT</v>
          </cell>
          <cell r="C925" t="str">
            <v>TAM THANG INDUSTRIAL ZONE, TAM KY CITY, QUANG NAM</v>
          </cell>
          <cell r="D925">
            <v>0</v>
          </cell>
          <cell r="E925">
            <v>0</v>
          </cell>
        </row>
        <row r="926">
          <cell r="B926" t="str">
            <v>VENTURE INVISTA</v>
          </cell>
          <cell r="C926" t="str">
            <v>ROOM 317-320, BLOCK E1, TRUNG TU DIPLOMATIC COMPOUND, 6 DANG VAN NGU, DONG DA, HA NOI</v>
          </cell>
          <cell r="D926">
            <v>0</v>
          </cell>
          <cell r="E926" t="str">
            <v>MS HONG: 04 3852 8084</v>
          </cell>
        </row>
        <row r="927">
          <cell r="B927" t="str">
            <v>VERT FASHION</v>
          </cell>
          <cell r="C927" t="str">
            <v>KIM TRANG, VIET LAP, TAN YEN, BAC GIANG</v>
          </cell>
          <cell r="D927" t="str">
            <v>GIAO HANG CHUNG CTU
SO DN# LEN BILL</v>
          </cell>
          <cell r="E927" t="str">
            <v>NGAN: 0976 558 930</v>
          </cell>
        </row>
        <row r="928">
          <cell r="B928" t="str">
            <v>VESTON VINH BAO</v>
          </cell>
          <cell r="C928" t="str">
            <v>KCN TAN LIEN, TAN LIEN, VINH BAO, HAI PHONG</v>
          </cell>
          <cell r="D928">
            <v>0</v>
          </cell>
          <cell r="E928" t="str">
            <v>0313 899023</v>
          </cell>
        </row>
        <row r="929">
          <cell r="B929" t="str">
            <v>NAM TIEP</v>
          </cell>
          <cell r="C929" t="str">
            <v>LO 20+23+24, CUM CN AN XA, TP NAM DINH</v>
          </cell>
          <cell r="D929">
            <v>0</v>
          </cell>
          <cell r="E929" t="str">
            <v>DAT 0943334596</v>
          </cell>
        </row>
        <row r="930">
          <cell r="B930" t="str">
            <v>VI GARMENT</v>
          </cell>
          <cell r="C930" t="str">
            <v>651HIGHWAY 1A-THU TUU 1-TAN KHANH-TAN AN-LONG AN</v>
          </cell>
          <cell r="D930" t="str">
            <v>TIEN NHI</v>
          </cell>
          <cell r="E930" t="str">
            <v>MS HONG-072 3 511 596</v>
          </cell>
        </row>
        <row r="931">
          <cell r="B931" t="str">
            <v>VI HOANG</v>
          </cell>
          <cell r="C931" t="str">
            <v>SO 5 HOANG HOA THAM, NAM DINH</v>
          </cell>
          <cell r="D931">
            <v>0</v>
          </cell>
          <cell r="E931" t="str">
            <v>MS PHUONG 0916 073 087</v>
          </cell>
        </row>
        <row r="932">
          <cell r="B932" t="str">
            <v>VIEBA</v>
          </cell>
          <cell r="C932" t="str">
            <v>DI SU-MY HAO-HUNG YEN</v>
          </cell>
          <cell r="D932">
            <v>0</v>
          </cell>
          <cell r="E932" t="str">
            <v>C VAN: 0917 490 248</v>
          </cell>
        </row>
        <row r="933">
          <cell r="B933" t="str">
            <v>VIEGARMENT CO</v>
          </cell>
          <cell r="C933" t="str">
            <v>846-848 BINH GIA , VUNG TAU CITY</v>
          </cell>
          <cell r="D933">
            <v>0</v>
          </cell>
          <cell r="E933" t="str">
            <v>064 3 848 372/ 3 848 178
KIM THANH: P KH- XNK( 0908 300 222)</v>
          </cell>
        </row>
        <row r="934">
          <cell r="B934" t="str">
            <v>VIET AN</v>
          </cell>
          <cell r="C934" t="str">
            <v>226 LE LAI-NGO QUYEN-HAI PHONG</v>
          </cell>
          <cell r="D934">
            <v>0</v>
          </cell>
          <cell r="E934" t="str">
            <v>CHAM ANH-313 654942-MR HA</v>
          </cell>
        </row>
        <row r="935">
          <cell r="B935" t="str">
            <v>VIET AN</v>
          </cell>
          <cell r="C935" t="str">
            <v>226 LE LAI, NGO QUYEN, HAI PHONG</v>
          </cell>
          <cell r="D935">
            <v>0</v>
          </cell>
          <cell r="E935">
            <v>0</v>
          </cell>
        </row>
        <row r="936">
          <cell r="B936" t="str">
            <v>VIET AN HN</v>
          </cell>
          <cell r="C936" t="str">
            <v>SO 5 NGUYEN DUY CHINH STR-BAN DAO LINH DAM-HOANG MAI-HA NOI</v>
          </cell>
          <cell r="D936">
            <v>0</v>
          </cell>
          <cell r="E936" t="str">
            <v>LE VAN HUNG-436418764</v>
          </cell>
        </row>
        <row r="937">
          <cell r="B937" t="str">
            <v>VIET AN VAT</v>
          </cell>
          <cell r="C937" t="str">
            <v>KM 1, DUONG PHAM VAN DONG, DUONG KINH, HAI PHONG</v>
          </cell>
          <cell r="D937" t="str">
            <v>PRIMARK</v>
          </cell>
          <cell r="E937" t="str">
            <v>MS THUY:  0904 370 273</v>
          </cell>
        </row>
        <row r="938">
          <cell r="B938" t="str">
            <v>viet anh</v>
          </cell>
          <cell r="C938" t="str">
            <v>KM30, HIGHWAY 5, BACH SON, MY HAO, HUNG YEN</v>
          </cell>
          <cell r="D938">
            <v>0</v>
          </cell>
          <cell r="E938" t="str">
            <v>PHUONG 0986336338</v>
          </cell>
        </row>
        <row r="939">
          <cell r="B939" t="str">
            <v>VIET ANH</v>
          </cell>
          <cell r="C939" t="str">
            <v>KM 30-HIGHWAY 5-BACH SAM-MY HAO-HUNG YEN</v>
          </cell>
          <cell r="D939">
            <v>0</v>
          </cell>
          <cell r="E939" t="str">
            <v>PHUONG: 098 633 6338
-321-394 5427-4-221 295 22
0978 492 795</v>
          </cell>
        </row>
        <row r="940">
          <cell r="B940" t="str">
            <v>VIET GARMENT</v>
          </cell>
          <cell r="C940" t="str">
            <v>QUANG MINH INDUSTRIAL PARK, ME LINH, VINH PHUC, VN</v>
          </cell>
          <cell r="D940">
            <v>0</v>
          </cell>
          <cell r="E940" t="str">
            <v>Thai Hoang Gia 0972-515-163</v>
          </cell>
        </row>
        <row r="941">
          <cell r="B941" t="str">
            <v>VIET HUNG</v>
          </cell>
          <cell r="C941" t="str">
            <v>KM10-10 RD-DONG HOP-DONG HUNG TOWN-THAI BINH</v>
          </cell>
          <cell r="D941">
            <v>0</v>
          </cell>
          <cell r="E941" t="str">
            <v>XUAN NHU-036 851255</v>
          </cell>
        </row>
        <row r="942">
          <cell r="B942" t="str">
            <v>VIET LONG</v>
          </cell>
          <cell r="C942" t="str">
            <v>THI TRAN AN BAI, QUYNH PHU, THAI BINH</v>
          </cell>
          <cell r="D942">
            <v>0</v>
          </cell>
          <cell r="E942" t="str">
            <v>MS THUYEN: 0987 254 242</v>
          </cell>
        </row>
        <row r="943">
          <cell r="B943" t="str">
            <v>VIET NAM CHUNG JYE</v>
          </cell>
          <cell r="C943" t="str">
            <v>QUYNH PHUC INDUSTRIAL PARK, PHUC THANH COMMUNE, KIMTHANH DIST</v>
          </cell>
          <cell r="D943">
            <v>0</v>
          </cell>
          <cell r="E943">
            <v>0</v>
          </cell>
        </row>
        <row r="944">
          <cell r="B944" t="str">
            <v>VIET NAM CHUNG JYE NINH BINH</v>
          </cell>
          <cell r="C944" t="str">
            <v>KHANH NHAC INDUSTRIAL PARK, KHANH NHAC, YEN KHANH DIST, NINH BINH PROVINCE</v>
          </cell>
          <cell r="D944">
            <v>0</v>
          </cell>
          <cell r="E944" t="str">
            <v>Dương - 0916 271 369</v>
          </cell>
        </row>
        <row r="945">
          <cell r="B945" t="str">
            <v>NAM DINH ENTER B</v>
          </cell>
          <cell r="C945" t="str">
            <v>THON THUONG DONG, XA HIEN KHANH,
 HUYEN VU BAN, NAM DINH</v>
          </cell>
          <cell r="D945">
            <v>0</v>
          </cell>
          <cell r="E945">
            <v>0</v>
          </cell>
        </row>
        <row r="946">
          <cell r="B946" t="str">
            <v>viet nam garment</v>
          </cell>
          <cell r="C946" t="str">
            <v>LOT A2 A3 A4, KCN BA THIEN 2, THIEN KE, BINH XUYEN, VINH PHUC</v>
          </cell>
          <cell r="D946">
            <v>0</v>
          </cell>
          <cell r="E946" t="str">
            <v xml:space="preserve"> EMMA 84 211 3565 982</v>
          </cell>
        </row>
        <row r="947">
          <cell r="B947" t="str">
            <v>VIET PACIFIC APPAREL</v>
          </cell>
          <cell r="C947" t="str">
            <v>10 THANH BINH, MO LAO, HA DONG, HA NOI</v>
          </cell>
          <cell r="D947" t="str">
            <v>hang giao truoc</v>
          </cell>
          <cell r="E947" t="str">
            <v>MS THUY 0966 608 665</v>
          </cell>
        </row>
        <row r="948">
          <cell r="B948" t="str">
            <v>VIET PACIFIC CLOTHING</v>
          </cell>
          <cell r="C948" t="str">
            <v>Hoà Đình, Phường Võ Cường,
TP Bắc Ninh, tỉnh Bắc Ninh</v>
          </cell>
          <cell r="D948" t="str">
            <v>hang giao truoc</v>
          </cell>
          <cell r="E948" t="str">
            <v>MS WARI: 0906 682 696</v>
          </cell>
        </row>
        <row r="949">
          <cell r="B949" t="str">
            <v>VIET PACIFIC INVISTA</v>
          </cell>
          <cell r="C949" t="str">
            <v>HOA DINH, VO CUONG, BAC NINH</v>
          </cell>
          <cell r="D949">
            <v>0</v>
          </cell>
          <cell r="E949" t="str">
            <v>Ms Quynh / Ms Huong: 
(84) 241-828673 or 828674</v>
          </cell>
        </row>
        <row r="950">
          <cell r="B950" t="str">
            <v>VIET PAN PACIFIC WORLD</v>
          </cell>
          <cell r="C950" t="str">
            <v>THON DANH THUONG, DANH THANG, HIEP HOA, BAC GIANG</v>
          </cell>
          <cell r="D950" t="str">
            <v>hang giao truoc, KEM PKL CHI TIET</v>
          </cell>
          <cell r="E950" t="str">
            <v>HUONG 0989481786</v>
          </cell>
        </row>
        <row r="951">
          <cell r="B951" t="str">
            <v>MERKAVA</v>
          </cell>
          <cell r="C951" t="str">
            <v>KCN LOC SON, BAO LOC, LAM DONG</v>
          </cell>
          <cell r="D951">
            <v>0</v>
          </cell>
          <cell r="E951">
            <v>0</v>
          </cell>
        </row>
        <row r="952">
          <cell r="B952" t="str">
            <v>QUANG VINH</v>
          </cell>
          <cell r="C952" t="str">
            <v>SO 14, XOM 5, BAT TRANG, GIA LAM, HA NOI</v>
          </cell>
          <cell r="D952">
            <v>0</v>
          </cell>
          <cell r="E952">
            <v>0</v>
          </cell>
        </row>
        <row r="953">
          <cell r="B953" t="str">
            <v>VIET PAN PACIFIC</v>
          </cell>
          <cell r="C953" t="str">
            <v>Lô A2, CN1, Cụm công nghiệp vừa và nhỏ Từ Liêm, Minh Khai, Bắc Từ Liêm, Hà nội</v>
          </cell>
          <cell r="D953">
            <v>0</v>
          </cell>
          <cell r="E953">
            <v>0</v>
          </cell>
        </row>
        <row r="954">
          <cell r="B954" t="str">
            <v>VIET PAN PACIFIC NAM DINH</v>
          </cell>
          <cell r="C954" t="str">
            <v>Thon Giao Cu trung, xa Dong Son, huyen Nam Truc, Nam Dinh</v>
          </cell>
          <cell r="D954">
            <v>0</v>
          </cell>
          <cell r="E954">
            <v>0</v>
          </cell>
        </row>
        <row r="955">
          <cell r="B955" t="str">
            <v>VIET PAN PACIFIC THANH HOA</v>
          </cell>
          <cell r="C955" t="str">
            <v>Ha Son Industrial Land Zone, Ngoc Lac Town, Ngoc Lac District, Thanh Hoa Province</v>
          </cell>
          <cell r="D955">
            <v>0</v>
          </cell>
          <cell r="E955" t="str">
            <v>Mr. Lee: 037 895 8555/ 037 895 8556</v>
          </cell>
        </row>
        <row r="956">
          <cell r="B956" t="str">
            <v>VIET PHAT</v>
          </cell>
          <cell r="C956" t="str">
            <v>KM52-HIGHWAY 5-BINH HAN DIST-HAI DUONG</v>
          </cell>
          <cell r="D956">
            <v>0</v>
          </cell>
          <cell r="E956" t="str">
            <v>0320 3857258</v>
          </cell>
        </row>
        <row r="957">
          <cell r="B957" t="str">
            <v>VIET PHAT GARMENT</v>
          </cell>
          <cell r="C957" t="str">
            <v>Thanh Khe Village, Nam Cuong Commune, eNam Truc District, Nam Dlnh Provinc</v>
          </cell>
          <cell r="D957">
            <v>0</v>
          </cell>
          <cell r="E957" t="str">
            <v>Binh 0965194668</v>
          </cell>
        </row>
        <row r="958">
          <cell r="B958" t="str">
            <v>VIET TEX</v>
          </cell>
          <cell r="C958" t="str">
            <v>35 NGO QUYEN STR - THO QUANG WARD - SON TRA DIS- DANANG CITY</v>
          </cell>
          <cell r="D958">
            <v>0</v>
          </cell>
          <cell r="E958" t="str">
            <v>Attn: Ms. Huyen: 84 3925725</v>
          </cell>
        </row>
        <row r="959">
          <cell r="B959" t="str">
            <v>VIET THAI</v>
          </cell>
          <cell r="C959" t="str">
            <v>NO 100-QUANG TRUNG ST-THAI BINH</v>
          </cell>
          <cell r="D959">
            <v>0</v>
          </cell>
          <cell r="E959" t="str">
            <v>MS NGA- 0988 962 901</v>
          </cell>
        </row>
        <row r="960">
          <cell r="B960" t="str">
            <v>VIET THANH</v>
          </cell>
          <cell r="C960" t="str">
            <v>Lo B3-B4, khu cong nghiep Giao Long, CHAU THANH BEN TRE</v>
          </cell>
          <cell r="D960">
            <v>0</v>
          </cell>
          <cell r="E960">
            <v>0</v>
          </cell>
        </row>
        <row r="961">
          <cell r="B961" t="str">
            <v>VIET THIEN</v>
          </cell>
          <cell r="C961" t="str">
            <v>KHU DONG SOC, VU DI, VINH TUONG, VINH PHUC</v>
          </cell>
          <cell r="D961">
            <v>0</v>
          </cell>
          <cell r="E961" t="str">
            <v>MR MINH: 0962 921 401</v>
          </cell>
        </row>
        <row r="962">
          <cell r="B962" t="str">
            <v>VIET VUONG 2</v>
          </cell>
          <cell r="C962" t="str">
            <v>LO 12, KCN DIEN NAM - DIEN NGOC, DIEN BAN, QUANG NAM</v>
          </cell>
          <cell r="D962" t="str">
            <v>GIAO QUANG NAM</v>
          </cell>
          <cell r="E962" t="str">
            <v>LIEN: 0979 738 462</v>
          </cell>
        </row>
        <row r="963">
          <cell r="B963" t="str">
            <v>VIETNAM SHOES</v>
          </cell>
          <cell r="C963" t="str">
            <v>KCN DONG XUYEN-P. RACH DUA-TP VUNG TAU</v>
          </cell>
          <cell r="D963">
            <v>0</v>
          </cell>
          <cell r="E963">
            <v>0</v>
          </cell>
        </row>
        <row r="964">
          <cell r="B964" t="str">
            <v>VINA CKGF</v>
          </cell>
          <cell r="C964" t="str">
            <v>Khu 6, Go Don, Xa Huong Lung, Huyen Cam Khe, , Tinh Phu tho</v>
          </cell>
          <cell r="D964">
            <v>0</v>
          </cell>
          <cell r="E964">
            <v>0</v>
          </cell>
        </row>
        <row r="965">
          <cell r="B965" t="str">
            <v>VINA EHWA</v>
          </cell>
          <cell r="C965" t="str">
            <v>LO A1, KCN HAPRO, XA LE CHI, GIA LAM, HA NOI</v>
          </cell>
          <cell r="D965">
            <v>0</v>
          </cell>
          <cell r="E965" t="str">
            <v>MS VAN ANH: 0986 101 911</v>
          </cell>
        </row>
        <row r="966">
          <cell r="B966" t="str">
            <v>VINA GIO</v>
          </cell>
          <cell r="C966" t="str">
            <v>THANH DIEN CHAU THANH, TAY NINH</v>
          </cell>
          <cell r="D966">
            <v>0</v>
          </cell>
          <cell r="E966">
            <v>0</v>
          </cell>
        </row>
        <row r="967">
          <cell r="B967" t="str">
            <v>VINA KOREA</v>
          </cell>
          <cell r="C967" t="str">
            <v>CN 13, KHAI QUANG INDUSTRIAL SUB ZONE, 
VINH PHUC TOWN,
 VINH PHUC</v>
          </cell>
          <cell r="D967" t="str">
            <v>cho xnk confirm</v>
          </cell>
          <cell r="E967" t="str">
            <v>Mr. Woo (Kyeong Hoon, Woo) 
+84-93-688-5694</v>
          </cell>
        </row>
        <row r="968">
          <cell r="B968" t="str">
            <v>VINA KUMYANG</v>
          </cell>
          <cell r="C968" t="str">
            <v>LO 14, KCN KHAI QUANG, VINH YEN, VINH PHUC</v>
          </cell>
          <cell r="D968">
            <v>0</v>
          </cell>
          <cell r="E968" t="str">
            <v>ATTN: HUYEN 0972 421 468</v>
          </cell>
        </row>
        <row r="969">
          <cell r="B969" t="str">
            <v>VINA KYUNG SEUNG</v>
          </cell>
          <cell r="C969" t="str">
            <v>khu 6, Đồn Tây, Xã Thanh Vinh, Thị Xã Phú Thọ, Phú Thọ</v>
          </cell>
          <cell r="D969" t="str">
            <v>giao hang truoc-C.Trang -GIAO DAI SON</v>
          </cell>
          <cell r="E969" t="str">
            <v>HA: 0982 063 216</v>
          </cell>
        </row>
        <row r="970">
          <cell r="B970" t="str">
            <v>VINA KYUNG SEUNG ANN TAYLOR</v>
          </cell>
          <cell r="C970" t="str">
            <v>khu 6, Đồn Tây, Xã Thanh Vinh, Thị Xã Phú Thọ, Phú Thọ</v>
          </cell>
          <cell r="D970">
            <v>0</v>
          </cell>
          <cell r="E970" t="str">
            <v>ATTN: HA 0982 063 216</v>
          </cell>
        </row>
        <row r="971">
          <cell r="B971" t="str">
            <v>VINAEHWA HN</v>
          </cell>
          <cell r="C971" t="str">
            <v>OA1, KCN HAPRO, XA LE CHI. GIA LAM, HA NOI</v>
          </cell>
          <cell r="D971">
            <v>0</v>
          </cell>
          <cell r="E971" t="str">
            <v> Hieu: 043556 0751/ 0979629 323. </v>
          </cell>
        </row>
        <row r="972">
          <cell r="B972" t="str">
            <v>VINAEHWA</v>
          </cell>
          <cell r="C972" t="str">
            <v>Phú Keo, xã Kim San, huyện Gia Lâm, thành phố Hà Nội</v>
          </cell>
          <cell r="D972">
            <v>0</v>
          </cell>
          <cell r="E972" t="str">
            <v>Chị Vân Anh - 0986.101.911</v>
          </cell>
        </row>
        <row r="973">
          <cell r="B973" t="str">
            <v>MAY IN 1 THANG 5</v>
          </cell>
          <cell r="C973" t="str">
            <v>SO 37, NGO 67, PHO DUC GIANG, QUAN LONG BIEN, HANOI</v>
          </cell>
          <cell r="D973">
            <v>0</v>
          </cell>
          <cell r="E973">
            <v>0</v>
          </cell>
        </row>
        <row r="974">
          <cell r="B974" t="str">
            <v>VINATEX BONG SON</v>
          </cell>
          <cell r="C974" t="str">
            <v>LO A6, CUM CN BONG SON, THI TRAN BONG SON, HOAI NHON, BINH DINH</v>
          </cell>
          <cell r="D974">
            <v>0</v>
          </cell>
          <cell r="E974" t="str">
            <v>MS LAM: 0982690662</v>
          </cell>
        </row>
        <row r="975">
          <cell r="B975" t="str">
            <v>VINATEX DA NANG</v>
          </cell>
          <cell r="C975" t="str">
            <v>25 TRAN QUY CAP- DA NANG
(MS.PHUONG: 0935 214 921)</v>
          </cell>
          <cell r="D975">
            <v>0</v>
          </cell>
          <cell r="E975" t="str">
            <v>Bill:Ledway-HIEU-511863757-0914104121-MS QUYEN</v>
          </cell>
        </row>
        <row r="976">
          <cell r="B976" t="str">
            <v>vinatex da nang 1</v>
          </cell>
          <cell r="C976" t="str">
            <v>88 THANH SON, THANH BINH, HAI CHAU, DA NANG</v>
          </cell>
          <cell r="D976">
            <v>0</v>
          </cell>
          <cell r="E976" t="str">
            <v>Luu 0934075159</v>
          </cell>
        </row>
        <row r="977">
          <cell r="B977" t="str">
            <v>VINATEX DA NANG 1</v>
          </cell>
          <cell r="C977" t="str">
            <v>88 DUONG THANH SON, QUAN HAI CHAU, DA NANG</v>
          </cell>
          <cell r="D977">
            <v>0</v>
          </cell>
          <cell r="E977" t="str">
            <v>CHI LIEU: 0934075159</v>
          </cell>
        </row>
        <row r="978">
          <cell r="B978" t="str">
            <v>VINATEX DA NANG 3</v>
          </cell>
          <cell r="C978" t="str">
            <v>ROAD 3, HOA KHANH IZ, LINH CHIEU, DA NANG</v>
          </cell>
          <cell r="D978">
            <v>0</v>
          </cell>
          <cell r="E978" t="str">
            <v>MS HUONG: 0909923767- 47300806.EXT:2209</v>
          </cell>
        </row>
        <row r="979">
          <cell r="B979" t="str">
            <v>VINATEX HANO</v>
          </cell>
          <cell r="C979" t="str">
            <v>25/33 alley linh nam-mai dong -hoang mai-ha noi</v>
          </cell>
          <cell r="D979">
            <v>0</v>
          </cell>
          <cell r="E979" t="str">
            <v>Huyen-0987763767
04- 8624611</v>
          </cell>
        </row>
        <row r="980">
          <cell r="B980" t="str">
            <v>VINATEX HUONG TRA</v>
          </cell>
          <cell r="C980" t="str">
            <v>LO CN3, CUM CN TU HA, TU HA, HUONG TRA, THUA THIEN HUE</v>
          </cell>
          <cell r="D980">
            <v>0</v>
          </cell>
          <cell r="E980" t="str">
            <v xml:space="preserve"> CHI TRANG : 0128 253 8980 </v>
          </cell>
        </row>
        <row r="981">
          <cell r="B981" t="str">
            <v>VINATEX KIEN GIANG</v>
          </cell>
          <cell r="C981" t="str">
            <v>Ngã ba Lộ Quẹo, ấp An Hòa, xã Định An, H. Gò Quao, Kien Giang</v>
          </cell>
          <cell r="D981">
            <v>0</v>
          </cell>
          <cell r="E981" t="str">
            <v>TIEN 0907072122</v>
          </cell>
        </row>
        <row r="982">
          <cell r="B982" t="str">
            <v>VINATEX QUOC TE</v>
          </cell>
          <cell r="C982" t="str">
            <v>So 460 , duong Minh Khai , Phuong Vinh Tuy, Quan Hai Ba Trung, Thanh Pho Ha Noi, Viet Nam</v>
          </cell>
          <cell r="D982">
            <v>0</v>
          </cell>
          <cell r="E982">
            <v>0</v>
          </cell>
        </row>
        <row r="983">
          <cell r="B983" t="str">
            <v>DET 8-3 CHI NHANH MINH KHAI</v>
          </cell>
          <cell r="C983" t="str">
            <v>So 460 , duong Minh Khai , Phuong Vinh Tuy, Quan Hai Ba Trung, Thanh Pho Ha Noi, Viet Nam</v>
          </cell>
          <cell r="D983">
            <v>0</v>
          </cell>
          <cell r="E983">
            <v>0</v>
          </cell>
        </row>
        <row r="984">
          <cell r="B984" t="str">
            <v>VINATEX INTERNATIONAL</v>
          </cell>
          <cell r="C984" t="str">
            <v>2rd Floor, ICT Building 02-9A Lot, Hoang Mai I.Z, Hoang Mai Dist., Hanoi, Viet Nam.</v>
          </cell>
          <cell r="D984">
            <v>0</v>
          </cell>
          <cell r="E984" t="str">
            <v>LUONG NHUNG HA 0936 361 585</v>
          </cell>
        </row>
        <row r="985">
          <cell r="B985" t="str">
            <v>VINATEX TU NGHIA</v>
          </cell>
          <cell r="C985" t="str">
            <v>LO A8, CUM CN LA HA, THI TRAN LA HA, TU NGHIA, QUANG NGAI</v>
          </cell>
          <cell r="D985">
            <v>0</v>
          </cell>
          <cell r="E985" t="str">
            <v>MR VU: 0936 383 610</v>
          </cell>
        </row>
        <row r="986">
          <cell r="B986" t="str">
            <v>VINATEX TUYEN QUANG</v>
          </cell>
          <cell r="C986" t="str">
            <v>KCN PHUC UNG, HUYEN SON DUONG, TUYEN QUANG</v>
          </cell>
          <cell r="D986">
            <v>0</v>
          </cell>
          <cell r="E986">
            <v>0</v>
          </cell>
        </row>
        <row r="987">
          <cell r="B987" t="str">
            <v>VINATEXIMEX</v>
          </cell>
          <cell r="C987" t="str">
            <v>20 LINH NAM, HOANG MAI, HA NOI</v>
          </cell>
          <cell r="D987" t="str">
            <v>NETCO-KHTT</v>
          </cell>
          <cell r="E987" t="str">
            <v>A NAM/ A SA: 04 3633 5518</v>
          </cell>
        </row>
        <row r="988">
          <cell r="B988" t="str">
            <v>VINEX TRADE</v>
          </cell>
          <cell r="C988" t="str">
            <v>6TH FL- NO.478-MINH KHAI-HA NOI</v>
          </cell>
          <cell r="D988">
            <v>0</v>
          </cell>
          <cell r="E988" t="str">
            <v>MS HUONG: 0989 709 898/ MS VAN ANH: 0986 101 911</v>
          </cell>
        </row>
        <row r="989">
          <cell r="B989" t="str">
            <v>DREAM MEKONG</v>
          </cell>
          <cell r="C989" t="str">
            <v>AP AN THAI, XA AN CU, HUYEN CAI BE, TIEN GIANG</v>
          </cell>
          <cell r="D989" t="str">
            <v>COMBINE VOI HANG DREAM MEKONG, CHO CS CONFIRM SD: VNPT</v>
          </cell>
          <cell r="E989">
            <v>0</v>
          </cell>
        </row>
        <row r="990">
          <cell r="B990" t="str">
            <v>VINH LONG</v>
          </cell>
          <cell r="C990" t="str">
            <v>ADIDAS PLANNING DEPT-B1 BUILDING-HOA PHU IP-VINH LONG</v>
          </cell>
          <cell r="D990">
            <v>0</v>
          </cell>
          <cell r="E990">
            <v>0</v>
          </cell>
        </row>
        <row r="991">
          <cell r="B991" t="str">
            <v>VINH NHON</v>
          </cell>
          <cell r="C991" t="str">
            <v>1768 Duong 30-4, Phuong 12, Vung Tau City, VunG TAU</v>
          </cell>
          <cell r="D991">
            <v>0</v>
          </cell>
          <cell r="E991">
            <v>0</v>
          </cell>
        </row>
        <row r="992">
          <cell r="B992" t="str">
            <v>VINH PHU SHOE</v>
          </cell>
          <cell r="C992" t="str">
            <v>2187A, DAI LO HUNG VUONG, GIA CAM, VIET TRI, PHU THO</v>
          </cell>
          <cell r="D992">
            <v>0</v>
          </cell>
          <cell r="E992" t="str">
            <v>MS HUONG: 0916 027 183</v>
          </cell>
        </row>
        <row r="993">
          <cell r="B993" t="str">
            <v>DET VINH PHUC HA NOI</v>
          </cell>
          <cell r="C993" t="str">
            <v>TIEN PHONG, ME LINH, HA NOI</v>
          </cell>
          <cell r="D993">
            <v>0</v>
          </cell>
          <cell r="E993" t="str">
            <v>MRS NGA: 0976 064 468</v>
          </cell>
        </row>
        <row r="994">
          <cell r="B994" t="str">
            <v>VINH PHUC INVISTA</v>
          </cell>
          <cell r="C994" t="str">
            <v>TIEN PHONG, ME LINH, HA NOI</v>
          </cell>
          <cell r="D994">
            <v>0</v>
          </cell>
          <cell r="E994" t="str">
            <v>THUY VINH: 0912 971 875</v>
          </cell>
        </row>
        <row r="995">
          <cell r="B995" t="str">
            <v>VINH THINH</v>
          </cell>
          <cell r="C995" t="str">
            <v>SO 11-PHO PHAM SU MENH-HAI DUONG</v>
          </cell>
          <cell r="D995">
            <v>0</v>
          </cell>
          <cell r="E995" t="str">
            <v>NGUYEN DUC THINH
0320 846679</v>
          </cell>
        </row>
        <row r="996">
          <cell r="B996" t="str">
            <v>VINH YEN SHOES</v>
          </cell>
          <cell r="C996" t="str">
            <v>DONG DA, VINH YEN, VINH PHUC</v>
          </cell>
          <cell r="D996">
            <v>0</v>
          </cell>
          <cell r="E996" t="str">
            <v>MS HAI 0976940881</v>
          </cell>
        </row>
        <row r="997">
          <cell r="B997" t="str">
            <v>vit garment</v>
          </cell>
          <cell r="C997" t="str">
            <v>QUANG MINH INDUSTRIAL PARK, ME LINH, HA NOI</v>
          </cell>
          <cell r="D997">
            <v>0</v>
          </cell>
          <cell r="E997" t="str">
            <v>Ms Trang - 0987910882</v>
          </cell>
        </row>
        <row r="998">
          <cell r="B998" t="str">
            <v>NV APPAREL</v>
          </cell>
          <cell r="C998" t="str">
            <v>LO C1, KCN BINH HOA, XA BINH HOA, CHAU THANH, AN GIANG</v>
          </cell>
          <cell r="D998" t="str">
            <v>NHAN NIKE CHO CS CONFIRM MAIL MOI GIAO HANG- GIAO BANG NETCO
IN PKL TU MAIL CUA CS, KEM THEO DE GIAO HANG</v>
          </cell>
          <cell r="E998">
            <v>0</v>
          </cell>
        </row>
        <row r="999">
          <cell r="B999" t="str">
            <v>VIVA GARMENT</v>
          </cell>
          <cell r="C999" t="str">
            <v>KCN DONG SOC, VU DI, VINH TUONG, VINH PHUC</v>
          </cell>
          <cell r="D999">
            <v>0</v>
          </cell>
          <cell r="E999" t="str">
            <v>Ms Lai Yen - 84-168-353 0089</v>
          </cell>
        </row>
        <row r="1000">
          <cell r="B1000" t="str">
            <v>VIVA VINA</v>
          </cell>
          <cell r="C1000" t="str">
            <v>DUC LAP THUONG, DUC HOA, LONG AN</v>
          </cell>
          <cell r="D1000">
            <v>0</v>
          </cell>
          <cell r="E1000" t="str">
            <v>TRUC LINH: 072 3813 925</v>
          </cell>
        </row>
        <row r="1001">
          <cell r="B1001" t="str">
            <v>VMC</v>
          </cell>
          <cell r="C1001" t="str">
            <v>AP THANH PHUOC-X THANH DIEN-H CHAU THANH-TAY NINH</v>
          </cell>
          <cell r="D1001">
            <v>0</v>
          </cell>
          <cell r="E1001" t="str">
            <v xml:space="preserve"> MS TRIẾN-0987881105</v>
          </cell>
        </row>
        <row r="1002">
          <cell r="B1002" t="str">
            <v>VMC HOANG GIA</v>
          </cell>
          <cell r="C1002" t="str">
            <v>AP THANH PHUOC, XA THANH DIEN, HUYEN CHAU THANH, TINH TAY NINH</v>
          </cell>
          <cell r="D1002">
            <v>0</v>
          </cell>
          <cell r="E1002" t="str">
            <v>MS. TRIEN/ MS.TIEN: 066-3785516/19</v>
          </cell>
        </row>
        <row r="1003">
          <cell r="B1003" t="str">
            <v>VN HARIM</v>
          </cell>
          <cell r="C1003" t="str">
            <v>LOT 39-40-42 DUONG N2, KCN AN XA, NAM DINH</v>
          </cell>
          <cell r="D1003" t="str">
            <v>CHUNG CTU</v>
          </cell>
          <cell r="E1003" t="str">
            <v>MR DONG: 0168 357 3889</v>
          </cell>
        </row>
        <row r="1004">
          <cell r="B1004" t="str">
            <v>VN KNITWEAR</v>
          </cell>
          <cell r="C1004" t="str">
            <v>DUONG SO 3, KCN HOA KHANH, HOA KHANH, LIEN CHIEU, DA NANG</v>
          </cell>
          <cell r="D1004">
            <v>0</v>
          </cell>
          <cell r="E1004" t="str">
            <v>MS DAN CHAN: 0905 067 288</v>
          </cell>
        </row>
        <row r="1005">
          <cell r="B1005" t="str">
            <v>VN MOC BAI</v>
          </cell>
          <cell r="C1005" t="str">
            <v>KHU TM HIEP THANH, MOC BAI, BEN CAU, TAY NINH</v>
          </cell>
          <cell r="D1005" t="str">
            <v>cho XNK confirm- PHAT DUNG NGUOI LIEN HE+ CTU</v>
          </cell>
          <cell r="E1005" t="str">
            <v>NHU (PURCHASING) 0973729049</v>
          </cell>
        </row>
        <row r="1006">
          <cell r="B1006" t="str">
            <v>VN SHOE</v>
          </cell>
          <cell r="C1006" t="str">
            <v>KCN DONG XUYEN-P. RACH DUA-TP VUNG TAU</v>
          </cell>
          <cell r="D1006">
            <v>0</v>
          </cell>
          <cell r="E1006" t="str">
            <v>CLARK-THAO(lan-0938414697
ROPORT:HANG-64-612002
WOL:ms huynh-bpdh- 0933 714 959</v>
          </cell>
        </row>
        <row r="1007">
          <cell r="B1007" t="str">
            <v>VN SHOE 1</v>
          </cell>
          <cell r="C1007" t="str">
            <v>CÔNG TY SX GIÀY UY VIỆT, KCN CHÂU ĐỨC, XÃ SUỐI NGHỆ, HUYỆN CHÂU ĐỨC, TỈNH BRVT</v>
          </cell>
          <cell r="D1007" t="str">
            <v>24-30/6 KIEM KE KHONG NHAN HANG</v>
          </cell>
          <cell r="E1007" t="str">
            <v>Hà (Purchasing)- SDT ​0985.852.147</v>
          </cell>
        </row>
        <row r="1008">
          <cell r="B1008" t="str">
            <v>VP ANH CANH</v>
          </cell>
          <cell r="C1008" t="str">
            <v>377 PHUC TAN, HOAN KIEM, HA NOI</v>
          </cell>
          <cell r="D1008" t="str">
            <v>NETCO- NOTE TREN BILL " DT TRUOC KHI GIAO"</v>
          </cell>
          <cell r="E1008" t="str">
            <v>ANH CANH: 0908 700 628</v>
          </cell>
        </row>
        <row r="1009">
          <cell r="B1009" t="str">
            <v>VP AVERY HA NOI</v>
          </cell>
          <cell r="C1009" t="str">
            <v>6 Floor, Green Office, Viet A Building, No.9 Duy Tan Street, Dich Vong Hau ward, Cau Giay District, Hanoi</v>
          </cell>
          <cell r="D1009">
            <v>0</v>
          </cell>
          <cell r="E1009" t="str">
            <v>NGOC 0913835253</v>
          </cell>
        </row>
        <row r="1010">
          <cell r="B1010" t="str">
            <v>VP BAC HA HN</v>
          </cell>
          <cell r="C1010" t="str">
            <v>421A, HOANG QUOC VIET, CAU GIAY, HA NOI</v>
          </cell>
          <cell r="D1010">
            <v>0</v>
          </cell>
          <cell r="E1010">
            <v>0</v>
          </cell>
        </row>
        <row r="1011">
          <cell r="B1011" t="str">
            <v>VP ELEGANCE</v>
          </cell>
          <cell r="C1011" t="str">
            <v>Nha 11, day A11, Đàm Trấu, Bạch Đằng, Hai Bà Trưng, Hà Nội</v>
          </cell>
          <cell r="D1011">
            <v>0</v>
          </cell>
          <cell r="E1011" t="str">
            <v>Attn: Ly - 04 3 984 58 27</v>
          </cell>
        </row>
        <row r="1012">
          <cell r="B1012" t="str">
            <v>VP JENSMART</v>
          </cell>
          <cell r="C1012" t="str">
            <v>TANG 5, TOA NHA PN, NGO 61/4, LAC TRUNG, HA NOI</v>
          </cell>
          <cell r="D1012">
            <v>0</v>
          </cell>
          <cell r="E1012" t="str">
            <v>MR QUY: 0913 687 786</v>
          </cell>
        </row>
        <row r="1013">
          <cell r="B1013" t="str">
            <v>VP POONG IN HN</v>
          </cell>
          <cell r="C1013" t="str">
            <v>ROOM 1503, VINACONEX BUILDING, HH-2, PHU HUNG, TU LIEM, HA NOI</v>
          </cell>
          <cell r="D1013">
            <v>0</v>
          </cell>
          <cell r="E1013" t="str">
            <v>HA: 0904 255 236</v>
          </cell>
        </row>
        <row r="1014">
          <cell r="B1014" t="str">
            <v>VP XNK THUY KHUE</v>
          </cell>
          <cell r="C1014" t="str">
            <v>A2, PHU DIEN, TU LIEM, HA NOI</v>
          </cell>
          <cell r="D1014" t="str">
            <v>VIETTEL- KHTT</v>
          </cell>
          <cell r="E1014" t="str">
            <v>MR DAT 0904 093 481</v>
          </cell>
        </row>
        <row r="1015">
          <cell r="B1015" t="str">
            <v>VP YOUNG SHIN</v>
          </cell>
          <cell r="C1015" t="str">
            <v>Lo 6, biet thu 5, Ban dao linh dam
, phuong Hoang Liet, Q. Hoang mai, Hn</v>
          </cell>
          <cell r="D1015">
            <v>0</v>
          </cell>
          <cell r="E1015" t="str">
            <v>Van anh 0914796794</v>
          </cell>
        </row>
        <row r="1016">
          <cell r="B1016" t="str">
            <v>VIET PACIFIC</v>
          </cell>
          <cell r="C1016" t="str">
            <v>THANH BINH, MO LAO, HA DONG, HA NOI</v>
          </cell>
          <cell r="D1016">
            <v>0</v>
          </cell>
          <cell r="E1016" t="str">
            <v>MS ANH/ MS HUONG: 04 3384 7131</v>
          </cell>
        </row>
        <row r="1017">
          <cell r="B1017" t="str">
            <v>VPDD Land’N Sea</v>
          </cell>
          <cell r="C1017" t="str">
            <v>Lô 15 – Đông Bắc Ga – Đường Dương Đình Nghệ - Phường Đông Thọ - Thành Phố Thanh Hóa</v>
          </cell>
          <cell r="D1017">
            <v>0</v>
          </cell>
          <cell r="E1017" t="str">
            <v>Mr Nhiên – 0976.108.468 or 0918.511.768</v>
          </cell>
        </row>
        <row r="1018">
          <cell r="B1018" t="str">
            <v>VPDD TINH LOI</v>
          </cell>
          <cell r="C1018" t="str">
            <v>Nhà N5, khu D, 25 Láng Hạ-HA NOI</v>
          </cell>
          <cell r="D1018">
            <v>0</v>
          </cell>
          <cell r="E1018" t="str">
            <v xml:space="preserve">Bui Hanh : 0435141523 </v>
          </cell>
        </row>
        <row r="1019">
          <cell r="B1019" t="str">
            <v>SON HA DUY XUYEN</v>
          </cell>
          <cell r="C1019" t="str">
            <v>CUM CN TAY AN, XA DUY TRUNG, HUYEN DUY XUYEN, TINH QUANG NAM</v>
          </cell>
          <cell r="D1019">
            <v>0</v>
          </cell>
          <cell r="E1019" t="str">
            <v>MS KIM CHUNG 0903471391</v>
          </cell>
        </row>
        <row r="1020">
          <cell r="B1020" t="str">
            <v>VPI</v>
          </cell>
          <cell r="C1020" t="str">
            <v>572 XUONG GIANG, BAC GIANG</v>
          </cell>
          <cell r="D1020">
            <v>0</v>
          </cell>
          <cell r="E1020" t="str">
            <v>MAI: 0989 422 094</v>
          </cell>
        </row>
        <row r="1021">
          <cell r="B1021" t="str">
            <v>VPP WANLI</v>
          </cell>
          <cell r="C1021" t="str">
            <v>LO 3.3, 3.4, KCN DO SON, TAN THANH, DUONG KINH, HAI PHONG</v>
          </cell>
          <cell r="D1021">
            <v>0</v>
          </cell>
          <cell r="E1021" t="str">
            <v>MS NET: 031 3816 628</v>
          </cell>
        </row>
        <row r="1022">
          <cell r="B1022" t="str">
            <v>HA THANH</v>
          </cell>
          <cell r="C1022" t="str">
            <v>HAI AN, QUYNH NGUYEN, QUYNH PHU, THAI BINH</v>
          </cell>
          <cell r="D1022" t="str">
            <v>HANG GEN NHAN FIGS CHO EMAIL CONFIRM GIAO HANG CUA CS</v>
          </cell>
          <cell r="E1022">
            <v>0</v>
          </cell>
        </row>
        <row r="1023">
          <cell r="B1023" t="str">
            <v>VUNG TAU ORIENT NIKE</v>
          </cell>
          <cell r="C1023" t="str">
            <v>11 ROAD, KCN DONG XUYEN, RACH DUA, VUNG TAU</v>
          </cell>
          <cell r="D1023" t="str">
            <v>giao hang chung HD</v>
          </cell>
          <cell r="E1023" t="str">
            <v>064-3614598- MS TRAM/ MS THANH</v>
          </cell>
        </row>
        <row r="1024">
          <cell r="B1024" t="str">
            <v>WAN BANG</v>
          </cell>
          <cell r="C1024" t="str">
            <v>Lo 71A, 72A, 78A, 79 KCN Long Giang xa Tan Lap 1, Huyen Tan Phuoc Tỉnh Tien Giang</v>
          </cell>
          <cell r="D1024" t="str">
            <v>CHUNG CTU</v>
          </cell>
          <cell r="E1024" t="str">
            <v xml:space="preserve"> Quyen  0166 283 3991</v>
          </cell>
        </row>
        <row r="1025">
          <cell r="B1025" t="str">
            <v>FIVE STARS</v>
          </cell>
          <cell r="C1025" t="str">
            <v>CUM CN BINH NGUYEN, XA BINH NGUYEN, HUYEN BINH SON, QUANG NGAI</v>
          </cell>
          <cell r="D1025">
            <v>0</v>
          </cell>
          <cell r="E1025">
            <v>0</v>
          </cell>
        </row>
        <row r="1026">
          <cell r="B1026" t="str">
            <v>WESTFIELD</v>
          </cell>
          <cell r="C1026" t="str">
            <v>LOT CN07, KCN TAN LIEN, VINH BAO, HAI PHONG</v>
          </cell>
          <cell r="D1026" t="str">
            <v>VN GEN CHO CONFIM</v>
          </cell>
          <cell r="E1026" t="str">
            <v>MS HOA: 0904 325 299</v>
          </cell>
        </row>
        <row r="1027">
          <cell r="B1027" t="str">
            <v>WESTFIELD MANGO</v>
          </cell>
          <cell r="C1027" t="str">
            <v>LOT CN07, KCN TAN LIEN, VINH BAO, HAI PHONG</v>
          </cell>
          <cell r="D1027" t="str">
            <v>HANG CHUNG CTU- A DUNG
Viet so DN# len Bill</v>
          </cell>
          <cell r="E1027" t="str">
            <v>MS HOA: 0904 325 299</v>
          </cell>
        </row>
        <row r="1028">
          <cell r="B1028" t="str">
            <v>WIN VINA</v>
          </cell>
          <cell r="C1028" t="str">
            <v>AP BINH TIEN 2, XA DUC HOA HA, DUC HOA, LONG AN</v>
          </cell>
          <cell r="D1028">
            <v>0</v>
          </cell>
          <cell r="E1028" t="str">
            <v>MR TAN: 0918 514 693</v>
          </cell>
        </row>
        <row r="1029">
          <cell r="B1029" t="str">
            <v>WINNERS VINA</v>
          </cell>
          <cell r="C1029" t="str">
            <v>XOM 6, NGA MY, NGA SON, THANH HOA</v>
          </cell>
          <cell r="D1029" t="str">
            <v>CHO CS CONFIRM SHIPMODE (WALMART LH CS MILEY, NHAN TARGET LH CS JUDY)</v>
          </cell>
          <cell r="E1029" t="str">
            <v>HUE: 0128 207 5950</v>
          </cell>
        </row>
        <row r="1030">
          <cell r="B1030" t="str">
            <v>WOO JIN II</v>
          </cell>
          <cell r="C1030" t="str">
            <v>KM 14, THANG LOI, AN HUNG,
AN DUONG, HAI PHONG</v>
          </cell>
          <cell r="D1030">
            <v>0</v>
          </cell>
          <cell r="E1030" t="str">
            <v>0912 950 692- MS CHI</v>
          </cell>
        </row>
        <row r="1031">
          <cell r="B1031" t="str">
            <v>WOO JIN PVH</v>
          </cell>
          <cell r="C1031" t="str">
            <v>226 LE LAI-NGO QUYEN-HAI PHONG</v>
          </cell>
          <cell r="D1031" t="str">
            <v>HANG CHUNG CHUNG TU
PHAT DUNG NGUOI LIEN HE</v>
          </cell>
          <cell r="E1031" t="str">
            <v>MR JUNG/ MS HUONG
0313 768 800</v>
          </cell>
        </row>
        <row r="1032">
          <cell r="B1032" t="str">
            <v>NY HOA VIET</v>
          </cell>
          <cell r="C1032" t="str">
            <v>CHAU TU, CHAU LOC, HAU LOC, THANH HOA</v>
          </cell>
          <cell r="D1032">
            <v>0</v>
          </cell>
          <cell r="E1032" t="str">
            <v>MR VIET 0975 669 994</v>
          </cell>
        </row>
        <row r="1033">
          <cell r="B1033" t="str">
            <v>WOOIN VINA</v>
          </cell>
          <cell r="C1033" t="str">
            <v xml:space="preserve">THAP HONG KY INDUSTRIAL GROUP, DIEN CHAU, NGHE AN
NGHE AN"            
</v>
          </cell>
          <cell r="D1033">
            <v>0</v>
          </cell>
          <cell r="E1033" t="str">
            <v>THU 0986595339</v>
          </cell>
        </row>
        <row r="1034">
          <cell r="B1034" t="str">
            <v>X28 DA NANG</v>
          </cell>
          <cell r="C1034" t="str">
            <v xml:space="preserve">67 DUY TAN – TP DA NANG </v>
          </cell>
          <cell r="D1034" t="str">
            <v>VAT giao hang truoc</v>
          </cell>
          <cell r="E1034" t="str">
            <v>Anh Hoa-TPKH-0983618595</v>
          </cell>
        </row>
        <row r="1035">
          <cell r="B1035" t="str">
            <v>XÍ NGHIỆP MAY XUẤT KHẨU KHẢI HOÀN ANH SƠN</v>
          </cell>
          <cell r="C1035" t="str">
            <v>Khố 4 Thị Trấn Anh Sơn, Huyện Anh Sơn , Tỉnh Nghệ An</v>
          </cell>
          <cell r="D1035">
            <v>0</v>
          </cell>
          <cell r="E1035" t="str">
            <v>Ms Trang: 0962067377 / 0947608683</v>
          </cell>
        </row>
        <row r="1036">
          <cell r="B1036" t="str">
            <v>XK DHA</v>
          </cell>
          <cell r="C1036" t="str">
            <v>BICH HOA, THANH OAI HA NOI</v>
          </cell>
          <cell r="D1036">
            <v>0</v>
          </cell>
          <cell r="E1036" t="str">
            <v>HUONG 0978629537</v>
          </cell>
        </row>
        <row r="1037">
          <cell r="B1037" t="str">
            <v>XN MAY AN GIANG</v>
          </cell>
          <cell r="C1037" t="str">
            <v>DUONG TRAN HUNG DAO, P. PHU MY, TP LONG XUYEN, AN GIANG</v>
          </cell>
          <cell r="D1037">
            <v>0</v>
          </cell>
          <cell r="E1037" t="str">
            <v>Kim Loan: Tel       :   0763 834709 Mobile :   0946.621900</v>
          </cell>
        </row>
        <row r="1038">
          <cell r="B1038" t="str">
            <v>XN MAY BAO LOC</v>
          </cell>
          <cell r="C1038" t="str">
            <v>54 PHAM NGOC THACH, P. LOC PHAT, TP. BAO LOC, LAM DONG</v>
          </cell>
          <cell r="D1038">
            <v>0</v>
          </cell>
          <cell r="E1038" t="str">
            <v>QUANG DAO: 0977 647 346</v>
          </cell>
        </row>
        <row r="1039">
          <cell r="B1039" t="str">
            <v>Y&amp;J</v>
          </cell>
          <cell r="C1039" t="str">
            <v>A1-A3 KCN Minh Hung Han Quoc, Huyen Chon Thanh, Tinh Binh Phuoc</v>
          </cell>
          <cell r="D1039" t="str">
            <v>NETCO-KHTT</v>
          </cell>
          <cell r="E1039" t="str">
            <v>Dieu Suong  0974 014 491</v>
          </cell>
        </row>
        <row r="1040">
          <cell r="B1040" t="str">
            <v>Y&amp;J</v>
          </cell>
          <cell r="C1040" t="str">
            <v>A1-A3, KCN MINH HUNG HAN QUOC, CHON THANH, BINH PHUOC</v>
          </cell>
          <cell r="D1040">
            <v>0</v>
          </cell>
          <cell r="E1040" t="str">
            <v>THUAN/ SUONG: 0651 3644 660</v>
          </cell>
        </row>
        <row r="1041">
          <cell r="B1041" t="str">
            <v>YA2</v>
          </cell>
          <cell r="C1041" t="str">
            <v>NO. 1028 OF CT5 MY DINH, 
ME TRI, TU LIEM, HA NOI</v>
          </cell>
          <cell r="D1041">
            <v>0</v>
          </cell>
          <cell r="E1041" t="str">
            <v>MR CHOI – 04 7855637 –
 04 33546592</v>
          </cell>
        </row>
        <row r="1042">
          <cell r="B1042" t="str">
            <v>YAKJIN SAIGON</v>
          </cell>
          <cell r="C1042" t="str">
            <v>NO F5, F6, F7, F8, F9, F10 KCN BAC DONG PHU, TAN PHU, DONG PHU, BINH PHUOC</v>
          </cell>
          <cell r="D1042" t="str">
            <v>CTU</v>
          </cell>
          <cell r="E1042" t="str">
            <v>QUYNH ANH: 0935 471 807</v>
          </cell>
        </row>
        <row r="1043">
          <cell r="B1043" t="str">
            <v>YAKJIN VIETNAM</v>
          </cell>
          <cell r="C1043" t="str">
            <v>NO.B6,THUY VAN IZ,VIET TRI,PHU THO,VIET NAM</v>
          </cell>
          <cell r="D1043" t="str">
            <v>CTU</v>
          </cell>
          <cell r="E1043" t="str">
            <v>QUYNH ANH: 0935 471 807</v>
          </cell>
        </row>
        <row r="1044">
          <cell r="B1044" t="str">
            <v>YAMANI</v>
          </cell>
          <cell r="C1044" t="str">
            <v>Đường đê vòng, Quy Phú, Nam Hồng, Nam Trực, Nam Định</v>
          </cell>
          <cell r="D1044" t="str">
            <v>NHAN COACH DOI CS GUI MAIL CONFIRM KH DEN LAY, NHAN CON LAI GIAO BINH THUONG, IN PACKING LIST VA BB BAN GIAO MAIL CS GIAO KEM HOA DON SAU KHI GIAO HANG 1 NGAY</v>
          </cell>
          <cell r="E1044" t="str">
            <v>Tuyen Vu (035 0391 6899)</v>
          </cell>
        </row>
        <row r="1045">
          <cell r="B1045" t="str">
            <v>YAZ</v>
          </cell>
          <cell r="C1045" t="str">
            <v>NO.22, BAI SAY AREA, HA CAU WARD, HA DONG DIST, HA NOI</v>
          </cell>
          <cell r="D1045">
            <v>0</v>
          </cell>
          <cell r="E1045" t="str">
            <v>Ms Hue - 0982 671 779</v>
          </cell>
        </row>
        <row r="1046">
          <cell r="B1046" t="str">
            <v>VINH PHUC QUANG NAM</v>
          </cell>
          <cell r="C1046" t="str">
            <v>LOT A4/2, KCN TRUONG XUAN, TAM KY, QUANG NAM</v>
          </cell>
          <cell r="D1046">
            <v>0</v>
          </cell>
          <cell r="E1046">
            <v>0</v>
          </cell>
        </row>
        <row r="1047">
          <cell r="B1047" t="str">
            <v>YEN OF LONDON</v>
          </cell>
          <cell r="C1047" t="str">
            <v>353  PHAM VAN DONG RD-ANH DUNG VILLAGE-DUONG KINH DIST-HAI PHONG</v>
          </cell>
          <cell r="D1047">
            <v>0</v>
          </cell>
          <cell r="E1047" t="str">
            <v>YEN 0982 909 111</v>
          </cell>
        </row>
        <row r="1048">
          <cell r="B1048" t="str">
            <v>YEN VIEN</v>
          </cell>
          <cell r="C1048" t="str">
            <v>NO.488 HA HUY TAP ROAD-YEN VIEN TOWNLET-GIA LAM</v>
          </cell>
          <cell r="D1048">
            <v>0</v>
          </cell>
          <cell r="E1048" t="str">
            <v>CHI HANG- HUONG-4.8271433</v>
          </cell>
        </row>
        <row r="1049">
          <cell r="B1049" t="str">
            <v>YES VINA</v>
          </cell>
          <cell r="C1049" t="str">
            <v>KIEN BAI-THUY NGUYEN- HAI PHONG</v>
          </cell>
          <cell r="D1049">
            <v>0</v>
          </cell>
          <cell r="E1049" t="str">
            <v>MS THUY: 0906 055 862</v>
          </cell>
        </row>
        <row r="1050">
          <cell r="B1050" t="str">
            <v>YMUV</v>
          </cell>
          <cell r="C1050" t="str">
            <v>Lot AIII - 1,5 Tan Huong IZ, Tan Huong Ward, Chau Thanh Dist, Tien Giang Province</v>
          </cell>
          <cell r="D1050">
            <v>0</v>
          </cell>
          <cell r="E1050">
            <v>0</v>
          </cell>
        </row>
        <row r="1051">
          <cell r="B1051" t="str">
            <v>YONEDA</v>
          </cell>
          <cell r="C1051" t="str">
            <v>LOT J10, KCN NOMURA HAI PHONG, AN DUONG, HAI PHONG</v>
          </cell>
          <cell r="D1051" t="str">
            <v>HANG CHUNG CTU</v>
          </cell>
          <cell r="E1051" t="str">
            <v>HUONG XNK: 031 3743 308</v>
          </cell>
        </row>
        <row r="1052">
          <cell r="B1052" t="str">
            <v>YOUME</v>
          </cell>
          <cell r="C1052" t="str">
            <v>KCN Đồng Văn, DUy Tiên, Hà Nam</v>
          </cell>
          <cell r="D1052" t="str">
            <v>NETCO-KHTT</v>
          </cell>
          <cell r="E1052" t="str">
            <v>SĐT : 0918 820 286/ 0912 831 566</v>
          </cell>
        </row>
        <row r="1053">
          <cell r="B1053" t="str">
            <v>YOUNGONE PATAGONIA</v>
          </cell>
          <cell r="C1053" t="str">
            <v>HOA XA INDUSTRIAL PARK-NAM DINH CITY</v>
          </cell>
          <cell r="D1053">
            <v>0</v>
          </cell>
          <cell r="E1053" t="str">
            <v>HOAN 0123 777 0192</v>
          </cell>
        </row>
        <row r="1054">
          <cell r="B1054" t="str">
            <v>YOUNGONE PXVN</v>
          </cell>
          <cell r="C1054" t="str">
            <v>HOA XA INDUSTRIAL PARK-NAM DINH CITY</v>
          </cell>
          <cell r="D1054">
            <v>0</v>
          </cell>
          <cell r="E1054" t="str">
            <v>HONG 0989895311</v>
          </cell>
        </row>
        <row r="1055">
          <cell r="B1055" t="str">
            <v>YOUNGONE SMARTWOOL</v>
          </cell>
          <cell r="C1055" t="str">
            <v>HOA XA INDUSTRIAL PARK-NAM DINH CITY</v>
          </cell>
          <cell r="D1055">
            <v>0</v>
          </cell>
          <cell r="E1055" t="str">
            <v>PHAM THAM 0948021425</v>
          </cell>
        </row>
        <row r="1056">
          <cell r="B1056" t="str">
            <v>YOUNGONE PEARL</v>
          </cell>
          <cell r="C1056" t="str">
            <v>HOA XA INDUSTRIAL PARK-NAM DINH CITY</v>
          </cell>
          <cell r="D1056">
            <v>0</v>
          </cell>
          <cell r="E1056" t="str">
            <v>HOA 0350 670 570</v>
          </cell>
        </row>
        <row r="1057">
          <cell r="B1057" t="str">
            <v>YOUNGONE BAC GIANG</v>
          </cell>
          <cell r="C1057" t="str">
            <v>KCN DINH TRAM, VIET YEN BAC GIANG</v>
          </cell>
          <cell r="D1057">
            <v>0</v>
          </cell>
          <cell r="E1057">
            <v>0</v>
          </cell>
        </row>
        <row r="1058">
          <cell r="B1058" t="str">
            <v>YOUNGONE HUNG YEN</v>
          </cell>
          <cell r="C1058" t="str">
            <v>Ta Thuong Hamlet- Chinh Nghia commune- Kim Dong District-Hung Yen Province</v>
          </cell>
          <cell r="D1058">
            <v>0</v>
          </cell>
          <cell r="E1058" t="str">
            <v>0978 870 978</v>
          </cell>
        </row>
        <row r="1059">
          <cell r="B1059" t="str">
            <v>YOUNGONE NIKE</v>
          </cell>
          <cell r="C1059" t="str">
            <v>HOA XA INDUSTRIAL PARK-NAM DINH CITY</v>
          </cell>
          <cell r="D1059" t="str">
            <v>NEU HANG NIKE THI TU NGAY 28-CUOI MOI THANG SE K GIAO HANG</v>
          </cell>
          <cell r="E1059" t="str">
            <v>XUAN DUONG: 0936 296 270</v>
          </cell>
        </row>
        <row r="1060">
          <cell r="B1060" t="str">
            <v>YOUNGONE NORTHFACE</v>
          </cell>
          <cell r="C1060" t="str">
            <v>HOA XA INDUSTRIAL PARK-NAM DINH CITY</v>
          </cell>
          <cell r="D1060">
            <v>0</v>
          </cell>
          <cell r="E1060" t="str">
            <v>THUY: 0943 368 244</v>
          </cell>
        </row>
        <row r="1061">
          <cell r="B1061" t="str">
            <v>YOUNGONE PATAGONIA ( Giao hang tai kho xuong 2)</v>
          </cell>
          <cell r="C1061" t="str">
            <v>HOA XA INDUSTRIAL PARK-NAM DINH CITY</v>
          </cell>
          <cell r="D1061">
            <v>0</v>
          </cell>
          <cell r="E1061" t="str">
            <v>Nguoi nhan : Ms Phuong/Ms Dinh : 0936308665</v>
          </cell>
        </row>
        <row r="1062">
          <cell r="B1062" t="str">
            <v>YOUNGSHIN HANOI OFFICE</v>
          </cell>
          <cell r="C1062" t="str">
            <v>LO 6, BIET THU 5, BAN DAO LINH DA, QUAN HOANG MAI, HA NOI</v>
          </cell>
          <cell r="D1062">
            <v>0</v>
          </cell>
          <cell r="E1062" t="str">
            <v>ATTN: TRA LINH 04 3 6419228</v>
          </cell>
        </row>
        <row r="1063">
          <cell r="B1063" t="str">
            <v>YOUNGS LONG MA</v>
          </cell>
          <cell r="C1063" t="str">
            <v>DONG HUNG, YEN THO, Y YEN, VU BAN, NAM DINH</v>
          </cell>
          <cell r="D1063">
            <v>0</v>
          </cell>
          <cell r="E1063">
            <v>0</v>
          </cell>
        </row>
        <row r="1064">
          <cell r="B1064" t="str">
            <v>YOUNGSHIN HANOI OFFICE</v>
          </cell>
          <cell r="C1064">
            <v>0</v>
          </cell>
          <cell r="D1064">
            <v>0</v>
          </cell>
          <cell r="E1064">
            <v>0</v>
          </cell>
        </row>
        <row r="1065">
          <cell r="B1065" t="str">
            <v>YS VINA</v>
          </cell>
          <cell r="C1065" t="str">
            <v>DUC NGAI 1, DUC LAP THUONG, DUC HOA, LONG AN</v>
          </cell>
          <cell r="D1065">
            <v>0</v>
          </cell>
          <cell r="E1065" t="str">
            <v>MR NHUT: 0942404338</v>
          </cell>
        </row>
        <row r="1066">
          <cell r="B1066" t="str">
            <v>YSS</v>
          </cell>
          <cell r="C1066" t="str">
            <v>PLOT D6, KCN MY TRUNG, MY LOC, NAM DINH</v>
          </cell>
          <cell r="D1066" t="str">
            <v>HANG CHUNG CTU</v>
          </cell>
          <cell r="E1066" t="str">
            <v>THUY: 0350 3819 198</v>
          </cell>
        </row>
        <row r="1067">
          <cell r="B1067" t="str">
            <v>YUN GARMENT</v>
          </cell>
          <cell r="C1067" t="str">
            <v>room No 172- I9, Building, Lane 13,
Khuat Duy Tien, Thanh Xuan, Ha Noi</v>
          </cell>
          <cell r="D1067">
            <v>0</v>
          </cell>
          <cell r="E1067">
            <v>0</v>
          </cell>
        </row>
        <row r="1068">
          <cell r="B1068" t="str">
            <v>SCAVI HUE SAMPLE</v>
          </cell>
          <cell r="C1068" t="str">
            <v>KCN PHONG DIEN-HUE</v>
          </cell>
          <cell r="D1068">
            <v>0</v>
          </cell>
          <cell r="E1068" t="str">
            <v>CHI DIEM: 0905 855 169</v>
          </cell>
        </row>
        <row r="1069">
          <cell r="B1069" t="str">
            <v>YURI ABC DA NANG</v>
          </cell>
          <cell r="C1069" t="str">
            <v>DUONG SO 6, KCN HOA KHANH, LIEN CHIEU, DA NANG</v>
          </cell>
          <cell r="D1069" t="str">
            <v>CHO XNK CONFIRM</v>
          </cell>
          <cell r="E1069" t="str">
            <v>MS UYEN: 0904 094 549</v>
          </cell>
        </row>
        <row r="1300">
          <cell r="C1300" t="str">
            <v>TRUONG SON GARMENT</v>
          </cell>
          <cell r="E1300">
            <v>1</v>
          </cell>
        </row>
        <row r="1301">
          <cell r="C1301" t="str">
            <v>HANESBRAND HUNG YEN</v>
          </cell>
          <cell r="D1301" t="str">
            <v>KIM DONG CHINH NGHIA, HUNG YEN</v>
          </cell>
          <cell r="E1301">
            <v>1</v>
          </cell>
        </row>
        <row r="1717">
          <cell r="B1717">
            <v>0</v>
          </cell>
          <cell r="C1717">
            <v>0</v>
          </cell>
          <cell r="D1717">
            <v>0</v>
          </cell>
          <cell r="E1717">
            <v>0</v>
          </cell>
        </row>
        <row r="1736">
          <cell r="B1736">
            <v>0</v>
          </cell>
          <cell r="C1736">
            <v>0</v>
          </cell>
          <cell r="D1736">
            <v>0</v>
          </cell>
          <cell r="E1736">
            <v>0</v>
          </cell>
        </row>
        <row r="1743">
          <cell r="B1743">
            <v>0</v>
          </cell>
          <cell r="C1743" t="str">
            <v>MAY HAI MANGO</v>
          </cell>
        </row>
        <row r="1745">
          <cell r="B1745">
            <v>0</v>
          </cell>
          <cell r="E1745">
            <v>1</v>
          </cell>
        </row>
        <row r="1746">
          <cell r="B1746">
            <v>0</v>
          </cell>
          <cell r="C1746" t="str">
            <v>TINH LOI A&amp;F</v>
          </cell>
          <cell r="E1746">
            <v>2</v>
          </cell>
        </row>
        <row r="1747">
          <cell r="B1747">
            <v>0</v>
          </cell>
          <cell r="C1747" t="str">
            <v>viet thai</v>
          </cell>
          <cell r="E1747">
            <v>8</v>
          </cell>
        </row>
        <row r="1748">
          <cell r="B1748">
            <v>0</v>
          </cell>
          <cell r="C1748" t="str">
            <v>may 29-03</v>
          </cell>
          <cell r="E1748">
            <v>1</v>
          </cell>
        </row>
        <row r="1749">
          <cell r="B1749">
            <v>0</v>
          </cell>
          <cell r="C1749" t="str">
            <v>VN SHOE</v>
          </cell>
          <cell r="E1749">
            <v>1</v>
          </cell>
        </row>
        <row r="1750">
          <cell r="B1750">
            <v>0</v>
          </cell>
          <cell r="C1750" t="str">
            <v>MS VINA</v>
          </cell>
          <cell r="E1750">
            <v>1</v>
          </cell>
        </row>
        <row r="1751">
          <cell r="B1751">
            <v>0</v>
          </cell>
          <cell r="C1751" t="str">
            <v>MICHELLE</v>
          </cell>
          <cell r="E1751">
            <v>3</v>
          </cell>
        </row>
        <row r="1752">
          <cell r="B1752">
            <v>0</v>
          </cell>
          <cell r="C1752" t="str">
            <v>Winners vina</v>
          </cell>
          <cell r="E1752">
            <v>1</v>
          </cell>
        </row>
        <row r="1753">
          <cell r="B1753">
            <v>0</v>
          </cell>
          <cell r="C1753" t="str">
            <v>LO 3.3, 3.4, KCN DO SON, TAN THANH, DUONG KINH, HAI PHONG</v>
          </cell>
          <cell r="E1753">
            <v>1</v>
          </cell>
        </row>
        <row r="1754">
          <cell r="B1754">
            <v>0</v>
          </cell>
          <cell r="C1754" t="str">
            <v>makalot</v>
          </cell>
          <cell r="E1754">
            <v>1</v>
          </cell>
        </row>
        <row r="1755">
          <cell r="B1755">
            <v>0</v>
          </cell>
          <cell r="C1755" t="str">
            <v>TNG SONG CONG 3</v>
          </cell>
          <cell r="E1755">
            <v>1</v>
          </cell>
        </row>
        <row r="1756">
          <cell r="B1756">
            <v>0</v>
          </cell>
          <cell r="C1756" t="str">
            <v>SONG HONG C&amp;A</v>
          </cell>
          <cell r="E1756">
            <v>3</v>
          </cell>
        </row>
        <row r="1757">
          <cell r="B1757">
            <v>0</v>
          </cell>
          <cell r="C1757" t="str">
            <v>NIEN HSING</v>
          </cell>
          <cell r="E1757">
            <v>1</v>
          </cell>
        </row>
      </sheetData>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N:\Logistics\Shipping%20Share\SHIPMENT%20LIST\SHIPMENT%20LIST-%20HANG%20GOI%20TRONG%20NUOC\2018\MR%20HA%20SHIPMENT%20-%20APRIL-%20HANG%20GOI%20TRONG%20NUOC-FINA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very Dennison User" refreshedDate="43208.806281944446" createdVersion="4" refreshedVersion="4" minRefreshableVersion="3" recordCount="1048">
  <cacheSource type="worksheet">
    <worksheetSource ref="A11:F1068" sheet="DSKH" r:id="rId2"/>
  </cacheSource>
  <cacheFields count="6">
    <cacheField name="NO" numFmtId="0">
      <sharedItems containsString="0" containsBlank="1" containsNumber="1" containsInteger="1" minValue="1" maxValue="917"/>
    </cacheField>
    <cacheField name="CUSTOMERS" numFmtId="0">
      <sharedItems containsBlank="1" count="1021" longText="1">
        <s v="                                                                                                                                                                                                                                                                                                                                                                                                                                                                                                                                                                                                                                                                                                                                                                                                                                                                                                                                                                                                                                                                                                                                                                                                                                                                                                                                                                                                                                                                                                                                                                                                                                                                                                                                                                                                                                                                                                                                                                                                                                                                                                                                                                                                                                                                                                                                                                                                                                                                                                                                                                                                                                                                                                                                                                                                                                                                                                                                                                                                                                                                                                                                                                                                                                                                                                                                                                                                                                                                                                                                                                                                                                                                                                                                                                                                                                                                                                                                                                                                                                                                                                                                                                                                                                                                                                                                                                                                                                                                                                                                                                                                                                                                                                                                                                                                                                                                                                                                                                                                                                                                                                                                                                                                                                                                                                                                                                                                                                                                                                                                                                                                                                                                                                                                                                                                                                                                                                                                                                                                                                                                                                                                                                                                                                                                                                                                                                                                                                                                                                                                                                                                                                                                                                                                                                                                                                                                                                                                                                                                                                                                                                                                                                                                                                                                                                                                                                                                                                                                                                                                                                                                                                                                                                                                                                                                                                                                                                                                                                                                                                                                                                                                                                                                                                                                                                                                                                                                                                                                                                                                                                                                                                                                                                                                                                                                                                                                                                                                                                                                                                                                                                                                                                                                                "/>
        <s v=" J LAND"/>
        <s v=" Kho Chien Thang"/>
        <s v=" KOSVI"/>
        <s v="PS VINA"/>
        <s v=" Robot TOSY"/>
        <s v=" THANH TRUNG"/>
        <s v=" TNG CN MAY PHU BINH 2"/>
        <s v="28 DA NANG"/>
        <s v="28 QUANG NGAI"/>
        <s v="ACE"/>
        <s v="ADORA"/>
        <s v="ADREM"/>
        <s v="ALL WELLS"/>
        <s v="ALLIANCE ONE"/>
        <s v="AMARA"/>
        <s v="AN GIANG SAMHO"/>
        <s v="AN HUNG"/>
        <s v="AN NHON"/>
        <s v="AN PHAT"/>
        <s v="SUMMIT"/>
        <s v="AN THANH"/>
        <s v="ANH CUONG"/>
        <s v="ANH DUC GARMENT"/>
        <s v="ANH DUONG MH"/>
        <s v="ANH TU"/>
        <s v="ANH VU"/>
        <s v="ANNORA"/>
        <s v="ANNORA CONVERSE"/>
        <s v="AOCC"/>
        <s v="PAROSY"/>
        <s v="Apache Footwear"/>
        <s v="APEX"/>
        <s v="APPAREL TECH"/>
        <s v="APPAREL TECH 1"/>
        <s v="APPAREL TECH COLUMBIA"/>
        <s v="APPAREL TECH VINH LOC"/>
        <s v="APPAREL TECH VN"/>
        <s v="ARKSUN"/>
        <s v="MY NGHE THANG LONG"/>
        <s v="AROMA BAY"/>
        <s v="ASEAN CANDLE"/>
        <s v="ASEAN LINK"/>
        <s v="SON HA HUE"/>
        <s v="ASG GLOBAL"/>
        <s v="ASIA GARMENT"/>
        <s v="AU VIET"/>
        <s v="AURORA"/>
        <s v="BAC GIANG"/>
        <s v="BAC GIANG BILL YOUNGONE"/>
        <s v="BAC GIANG GARMENT"/>
        <s v="BAC HA"/>
        <s v="BAC NINH"/>
        <s v="BACH NANG"/>
        <s v="BAN MAI INVISTA"/>
        <s v="BANDO VINA"/>
        <s v="CI BAO"/>
        <s v="BAO HUNG"/>
        <s v="BEEAHN"/>
        <s v="BEESCO VINA"/>
        <s v="BICH SON"/>
        <s v="BIM SON"/>
        <s v="BINH MINH"/>
        <s v="BINH THUAN NHA BE"/>
        <s v="BLUE GATE"/>
        <s v="BO HSING"/>
        <s v="Bodynits Company Limited"/>
        <s v="BONG HONG"/>
        <s v="BOOMIN"/>
        <s v="3/2 JOINT STOCK COMPANY"/>
        <s v="BUREAU VERITAS"/>
        <s v="C&amp;H"/>
        <s v="C&amp;M VINA"/>
        <s v="NYG"/>
        <s v="CAM HA"/>
        <s v="CAM HOANG"/>
        <s v="CAN SPORT"/>
        <s v="CANIFA"/>
        <s v="CAP 1"/>
        <s v="CF GLOBAL"/>
        <s v="MAY KYUNG VIET"/>
        <s v="PHU SINH"/>
        <s v="CHIEN THANG"/>
        <s v="SUNGJIN VINA"/>
        <s v="CHIEN THANG MANUFACTURE"/>
        <s v="CHIEN THANG YOUNG SHIN"/>
        <s v="CHOI SHINS VINA"/>
        <s v="COATS PHONG PHU"/>
        <s v="My Nghe Xanh"/>
        <s v="Công ty TNHH Đại Minh"/>
        <s v="CONG TY TNHH SAO VANG"/>
        <s v="CONTINUANCE"/>
        <s v="CP SAN XUAT THE THAO"/>
        <s v="NAM SON"/>
        <s v="CREATIVE LIGHTS"/>
        <s v="CREST APPAREL"/>
        <s v="CRYSTAL MARTIN"/>
        <s v="CRYSTAL MARTIN GREEN OFFICE"/>
        <s v="CTY CO PHAN 3/2"/>
        <s v="CTY TU VAN KINH DOANH HA NOI"/>
        <s v="CTY GIAY DA XK TAY DO"/>
        <s v="CTY MAY 3/2"/>
        <s v="CY VINA"/>
        <s v="DACOTEX"/>
        <s v="DAE SEUNG"/>
        <s v="DAE WOO PVH"/>
        <s v="DAEHAN GLOBAL"/>
        <s v="DAI DUONG"/>
        <s v="DAI MINH 1"/>
        <s v="DAI NGHIA"/>
        <s v="DAI THANH"/>
        <s v="TY THANH"/>
        <s v="DAI THANH FURNITURE"/>
        <s v="DAP CAU"/>
        <s v="DAP CAU YEN PHONG"/>
        <s v="DASAN"/>
        <s v="DAUM &amp; JUNGAN"/>
        <s v="DAYEON BIJOU"/>
        <s v="DELTA GALIL"/>
        <s v="C&amp;J FASHION"/>
        <s v="DELTA SPORT"/>
        <s v="DEMCO VINA"/>
        <s v="DET 8 3"/>
        <s v="DET 8 3 CHI NHANH TUYEN QUANG"/>
        <s v="DET 8 3 CHI NHANH MINH KHAI"/>
        <s v="DET MAY HUE"/>
        <s v="DET VINH PHUC"/>
        <s v="DHA BAC NINH"/>
        <s v="DIAMOND CLOTHING"/>
        <s v="DO BOI THONG NHAT"/>
        <s v="DOAN KET"/>
        <s v="DOMEX QUANG NAM"/>
        <s v="DONA STANDARD"/>
        <s v="DONG ANH"/>
        <s v="DONG DO"/>
        <s v="DONG HUNG XN MAY 10"/>
        <s v="DONG IN"/>
        <s v="DONG LUC"/>
        <s v="DONG MY"/>
        <s v="DONG PHUONG VUNG TAU"/>
        <s v="DONG TAI"/>
        <s v="DONG TAI PUNTO"/>
        <s v="DOS TEX"/>
        <s v="DOU POWER"/>
        <s v="DREAM MEKONG"/>
        <s v="DREAM PLASTIC"/>
        <s v="DU DUC RFID"/>
        <s v="DU DUC"/>
        <s v="YEGIN VINA"/>
        <s v="DU DUC SAMPLE"/>
        <s v="DUC GIANG"/>
        <s v="DUC GIANG C&amp;A"/>
        <s v="DUC GIANG INVISTA"/>
        <s v="DUC GIANG_x000a_(GARMENT 10)"/>
        <s v="DUC THANH 2"/>
        <s v="DYNAMIC"/>
        <s v="THANH PHAT"/>
        <s v="E TOP"/>
        <s v="ECO TANK"/>
        <s v="CONG NGHIEP NGU KIM FORTRESS VN"/>
        <s v="EFFORT GARMENT"/>
        <s v="ELEGANT"/>
        <s v="ELEGANT 1"/>
        <s v="emperor(DE VUONG)"/>
        <s v="ESQUEL HOA BINH"/>
        <s v="EVER GLORY"/>
        <s v="EVERBEST"/>
        <s v="EWI"/>
        <s v="EXCEL"/>
        <s v="EXCEL MANGO"/>
        <s v="EXCEL PRIMARK"/>
        <s v="EXCEL TAILOR"/>
        <s v="EXIM"/>
        <s v="FALCON HADONG"/>
        <s v="FALCON SONG HONG"/>
        <s v="FAR EASTER"/>
        <s v="FIRST TEAM"/>
        <s v="FLD"/>
        <s v="FLEXCON"/>
        <s v="FOMOSA TOOLS"/>
        <s v="FORE MART"/>
        <s v="FORMOSA"/>
        <s v="FORMOSTAR"/>
        <s v="FORTUNE"/>
        <s v="YEN MY"/>
        <s v="REGINA MIRACLE KHO C"/>
        <s v="FREEVIEW"/>
        <s v="FREEWELL"/>
        <s v="SMART SHIRTS HAI HAU"/>
        <s v="TINH LOI RALPH LAUREN"/>
        <s v="FTN"/>
        <s v="FU LUH"/>
        <s v="FULGENT"/>
        <s v="FULLWEALTH"/>
        <s v="GARMENT 10 BHS"/>
        <s v="GARMENT 10 C&amp;A"/>
        <s v="GARMENT 10 CASUAL"/>
        <s v="GARMENT 10 COLUMBIA"/>
        <s v="GARMENT 10 EXPRESS"/>
        <s v="GARMENT 10 GEORGE"/>
        <s v="GARMENT 10 JC PENNY"/>
        <s v="GARMENT 10 JOHN LEWIS"/>
        <s v="GARMENT 10 KOHL'S"/>
        <s v="GARMENT 10 MACKAY"/>
        <s v="GARMENT 10 MARKS"/>
        <s v="GARMENT 10 MOTHER CARE"/>
        <s v="GARMENT 10 NEW LOOK"/>
        <s v="GARMENT 10 NEXT"/>
        <s v="GARMENT 10 PRIMARK"/>
        <s v="GARMENT 10 PVH"/>
        <s v="GARMENT 10 PXVN"/>
        <s v="GARMENT 10 STEIN MART"/>
        <s v="GARMENT 10 TESCO"/>
        <s v="GARMENT 3"/>
        <s v="Garment Resource"/>
        <s v="GARMENT RESOURCES"/>
        <s v="GARNET"/>
        <s v="GARVIHA"/>
        <s v="GATEXCO 20"/>
        <s v="GEN NEX"/>
        <s v="GENNON"/>
        <s v="GENTHERM"/>
        <s v="GG"/>
        <s v="GIANG NAM"/>
        <s v="GIAO THUY"/>
        <s v="GIAY CHI LINH  THANG LONG"/>
        <s v="GIAY CHI LINH QUIKSILVER"/>
        <s v="GIAY DUNG QUAT"/>
        <s v="GIAY LIEN DINH"/>
        <s v="GIAY LIEN THUAN"/>
        <s v="GIAY LIEN THUAN 2"/>
        <s v="GIAY THUY KHUE NEXT"/>
        <s v="GIAY UY VIET"/>
        <s v="GIAY VENUS"/>
        <s v="GILIMEX"/>
        <s v="GLOBAL"/>
        <s v="GLOBAL GARMENT"/>
        <s v="GLOBAL MFG HAI DUONG"/>
        <s v="Global Sourcenet"/>
        <s v="GLORY DAYS"/>
        <s v="GLORYDAYS FASHION"/>
        <s v="GO DAI THANH"/>
        <s v="GOLDEN DRAGON"/>
        <s v="GOLDEN STAR"/>
        <s v="GOLDEN SUN"/>
        <s v="GOLDEN TOP"/>
        <s v="GOLDEN TOP ROCKORT, REBOK"/>
        <s v="GOLDEN TOP SPEERY"/>
        <s v="GOLDEN TOP WOLVERING"/>
        <s v="GRAND GAIN"/>
        <s v="GRAND OCEAN"/>
        <s v="GREAT GLOBAL"/>
        <s v="GREAT PROFIT"/>
        <s v="GREAT SUPER"/>
        <s v="GREEN LAND"/>
        <s v="GREEN LAND CLARK"/>
        <s v="GREEN TG"/>
        <s v="GUMIX"/>
        <s v="H&amp;C"/>
        <s v="HA BAC"/>
        <s v="HA BAC 1"/>
        <s v="HA BAC 2"/>
        <s v="HA BAC BILL SL GLOBAL"/>
        <s v="HA BAC GAP INC"/>
        <s v="HA BAC GYMBOREE"/>
        <s v="HA BAC LANE BRYANT"/>
        <s v="HA BAC OLD NAVY"/>
        <s v="HA HAE"/>
        <s v="HA HAE THAI BINH"/>
        <s v="MINH DUC"/>
        <s v="THIEU DO"/>
        <s v="MY NGHE SHINE"/>
        <s v="HA NAM 227"/>
        <s v="HA NAM HA NOI"/>
        <s v="HA NAM HANOSIMEX"/>
        <s v="HA NOI TEXTILE"/>
        <s v="HA NOI TEXTILE HA NAM"/>
        <s v="HA PHONG 4"/>
        <s v="HA PHONG 1"/>
        <s v="HA PHONG 3"/>
        <s v="HA PHONG 2"/>
        <s v="HA PHONG LANE BRYANT"/>
        <s v="HA QUANG GARMENT 10"/>
        <s v="HA TAY"/>
        <s v="HAFASCO XN MAY YEN MY"/>
        <s v="HAI ANH TEX"/>
        <s v="HAI DUONG"/>
        <s v="HAI DUONG NEXT"/>
        <s v="HAI DUONG SHOE"/>
        <s v="HAI DUONG TOPSHOP"/>
        <s v="HAI MY PHU THO"/>
        <s v="HAI PHONG"/>
        <s v="HAI PHONG STATIONERY"/>
        <s v="HAI VINA"/>
        <s v="HAI VINA INVISTA"/>
        <s v="HAI VINA KIM LIEN"/>
        <s v="HAI VINA NAM SACH"/>
        <s v="HAI YANG"/>
        <s v="HAMALIN"/>
        <s v="HANA KOVI"/>
        <s v="HANESBRANDS HUE"/>
        <s v="DO GO NGHIA TIN"/>
        <s v="HANESBRANDS HUNG YEN"/>
        <s v="HANESBRANDS KHO 90"/>
        <s v="HANESBRANDS KHO 91"/>
        <s v="HANESBRANDS KHO 95"/>
        <s v="HANNAM"/>
        <s v="HANNAM INC"/>
        <s v="HaNoi Business "/>
        <s v="HANOI SALES OFFICE"/>
        <s v="HANOSIMEX"/>
        <s v="HANSAE TG"/>
        <s v="HANSAE TN"/>
        <s v="HANUL"/>
        <s v="HAPPY TEX"/>
        <s v="HAS FASHION"/>
        <s v="HA THANH FASHION"/>
        <s v="HIGH VINA"/>
        <s v="HK VINA"/>
        <s v="HNJ VINA"/>
        <s v="HO GUOM"/>
        <s v="HO GUOM FACTORY 2"/>
        <s v="HO GUOM FACTORY 3"/>
        <s v="HO GUOM HA DONG"/>
        <s v="HO GUOM HAI PHONG"/>
        <s v="HO GUOM INVISTA"/>
        <s v="HO GUOM MANGO"/>
        <s v="HO GUOM WLLAND"/>
        <s v="HO GUOM_x000a_FACTORY 5"/>
        <s v="HOA SEN PHU THO"/>
        <s v="HOA THAN"/>
        <s v="HOA THO"/>
        <s v="HOA THO CASUAL"/>
        <s v="HOA THO DILLARDS"/>
        <s v="HOA THO Haggar"/>
        <s v="HOA THO INVISTA"/>
        <s v="HOA THO JC PENNEY"/>
        <s v="HOA THO KOHL"/>
        <s v="HOA THO LOUIS RAPHAEL"/>
        <s v="HOA THO WALMART"/>
        <s v="HOANG ANH"/>
        <s v="HOANG PHAT"/>
        <s v="HOANG THANG"/>
        <s v="ALERON"/>
        <s v="ALERON PUMA"/>
        <s v="HA NOI TEXTILE NGHE AN"/>
        <s v="HONG FU (ALERON) CLARK"/>
        <s v="HONG JAE"/>
        <s v="Hong Seng Thai Vina"/>
        <s v="HS VINA"/>
        <s v="HUDATEX"/>
        <s v="HUE TEXTILE"/>
        <s v="HUE TEXTILE PVH"/>
        <s v="HUE VINA"/>
        <s v="HUMITEX"/>
        <s v="HUNG HA"/>
        <s v="HUNG KIET"/>
        <s v="HUNG LONG"/>
        <s v="HUNG YEN"/>
        <s v="HUNG YEN 1"/>
        <s v="HUNG YEN 2"/>
        <s v="HUNG YEN COLUMBIA"/>
        <s v="HUONG LINH"/>
        <s v="HUU NGHI DA NANG"/>
        <s v="HYPHEN"/>
        <s v="INDO CHINE"/>
        <s v="ITG PHONG PHU"/>
        <s v="ITG PHONG PHU  PVH"/>
        <s v="IVORY"/>
        <s v="IVORY THANH HOA"/>
        <s v="PUNGKOOK LONG AN"/>
        <s v="IVORY VIETNAM"/>
        <s v="J&amp;D VINAKO"/>
        <s v="J&amp;Y"/>
        <s v="JASAN"/>
        <s v="JHCOS"/>
        <s v="J-LAND KOREA"/>
        <s v="JMC"/>
        <s v="JUNG KWANG"/>
        <s v="JUNZHEN"/>
        <s v="SPORT TEAM"/>
        <s v="JY HA NAM"/>
        <s v="K+K FASHION"/>
        <s v="KAI YANG"/>
        <s v="KAINAN"/>
        <s v="KANAAN"/>
        <s v="CP TU VAN KINH DOANH HA NOI"/>
        <s v="KANGAROO"/>
        <s v="KG VINA"/>
        <s v="KHAI HOAN"/>
        <s v="KHAI MINH"/>
        <s v="KHANH HOA"/>
        <s v="KHANH HOA GARMENT"/>
        <s v="KHANH VIET CORPORATION (KHATOCO)"/>
        <s v="KHATOCO"/>
        <s v="RYHYING VN"/>
        <s v="KHC FASHION"/>
        <s v="KIDO HANOI"/>
        <s v="KIM ANH"/>
        <s v="KIM DO"/>
        <s v="KIM DONG"/>
        <s v="KIM SON"/>
        <s v="KING DRAGON"/>
        <s v="KOMEGA SPORT"/>
        <s v="KOMEGA X"/>
        <s v="KOSVI"/>
        <s v="KOVI KYUNG SEUNG"/>
        <s v="KOVINA"/>
        <s v="KR VIET NAM"/>
        <s v="KRD IMPORTS"/>
        <s v="PEARL GLOBAL"/>
        <s v="THIEN SON HUNG YEN"/>
        <s v="TAKSON HUE"/>
        <s v="ROSVIET"/>
        <s v="KWANG JIN"/>
        <s v="SING LUN KINH BAC"/>
        <s v="MAY KINH BAC"/>
        <s v="KWONG LUNG MEKO"/>
        <s v="VAN PHONG MAKALOT"/>
        <s v="VINA KNF"/>
        <s v="VINATEX TEXTILE"/>
        <s v="KY TUONG"/>
        <s v="KYUNG VIET"/>
        <s v="LAC TY II"/>
        <s v="LAM HAM"/>
        <s v="LAM NGUYEN PHAT"/>
        <s v="LAN LAN"/>
        <s v="LANG HAM"/>
        <s v="LEADER"/>
        <s v="LEO JINS"/>
        <s v="GGS HA NOI"/>
        <s v="LI &amp; FUNG"/>
        <s v="LIEN HIEP"/>
        <s v="LINEA AQUA"/>
        <s v="LONG AN"/>
        <s v="LONG HANH THIEN HA"/>
        <s v="LONG MA"/>
        <s v="LONG YU"/>
        <s v="LONGFA"/>
        <s v="LONGYU"/>
        <s v="LOTUS TEXTILE"/>
        <s v="LUONG LE"/>
        <s v="MACALLAN"/>
        <s v="MAI HUONG"/>
        <s v="MAKALOT"/>
        <s v="MANSEON"/>
        <s v="MASCOT"/>
        <s v="MAX PLANNING"/>
        <s v="MAXPORT 6"/>
        <s v="MAXPORT 2"/>
        <s v="MAXPORT HA NOI"/>
        <s v="MAXPORT NIKE"/>
        <s v="MAXPORT NORTHFACE"/>
        <s v="MAXPORT PATAGONIA"/>
        <s v="MAXTURN"/>
        <s v="MAY 2 HAI DUONG"/>
        <s v="MAY 29 03"/>
        <s v="MAY DA LAT"/>
        <s v="MAY GIA LAI"/>
        <s v="STS VINA"/>
        <s v="MAY HAI"/>
        <s v="MAY HAI COLUMBIA"/>
        <s v="MAY HAI TIMBERLAND"/>
        <s v="MAY HAI VAT"/>
        <s v="May hanosimex 1"/>
        <s v="MAY LANG GIANG"/>
        <s v="MAY MAC DO BOI THONG NHAT"/>
        <s v="MAY MAC OCEAN SKY"/>
        <s v="MAY PHOENIX"/>
        <s v="MAY PHU THO"/>
        <s v="MAY QUOC TE WOO JIN"/>
        <s v="MAY TRE HA LINH"/>
        <s v="MAY VA IN 1 THANG 5"/>
        <s v="MEKO"/>
        <s v="MICHELLE"/>
        <s v="MICHIGAN HAI DUONG"/>
        <s v="MINH ANH"/>
        <s v="MINH ANH EX IM"/>
        <s v="MINH ANH KIM LIEN"/>
        <s v="HOA THO QUANG NGAI"/>
        <s v="MINH HOANG"/>
        <s v="MINH PHUONG"/>
        <s v="MINH TRI"/>
        <s v="MINH TRI PVH"/>
        <s v="MINH TRI THAI BINH DECATHLON"/>
        <s v="MINH TRI THAI BINH EXPRESS"/>
        <s v="MINH TRI THAI BINH PVH"/>
        <s v="MINH TRI VINH"/>
        <s v="MOLAND"/>
        <s v="MS VINA"/>
        <s v="MSA HAPRO  QUIKSILVER"/>
        <s v="MSA VN"/>
        <s v="MSA YB QUIKSILVER"/>
        <s v="MTV 76"/>
        <s v="MXP"/>
        <s v="MXP1"/>
        <s v="MXP8"/>
        <s v="MY HUNG"/>
        <s v="MY NGHE LAC VIET"/>
        <s v="MY TAI BINH DINH"/>
        <s v="MY THO GARMENT"/>
        <s v="BINH THUAN NHA BE XN MAY TUY PHONG"/>
        <s v="NAJIMEX"/>
        <s v="NAM AN"/>
        <s v="NAM ANH"/>
        <s v="NAM CHAU"/>
        <s v="NAM CO LONDON"/>
        <s v="NAM DINH"/>
        <s v="NAM DINH 2"/>
        <s v="NAM HA"/>
        <s v="NAM HA GARMENT"/>
        <s v="NAM HAI"/>
        <s v="HENRY COTTONS GOLF VINA INSAN"/>
        <s v="VN GOLDEN VICTORY"/>
        <s v="NAM LEE"/>
        <s v="NAM OF LONDON"/>
        <s v="MAXPORT NAM DINH"/>
        <s v="NAM THUAN"/>
        <s v="NAMLEE"/>
        <s v="NAMSUNG"/>
        <s v="NAMYANG DELTA"/>
        <s v="NEOBAGS"/>
        <s v="NEW DAY"/>
        <s v="NEW WORLD FASHION"/>
        <s v="NGHIA PHAT"/>
        <s v="NGOC HA"/>
        <s v="NGOC TE"/>
        <s v="NGOC VIET"/>
        <s v="NGUON LUC VIET NAM"/>
        <s v="THONG NHAT GARMENT"/>
        <s v="ANTONIA"/>
        <s v="VN DITECH"/>
        <s v="NGUYEN TOAN"/>
        <s v="PHONG PHU QUANG TRI"/>
        <s v="Nhà Máy may Dung Quất"/>
        <s v="NHAT HOA"/>
        <s v="NHAT HONG"/>
        <s v="NHUA COTEC"/>
        <s v="NIEN HSING AEO"/>
        <s v="NIEN HSING NINH BINH"/>
        <s v="NIENHSING AEO"/>
        <s v="NIENHSING LEVI'S"/>
        <s v="NIENHSING NINH BINH"/>
        <s v="DAC SAN XUAT KHAU QUANG NAM"/>
        <s v="NINH BINH"/>
        <s v="NINH BINH ENTER B"/>
        <s v="NJUNG TRADING"/>
        <s v="NORFOLK HA NAM"/>
        <s v="NORFOLK HA NOI 1"/>
        <s v="NORFOLK HANOI"/>
        <s v="THANG LONG INVESTMENT"/>
        <s v="NOW VINA"/>
        <s v="OKUDA"/>
        <s v="OPUS ONE"/>
        <s v="ORIENTAL"/>
        <s v="PADMAC"/>
        <s v="PAN PACIFIC VINH"/>
        <s v="PANGRIM"/>
        <s v="PANKO TAM THANG"/>
        <s v="PANLOF"/>
        <s v="PAN-PACIFIC"/>
        <s v="PARK CORP"/>
        <s v="PEARL GARMENT"/>
        <s v="PEARL VINA"/>
        <s v="PHAN THIET GARMENT"/>
        <s v="PHI"/>
        <s v="PHILIKO"/>
        <s v="PHILKO"/>
        <s v="phoenix"/>
        <s v="PHONG KINH DOANH CHI NHANH SONG CONG 3"/>
        <s v="PHONG PHU CN DA NANG"/>
        <s v="CONG TY TNHH 888"/>
        <s v="PHONG PHU NHA TRANG"/>
        <s v="PHONG PHU PHU YEN"/>
        <s v="PHU DIEN"/>
        <s v="PHU HUNG"/>
        <s v="PHU HUNG TRADING"/>
        <s v="PHU KHANG"/>
        <s v="WINGA VN"/>
        <s v="MAXCORE"/>
        <s v="VINA MTP"/>
        <s v="SEBANG CHAIN VINA"/>
        <s v="VINA CAPITAL"/>
        <s v="KIARA"/>
        <s v="DAC RANG"/>
        <s v="SWIMAX"/>
        <s v="SWIMAX THANH HOA"/>
        <s v="CREATIVE SOURCE"/>
        <s v="PHU LONG"/>
        <s v="PHU LONG 2"/>
        <s v="PHU LUONG"/>
        <s v="PHU MY"/>
        <s v="PHU NGUYEN"/>
        <s v="PHU TAI LINH"/>
        <s v="PHU TAI LINH 1"/>
        <s v="PHU TAI LINH GEORGE"/>
        <s v="PHU TAI LINH HAI PHONG"/>
        <s v="PHU TAI LINH PRIMARK"/>
        <s v="PHU THO"/>
        <s v="PHU THO 1 ( VP VINEX)"/>
        <s v="PHU THO 2"/>
        <s v="TINH LOI RALPH"/>
        <s v="PHU TUONG"/>
        <s v="PHUC DAT"/>
        <s v="PHUOC HIEP THANH"/>
        <s v="HOA PHONG"/>
        <s v="PRETTY VINA"/>
        <s v="DAT DANG"/>
        <s v="TIANYE OUTDOOR"/>
        <s v="HOAN VINH"/>
        <s v="MAPLE CHI NHANH PEONY"/>
        <s v="MASEON GLOBAL"/>
        <s v="HANEX HUE"/>
        <s v="PHUOC KY NAM"/>
        <s v="PI VINA DANANG"/>
        <s v="PINE TREE"/>
        <s v="PIT VINA"/>
        <s v="SUNRISE SPORT"/>
        <m/>
        <s v="PLUMMY"/>
        <s v="PLUMMY THAI BINH"/>
        <s v="DET MAY PHU HOA AN"/>
        <s v="PNG"/>
        <s v="POONG SHIN"/>
        <s v="POONGSHIN "/>
        <s v="POONGSHIN VINA"/>
        <s v="POU HUNG"/>
        <s v="POU LI"/>
        <s v="POU LI TIMBERLAND"/>
        <s v="VIET THUAN"/>
        <s v="VIET TRI GARMENT"/>
        <s v="BEST BASE"/>
        <s v="MAY CAM RANH"/>
        <s v="PREMIER PEARL"/>
        <s v="PREX VINH"/>
        <s v="PRO SPORTS"/>
        <s v="PROMADE LINGERIE"/>
        <s v="PROSPORTS HA NOI"/>
        <s v="PUNGKOOK BEN TRE"/>
        <s v="QTNP"/>
        <s v="QTNP CHI HA"/>
        <s v="Quang and Artex"/>
        <s v="QUANG MINH"/>
        <s v="QUANG VIET TIEN GIANG"/>
        <s v="QUANNON"/>
        <s v="QUANON"/>
        <s v="R.SENSE"/>
        <s v="RAPEXCO – DAINAM LLC"/>
        <s v="REGINA MIRACLE"/>
        <s v="REHONG"/>
        <s v="Representative Office of Unico Global Vn"/>
        <s v="REPRESENTATIVE UNICO"/>
        <s v="RICH"/>
        <s v="RICH GARMENT"/>
        <s v="RICH GARMENT1"/>
        <s v="RICH WAY"/>
        <s v="RIGHT RICH"/>
        <s v="RIO VINA"/>
        <s v="ROLLSPORT"/>
        <s v="ROLLSPORT  NORTHFACE"/>
        <s v="SAKURAI VN"/>
        <s v="SHILLA GLOVIS"/>
        <s v="SANG INH VINA"/>
        <s v="SAMETEX"/>
        <s v="SAMHO"/>
        <s v="SAMIL HANOI VN"/>
        <s v="Sampo Vina"/>
        <s v="SANG HUN"/>
        <s v="SANG SEUNG"/>
        <s v="JY VINA"/>
        <s v="SANTA CLARA"/>
        <s v="SAO MAI"/>
        <s v="SAO MAI "/>
        <s v="SAO VANG"/>
        <s v="SAO VANG CLARKS"/>
        <s v="SAO VANG THAI BINH 1"/>
        <s v="SCAVI DA NANG"/>
        <s v="SCAVI HUE"/>
        <s v="SCAVI LAO"/>
        <s v="SD QUANG BINH"/>
        <s v="SEDO"/>
        <s v="SEES VINA"/>
        <s v="SEETHING 2"/>
        <s v="SEETHING VN"/>
        <s v="SEIDEN STICKER"/>
        <s v="KEE EUN"/>
        <s v="SERIM"/>
        <s v="SESHIN"/>
        <s v="SESHIN VN2"/>
        <s v="SEVEN CORP"/>
        <s v="SEWON"/>
        <s v="SEYANG"/>
        <s v="SEYOUNG"/>
        <s v="SH"/>
        <s v="SH VINA"/>
        <s v="SHINHWA THIEN XUAN"/>
        <s v="SHINTS"/>
        <s v="SHINWON EBENAZER HANOI"/>
        <s v="SHINWON EBENEZER A&amp;F"/>
        <s v="SHINWON EBENEZER HA NOI"/>
        <s v="SHINWON EBENEZER VN"/>
        <s v="SHYANG YING"/>
        <s v="SHYANG YING "/>
        <s v="SIMONE"/>
        <s v="SINJOOBO"/>
        <s v="DET KIM SMART SHIRTS"/>
        <s v="SMART SHIRTS GARMENT"/>
        <s v="SON HA"/>
        <s v="SON HA PHU THO"/>
        <s v="SON HA THAI BINH"/>
        <s v="REGINA MIRACLE NHA MAY C"/>
        <s v="SONG CHAU"/>
        <s v="SONG HONG 3"/>
        <s v="SONG HONG 4"/>
        <s v="SONG HONG 7"/>
        <s v="SONG HONG 9"/>
        <s v="SONG HONG C A"/>
        <s v="SONG HONG C&amp;A"/>
        <s v="SONG HONG C&amp;A 1"/>
        <s v="SONG HONG COLUMBIA"/>
        <s v="SONG HONG COLUMBIA GEN"/>
        <s v="SONG HONG COLUMBIA VAT"/>
        <s v="SONG HONG GAP INC"/>
        <s v="song hong garment"/>
        <s v="SONG HONG H&amp;M"/>
        <s v="SONG HONG JC PENNY"/>
        <s v="SONG HONG KOHL"/>
        <s v="SONG HONG LONG AN"/>
        <s v="SONG HONG MANGO"/>
        <s v="SONG HONG MANGO 1"/>
        <s v="SONG HONG NEW YORK"/>
        <s v="SONG HONG PXVN"/>
        <s v="SONG HONG REEBOK"/>
        <s v="SONG TIEN"/>
        <s v="SONG TIEN NEXT"/>
        <s v="SOTO"/>
        <s v="SOUTH ISLAND ML"/>
        <s v="SPECTRE"/>
        <s v="SPLENDOUR"/>
        <s v="Sporteam"/>
        <s v="SSV"/>
        <s v="SSV COLUMBIA"/>
        <s v="STAR FASHION"/>
        <s v="STARITE"/>
        <s v="SUN CHANG"/>
        <s v="SUN JADE"/>
        <s v="SUNRISE SMART SHIRT"/>
        <s v="SUNRISE SPINNING"/>
        <s v="SMART SHIRTS"/>
        <s v="TADLACK"/>
        <s v="TAE YANG"/>
        <s v="TAL"/>
        <s v="TAM QUAN"/>
        <s v="TAM TIEN"/>
        <s v="TAMDA "/>
        <s v="TAN BINH MINH"/>
        <s v="TAN HA"/>
        <s v="TAN HOANG LONG"/>
        <s v="TAV"/>
        <s v="TAV EXPRESS"/>
        <s v="TAV PVH"/>
        <s v="TAY SON"/>
        <s v="TBS"/>
        <s v="TDT INVESTMENT"/>
        <s v="GO DAI THANH BINH DINH"/>
        <s v="TESORO WOOJIN"/>
        <s v="TEX GIANG"/>
        <s v="TEXMA"/>
        <s v="THAI ANH INVISTA"/>
        <s v="THAI BINH GARMENT"/>
        <s v="THAI BINH STATE"/>
        <s v="THANG BINH"/>
        <s v="THANG LONG"/>
        <s v="THANG LONG SHOES"/>
        <s v="THANH HUNG HAI PHONG"/>
        <s v="THANH TRI"/>
        <s v="THANH HUNG"/>
        <s v="THANH TRI  SALOMON"/>
        <s v="THANH TRI THAI BINH"/>
        <s v="THAO NGUYEN"/>
        <s v="THE BLUES"/>
        <s v="THEIN NAM"/>
        <s v="THIEN AN PHAT"/>
        <s v="THIEN AN PHAT (nhan KOHL'S)"/>
        <s v="THIEN NAM"/>
        <s v="thien quang"/>
        <s v="THINH DAT"/>
        <s v="THINH PHAT"/>
        <s v="THINH VUONG"/>
        <s v="THUAN THANH"/>
        <s v="THUONG DINH"/>
        <s v="THUY KHUE"/>
        <s v="THUYEN NGUYEN"/>
        <s v="THYGESEN TEXTILE"/>
        <s v="TIEN DAT"/>
        <s v="TIEN HUNG"/>
        <s v="TIEN HUNG GYMBOREE"/>
        <s v="TIEN LU"/>
        <s v="TIEN NHI"/>
        <s v="TIEN SON THANH HOA"/>
        <s v="TIEN THANG"/>
        <s v="TIEN THANH"/>
        <s v="TIEN TIEN"/>
        <s v="TIN TRUC"/>
        <s v="TIN TRUC MANGO"/>
        <s v="TINH LOI BLOCK 4"/>
        <s v="FWKK"/>
        <s v="TEXHONG THAI BINH"/>
        <s v="TINH LOI A&amp;F"/>
        <s v="TINH LOI ANN TAYLOR"/>
        <s v="DU DUC KHU A"/>
        <s v="GG VINA"/>
        <s v="FORVIET"/>
        <s v="TINH LOI GAP INC"/>
        <s v="TINH LOI 2 GAP INC "/>
        <s v="TINH LOI H&amp;M"/>
        <s v="TINH LOI JC PENNEY"/>
        <s v="TINH LOI KOHL"/>
        <s v="TINH LOI MANGO"/>
        <s v="TINH LOI NEXT"/>
        <s v="TINH LOI OLD NAVY"/>
        <s v="TINH LOI 2 OLD NAVY"/>
        <s v="TINH LOI TARGET"/>
        <s v="HOA DO 3"/>
        <s v="TINH LOI UNIQLO"/>
        <s v="TINH LOI UNIQLO NAM SACH"/>
        <s v="TISU"/>
        <s v="TNG  JC PENNEY"/>
        <s v="TNG 1 C&amp;A"/>
        <s v="TNG 1 COLUMBIA"/>
        <s v="TNG 1 DECATHLON"/>
        <s v="CIBAO"/>
        <s v="MICRAFTS"/>
        <s v="TNG 4"/>
        <s v="TNG BAC CAN"/>
        <s v="TNG BILL PAN PACIFIC"/>
        <s v="TNG C&amp;A"/>
        <s v="TNG CN VIET DUC"/>
        <s v="VINEX SPOL"/>
        <s v="TNG CN VIET THAI"/>
        <s v="TNG INVESTMENT"/>
        <s v="TNG MACKAYS"/>
        <s v="TNG PHU BINH 3 MANGO"/>
        <s v="TNG MUJI"/>
        <s v="TNG PHU BINH 1"/>
        <s v="TNG PHU BINH 3"/>
        <s v="TNG PHU BINH 4"/>
        <s v="TNG PRIMARK - GEORGE- TESCO"/>
        <s v="TNG PXVN"/>
        <s v="TNG SONG CONG 1"/>
        <s v="TNG SONG CONG 2"/>
        <s v="TNG SONG CONG 3"/>
        <s v="TNG SONG CONG 4"/>
        <s v="TNG VIET DUC"/>
        <s v="TOAN CAU SONG TOAN"/>
        <s v="TRANG SUC LIAAN"/>
        <s v="TRUNG PHAT"/>
        <s v="TRUONG AN"/>
        <s v="TRUONG SON"/>
        <s v="TRUONG SON FACTORY"/>
        <s v="TRUONG SON GARMENT"/>
        <s v="TRUONG THANG"/>
        <s v="TUAN DAT"/>
        <s v="TUAN DAT PVH"/>
        <s v="TUAN THANG"/>
        <s v="TUNGTEX FASHION ANN TAYLOR"/>
        <s v="TUNGTEX SOC TRANG"/>
        <s v="TY XUAN"/>
        <s v="UNICO BAC GIANG"/>
        <s v="UNICO LL BEAN"/>
        <s v="UNICO YEN BAI"/>
        <s v="UNISOLL"/>
        <s v="UNITED SWIMWEAR LAND'S END"/>
        <s v="UNO"/>
        <s v="V.J.ONE"/>
        <s v="V.J.ONE WALMART"/>
        <s v="Valley View"/>
        <s v="VAN HA MASS HITEK"/>
        <s v="VAN LACCK"/>
        <s v="VAN PHU"/>
        <s v="VAN TAI SO 5"/>
        <s v="VAST APPAREL"/>
        <s v="Venture International JSC"/>
        <s v="EVERGREEN SHOES"/>
        <s v="VINEX SPLO"/>
        <s v="FASHION GARMENT"/>
        <s v="VENTURE INVISTA"/>
        <s v="VERT FASHION"/>
        <s v="VESTON VINH BAO"/>
        <s v="NAM TIEP"/>
        <s v="VI GARMENT"/>
        <s v="VI HOANG"/>
        <s v="VIEBA"/>
        <s v="VIEGARMENT CO"/>
        <s v="VIET AN"/>
        <s v="VIET AN HN"/>
        <s v="VIET AN VAT"/>
        <s v="viet anh"/>
        <s v="VIET GARMENT"/>
        <s v="VIET HUNG"/>
        <s v="VIET LONG"/>
        <s v="VIET NAM CHUNG JYE"/>
        <s v="VIET NAM CHUNG JYE NINH BINH"/>
        <s v="NAM DINH ENTER B"/>
        <s v="viet nam garment"/>
        <s v="VIET PACIFIC APPAREL"/>
        <s v="VIET PACIFIC CLOTHING"/>
        <s v="VIET PACIFIC INVISTA"/>
        <s v="VIET PAN PACIFIC WORLD"/>
        <s v="MERKAVA"/>
        <s v="QUANG VINH"/>
        <s v="VIET PAN PACIFIC"/>
        <s v="VIET PAN PACIFIC NAM DINH"/>
        <s v="VIET PAN PACIFIC THANH HOA"/>
        <s v="VIET PHAT"/>
        <s v="VIET PHAT GARMENT"/>
        <s v="VIET TEX"/>
        <s v="VIET THAI"/>
        <s v="VIET THANH"/>
        <s v="VIET THIEN"/>
        <s v="VIET VUONG 2"/>
        <s v="VIETNAM SHOES"/>
        <s v="VINA CKGF"/>
        <s v="VINA EHWA"/>
        <s v="VINA GIO"/>
        <s v="VINA KOREA"/>
        <s v="VINA KUMYANG"/>
        <s v="VINA KYUNG SEUNG"/>
        <s v="VINA KYUNG SEUNG ANN TAYLOR"/>
        <s v="VINAEHWA HN"/>
        <s v="VINAEHWA"/>
        <s v="MAY IN 1 THANG 5"/>
        <s v="VINATEX BONG SON"/>
        <s v="VINATEX DA NANG"/>
        <s v="vinatex da nang 1"/>
        <s v="VINATEX DA NANG 3"/>
        <s v="VINATEX HANO"/>
        <s v="VINATEX HUONG TRA"/>
        <s v="VINATEX KIEN GIANG"/>
        <s v="VINATEX QUOC TE"/>
        <s v="DET 8-3 CHI NHANH MINH KHAI"/>
        <s v="VINATEX INTERNATIONAL"/>
        <s v="VINATEX TU NGHIA"/>
        <s v="VINATEX TUYEN QUANG"/>
        <s v="VINATEXIMEX"/>
        <s v="VINEX TRADE"/>
        <s v="VINH LONG"/>
        <s v="VINH NHON"/>
        <s v="VINH PHU SHOE"/>
        <s v="DET VINH PHUC HA NOI"/>
        <s v="VINH PHUC INVISTA"/>
        <s v="VINH THINH"/>
        <s v="VINH YEN SHOES"/>
        <s v="vit garment"/>
        <s v="NV APPAREL"/>
        <s v="VIVA GARMENT"/>
        <s v="VIVA VINA"/>
        <s v="VMC"/>
        <s v="VMC HOANG GIA"/>
        <s v="VN HARIM"/>
        <s v="VN KNITWEAR"/>
        <s v="VN MOC BAI"/>
        <s v="VN SHOE"/>
        <s v="VN SHOE 1"/>
        <s v="VP ANH CANH"/>
        <s v="VP AVERY HA NOI"/>
        <s v="VP BAC HA HN"/>
        <s v="VP ELEGANCE"/>
        <s v="VP JENSMART"/>
        <s v="VP POONG IN HN"/>
        <s v="VP XNK THUY KHUE"/>
        <s v="VP YOUNG SHIN"/>
        <s v="VIET PACIFIC"/>
        <s v="VPDD Land’N Sea"/>
        <s v="VPDD TINH LOI"/>
        <s v="SON HA DUY XUYEN"/>
        <s v="VPI"/>
        <s v="VPP WANLI"/>
        <s v="HA THANH"/>
        <s v="VUNG TAU ORIENT NIKE"/>
        <s v="WAN BANG"/>
        <s v="FIVE STARS"/>
        <s v="WESTFIELD"/>
        <s v="WESTFIELD MANGO"/>
        <s v="WIN VINA"/>
        <s v="WINNERS VINA"/>
        <s v="WOO JIN II"/>
        <s v="WOO JIN PVH"/>
        <s v="NY HOA VIET"/>
        <s v="WOOIN VINA"/>
        <s v="X28 DA NANG"/>
        <s v="XÍ NGHIỆP MAY XUẤT KHẨU KHẢI HOÀN ANH SƠN"/>
        <s v="XK DHA"/>
        <s v="XN MAY AN GIANG"/>
        <s v="XN MAY BAO LOC"/>
        <s v="Y&amp;J"/>
        <s v="YA2"/>
        <s v="YAKJIN SAIGON"/>
        <s v="YAKJIN VIETNAM"/>
        <s v="YAMANI"/>
        <s v="YAZ"/>
        <s v="VINH PHUC QUANG NAM"/>
        <s v="YEN OF LONDON"/>
        <s v="YEN VIEN"/>
        <s v="YES VINA"/>
        <s v="YMUV"/>
        <s v="YONEDA"/>
        <s v="YOUME"/>
        <s v="YOUNGONE"/>
        <s v="YOUNGONE BAC GIANG"/>
        <s v="YOUNGONE HUNG YEN"/>
        <s v="YOUNGONE NIKE"/>
        <s v="YOUNGONE NORTHFACE"/>
        <s v="YOUNGONE PATAGONIA ( Giao hang tai kho xuong 2)"/>
        <s v="YOUNGSHIN HANOI OFFICE"/>
        <s v="YOUNGS LONG MA"/>
        <s v="YS VINA"/>
        <s v="YSS"/>
        <s v="YUN GARMENT"/>
        <s v="SCAVI HUE SAMPLE"/>
        <s v="YURI ABC DA NANG"/>
      </sharedItems>
    </cacheField>
    <cacheField name="ADDRESS" numFmtId="0">
      <sharedItems containsBlank="1" count="892">
        <s v="PLOT CN5, KCN THACH THAT - QUOC OAI, THACH THAT, HA NOI"/>
        <s v="RM 701, 7TH FLOOR, NOZA BLDL, CAU GIAY, HA NOI"/>
        <s v="Cong ty Co phan may Ho Guom_x000a_Km 22,thi tran Ban- Hung Yen"/>
        <s v=" Ấp Long Phú ,Xã Phước Thái, Huyện Long Thành, Đồng Nai  "/>
        <s v="KCN Gia Lễ, huyện Đông Hưng, Tỉnh Thái Bình "/>
        <s v="TANG 4,  81 LE VAN LUONG, NHAN CHINH, QUAN THANH XUAN, HA NOI_x000a_"/>
        <s v="DUONG THIEN HAMLET ，TRUC NOI COMMUNE TRUC NINH DISTRICT NAM DINH PROVINCE "/>
        <s v="KHA SON, PHU BINH, THAI NGUYEN"/>
        <s v="67 DUY TAN, DA NANG"/>
        <s v="121 LE TRUNG DINH, PHUONG TRAN HUNG DAO, QUANG NGAI"/>
        <s v="KCN THUY VAN, VIET TRI, PHU THO"/>
        <s v="Thuy Van Industrial Zone, Viet Tri, Phu Tho"/>
        <s v="KCN TAM DIEP, TX TAM DIEP, NINH BINH"/>
        <s v="HUONG CANH, BINH XUYEN, VINH PHUC"/>
        <s v="DUONG 81, TOC TIEN, TAN THANH, VUNG TAU"/>
        <s v="B1, B2, B5-12, GIAO LONG IP, AN PHUOC, CHAU THANH, BEN TRE"/>
        <s v="Thi tran Co Le, Huyen Truc Ninh, Tinh Nam Dinh"/>
        <s v="LO C3, KCN BINH HOA, XA BINH HOA, HUYEN CHAU THANH, AN GIANG"/>
        <s v="231 NGUYỄN TẤT THÀNH-8TH- TUY HOA-PHU YÊN"/>
        <s v="NHON HOA, AN NHON, BINH DINH PROVINCE"/>
        <s v="KCN TAM QUAN, HOAI NHON, BINH DINH"/>
        <s v="LO D3, D4, D5 KCN PHUC KHANH, THAI BINH"/>
        <s v="Lo III-5&amp;III-6, KCN My Xuan B1– Tien Hung, xa My Xuan, Huyen Tan Thanh, tinh Ba Ria Vung Tau"/>
        <s v="XUAN TRUONG, XUAN TRUONG, NAM DINH"/>
        <s v="TIEN LY VILANGE, DON XA COMUNE, BINH LUC DISTRICT, PHU LY PROVINCE"/>
        <s v="SO 6, LOT 4C, DUONG TRUNG YEN 10B, CAU GIAY, HA NOI"/>
        <s v="THON NAM, DONG PHUONG, DONG HUNG, THAI BINH"/>
        <s v="THI TRAN BAN, YEN NHAN, MY HAO, HUNG YEN"/>
        <s v="XUAN LAM, NGHI SON, TINH GIA, THANH HOA"/>
        <s v="CUM CN DUYEN THAI, QUOC LO 1A, THUONG TIN, HA NOI"/>
        <s v="Lot 79,  Long Jiang Industrial Park, Tan Lap 1 Village, Tan Phuoc District, Tien Giang Province"/>
        <s v="DUONG SO 3, KCN TAM PHUOC, LONG THANH, DONG NAI"/>
        <s v="29T2 Building, 7th floor, Room No #707 Hoang Dao Thuy street, Cau Giay Dist, Hanoi"/>
        <s v="VAN DINH, UNG HOA, HA TAY"/>
        <s v="707 -29 T2 HOANG DAO THUY, CAU GIAY, HA NOI"/>
        <s v="VINH LONG, VINH LOC, THANH HOA"/>
        <s v="TANG 3A TOA NHA PCCC1 MY DINH PLAZA 138 TRAN BINH TU LIEM, HA NOI"/>
        <s v="164 TON DUC THANG ST-DONG DA DIST- HANOI"/>
        <s v="164 TON DUC THANG, PHUONG HANG BOT, QUAN DONG DA, HA NOI"/>
        <s v="Hung Dao Ward - Duong Kinh District_x000a_Hai Phong city"/>
        <s v="148 NGUYEN SON, LONG BIEN, HA NOI"/>
        <s v="KCN PHU DA, TT PHU DA, HUYEN PHU VANG, HUE"/>
        <s v="LOT 4, DUONG SO 6, KCN LONG HAU HOA BINH, NHI THANH, THU THUA, LONG AN "/>
        <s v="LIEU HA, TAN LAP, YEN MY, HUNG YEN"/>
        <s v=" Ap Thanh Hoa 1, xa tan Thanh Binh, huyen  Mo Cay Bac, tinh Ben Tre"/>
        <s v="XA THIEN HUONG, THUY NGUYEN, HAI PHONG"/>
        <s v="349 GIAP HAI, PHO KE, TP BAC GIANG, BAC GIANG"/>
        <s v="349 GIAP HAI, TP BAC GIANG, TINH BAC GIANG"/>
        <s v="349 GIAP HAI, PHO KE, TP BAC GIANG, TINH BAC GIANG"/>
        <s v="Thanh Hà - Thanh Liêm - Hà Nam"/>
        <s v="02-NGUYEN VAN CU ST-BAC NINH"/>
        <s v="Cum Cong Nghiep Kim Sen, Kim Son, Dong Trieu, Quang Ninh"/>
        <s v="19 LE VAN HUU, QUAN HAI BA TRUNG, HA NOI"/>
        <s v="AP THANH PHUOC, XA THANH DIEN, HUYEN CHAU THANH, TINH TAY NINH"/>
        <s v="HUYEN CHAU THANH, TINH TAY NINH"/>
        <s v="KCN SUOI TRE. LONG KHANH, DONG NAI"/>
        <s v="THON TIEN THANG, XA BAO KHE, HUNG YEN"/>
        <s v="THI TRAN TRAN CAO, PHU CU, HUNG YEN"/>
        <s v="Khu Cong Nghiep Chon Thanh II, Xa Thanh Tam, Huyen Chon Thanh, Binh Phuoc"/>
        <s v="Thon Kieu- Xa Bich Son- Viet Yen- Bac Giang"/>
        <s v="75 NGUYEN HUE, TX BIM SON, THANH HOA"/>
        <s v="group10- Dong Hung town-Thai Binh"/>
        <s v="204 DUONG THONG NHAT, TAN THIEN, LAGI, BINH THUAN"/>
        <s v="24A, NGUYEN TRUNG TRUC ST, BEN LUC, LONG AN"/>
        <s v="LOT 2A, QL 1A, KCN HOA PHU, HOA PHU, LONG HO, VINH LONG"/>
        <s v="Binh Tien 2 Hamlet, Duc Hoa Ha Ward,Duc Hoa Dist., Long An Province, Vietnam"/>
        <s v="01 La Van Tien, KV3 P. Ghenh Rang TP Quy Nhon, Binh Dinh"/>
        <s v="XÃ MỸ XUÂN, HUYỆN TÂN THÀNH, VŨNG TÀU"/>
        <s v="So 35 Chua Thong- Son Loc-Son Tay -Ha Noi"/>
        <s v="LOT C7-C9,QUAN 2,KCN CAT LAI,HCM"/>
        <s v="NO. 72 PHAN TRONG TUE ROAD, VAN DIEN TOWN, THANH TRI DISTRICT,HANOI CITY"/>
        <s v="THANH CHUNG, PHON XUONG, YEN THE, BAC GIANG"/>
        <s v="LO C, KCN LONG KHANH, BINH LOC, LONG KHANH,_x000a_DONG NAI"/>
        <s v="448 HUNG VUONG, KHOI 3, PHUONG THANH HA, THANH PHOI HOI AN, QUANG NAM"/>
        <s v="NGOC LAC, THANH HOA"/>
        <s v="THUAN HOA, TRUONG MIT, DUONG MINH CHAU, TAY NINH"/>
        <s v="PHONG 404 TANG 4 TOA NHA GP INVEST 170 LA THANH HA NOI"/>
        <s v="X.Giai Phạm-H.Yên Mỹ-Hưng Yên"/>
        <s v="ROAD 430., VAN PHUC WARD,HA DONG DISTRICT, HA NOI CITY"/>
        <s v="KCN PHO NOI A, LAC HONG, VAN LAM. HUNG YEN"/>
        <s v="MAO DONG, HO TUNG MAU, AN THI, HUNG YEN"/>
        <s v="22 THANH CONG, BA DINH, HA NOI"/>
        <s v="Lô A2 KCN Hòa Phú, ấp Thạnh Hưng, xã Hòa Phú, _x000a_huyện Long Hồ, tỉnh Vĩnh Long"/>
        <s v="KHOAI CHAU, KHOA CHAU, HUNG YEN"/>
        <s v="SO 22-THANH CONG ST-Q BA DINH-HA NOI"/>
        <s v="236C NGUYEN TRUNG TRUC, MY PHONG, MY THO"/>
        <s v="KCN DET MAY PHO NOI B, YEN MY, HUNG YEN"/>
        <s v="So 9, ngach 10, ngo 106, duong Hoang Quoc Viet, phuong Nghia Do, quan Cau Giay, Ha Noi"/>
        <s v="Đường số 2, KCN Hòa Cẩm, Cẩm Lệ, _x000a_Đà Nẵng"/>
        <s v="Phu Thanh Tay area,Yen Thanh district，Uong Bi city，Quang Ninh provice"/>
        <s v="KM43-QL5-LAI CACH-CAM GIANG-HAI DUONG"/>
        <s v="PHONG 505 TANG 5, 83B, PHO LY THUONG KIET, TRAN HUNG DAO, HOAN KIEM, HA NOI"/>
        <s v="KIM AU, DANG XA, GIA LAM, HA NOI"/>
        <s v="KM14, QL 5, THON THANG LOI, XA AN HUNG, AN DUONG, HAI PHONG"/>
        <s v="Tang 3, Toa nha 25 T1 Lo dat NO5 Du an KDT Dong Nam Tran Duy Hung, Phuong Trung Hoa, Quan Cau Giay, Thanh Pho Ha Noi"/>
        <s v="LOT R (R1) KCN QUANG CHAU, VIET YEN, BAC GIANG"/>
        <s v="6 Floor, Green Office, Viet A Building, No.9 Duy Tan Street, Dich Vong Hau ward, Cau Giay District, Hanoi"/>
        <s v="35 CHUA THONG, SON LOC, SON TAY, HA NOI"/>
        <s v="Tang 3, toa nha 301 Vu Xuan Thieu- Quan Long Bien- Ha Noi"/>
        <s v="KCN TRA NOC, Q BINH THUY, TP CAN THO"/>
        <s v="No 35 Chua Thong street, Son tay Town, _x000a_Ha noi city, Viet Nam"/>
        <s v="Lot N, Road 01, Long Duc IP, Tra Vinh city, Tra Vinh Province"/>
        <s v="71 PHAN DINH PHUNG-HUE"/>
        <s v="DONG LANG INDUSTRIAL ZONE,PHU NINH DIST.,PHU THO PROVINCE"/>
        <s v="LOT 1-KHAI QUANG IZ-VINH YEN TOWN-VINH PHUC"/>
        <s v="NHAM SON, XA YEN LU, HUYEN YEN DUNG, BAC GIANG"/>
        <s v="SO 2, DUONG AN TRI, HUNG VUONG, HONG BANG, HAI PHONG"/>
        <s v="DUONG SO 2, KCN HOA CAM, CAM LE, DA NANG"/>
        <s v="THO SON DAI NGHIA MY DUC HA NOI"/>
        <s v="THON 2, PHUONG TRUNG TRACH, BO TRACH, QUANG BINH"/>
        <s v="KHU PHO 4, TT BA TRI, HUYEN BA TRI, BEN TRE"/>
        <s v="Số 8 Dốc ÔNg Phật, Phường Bùi Thị Xuân, TP Qui Nhơn, Binh Dinh"/>
        <s v="KHU 6, THI CAU, BAC NINH"/>
        <s v="DONG TIEN, YEN PHONG, BAC NINH"/>
        <s v="KCN CHAU SON  -TX.PHU LY-HA NAM"/>
        <s v="KM5, HAMLET 4, MY HUNG COMMUNE, MY LOC  DIST, NAM DINH"/>
        <s v="KCN Dong Van - Duy Tien - Ha Nam"/>
        <s v="Xa Cat Trinh, Huyen Phu Cat, Tinh Binh Dinh"/>
        <s v="LE THUONG, CHAU CAN, PHU XUYEN, HA NOI"/>
        <s v="VINH SON, THI  TRAN BUT SON, HOANG HOA, THANH HOA"/>
        <s v="HB3, HB4, DUONG SO 5, KCN XUYEN A, MY HANH BAC, DUC HOA, LONG AN"/>
        <s v="KCN TAN LIEN, VINH BAO, HAI PHONG"/>
        <s v="THON KHUAN RANG, PHUC UNG, SON DUONG"/>
        <s v="So 460 , duong Minh Khai , Phuong Vinh Tuy, Quan Hai Ba Trung, Thanh Pho Ha Noi, Viet Nam"/>
        <s v="122 Duong Thieu Tuoc, P.Thuy Duong, TX Huong Thuy, Hue"/>
        <s v="115 DUONG VAN CAO, NAM DINH"/>
        <s v="ADD. TAODOI INDUSTRY AREA, THUA TOWN, LUONG TAI DISTRICT, BACNINH PROVINCE"/>
        <s v="thon La Tinh- thi tran Tu Ky- Tinh Hai Duong"/>
        <s v="LO C1, KCN SUOI DAU, HUYEN CAM LAM, KHANH HOA"/>
        <s v="Km 25, Quoc Lo 6A, KCN Phu Nghia, Xa Phu Nghia, Huyen Chuong My, Tp. Ha Noi"/>
        <s v="Lot B/B1, Ha Lam Industrial Group, Duoc Market,Binh Phuc Commune, Thang Binh Dist, Quang Nam Province, Viet Nam"/>
        <s v="KCN XUAN LOC, XUAN LOC, DONG NAI"/>
        <s v="Area 37, Donganh town, Hanoi"/>
        <s v="AN KHANH-HOAI DUC-HA NOI"/>
        <s v="KHU 2, TT DONG HUNG, DONG HUNG, THAI BINH"/>
        <s v="LONG TAN, DAT DO,BA RIA VUNG TAU"/>
        <s v="130HA DINH-THANH XUAN -HA NOI"/>
        <s v="THON 2, XA DONG MY, THANH TRI, HA NOI"/>
        <s v="DUONG 11, KCN DONG XUYEN, P RACH DUA, VUNG TAU"/>
        <s v="PHU THAI-KIM THANH-HAI DUONG"/>
        <s v="Phố Nối B IZ, My Hao, Yen My, Hung Yen"/>
        <s v="LO 15-16 KCX LINH TRUNG III, TRANG BANG, TAY NINH"/>
        <s v="AP AN THAI, XA AN CU, HUYEN CAI BE, TIEN GIANG"/>
        <s v="PLOT C, KCN CHAU SON, PHU LY, HA NAM"/>
        <s v="LO BIV, CI-10, KCN TAN HUONG, CHAU THANH, TIEN GIANG"/>
        <s v="LO 36A-371, KCN LONG GIANG, TAN PHUOC, TIEN GIANG"/>
        <s v="59 DUC GIANG STREET-LONG BIEN DISTRICT, HA NOI"/>
        <s v="59 DUC GIANG, LONG BIEN, HA NOI"/>
        <s v="18 DUONG TRAN HUNG DAO, LONG XUYEN, AN GIANG"/>
        <s v="31A, DUONG NGUYEN THI BAY, P6, TP TAN AN, LONG AN"/>
        <s v="THUONG CAM, VU LAC, THAI BINH"/>
        <s v="LÔ IX-1, IX-2, IX-3, IX-4 KCN MỸ XUÂN B1- TIẾN HÙNG, _x000a_XÃ MỸ XUÂN, HUYỆN TÂN THÀNH, BRVT"/>
        <s v="QUI TRINH, QUI NHI, CAI LAY, TIEN GIANG"/>
        <s v="DUONG TRAN THU DO, KCN PHUC KHANH, THAI BINH"/>
        <s v="B1-6-TAY BAC CU CHI IZ-CU CHI DIST- TP.HCM"/>
        <s v="QUE VO IZ, QUE VO DIST, BAC NINH PROVINCE"/>
        <s v="TOA NHA I2-03, I2-04, LOT I2 KCN QUE VO MO RONG, XA PHUONG MAO, QUE VO, BAC NINH"/>
        <s v="58A QUOC LO 1A XA MY YEN-HUYEN BEN LUC-LONG AN-MS HANG KHO VAT TU PHAT TEM)"/>
        <s v="KCN LUONG SON, HOA SON, LUONG SON, HOA BINH"/>
        <s v="LO 13, KCN NAM SACH, NAM SACH, HAI DUONG"/>
        <s v="CAM SON WARD-CAM PHA TOWN-QUANG NINH"/>
        <s v="TANG 7, TOA NHA TTC, 19 DUY TAN , KHU DICH VONG HAU,QUAN CAU GIAY, HA NOI"/>
        <s v="KHU PHO 5, TT YEN NINH, YEN KHANH, NINH BINH"/>
        <s v="5 WARD, YEN NINH, YEN KHANH, NINH BINH, VIET NAM"/>
        <s v="9TH FLOOR, HAI PHONG TOWR, 32 TRAN PHU, NGO QUYEN, HAI PHONG"/>
        <s v="TT TRÚC SƠN-TRƯƠNG MỸ-HA NOI"/>
        <s v="Thi tran Chuc Son, Chuong My_x000a_Ha Noi"/>
        <s v="Duong D1, KCN Bac Dong Phu, Thi tran Tan Phu, huyen Dong Phu, tinh Binh Phuoc"/>
        <s v="Lot A1, Road 787, Thanh Thanh Cong IP, An Hoa Commune,Trang Bang District, Tay Ninh Province"/>
        <s v="C10 - C11 KHU CONG NGHIEP SUOI DAU- CAM LAM -KHANH HOA"/>
        <s v=" DINH TRI COMMUNE, BAC GIANG CITY, BAC GIANG PROVINCE, VIET NAM"/>
        <s v="KCN PHUC KHANH, THAI BINH"/>
        <s v="DUONG BUI THI CUC, AN THI, HUNG YEN"/>
        <m/>
        <s v="My Xuan A2 Industrial Zone, Tan Thanh District, Ba Ria-Vung Tau"/>
        <s v="KM57, QUOC LO 5, XA AI QUOC, NAM SACH, HAI DUONG"/>
        <s v="XA DUC HOA THUONG, DUC HOA, LONG AN"/>
        <s v="GIAI PHAM, YEN MY, HUNG YEN"/>
        <s v="SO 109, DUONG SO 6, VSIP HAI PHONG"/>
        <s v="LOT AIV-1-9 AND AII-1-8 , TAN HUONG INDUSTRIAL PARK , TAN HUONG  COMMUNE, CHAU THANH DIST, TIEN GIANG PROVINCE "/>
        <s v="LOT G1-G10, N3-N4, KCN BAC DONG PHU, TAN PHU, DONG PHU, BINH PHUOC"/>
        <s v="HAMLET 4-5, HAI HA VILLAGE, HAI HAU, NAM DINH"/>
        <s v="KCN LAI VU, HAI DUONG"/>
        <s v="LOT G1-G10, D5-10, N3-N4,D2,D3 KCN BAC DONG PHU, TAN PHU, DONG PHU, BINH PHUOC"/>
        <s v="MY PHUOC IP-BEN CAT-BINIH DUONG"/>
        <s v="XA AN KIM, HUYEN CAN GIUOC, LONG AN"/>
        <s v="NGHIA HIEP-YEN MY-HUNG YEN"/>
        <s v="NO 37 ROAD, NAM SACH TOWN , NAM SACH DISTRICT, HAI DUONG PROVINCE, VIET NAM"/>
        <s v="DUONG NGUYEN VAN LINH-PHO SAI DONG-Q.LONG BIEN-HA NOI"/>
        <s v="DUONG NGUYEN VAN LINH,SAI DONG, LONG BIEN, HA NOI"/>
        <s v="NGUYEN VAN LINH, SAI DONG, LONG BIEN, HA NOI"/>
        <s v="DUONG NGUYEN VAN LINH,SAI DONG, LONG BIEN, "/>
        <s v="SO 1, NGUYEN VAN TROI, NAM DINH"/>
        <s v="Lo 7, Khu Cong Nghiep Dien Nam- Dien Ngoc, Tinh Quang Nam"/>
        <s v="LO 7 KCN DIEN NAM-DIEN NGOC, TX DIEN BAN, QUANG NAM"/>
        <s v="C6-5, C6-6, KCN HOA XA, NAM DINH"/>
        <s v="X.ĐẠI ĐỒNG-H.KIẾN THỦY-HẢI PHÒNG"/>
        <s v="35 PHAN DINH GIOT- PHUONG LIET-THANH XUAN-HA NOI"/>
        <s v="Lo A1, A2, A3,va  A4 –Khu cong nghiep Giao Long, xa An Phuoc huyen Chau Thanh,tinh Ben Tre"/>
        <s v="DUONG NGO QUYEN 2, CAM THUONG, HAI DUONG"/>
        <s v="KCN DONG VAN II, DUY TIEN, HA NAM"/>
        <s v="KM 30, DUONG SO 5, XA BACH SAM, MY HAO, HUNG YEN"/>
        <s v="DUONG 208, VAN TRA, AN DONG, AN DUONG, HAI PHONG"/>
        <s v="SO 4A, THI TRAN NGO DONG, GIAO THUY, NAM DINH"/>
        <s v="NGA 4 BINH HAN, HAI DUONG"/>
        <s v="THON DAI BO, HOANG TAN, CHI LINH, HAI DUONG"/>
        <s v="LO L1, PHAN KCN SAI GON DUNG QUAT, XA BINH THANH, BINH SON, QUANG NGAI"/>
        <s v="168 ,KM 9 ĐƯỜNG PHẠM VĂN ĐỒNG -  HẢI THÀNH – DƯƠNG KINH - HẢI PHÒNG "/>
        <s v="KM 9, PHAM VAN DONG, HAI THANH, DUONG KINH, HAI PHONG"/>
        <s v="NHA MAY GIAY DINH VANG -DIA CHI: NAM AM - TAM CUONG -VINH BAO-HAI PHONG "/>
        <s v="KHU CN PHÚ MINH- PHƯỜNG CỔ NHUẾ 2- QUẬN BẮC TỪ LIÊM -TP.HÀ NỘI"/>
        <s v="KCN CHAU DUC, XA SUOI NGHE, HUYEN CHAU DUC, TINH BRVT"/>
        <s v="CUM CN LANG NGHE XA HOA BINH, HUYEN HA TRUNG, TINH THANH HOA"/>
        <s v="LO N, DUONG SO 6, KCN HOA KHANH, LIEN CHIEU, DA NANG"/>
        <s v="MINH KHAI, NHU QUYNH, VAN LAM, HUNG YEN"/>
        <s v="KCN Bo Trai Song Da, To 9, Phuong Huu Nghi, TP Hoa Binh"/>
        <s v="KM50+460, QL 5, CAM THUONG, HAI DUONG"/>
        <s v="TO 17, AP 5, XA XUAN TAM, HUYEN XUAN LOC, DONG NAI"/>
        <s v="AP THANH HOA THANH DONG TAN CHAU TAY NINH"/>
        <s v="Số 8 Dốc ÔNg Phật, Phường Bùi Thị Xuân, Thành Phố Qui Nhơn. Tỉnh Bình Định"/>
        <s v="1166 Nguyen Binh Khiem, Dong Hai 2 ward, Hai Phong"/>
        <s v="QL10-TRUONG SON-AN LAO-HAI PHONG_x000a_NEU HANG Rockport; Reebok, Adidas: goi den Chi nhanh Cong Ty TNHH SAO VANG_x000a_"/>
        <s v="KM 1+100, 188 HIEP AN, KINH MON, HAI DUONG"/>
        <s v="GIAO GIAY LIEN THUAN, KM 9, PHAM VAN DONG, DUONG KINH, HAI PHONG"/>
        <s v="Lot D1-D14, Dong Xoai II Industrial Zone, Tien Thanh Commune, Dong Xoai Town, Binh Phuoc Province"/>
        <s v="THON PHU, THAI HOC, BINH GIANG, HAI DUONG"/>
        <s v="LOT 3.6, KCN GIAN KHAU, GIA VIEN, NINH BINH"/>
        <s v="LO E1, DUONG TRUNG TAM KCN LONG HAU, CAN GIUOC, LONG AN"/>
        <s v="SUOI TRE IZ- LONG KHANH- DONG NAI"/>
        <s v="KM9-14TH-XA HẢI THÀNH-KIẾN THỤY-ĐỒ SƠN-HAI PHONG"/>
        <s v="LO AIII-11, KCN TAN HUONG, X. TAN HUONG, H.CHAU THANH, T.TIEN GIANG"/>
        <s v="KCN CAU GIAT, DUY TIEN, HA NAM"/>
        <s v="4th Floor, Lot 42C, 63 Lane, Le Duc Tho Road, Hà Nội"/>
        <s v="NGA TU DINH TRAM-HONG THAI-VIET YEN-BAC GIANG"/>
        <s v="NGA 4 DINH TRAM, HONG THAI, VIET YEN, BAC GIANG"/>
        <s v="KCN TIEN HAI TAY GIANG TIEN HAI THAI BINH"/>
        <s v="Ke Village, Minh Duc Commune, Viet Yen District, BAC GIANG"/>
        <s v="XA THIEU DO, HUYEN THIEU HOA, TINH THANH HOA"/>
        <s v="KCN DONG VAN I, XA DUY MINH, DUY TIEN, HA NAM"/>
        <s v="21A, KCN BAC THANH CHAU, PHU LY, HA NAM"/>
        <s v="TANG 8, TOA NHA NAM HAI LAKEVIEW, KHU DO THI VINH HOANG, HOANG MAI, HA NOI"/>
        <s v="KCN DONG VAN 2, DUY TIEN, HA NAM"/>
        <s v="No25 Alley 13 Linh nam Str, Mai Dong ward,  Hoang Mai Dist, Hanoi, Vietnam. "/>
        <s v="Doan Bai Commune- Hiep Hoa Dist_x000a_ Bac Giang Province"/>
        <s v="Tieu khu 7 phuong Bac Ly, thanh pho Dong Hoi, Quang Binh"/>
        <s v="TANLAP VILLAGE-DAN PHUONG DIST-HANOI"/>
        <s v="KCN PHO NOI A, XA GIAI PHAM, YEN MY, HUNG YEN"/>
        <s v="BA DONG, BINH MINH, BINH GIANG, HAI DUONG"/>
        <s v="KM54+100M-QL5-NGOC CHAU-HAI DUONG"/>
        <s v="No:1077, Le Thanh Nghi Street, Hai Tan Ward, Hai Duong"/>
        <s v="CUM CN LANG NGHE SOC DANG, DOAN HUNG, PHU THO"/>
        <s v="TO 1, KDC PHUONG LUNG, HUNG DAO, DUONG KINH, HAI PHONG"/>
        <s v="HUNG DAO WARD-DUONG KINH DISTRICT-HAI PHONG"/>
        <s v="Gia Tan Commune, Gia Loc Dist, Hai Duong"/>
        <s v="KCN NAM SACH- HAI DUONG"/>
        <s v="CUM CN NAM GIANG, HUYEN NAM DAN, NGHE AN"/>
        <s v="Thuan Hoa 2, Hoa Khanh Nam, Duc Hoa, Long An"/>
        <s v="LO B, KCN TRUNG HA, TAM NONG, PHU THO"/>
        <s v="Cum CN Dong Dinh, Xa Cao Thuong, Huyen Tan Yen, "/>
        <s v="Lo C-2-6 &amp; 2-7-KCN PHU BAI-HUONG THUY-THUA THIEN HUE"/>
        <s v="PHUOC AN, TUY PHUOC, BINH DINH"/>
        <s v="DÂN TIẾN COMMUNE- KHOÁI CHAU DISTRICT- HUNG YEN"/>
        <s v="KHU CONG NGHIEP BINH XUYEN, HUYEN BINH XUYEN, TINH VINH PHUC"/>
        <s v="BINH XUYEN IZ-BINH XUYEN DIST-VINH PHUC"/>
        <s v="TANG 3, 301 VU XUAN THIEU, PHUC LOI, LONG BIEN, HN"/>
        <s v=" SO 8 NGO 97/24/1-VAN CAO STR-BA DINH- HA NOI"/>
        <s v="TANG 6, TOA  NHA HAI NAM, KHU DO THI VINH HOANG, HOANG MAI, HA NOI"/>
        <s v="LOT B III&amp;V, KCN TAN HUONG, TIEN GIANG"/>
        <s v="ROAD 4, LINH TRUNG EPZ &amp; IP III, ROAD 4, LINH TRUNG EPZ &amp; IP III, "/>
        <s v="TT THANH NE-KIEN XUONG-THAI BINH"/>
        <s v="Thi tran Thanh Ne, huyen Kien Xuong, tinh Thai Binh"/>
        <s v="DUONG LE CHAN, PHUONG LE HONG PHONG, PHU LY, HA NAM"/>
        <s v="Lot C3.3, Gian Khau Industry Zone, Gia Tan Commune, Gia Vien District, Ninh Binh Province"/>
        <s v="NGOC LAM, HOANG THANH, HIEP HOA, BAC GIANG"/>
        <s v="LONG YEN, LONG THANH NAM, HOA THANH, TAY NINH"/>
        <s v="xã Ngũ Hùng- H. Thanh Miện - _x000a_Hải Dương"/>
        <s v="LOT2, DONG TU INDUSTRIAL GROUP, HUNG HA DISTRICT, THAI BINH PROVINCE"/>
        <s v="201  TRUONG DINH- HOANG MAI- HANOI"/>
        <s v="KM 22 BAN-YEN NHAN-HUNG YEN DIST"/>
        <s v="KM 22-QL5-TTBAN-HUNG YEN"/>
        <s v="HO GUOM PLAZA 102 TRAN PHU MO LAO HA DONG, HA NOI"/>
        <s v="KM 83, QL5, AN HUNG, AN HAI, HAI PHONG"/>
        <s v="201 TRUONG  DINH, HOANG MAI, HA NOI"/>
        <s v="110 TRAN PHU, HA DONG, HA NOI"/>
        <s v="KM 83-AN HUNG-AN HAI- HAI PHONG"/>
        <s v="AREA 10- PHONG CHAU TOWN,  PHU NINH DISTRICT, PHU THO PROVINCE"/>
        <s v="KCN TIEN SON MO RONG, TAN DONG, TU SON, BAC NINH"/>
        <s v="36 ONG ICH DUONG STR-DA NANG CITY-VIET NAM"/>
        <s v="KHU 4B, THI TRAN QUYNH COI, QUYNH PHU, THAI BINH"/>
        <s v="PHU TAI INDUSTRIAL ZONE-P.TRAN QUANG DIEU- QUY NHON"/>
        <s v="KHANH PHU INDUSTRIAL ZONE, NINH BINH"/>
        <s v="KCN VA DO THI HOANG LONG, TAO XUYEN, THANH HOA"/>
        <s v="KCN NAM GIANG, NAM DAN, NGHE AN"/>
        <s v="KM32, KCN TRANG BANG, AN TINH, TRANG BANG, TAY NINH"/>
        <s v="Lô 14-16, đường số 3, KCN Tân Đức, xã Đức Hòa Hạ, huyện Đức Hòa, tỉnh Long An "/>
        <s v="236C NGUYEN TRUNG TRUC,AP MY THANH,MY PHONG,MY THO,TIEN GIANG"/>
        <s v="1 Phan Dinh Phung, Vinh Ninh ward, Hue city, THUA THIEN HUE"/>
        <s v="THUY DUONG-HUONG THUY-TT HUE"/>
        <s v="NO.270.DIEN BIEN ROAD CUA BAC WARD.NAM DINH CITY."/>
        <s v="130 NGO QUYEN, MAY CHAI, HAI PHONG"/>
        <s v="THI TRAN HUNG HA, HUNG HA, THAI BINH"/>
        <s v="AP 3, XA LONG AN, LONG THANH, DONG NAI"/>
        <s v="KM 24-HIGHWAY 5-DI SU-MY HAO-HUNG YEN"/>
        <s v="8 BACH DANG, HUNG YEN"/>
        <s v="83 TRUNG TRAC ST-HUNG YEN TOWN-HUNG YEN"/>
        <s v="AN TAO PRECINCT-HUNG YEN TOWN-HUNG YEN"/>
        <s v="THON TRA LAM, HIEP CUONG, KIM DONG, HUNG YEN"/>
        <s v="DUONG SO 3 - KCN AN DON, P AN HAI BAC, Q. SON TRA, DA NANG"/>
        <s v="CIVIL GROUP 1, CAT DA STREET, LAM HA WARD, KIEN AN DISTRICT, HAIPHONG"/>
        <s v="LONG PHU, PHUOC THAI, LONG THANH, DONG NAI"/>
        <s v="2RD-HOA KHANH IZ-LIEN CHIEU- DA NANG"/>
        <s v="DUONG SO 2, KCN HOA KHANH, LIEN CHIEU, DA NANG"/>
        <s v="KM6+500, Road 10 Thai Binh-_x000a_Nam Dinh, Vu Thu Dist., Thai Binh Prov."/>
        <s v="THO VUC, TRIEU SON, THANH HOA"/>
        <s v="khu B, R.1, Cum Cong nghiep Loi Binh Nhon, xa Loi Binh Nhon, thanh pho Tan An, Tinh Long An_x000a_"/>
        <s v="DUONG 10 THAI BINH VU THU NAM DINH"/>
        <s v="DUONG SO 5 KCN TRANG BANG TAY NINH"/>
        <s v="17T5 TRUNG HOA, NHANH CHINH, HA NOI"/>
        <s v="So 2 duong 17 Khu DT, CN va DV VSIP Hai phong, X. Thuy Trieu, H. Thuy Nguyen, TP Hai Phong"/>
        <s v="Thi Tran Truong Son, Huyen An Lao, Thanh Pho Hai Phong"/>
        <s v="THI TRAN TRUONG SON, AN LAO, HAI PHONG"/>
        <s v="7TH FLOOR, NOZA BUILDING _x000a_243A, CAU GIAY,_x000a_ HA NOI, VIETNAM"/>
        <s v="HONG THAI, VIET YEN, BAC GIANG"/>
        <s v="DUONG 13, TRANG BANG, TAY NINH"/>
        <s v="Lo E, duong N3B, khu cong nghiep Bao Minh, huyen Vu Ban, Nam Dinh"/>
        <s v="KCN Thuan Yen - P. Hoa Thuan - TP. Tam Ky - Quang Nam"/>
        <s v="Pho Ca, xa Thanh Nguyen, huyen Thanh Liem, Ha Nam"/>
        <s v="CUM CN NGOC HOA, NGOC GIA, NGOC HOA, CHUONG MY, HA NOI"/>
        <s v="196 HOANG QUOC VIET STR, KIEN AN DIST, HAI PHONG PROVINCE"/>
        <s v="So 276, Duong Hang Kenh, Quan Le Chan, Thanh pho Hai Phong"/>
        <s v="DUC HOA HA VILLAGE-DUC HOA TOWN-LONG AN"/>
        <s v="TAY SON, TIEN HAI,  THAI BINH"/>
        <s v="LOT CN1, PHUC TRI NEW URBAN AREA, PHUC TRI NAM THANH, NINH BINH"/>
        <s v="Pho Noi B textile and garment Industrial  Zone, Yen My, Hung Yen province"/>
        <s v="E15, NO 5, LY TU TRONG STREET, HONG BANG, HAI PHONG"/>
        <s v="12LE THANH TON-NHA TRANG-KHANH HOA"/>
        <s v="SO 4 NGUYEN THIEN THUAT, P TAN LAP, TP NHA TRANG, KHANH HOA"/>
        <s v="84 HUNG VUONG-NHA TRANG-KHANH  HOA"/>
        <s v="SO 7, DUONG VO THI SAU, PHUONG VINH NGUYEN, TP NHA TRANG, TINH KHANH HOA"/>
        <s v="301 VU XUAN THIEU, PHUC LOI, LONG BIEN, HA NOI"/>
        <s v="DIEM CN NGOC HOA-THON NGOC GIA-NGOC HOA- CHUONG MY-HANOI"/>
        <s v="KHU D-KCN PHO NOI A- HUNG YEN"/>
        <s v="LO 1-3, KCN TAY BAC GA, THANH HOA"/>
        <s v="LO 2/5 KHU CONG NGHIEP PHAN THIET - XA PHONG NAM, TP PHAN THIET - TINH BINH THUAN"/>
        <s v="Thôn Đồng Lý – Thị Trấn Lương Bằng – Huyện Kim Động – Tỉnh Hưng Yên "/>
        <s v="DUONG THUONG KIEM, KIM SON, NINH BINH"/>
        <s v="C11, LO 9, KHU DO THI DINH CONG, HOANG MAI, HA NOI"/>
        <s v="242 TO KY, TAN CHANH HIEP, Q12, HCM"/>
        <s v="LOTS M2-M7-SUOI DAU IP-CAM LAM-KHANH HOA"/>
        <s v="LONG PHU HAMLET, PHUOC THAI VILLAGE, LONG THANH DISCT, DONG NAI"/>
        <s v="KCN DONG DINH, TAN YEN, BAC GIANG"/>
        <s v="KCN TRANG BANG-AN TINH-TAY NINH "/>
        <s v="LAI CACH, CAM GIANG, HAI DUONG"/>
        <s v="Số 68, Ngõ 34 , Đường Hoàng Cầu, Đống Đa, Hà Nội"/>
        <s v="THON NUM, XA DINH TRI, TP BAC GIANG, TINH BAC GIANG"/>
        <s v="THON NAM SON, XA THIEN PHIEN, HUYEN TIEN LU_x000a_TINH HUNG YEN"/>
        <s v="LOT K2, KCN PHU BAI, PHU BAI, HUONG THUY, HUE"/>
        <s v="KHU 11, PHUONG BINH HAN, TP HAI DUONG"/>
        <s v="209 HO NGOC LAN, KINH BAC, BAC NINH"/>
        <s v="SO 8, DUONG THANH BAC, TP BAC NINH"/>
        <s v="DUONG THANH BAC, TP BAC NINH"/>
        <s v="LOT 2.20C, TRA NOC INDUSTRIAL ZONE, CAN THO"/>
        <s v="TANG 8, TOA NHA HCC, 28 LY THUONG KIET, HUE"/>
        <s v="HAMLET 1&amp;2, CO PHUC TOWN, TRAN YEN, YEN BAI"/>
        <s v="Thôn 2- Xã Đông mỹ- Thanh Trì - Hà Nội"/>
        <s v="3rd Floor, ICT Building/ 02-9A Lot, Vinh Hoang I.Z. Hoang Van Thu Ward, Hoang Mai Dist., Hanoi, Viet Nam."/>
        <s v="KCN XUYEN A- DUC HOA-LONG AN_x000a_(CUM A LO A2- XA MY HANH BAC)"/>
        <s v="Khu CN Phố Nối A, xã Lạc Hồng, Văn Lâm, Hưng Yên"/>
        <s v="B1, B2 lot, Tan Phu Thanh Industrial Zone, Phase I, Chau Thanh A District, Hau Giang Province."/>
        <s v="Block 24,Street No.6,Trang Bang Industrial Zone,Km 32,An Tinh Commune,Trang Bang Dist.,Tay Ninh Province"/>
        <s v="SO 42, TO 9, DUONG K3, CAU DIEN, TU LIEM, HA NOI"/>
        <s v="KM4, HUNG VUONG, PHU KHANH, THAI BINH"/>
        <s v="LOT24-6 RD-TRANG BANG IZ-TRANG BANG-TAY NINH"/>
        <s v="LO II-7, KCN Hoa Phu (giai Doan 2), xa Hoa Phu, huyen Long Ho, tinh Vinh Long"/>
        <s v="Lau 2, Toa nha Simco, 28 Pham Hung, Quan Nam Tu Liem, HA NOI"/>
        <s v="CONG TY RAPEXCO-DAINAM LLC SUOI DAU INDUSTRIAL,CAM LAM DISTRICT, KHANH HOA PROVICE, VIET NAM, "/>
        <s v="Thôn Quán Dọc, xã Thanh An, huyện Thanh Hà, tỉnh Hải Dương"/>
        <s v="Plot No L1, Pho Noi B Textile &amp; Garment Industrial Park, Di Su Ward, My Hao District, Hung Yen Province"/>
        <s v="373 QL 1A, PHUONG 4, TP TAN AN, LONG AN"/>
        <s v="KCN VU QUY, KIEN XUONG, THAI BINH"/>
        <s v="BICH HOA IZ-BICH HOA-THANH OAI DIST-HA TAY"/>
        <s v="KM 9, xa Tan Thinh, H Nam Truc, Nam Dinh"/>
        <s v="LO D, DUONG N11, KHU CONG NGHIEP MINH HUNG, XA MINH HUNG HUYEN CHON THANH, TINH BINH PHUOC"/>
        <s v="KM9, XA TAN THINH, HUYEN NAM TRUC, NAM DINH"/>
        <s v="Trang Bang Industrial Park,_x000a_ Tay Ninh Province"/>
        <s v="PHONG 1412, TOA NHA HEMISCO, PHUONG PHUC LA , HA DONG, HA NOI"/>
        <s v="THON NGOC GIA, NGOC HOA, CHUONG MY, HA NOI"/>
        <s v="P 306, KHU A1, CHUNG CU BAC SON , HAI PHONG"/>
        <s v="THANH HAI -  THANH HA -  HAI DUONG"/>
        <s v="Xóm 8, xã Vĩnh Thành, Huyện Vĩnh Lộc, Tỉnh Thanh Hóa"/>
        <s v="BOUNDER WAREHOUSE LOT 3.1-TAN TRUONG IZ-CAM GIANG DIST-HAI DUONG"/>
        <s v="Street No. 2,Hoa Cam Industrial Zone, Hoa Tho Tay ward, Cam Le District, Da Nang"/>
        <s v="NANG TINH, NAM DINH"/>
        <s v="LOT 1, TA HIEN STREET, KCN PHUC KHANH, THAI BINH"/>
        <s v="88 HA DINH, THANH XUAN, HA NOI"/>
        <s v="Nguyen Duc Canh IZ-Tran Thai Tong road-Thai Binh"/>
        <s v="88 HA DINH-THANH XUAN-HANOI"/>
        <s v="UNIT G1-B, KCN QUE VO, PHUONG LIEU, QUE VO, BAC NINH"/>
        <s v="60-ME NHU-DA NANG"/>
        <s v="S ố 9 Phù Đổng Thiên Vương P.8 Đà Lạt. "/>
        <s v="TO 12, P. YEN DO, TP. PLEIKU, GIA LAI"/>
        <s v="NO 32/39 TUC MAC, LOC VUONG, NAM DINH"/>
        <s v="216 TRAN THANH NGO ST-KIEN AN DIST-HAI PHONG"/>
        <s v="KCN SUOI TRE, LONG KHANH, DONG NAI"/>
        <s v="Tầng 8, tòa nhà Nam Hải, lô 9A Vĩnh Hoàng, Hoàng Mai, Hà Nội."/>
        <s v="Thôn: Bằng, xã Nghĩa Hòa, Huyện Lạng Giang, tỉnh Bắc Giang"/>
        <s v="LO C1 C2 C12 C13 C14, KCN SUOI DAU, SUOI TAN, CAM LAM, KHANH HOA"/>
        <s v="LO 75 76 KCX LINH TRUNG III, TRANG BANG, TAY NINH"/>
        <s v="PHUONG PHONG CHAU, TX PHU THO, PHU THO"/>
        <s v="226 LE LAI-NGO QUYEN-HAI PHONG"/>
        <s v="KCN PHU NGHIA, HUYEN CHUONG MY, HA NOI"/>
        <s v="SO 37 NGO 67 PHO DUC GIANG, PHUONG DUC GIANG, LONG BIEN HA NOI"/>
        <s v="DUONG TRUC CHINH, KCN TRA NOC, Q. BINH THUY, TP. CAN THO"/>
        <s v="THANG LOI, AN HUNG, AN DUONG, HAI PHONG"/>
        <s v="TAN DAN, CHI LINH, HAI DUONG"/>
        <s v="KCN PHO NOI B, NGHIA HIEP, YEN MY, HUNG YEN"/>
        <s v=" NO.28 ALLEY 207/66，XUAN DINH，TU LIEM，HANOI CITY"/>
        <s v="KCN BAC VINH, HUNG DONG, TP. VINH, NGHE AN"/>
        <s v="DUONG SO 6, LO C6, KCN TINH PHONG, QUANG NGAI"/>
        <s v="LOT12 DIEN NAM-DIEN NGOC-QUANG NAM-DN"/>
        <s v="TÍCH GIANG-PHÚC THỌ-HA NOI"/>
        <s v="VINH TUY INS ZONE- HA NOI"/>
        <s v="KCN VINH TUY, HA NOI"/>
        <s v="DUONG BUI VIEN, KCN NGUYEN DUC CANH, P. TIEN PHONG, THAI BINH"/>
        <s v="BUI VIEN, KCN NGUYEN DUC CANH, TRAN HUNG DAO, THAI BINH"/>
        <s v="KCN BẮC VINH, XÃ HƯNG ĐÔNG, TP VINH, NGHỆ AN"/>
        <s v="Road 6, Song May IZ, Bac Son Commune, Trang Bom Dist, Dong Nai"/>
        <s v="SO 1, 10 07 KCN LANG NGHE, THI TRAN NGA SON, THANH HOA"/>
        <s v="KCN SAI DONG B, GIA LAM, HA NOI"/>
        <s v="TIEN PHONG, ME LINH, HA NOI"/>
        <s v="KHE XOAN. DOI CAN, TUYEN QUANG"/>
        <s v="Kieu Ky commune - Gia Lam district - Hanoi city- Vietnam_x000a_"/>
        <s v="KCN NGUYEN DUC CANH- THAI BINH"/>
        <s v="NGUYEN DUC CANH INDUSTRIAL ZONE, TRAN THAI TONG ROAD, THAI BINH CITY"/>
        <s v="CUM CN XUAN QUANG, DONG XUAN, DONG HUNG, THAI BINH"/>
        <s v="Km 24 + 500 Highway- No. 5A Di Su- My Hao- Hung Yen"/>
        <s v="KM24+500, QL 5, DI SU, MY HAO, HUNG YEN"/>
        <s v="44 AN TRUNG 1, QUAN SON TRA, TP DA NANG"/>
        <s v="LO B25, DUONG TRUNG TAM, PHUONG TRAN QUANG DIEU, KCN PHU TAI, QUY NHON, BINH DINH"/>
        <s v="101, National Rout 1A, ward 10, My Tho City, Tien Giang Province, Vietnam-"/>
        <s v="CUM CN BAC TUY PHONG, THON LAC TRI- PHU LAC, HUYEN TUY PHONG, TINH BINH THUAN"/>
        <s v="101, National Rout 1A, ward 10, My Tho City, Tien Giang Province, Vietnam"/>
        <s v="LOT C10-9 KCN HOA XA, NAM DINH"/>
        <s v="01 GIAI PHONG, NAM DINH"/>
        <s v="QUANG XA, QUANG HUNG, PHU CU, HUNG YEN"/>
        <s v="Hau village, Dai Lam commune, Lang Giang district, Bac Giang province"/>
        <s v="KCN DONG HUONG, KIM SON, NINH BINH"/>
        <s v="KHU A-LO H1-H5- Duong Pham Ngu Lao-Khu Cong Nghiep Hoa Xa-TP Nam Dinh"/>
        <s v="91 NGUYEN VAN TROI, NAM DINH"/>
        <s v=" 510 TRUONG CHINH STR-NAM DINH"/>
        <s v="No.510 Truong Chinh Str., Nam Dinh, Viet Nam"/>
        <s v="189 NGUYEN VAN TROI-NANG TINH-TP NAM DINH"/>
        <s v="MY CAU, TAN MY, BAC GIANG"/>
        <s v="DONG KY, NGHIA MINH, NGHIA HUNG, NAM DINH"/>
        <s v="MY THO IZ-TIEN GIANG"/>
        <s v="QUOC LO 10, LOC VUONG, TP NAM DINH"/>
        <s v="Thon Kim Âu, Xã Đại Xá, Gia Lâm, Hà Nội"/>
        <s v="XA THUY SON, THUY NGUYEN,_x000a_ HAI PHONG"/>
        <s v="Phân khu phía Tây - KCN Phú Thái - TT Phú Thái - H.Kim Thành - T.Hải Dương"/>
        <s v="Thap Hong Ky Industrial Group, Dien Chau Dist, Nghe An"/>
        <s v="PLOT XN2-3, KCN DAI AN, HAI DUONG"/>
        <s v="185B, 14/9 STREET, PHUONG 5, TP. VINH LONG, VINH LONG"/>
        <s v="69 TRUNG YEN 12, TRUNG HOA, CAU GIAY, HA NOI"/>
        <s v="SO 353 ANH DUNG, DUONG KINH, HAI PHONG"/>
        <s v="PHUOC AN VILLAGE, TUY PHUOC DISTRICT, BINH DINH"/>
        <s v="DUONG SO 5, KCN VUA VA NHO PHU THI, GIA LAM, HA NOI"/>
        <s v="PHO NOI, XA NGHIA HIEP, YEN MY, HUNG YEN"/>
        <s v="THI TRAN VAN DINH, UNG HOA, HA NOI"/>
        <s v="KHU VUON XIM,THI TRAN HUONG CANH-BINH XUYEN, VINH PHUC"/>
        <s v="THONG NHAT, THU SY WARD, TIEN LU DISTRICT, HUNG YEN"/>
        <s v="Khu Cn Tam Diep, thanh pho Tam Diep, tinh Ninh Binh"/>
        <s v="169/2/1, THAI HA STREET, DONG DA, HA NOI"/>
        <s v="KCN DIEN SANH, HUYEN HAI LANG, QUANG TRI"/>
        <s v="CHAU SON INDUSTRIAL ZONE, PHU  LY TOWN, HA NAM PROVINCE"/>
        <s v="Lô L1, Phân khu CN Sài Gòn Dung Quất – Xã Bình Thạnh – Huyện Bình Sơn- Quảng Ngãi"/>
        <s v="TAN QUANG, VAN LAM, HUNG YEN"/>
        <s v="P314- No 4A BUILDING, LINH NAM, HA NOI"/>
        <s v="LO E4+E5 KCN PHUC KHANH, TP THAI BINH, T THAI BINH"/>
        <s v="DUONG TRAN THI DUNG, KCN PHUC KHANH, THAI BINH"/>
        <s v="KHANH PHU INDUSTRIAL ZONE, YEN KHANH, NINH BINH"/>
        <s v="KHANH PHU INDUSTRIAL ZONE,_x000a_YEN KHANH DISTRICT,_x000a_NINH BINH PROVINCE,VIET NAM."/>
        <s v="KCN KHANH PHU YEN KHANH NINH BINH"/>
        <s v="Khoi pho Cau Ha, Phuong Dien Ngoc, Thi xa Dien Ban, Tinh Quang Nam"/>
        <s v="NO.37, LANE 4, YET KIEU STREET, NAM THANH WARD,NINH BINH CITY,"/>
        <s v="NO.37 LANE 4, YET KIEU STREET, NAM THANH WARD, NINH BINH"/>
        <s v="ROOM 503, TANG 5, 17-1 SAI DONG, LONG BIEN, HA NOI"/>
        <s v="Đồng Văn Industrial Area - Duy Tiên - Hà Nam"/>
        <s v="143 NGUYEN TUAN, THANH XUAN, HA NOI"/>
        <s v="203-NG HUY TUONG ST-THANH XUAN-HNOI"/>
        <s v="6TH FL, 478 MINH KHAI, HA NOI"/>
        <s v="Khu 6 xa Phu Loc, huyen Phu Ninh, tinh Phu Tho"/>
        <s v="LO 6, KCN DIEN NAM - DIEN NGOC, QUANG NAM"/>
        <s v="GIA CAM WARD-VIET TRI CITY-PHU THO PROVINCE"/>
        <s v="DONG LAC COMMUNE-NAM SACH DIST-HAI DUONG"/>
        <s v="Lo G9- mot phan lo G2, G3, G8, duong N-1, KCN Bao Minh,  huyen Vu Ban, tinh Nam Dinh"/>
        <s v="HAMLET 2, THANH TIEN, THANH CHUONG, NGHE AN"/>
        <s v="13th floor, Zodiac building, Alley 19, Duy Tan Street, Cau Giay, Hanoi"/>
        <s v="13th floor, Zodiac building, Alley 19, Duy Tan Street, Cau Giay, Ha Noi"/>
        <s v="LOT#1 TAM THANG INDUSTRIAL ZONE, TAM KY CITY, QUANG NAM PROVINCE"/>
        <s v="THIEN TON TOWN, HOA LU, NINH BINH"/>
        <s v="Tang 8 toa nha Suced, so 108 Nguyen Hoang, My Dinh, Nam Tu Liem, Ha Noi"/>
        <s v="Duong 13, KCN Trang Bang, Quoc lo 22, Xa An Tinh, Huyen Trang Bang,  Tinh Tay Ninh"/>
        <s v="469 NGUYEN DU STREET, DUU LAU WARD,VIET TRI CITY PHU THO PROVINCE ,VIETNAM"/>
        <s v="VAN DINH, UNG HOA, HA NOI"/>
        <s v="282 NGUYEN HOI, TP. PHAN THIET, BINH THUAN"/>
        <s v="XN10, Dai An Industrial Zone, KM51,_x000a_Highway No. 5, Hai Duong, , Vietnam "/>
        <s v="296 DUC THANG-HIEP HOA-BAC GIANG"/>
        <s v="296 DUC THANH, HIEP HOA, BAC GIANG"/>
        <s v="KM 13, DUONG 18, VAN AN, CHI LINH, HAI DUONG"/>
        <s v="PHONG KINH DOANH CHI NHANH SONG CONG 3, KCN SONG CONG, SONG CONG, THAI NGUYEN"/>
        <s v="LO M, DUONG SO 3, KCN HOA KHANH, P. HOA KHANH BAC, LIEN CHIEU, DA NANG"/>
        <s v="Thôn Hợp Phương, Xã Quảng Hợp, Huyện Quảng Xương, Thanh Hoá"/>
        <s v="1447 QL1A, Dac Loc Vi., Vinh Phuong Town, Nha Trang City, Khanh Hoa Province., Vietnam"/>
        <s v="235 NGUYEN TAT THANH TUY HOA PHU YEN"/>
        <s v="26A-CAU DIEN MARKET ST-TU  LIEM-HA NOI"/>
        <s v="Xa Dinh Cao- Phu Cu - Hung Yen"/>
        <s v="GAO NAM, HO TUNG MAU, AN THI, HUNG YEN"/>
        <s v="QL 39A, XA BAO KHE, TP. HUNG YEN, HUNG YEN"/>
        <s v="N3, KCN THANH THANH CONG, AN HOA, TRANG BANG, TAY NINH"/>
        <s v="HOA XA, UNG HOA, HA NOI"/>
        <s v="So 1, Hem 9, Duong Nguyen Trai, Khu Pho 7, Phuong 3, Tay Ninh"/>
        <s v="DUONG D2, KCN HOA MAC, DUY TIEN, HA NAM"/>
        <s v="SO 6, THI SON, KIM BANG, HA NAM"/>
        <s v="PHU AN, CAT THANH, TRUC NINH, NAM DINH"/>
        <s v="SUOI CAO, PHUOC DONG, GO DAU, TAY NINH"/>
        <s v="VAN PHU, PHU LA, HA DONG, HA NOI"/>
        <s v="THO NGUYEN, THO XUAN, THANH HOA"/>
        <s v="LO CN2 VA CN3 CUM CN MINH LANG, XA MINH LANG,_x000a_HUYEN VU THU, TINH THAI BINH"/>
        <s v="PHU TRUONG VILLAGE, PHU LONG TOWN, HAM THUAN BAC DISTRICT, BINH THUAN PROVINCE"/>
        <s v="PHU TUONG, PHU LONG, HAM THUAN BAC, BINH THUAN"/>
        <s v="SO 7, XA SON CAM, HUYEN PHU LUONG, THAI NGUYEN"/>
        <s v="Quoc lo 1A – thi tran Phu My , Huyen Phu My - tinh Binh Dinh"/>
        <s v="QUOC LO 37, THI TRAN NAM SACH, HUYEN NAM SACH, TINH HAI DUONG"/>
        <s v="THON PHU CO, XA QUYET TIEN, HUYEN TIEN LANG, HAI PHONG"/>
        <s v="131 LUONG KHANH THIEN, P. CAU DAT, Q. NGO QUYEN, HAI PHONG"/>
        <s v="KCN NAM TAI, PHU THAI, KIM THANH, HAI DUONG"/>
        <s v="Thôn Phú Cơ, xã Quyết Tiến, huyện Tiên Lãng, tp. Hải Phòng"/>
        <s v="16 DUONG HOA PHONG, GIA LAM, VIET TRI, PHU THO"/>
        <s v="LAU 6, 478 MINH KHAI, HAI BA TRUNG, HA NOI"/>
        <s v="Phuong Phong Chau, TX Phu Tho"/>
        <s v="NONG SON HAMLET, DIEN PHUOC WARDS, DIEN BAN DIST, QUANG NAM PROVINCE"/>
        <s v="le loi commune- an duong hai phong"/>
        <s v="Huong Van Ward, Huong Tra Town, Thua Thien Hue province"/>
        <s v="SO 511, KHU QH DAT O, THON KIEU DONG, HONG THAI, AN DUONG, HAI PHONG"/>
        <s v="KCN HOA MAC, DUY TIEN, HA NAM"/>
        <s v="DONG PHUONG, DONG HUNG, THAI BINH"/>
        <s v="NHA XUONG F4, LO DAT CN9 CN10, KCN PHU THAI, KIM THANH, HAI DUONG"/>
        <s v="108 QL 1A, TAN PHU, TAN LY TAY, CHAU THANH, TIEN GIANG"/>
        <s v="SO 15, DUONG 7, VSIP BAC NINH, PHU CHAN, TU SON, BAC NINH"/>
        <s v="Alley.8-Vinh Thanh Village-Vinh Loc Dist-Thanh Hoa Province"/>
        <s v="LO C-3, KCN PHU BAI, HUONG THUY, HUE"/>
        <s v="KCN Thuan Yen - P. Hoa Thuan - TP. Tam Ky - Tinh Quang Nam"/>
        <s v=" KCN HOA KHANH Q.LIEN CHIEU, TP. DA NANG"/>
        <s v="TRA BAN 1 HAMLET, CHAU HUNG A COMMUNE, VINH LOI DISTRICT, BAC LIEU PROVINCE"/>
        <s v="KM 14, THANG LOI, AN HUNG,_x000a_AN DUONG, HAI PHONG"/>
        <s v="HOANG THANH, HOANG HOA, THANH HOA"/>
        <s v="KHU TAI DINH CU HOA PHU, PHU MAN, QUOC OAI, HA NOI"/>
        <s v="LOT CN2, KCN HUNG NHAN, HUNG HA, THAI BINH"/>
        <s v="KCN PHU BAI, THUA THIEN, HUE"/>
        <s v="KM 52- HIGH WAY No. 5, VIET NAM, CAM THUONG, TP. HAI DUONG"/>
        <s v="số 10- B5, Ngõ 6, Kim Động, Giáp Bát, Hoàng Mai, Hà Nội"/>
        <s v="10B5 KIM DONG-GIAP BAT-HOANG MAI-HANOI, VIETNAM"/>
        <s v="DUONG SO 1, KCN CHA LA, BINH LINH, CHA LA, DUONG MINH CHAU, TAY NINH"/>
        <s v=" LOTS 37-9A,37-10,37-11,37-12,37-13 ,37-14A PHUOC DONG, INDUSTRIAL PARK ,GO DAU DISTRICT, TAY NINH PROVINCE"/>
        <s v="DUONG N5A, KCN HOA XA, MY XA, NAM DINH"/>
        <s v="DONG LA, HONG QUANG, THANH MIEN, HAI DUONG"/>
        <s v="LO 35, 36, KCX LINH TRUNG III, TRANG BANG, TAY NINH"/>
        <s v="Tổ Dân Phố Hòa Do 6B, Phường Cam Phúc Bắc, TP.Cam Ranh, Tỉnh.Khánh Hòa"/>
        <s v="LOT B3-B4-GIAO LONG IZ-CHAU THANH-BEN TRE"/>
        <s v="CUM CN XA LAC SON, HUYEN DO LUONG, NGHE AN"/>
        <s v="KHU 4A, THI TRAN NGO DONG, GIAO THUY, NẠM DINH"/>
        <s v="A7, DUONG SO 1, CUM CN NHO, VI THANH, HAU GIANG"/>
        <s v="TANG 15 LILAMA 10 TOWER TO HUU TRUNG VAN TU LIEM HA NOI"/>
        <s v="LOT E4, E5, E10, E11, KCN GIAO LONG, AN PHUOC, CHAU THANH, BEN TRE"/>
        <s v="NO 18, LOT 18, RESETTLEMENT AREA, LONG BIEN, HA NOI"/>
        <s v="94/75 HONG HA RD-BA DINH-HANOI"/>
        <s v="95 Ba Trieu- Hai Ba Trung- Ha Noi"/>
        <s v="207C, DUONG NGUYEN THI THAP, PHUONG 10, TP. MY THO, TIEN GIANG"/>
        <s v="LOT K1-1, KCN TAN HUONG, TAN HUONG, CHAU THANH, TIEN GIANG"/>
        <s v="05A DUONG SO 2, KCN LONG HAU, CAN GIUOC, LONG AN"/>
        <s v="LO H05A, DUONG SO 2, KCN LONG HAU, CAN GIUOC, LONG AN"/>
        <s v="TRAN HUNG DAO BOUNDARY-DONG HAI WARD-HAI AN DIST-HAI PHONG"/>
        <s v="SUOI DAU IZ-CAM LAM-KHANH HOA"/>
        <s v="So 9, Duong Dong Tay, VSIP Hai Phong, Huyen Thuy Nguyen, thuoc KKT Dinh Vu, Cat Hai, Hai Phong, Viet Nam"/>
        <s v="LOT NO.A4, 13-14, THANH THANH CONG INDUSTRIAL PARK, AN HOA COMMUNE, TRANG BANG, TAY NINH"/>
        <s v="4th Floor, An Phu Building, 24 Hoang Quoc Viet Street, Cau Giay District, Ha Noi"/>
        <s v="MINH DUC, MY HAO, HUNG YEN"/>
        <s v="NAM SACH IZ-HAI DUONG"/>
        <s v="X.MINH DUC-H.MY HAO-HUNG YEN"/>
        <s v="KCN KY SON, TU KY, HAI DUONG"/>
        <s v="LO C7-1, C7-2, C7-3, C7-4 KCN HAM KIEM II - BITA'S, HAM THUAN NAM, BINH THUAN"/>
        <s v="359 AP LONG KHANH, XA TAM PHUOC, LONG THANH, DONG NAI"/>
        <s v="KCN VA DO THI HOANG LONG, TAO XUYEN. THANH HOA"/>
        <s v="PLOT 2, F AREA, LEMON INDUSTRIAL PARK, THANH HOA CITY"/>
        <s v="CHO MOI, LONG HOA, GO CONG, TIEN GIANG"/>
        <s v="HAMLET 2, HOA HUNG, XUYEN MOC, BA RIA VUNG TAU"/>
        <s v="386/2 DUONG 62, PHUONG 6, THI XA TAN AN, LONG AN"/>
        <s v="KM 52. QUOC LO 5, BINH HAN, HAI DUONG"/>
        <s v="Lo B8, KCN Que Vo, P.Van Duong, Tp.Bac Ninh, Bac Ninh"/>
        <s v="KCN DONG XOAI 1, XA TAN THANH, TX DONG XOAI, BINH PHUOC"/>
        <s v="AP AN LAC, AN NHUT, LONG DIEN, BA RIA-VUNG TAU"/>
        <s v="NGHIA HUAN, MY THANH, GIONG TROM, BEN TRE"/>
        <s v="An Tinh Hamlet, Yen Binh Commune, Y Yen District, Nam Dinh"/>
        <s v="BINH MINH RESIDENTIAL QUARTER, VINH BAO TOWN, HAI PHONG CITY"/>
        <s v="163, 30TH PROVINCIAL ROAD, MY PHU WARD, CAO LANH TOWN, DONG THAP PROVINCE"/>
        <s v="Chi nhanh Cong Ty TNHH SAO VANG_x000a_Khu PhúThanh Tây- Phương Yên Thanh,_x000a_thi xa Uong Bi,tinh Quang Ninh"/>
        <s v="Nga 3 Truong Son An Lao Hai Phong"/>
        <s v="Lo dat dien tich 88.707m vuong , cum cong nghiep Quynh Coi,Xa Quynh My - Huyen Quynh Phu, Thai Binh"/>
        <s v="LO 17, DUONG SO 5, KCN DA NANG, AN HAI BAC, SON HA"/>
        <s v="PHONG DIEN IZ-PHONG DIEN DIST- TT HUE"/>
        <s v="NONGPHING VILLAGE-CHANTHABOULY DIST-VIENTIANE-LAO P.D.R"/>
        <s v="Lang Nghe Industrial Area - Quan Hau Town Quang Ninh District - Quang Binh Province"/>
        <s v="AP 5, XA AN PHUOC, LONG THANH, DONG NAI"/>
        <s v="XA MINH DUC, HUYEN TU KY, HAI DUONG"/>
        <s v="KCN TAM DIEP, TAM DIEN, NINH BINH"/>
        <s v="BLOCK L3.1&amp;1/2 L3.2, DO SON INDUSTRIAL ZONE, HAI PHONG"/>
        <s v="LOT 6-THUY VAN IZ-PHU THO"/>
        <s v="NO1, VALLEY 321, VINH HUNG STREET, HOANG MAI DIST, HA NOI"/>
        <s v="THUY VAN IZ-LOT 10-VIET TRI-PHU THO"/>
        <s v="Khe Xoan Hamlet – Doi Can commune – Tuyen Quang City"/>
        <s v="D19/34 WARD 4, VINH LOC B, BINH CHANH, TP HCM"/>
        <s v="SO 1, LO 6-7, KCN LANG NGHE, THI TRAN NGA SON, THANH HOA"/>
        <s v="LÔ SỐ 54, CỤM TTCN LÀNG NGHỀ XÃ NHẬT TÂN, HUYỆN KIM BẢNG , TỈNH HÀ NAM"/>
        <s v="P603 TẦNG 1, TÒA NHÀ CT5, KĐT MỸ ĐÌNH MỄ TRÌ, HA NOI"/>
        <s v="NHON HOA 1, DUC HOA, LONG AN"/>
        <s v="Thon Tan Ly, xa Thanh Tam, huyen Thach Thanh, tinh Thanh Hoa"/>
        <s v="ZONE 6, VAN CO, VIET TRI, PHU THO"/>
        <s v="THACH KHOI- GIA LOC- HAI DUONG"/>
        <s v="CAI DAN, SONG CONG, THAI NGUYEN"/>
        <s v="Cn 14- Khai quang sub-industrial zone, Khai Quang commune, Vinh Yen capital town, Vinh Phuc province."/>
        <s v="NGUYEN GON VILLAGE,, CAI DAN WARD, SONG CONG TOWN, THAI NGUYEN PROVINCE"/>
        <s v="B1-B12 AND E1-E12 LOT, DONG XOAI II, INDUSTRIAL PARK, TIEN THANH COMMUNE, DONG XOAI TOWN, BINH PHUOC"/>
        <s v="Lô AI, AI-1, AVI, AVII, KII-1, Khu Cong Nghiep Tân Hương, Châu Thành, Tiền Giang. "/>
        <s v="TIEU TRA-HUNG DAO WARD-KIEN THUY DIST-HAI PHONG"/>
        <s v="PHU UNG, AN THI, HUNG YEN"/>
        <s v="KCN VAN TRUNG, VIET YEN, BAC GIANG"/>
        <s v="208 LE LOI ST-SON TAY-HA  NOI"/>
        <s v="Cum CN Hoang Xa, Thanh Thuy, Phu Tho"/>
        <s v="KM 6, DUONG 39, VU NINH, KIEN XUONG, THAI BINH"/>
        <s v="LOT17-DA NANG IP-AN HAI BAC-SON TRA- DA NANG CITY"/>
        <s v="DUONG 10 LOC HA NAM DINH"/>
        <s v="XUAN TRUONG, NAM DINH"/>
        <s v="KCN HAI PHUONG, HAI HAU, NAM DINH"/>
        <s v="TAM THON, NGHIA THAI, NGHIA HUNG, NAM DINH"/>
        <s v="DUONG TRUONG CHINH, XUAN TRUONG, NAM DINH"/>
        <s v="105 NGUYEN DUC THUAN, NAM DINH"/>
        <s v="SONG HONG GARMENTJCS, XUAN TRUONG TOWN, XUAN TRUONG DISTRICT, NAM DINH PROVICE"/>
        <s v="DUONG 10-LOC HA-NAM DINH"/>
        <s v="Song Hong 4 :Thi Tran Xuan Truong (Sau tuong dai Tr­uong Chinh ) Huyen Xuan truong   - Nam Dinh -"/>
        <s v="10A1-TAN LONG VILLAGE-THANH THU COMMUNE-BEN LUC-LONG AN"/>
        <s v="thi tran xuan truong (sau tuong dai truong trinh ),Huyen Xuan truong   - Nam Dinh"/>
        <s v="KHU CANH DIEU VANG, MY TRUNG, MY LOC, NAM DINH"/>
        <s v="864 STREET, BINH TAO HAMLET, TRUNG AN, MY THO, TIEN GIANG"/>
        <s v="TIEN TRANG TOURIST AND INDUSTRIAL ZONE, QUANG LOI, QUANG XUONG, THANH HOA"/>
        <s v="1488 mukim12-seberang perai selatan -14200 sungai bakep-penang- malaysia"/>
        <s v="KCN NGUYEN DUC CANH, BUI VIEN, THAI BINH"/>
        <s v="DUONG SO 3, KCN NHON TRACH 1, HUYEN NHON TRACH, DONG NAI"/>
        <s v="Cty TNHH 29/3_x000a_60 Me Nhu - Thanh Khe - Da Nang"/>
        <s v="CUM CN HOANG DIEU, GIA LOC, HAI DUONG"/>
        <s v="LÔ 3, KHU CN PHÚ NGHĨA, HUYỆN CHƯƠNG MỸ, HÀ NỘI"/>
        <s v="KCN BAU XEO-TRANG BOM-DONG NAI"/>
        <s v="LO CN5, KCN THACH THAT - QUOC OAI, HUYEN THACH THAT, HA NOI "/>
        <s v="LO B-KCN LỄ MÔN-TP. THANH HOA"/>
        <s v="PLOT D6, KCN MY TRUNG, MY LOC, NAM DINH"/>
        <s v="LO C4 DUONG D4 KCN BAO MINH HUYEN VU BAN, TINH NAM DINH"/>
        <s v="ES PART G2 + G3 + G7 + G8, BAO MINH INDUSTRIAL PARK, VU BAN DISTRICT, NAM DINH PROVI"/>
        <s v="Cao An commune, Cam Giang district, Hai Duong province, Vietnam."/>
        <s v="PHO NOI A INDUSTRIAL ESTATE-TRUNG TRAC COMMUNE-VAN LAM DIST-HUNG YEN"/>
        <s v="Binh Xuyen Industrial Zone, Binh Xuyen District, Vinh Phuc Province"/>
        <s v="CUM CN TAM QUAN, THI TRAN TAM QUAN, HOAI NHON, BINH DINH"/>
        <s v="KCN CAU GAO, DAN PHUONG, HA NOI"/>
        <s v="BINH KIEU-DONG HAI WARD-HAI AN DIST-HAI PHONG"/>
        <s v="THANH XUYEN 4 HAMLET, TRUNG THANH COMMUNE,PHO YEN DISTRICT,THAI NGUYEN PROVINCE"/>
        <s v="SO 2, DUONG TRUONG CHINH, PHU LY, HA NAM"/>
        <s v="KHU DO THI MOI YEN HOA, CAU GIAY, HA NOI"/>
        <s v="_x000a_Lot4.KCN Nguyen Duc Canh. Tp Thai Binh.Tinh Thai Binh _x000a_Att:Jacks Tuan( Phong XNK) Tel:+84 36 3846 788 Ext:219,Fax:36 3847 019"/>
        <s v="LOT 4, KCN NGUYEN DUC CANH, THAI BINH"/>
        <s v="PHU XUAN, PHU PHONG, TAY SON, BINH DINH"/>
        <s v="KM 85 + 300 QUỐC LỘ 10, XÃ TÂN BÌNH, TP.THÁI BÌNH, TỈNH THÁI BÌNH"/>
        <s v="THUAN PHAP, DIEM THUY, PHU BINH, THAI NGUYEN"/>
        <s v="90 TAY SON, QUY NHON, BINH DINH"/>
        <s v="​SO 14, DUONG AN DUONG VUONG, P. CHAM MAT, TP. HOA BINH"/>
        <s v="BII-8 SECTION-D3 ST-TAN HUONG IZ-TIEN GIANG"/>
        <s v="NO32-2A RD-BIEN HOA IZ II-BIEN HOA-DONG NAI"/>
        <s v="437 DA NANG, HAI AN, HAI PHONG"/>
        <s v="128 QUANG TRUNG, THAI BINH"/>
        <s v="01 HAI BA TRUNG, THAI BINH"/>
        <s v="HALAM-CHO DUOC INDUSTRIAL ZONE,_x000a_ THANG BINH DISTRICT, QUANG NAM"/>
        <s v="KM3-500-HUNG VUONG-PHU KHANH-THAI BINH"/>
        <s v="327 TO 45, HOANG VAN THU, HOANG MAI, HA NOI"/>
        <s v="KM16. DUONG 353, PHUONG MINH DUC, DO SON, HAI PHONG"/>
        <s v="KM11 NATIONAL ROAD NO 1A  VAN DIEW TOWN - HA NOI"/>
        <s v="BAO LY, PHU BINH, THAI NGUYEN"/>
        <s v="K11, QL 1A, VAN DIEN, THANH TRI, HA NOI"/>
        <s v="40 – To 4 – Khu I – Quan Toan – Hong Bang Hai Phong"/>
        <s v="DUONG SO 6, LO 4, KCN NAM DIEN NGOC, QUANG NAM"/>
        <s v="GIAO HANG DEN KM SO 3, DUONG PHAM VAN DONG, PHUONG ANH DUNG, QUAN DUONG KINH, HAI PHONG,"/>
        <s v="THUY DUONG-HUONG THUY-_x000a_TT HUE"/>
        <s v="DUONG SO 5, CUM CN LANG NGHE AN HOA, AN HOA, HUE"/>
        <s v="Km số 3, đường Phạm Văn Đồng, Phường Anh Dũng, Quận Dương Kinh, Hải Phòng, "/>
        <s v="No.49,871 Provincial Street,Go Luc Hamlet, Tan Dong Commune,Go Cong Dong District,Tien Giang"/>
        <s v="VAM HAMLET, BEN LUC, LONG AN"/>
        <s v="KM 07. 31 ROAD, DAI LAM VILLAGE, LANG GIANG DISTRICT, BAC GIANG PROVINCE"/>
        <s v="AP NHON HOA 1, XA DUC HOA THUONG, HUYEN DUC HOA, LONG AN"/>
        <s v="XA XUAN LAM, HUYEN THUAN THANH, TINH BAC NINH"/>
        <s v="277, NGUYEN TRAI ROAD,_x000a_ THANH XUAN, HA NOI"/>
        <s v="LO C 07(07-06),KCN TINH PHONG,X. TINH PHONG,H.SON TINH, QUANG NGAI"/>
        <s v="Tan Quang Commune, Van Lam Dist.. Hung Yen"/>
        <s v="QL1A, KHU VUC 7, P. BUI THI XUAN, QUY NHON, BINH DINH"/>
        <s v="THI TRAN VUONG, TIEN LU, HUNG YEN"/>
        <s v="BA HANG, THU SY, TIEN LU, HUNG YEN"/>
        <s v="476 QL 1A, KHU PHO BINH CU, PHUONG 4, TP. TAN AN, LONG AN"/>
        <s v="NO 09, KCN BAC SON, BIM SON, THANH HOA"/>
        <s v="LA BONG, HOA TIEN, HOA VANG, DA NANG"/>
        <s v="DUONG D3, KCN PHO NOI, VAN LAM, HUNG YEN"/>
        <s v="234, PHUONG 9,TP.MY THO, TIEN GIANG"/>
        <s v="234-SECTION 6-WARD 9-MY THO-TIEN GIANG"/>
        <s v=" NHÀ MÁY MAY XK BÍCH SƠN, THÔN KIỂU, XA BICH DONG, VIET YEN, BAC GIANG"/>
        <s v="DOI TRAI QUAN, SON DAONG, LAP THACH, VINH PHUC"/>
        <s v="KCN PHUC KHANH, PHU KHANH, THAI BINH"/>
        <s v="KCN NAM SACH , HAI DUONG"/>
        <s v="SO 226 PHO LE LAI, PHUONG MAY CHAI, QUAN NGO QUYEN, HAI PHONG"/>
        <s v="VINH HONG, BINH GIANG, HAI DUONG"/>
        <s v="KCN NAM SACH, HAI DUONG"/>
        <s v="KCN LAI VU- HAI DUONG"/>
        <s v=" Thôn An Lạc - xã An Dục - huyện Quỳnh Phụ - Tỉnh Thái Bình"/>
        <s v="KCN NAM SACH HAI DUONG"/>
        <s v="DUONG TS 13, KCN TIEN SON, TUONG GIANG, TU SON, BAC NINH"/>
        <s v="GIAO TNG 4, XUONG 4, KHU B, KCN SONG CONG, SONG CONG, THAI NGUYEN"/>
        <s v="160 MINH CAU, THAI NGUYEN"/>
        <s v="N 5 SUOI TRE, LONG KHANH, DONG NAI"/>
        <s v="SO 32B, DUONG DOI NHAN, BA DINH, HA NOI"/>
        <s v="434/1 BAC CAN THAI NGUYEN"/>
        <s v="221 Thong Nhat, Thai Nguyen"/>
        <s v=" 6th Floor,  No.478 Minh Khai Str,Hai Ba Trung Dist, Hanoi  "/>
        <s v="TIEN HOI COMMUNE. DAI TU DISTRICT, THAI NGUYEN"/>
        <s v="CHI NHANH MAY PHU BINH, KHA SON, PHU BINH, THAI NGUYEN"/>
        <s v="160 MINH CAU THAI NGUYEN"/>
        <s v="SONG CONG 1, KHU B, KCN SONG CONG, THAI NGUYEN"/>
        <s v="SONG CONG 2, KHU B, KCN SONG CONG, THAI NGUYEN"/>
        <s v="SONG CONG 3, KHU B, KCN SONG CONG, THAI NGUYEN"/>
        <s v="TNG CHI NHANH SONG CONG 4, KHU B, KCN SONG CONG, TP SONG CONG, THAI NGUYEN"/>
        <s v="17B, AP SUOI CAO, PHUOC DONG, GO DAU, TAY NINH"/>
        <s v="KCN DONG VAN I, DUY TIEN, HA NAM"/>
        <s v="243B Long Hội, Giao Long,_x000a_Châu Thành, Tỉnh Bến Tre"/>
        <s v="10-HO SEN-LE CHAN-HAI PHONG"/>
        <s v="313 Da Nang-Ngo Quyen-Hai Phong"/>
        <s v="NGA 4 DONG SON, KENH GIANG, THUY NGUYEN, HAI PHONG"/>
        <s v="402 ST- HOA NGHIA-DUONG KINH-HAI PHONG"/>
        <s v="SO 208, DUONG LAM SON, HUYEN NONG CONG, THANH HOA"/>
        <s v="KCN TRUONG XUAN, TAM KY, QUANG NAM"/>
        <s v="LOT A2, DUONG SO 2, KCN THUAN DAO, BEN LUC, LONG AN"/>
        <s v="LO H, KCN AN HIEP, XA AN HIEP, CHAU THANH, SOC TRANG"/>
        <s v="KHU CON NGHIEP HOA PHU-VINH LONG"/>
        <s v="TAN DAN, YEN DUNG, BAC GIANG"/>
        <s v="KCN AU LAU XA AU LAU, THANH PHO YEN BAI, TINH YEN BAI"/>
        <s v="BI, BII, BIII, BIV SECTION,  GIAO LONG INDUSTRIAL ZONE PHASE II,AN PHUOC COMMUNE, CHAU THANH DISTRICT, BEN TRE PROVINCE"/>
        <s v="LOT C1, KCN  SUOI DAU, CAM LAM, KHANH HOA"/>
        <s v="Quang Minh Park, Me Linh Dist,_x000a_ Ha Noi"/>
        <s v="HONG CHAU, DONG HUNG, THAI BINH"/>
        <s v="no1,street 2, Da Nang IZ, An Don, An Hai Bac, Son Tra, Da Nang"/>
        <s v="QL 45, 12, VAN HA, THIEU HOA, THANH HOA"/>
        <s v="CUM CN NGOC HOI, THANH TRI, HA NOI"/>
        <s v="PHU LAM VILLALE-VAN PHU COMMUNE, NHO QUAN DISTRICT,NINH BINH PROVINE"/>
        <s v="NGA 3 QUAN BAU, TP VINH, NGHE AN"/>
        <s v="A5,6,7,B1,2 TAM DAN INDUSTRIAL ZONE, PHU NINH DISTRICT, QUANG NAM PROVINCE"/>
        <s v="Km40, Highway 5A, Lai Cach commune, Cam Giang District, Hai Duong province, Vietnam"/>
        <s v="LOC TRU, TIEN THANG, TIEN LANG, HAI PHONG"/>
        <s v="TAM THANG INDUSTRIAL ZONE, TAM KY CITY, QUANG NAM"/>
        <s v="ROOM 317-320, BLOCK E1, TRUNG TU DIPLOMATIC COMPOUND, 6 DANG VAN NGU, DONG DA, HA NOI"/>
        <s v="KIM TRANG, VIET LAP, TAN YEN, BAC GIANG"/>
        <s v="KCN TAN LIEN, TAN LIEN, VINH BAO, HAI PHONG"/>
        <s v="LO 20+23+24, CUM CN AN XA, TP NAM DINH"/>
        <s v="651HIGHWAY 1A-THU TUU 1-TAN KHANH-TAN AN-LONG AN"/>
        <s v="SO 5 HOANG HOA THAM, NAM DINH"/>
        <s v="DI SU-MY HAO-HUNG YEN"/>
        <s v="846-848 BINH GIA , VUNG TAU CITY"/>
        <s v="226 LE LAI, NGO QUYEN, HAI PHONG"/>
        <s v="SO 5 NGUYEN DUY CHINH STR-BAN DAO LINH DAM-HOANG MAI-HA NOI"/>
        <s v="KM 1, DUONG PHAM VAN DONG, DUONG KINH, HAI PHONG"/>
        <s v="KM30, HIGHWAY 5, BACH SON, MY HAO, HUNG YEN"/>
        <s v="KM 30-HIGHWAY 5-BACH SAM-MY HAO-HUNG YEN"/>
        <s v="QUANG MINH INDUSTRIAL PARK, ME LINH, VINH PHUC, VN"/>
        <s v="KM10-10 RD-DONG HOP-DONG HUNG TOWN-THAI BINH"/>
        <s v="THI TRAN AN BAI, QUYNH PHU, THAI BINH"/>
        <s v="QUYNH PHUC INDUSTRIAL PARK, PHUC THANH COMMUNE, KIMTHANH DIST"/>
        <s v="KHANH NHAC INDUSTRIAL PARK, KHANH NHAC, YEN KHANH DIST, NINH BINH PROVINCE"/>
        <s v="THON THUONG DONG, XA HIEN KHANH,_x000a_ HUYEN VU BAN, NAM DINH"/>
        <s v="LOT A2 A3 A4, KCN BA THIEN 2, THIEN KE, BINH XUYEN, VINH PHUC"/>
        <s v="10 THANH BINH, MO LAO, HA DONG, HA NOI"/>
        <s v="Hoà Đình, Phường Võ Cường,_x000a_TP Bắc Ninh, tỉnh Bắc Ninh"/>
        <s v="HOA DINH, VO CUONG, BAC NINH"/>
        <s v="THON DANH THUONG, DANH THANG, HIEP HOA, BAC GIANG"/>
        <s v="KCN LOC SON, BAO LOC, LAM DONG"/>
        <s v="SO 14, XOM 5, BAT TRANG, GIA LAM, HA NOI"/>
        <s v="Lô A2, CN1, Cụm công nghiệp vừa và nhỏ Từ Liêm, Minh Khai, Bắc Từ Liêm, Hà nội"/>
        <s v="Thon Giao Cu trung, xa Dong Son, huyen Nam Truc, Nam Dinh"/>
        <s v="Ha Son Industrial Land Zone, Ngoc Lac Town, Ngoc Lac District, Thanh Hoa Province"/>
        <s v="KM52-HIGHWAY 5-BINH HAN DIST-HAI DUONG"/>
        <s v="Thanh Khe Village, Nam Cuong Commune, eNam Truc District, Nam Dlnh Provinc"/>
        <s v="35 NGO QUYEN STR - THO QUANG WARD - SON TRA DIS- DANANG CITY"/>
        <s v="NO 100-QUANG TRUNG ST-THAI BINH"/>
        <s v="Lo B3-B4, khu cong nghiep Giao Long, CHAU THANH BEN TRE"/>
        <s v="KHU DONG SOC, VU DI, VINH TUONG, VINH PHUC"/>
        <s v="LO 12, KCN DIEN NAM - DIEN NGOC, DIEN BAN, QUANG NAM"/>
        <s v="KCN DONG XUYEN-P. RACH DUA-TP VUNG TAU"/>
        <s v="Khu 6, Go Don, Xa Huong Lung, Huyen Cam Khe, , Tinh Phu tho"/>
        <s v="LO A1, KCN HAPRO, XA LE CHI, GIA LAM, HA NOI"/>
        <s v="THANH DIEN CHAU THANH, TAY NINH"/>
        <s v="CN 13, KHAI QUANG INDUSTRIAL SUB ZONE, _x000a_VINH PHUC TOWN,_x000a_ VINH PHUC"/>
        <s v="LO 14, KCN KHAI QUANG, VINH YEN, VINH PHUC"/>
        <s v="khu 6, Đồn Tây, Xã Thanh Vinh, Thị Xã Phú Thọ, Phú Thọ"/>
        <s v="OA1, KCN HAPRO, XA LE CHI. GIA LAM, HA NOI"/>
        <s v="Phú Keo, xã Kim San, huyện Gia Lâm, thành phố Hà Nội"/>
        <s v="SO 37, NGO 67, PHO DUC GIANG, QUAN LONG BIEN, HANOI"/>
        <s v="LO A6, CUM CN BONG SON, THI TRAN BONG SON, HOAI NHON, BINH DINH"/>
        <s v="25 TRAN QUY CAP- DA NANG_x000a_(MS.PHUONG: 0935 214 921)"/>
        <s v="88 THANH SON, THANH BINH, HAI CHAU, DA NANG"/>
        <s v="88 DUONG THANH SON, QUAN HAI CHAU, DA NANG"/>
        <s v="ROAD 3, HOA KHANH IZ, LINH CHIEU, DA NANG"/>
        <s v="25/33 alley linh nam-mai dong -hoang mai-ha noi"/>
        <s v="LO CN3, CUM CN TU HA, TU HA, HUONG TRA, THUA THIEN HUE"/>
        <s v="Ngã ba Lộ Quẹo, ấp An Hòa, xã Định An, H. Gò Quao, Kien Giang"/>
        <s v="2rd Floor, ICT Building 02-9A Lot, Hoang Mai I.Z, Hoang Mai Dist., Hanoi, Viet Nam."/>
        <s v="LO A8, CUM CN LA HA, THI TRAN LA HA, TU NGHIA, QUANG NGAI"/>
        <s v="KCN PHUC UNG, HUYEN SON DUONG, TUYEN QUANG"/>
        <s v="20 LINH NAM, HOANG MAI, HA NOI"/>
        <s v="6TH FL- NO.478-MINH KHAI-HA NOI"/>
        <s v="ADIDAS PLANNING DEPT-B1 BUILDING-HOA PHU IP-VINH LONG"/>
        <s v="1768 Duong 30-4, Phuong 12, Vung Tau City, VunG TAU"/>
        <s v="2187A, DAI LO HUNG VUONG, GIA CAM, VIET TRI, PHU THO"/>
        <s v="SO 11-PHO PHAM SU MENH-HAI DUONG"/>
        <s v="DONG DA, VINH YEN, VINH PHUC"/>
        <s v="QUANG MINH INDUSTRIAL PARK, ME LINH, HA NOI"/>
        <s v="LO C1, KCN BINH HOA, XA BINH HOA, CHAU THANH, AN GIANG"/>
        <s v="KCN DONG SOC, VU DI, VINH TUONG, VINH PHUC"/>
        <s v="DUC LAP THUONG, DUC HOA, LONG AN"/>
        <s v="AP THANH PHUOC-X THANH DIEN-H CHAU THANH-TAY NINH"/>
        <s v="LOT 39-40-42 DUONG N2, KCN AN XA, NAM DINH"/>
        <s v="DUONG SO 3, KCN HOA KHANH, HOA KHANH, LIEN CHIEU, DA NANG"/>
        <s v="KHU TM HIEP THANH, MOC BAI, BEN CAU, TAY NINH"/>
        <s v="CÔNG TY SX GIÀY UY VIỆT, KCN CHÂU ĐỨC, XÃ SUỐI NGHỆ, HUYỆN CHÂU ĐỨC, TỈNH BRVT"/>
        <s v="377 PHUC TAN, HOAN KIEM, HA NOI"/>
        <s v="421A, HOANG QUOC VIET, CAU GIAY, HA NOI"/>
        <s v="Nha 11, day A11, Đàm Trấu, Bạch Đằng, Hai Bà Trưng, Hà Nội"/>
        <s v="TANG 5, TOA NHA PN, NGO 61/4, LAC TRUNG, HA NOI"/>
        <s v="ROOM 1503, VINACONEX BUILDING, HH-2, PHU HUNG, TU LIEM, HA NOI"/>
        <s v="A2, PHU DIEN, TU LIEM, HA NOI"/>
        <s v="Lo 6, biet thu 5, Ban dao linh dam_x000a_, phuong Hoang Liet, Q. Hoang mai, Hn"/>
        <s v="THANH BINH, MO LAO, HA DONG, HA NOI"/>
        <s v="Lô 15 – Đông Bắc Ga – Đường Dương Đình Nghệ - Phường Đông Thọ - Thành Phố Thanh Hóa"/>
        <s v="Nhà N5, khu D, 25 Láng Hạ-HA NOI"/>
        <s v="CUM CN TAY AN, XA DUY TRUNG, HUYEN DUY XUYEN, TINH QUANG NAM"/>
        <s v="572 XUONG GIANG, BAC GIANG"/>
        <s v="LO 3.3, 3.4, KCN DO SON, TAN THANH, DUONG KINH, HAI PHONG"/>
        <s v="HAI AN, QUYNH NGUYEN, QUYNH PHU, THAI BINH"/>
        <s v="11 ROAD, KCN DONG XUYEN, RACH DUA, VUNG TAU"/>
        <s v="Lo 71A, 72A, 78A, 79 KCN Long Giang xa Tan Lap 1, Huyen Tan Phuoc Tỉnh Tien Giang"/>
        <s v="CUM CN BINH NGUYEN, XA BINH NGUYEN, HUYEN BINH SON, QUANG NGAI"/>
        <s v="LOT CN07, KCN TAN LIEN, VINH BAO, HAI PHONG"/>
        <s v="AP BINH TIEN 2, XA DUC HOA HA, DUC HOA, LONG AN"/>
        <s v="XOM 6, NGA MY, NGA SON, THANH HOA"/>
        <s v="CHAU TU, CHAU LOC, HAU LOC, THANH HOA"/>
        <s v="THAP HONG KY INDUSTRIAL GROUP, DIEN CHAU, NGHE AN_x000a_NGHE AN&quot;            _x000a_"/>
        <s v="67 DUY TAN – TP DA NANG "/>
        <s v="Khố 4 Thị Trấn Anh Sơn, Huyện Anh Sơn , Tỉnh Nghệ An"/>
        <s v="BICH HOA, THANH OAI HA NOI"/>
        <s v="DUONG TRAN HUNG DAO, P. PHU MY, TP LONG XUYEN, AN GIANG"/>
        <s v="54 PHAM NGOC THACH, P. LOC PHAT, TP. BAO LOC, LAM DONG"/>
        <s v="A1-A3 KCN Minh Hung Han Quoc, Huyen Chon Thanh, Tinh Binh Phuoc"/>
        <s v="A1-A3, KCN MINH HUNG HAN QUOC, CHON THANH, BINH PHUOC"/>
        <s v="NO. 1028 OF CT5 MY DINH, _x000a_ME TRI, TU LIEM, HA NOI"/>
        <s v="NO F5, F6, F7, F8, F9, F10 KCN BAC DONG PHU, TAN PHU, DONG PHU, BINH PHUOC"/>
        <s v="NO.B6,THUY VAN IZ,VIET TRI,PHU THO,VIET NAM"/>
        <s v="Đường đê vòng, Quy Phú, Nam Hồng, Nam Trực, Nam Định"/>
        <s v="NO.22, BAI SAY AREA, HA CAU WARD, HA DONG DIST, HA NOI"/>
        <s v="LOT A4/2, KCN TRUONG XUAN, TAM KY, QUANG NAM"/>
        <s v="353  PHAM VAN DONG RD-ANH DUNG VILLAGE-DUONG KINH DIST-HAI PHONG"/>
        <s v="NO.488 HA HUY TAP ROAD-YEN VIEN TOWNLET-GIA LAM"/>
        <s v="KIEN BAI-THUY NGUYEN- HAI PHONG"/>
        <s v="Lot AIII - 1,5 Tan Huong IZ, Tan Huong Ward, Chau Thanh Dist, Tien Giang Province"/>
        <s v="LOT J10, KCN NOMURA HAI PHONG, AN DUONG, HAI PHONG"/>
        <s v="KCN Đồng Văn, DUy Tiên, Hà Nam"/>
        <s v="HOA XA INDUSTRIAL PARK-NAM DINH CITY"/>
        <s v="KCN DINH TRAM, VIET YEN BAC GIANG"/>
        <s v="Ta Thuong Hamlet- Chinh Nghia commune- Kim Dong District-Hung Yen Province"/>
        <s v="LO 6, BIET THU 5, BAN DAO LINH DA, QUAN HOANG MAI, HA NOI"/>
        <s v="DONG HUNG, YEN THO, Y YEN, VU BAN, NAM DINH"/>
        <s v="DUC NGAI 1, DUC LAP THUONG, DUC HOA, LONG AN"/>
        <s v="room No 172- I9, Building, Lane 13,_x000a_Khuat Duy Tien, Thanh Xuan, Ha Noi"/>
        <s v="KCN PHONG DIEN-HUE"/>
        <s v="DUONG SO 6, KCN HOA KHANH, LIEN CHIEU, DA NANG"/>
      </sharedItems>
    </cacheField>
    <cacheField name="FORWARDER" numFmtId="0">
      <sharedItems containsBlank="1" containsMixedTypes="1" containsNumber="1" containsInteger="1" minValue="0" maxValue="0" count="124">
        <s v="HANG CHUNG CTU"/>
        <m/>
        <s v="KHTT-TTC"/>
        <s v="HANG CHUNG CHUNG TU"/>
        <s v="cho XNK confirm"/>
        <s v="KH GOI FORWARDER VAO LAY"/>
        <s v="GIAO CHUNG HD- KH DEN LAY"/>
        <s v="CTU"/>
        <s v="SHIPTO: PHU THO HANG CHUNG CTU"/>
        <s v="VIETTEL - KHTT"/>
        <s v="CTU- NHAN TIMBERLAND"/>
        <n v="0"/>
        <s v="NETCO-KHTT"/>
        <s v="KHTT PHI VC"/>
        <s v="INVISTA"/>
        <s v="CHO CONFIRM XNK_x000a_C.Trang_x000a_Viettel- KHTT"/>
        <s v="NNTT"/>
        <s v="27-31 HANG THANG KO GIAO"/>
        <s v="KEM PL CHI TIET DANH SO THU TU TREN KIEN HANG- CON NHAN H&amp;M LAM THEO FORM CS"/>
        <s v="PHAT DUNG TEN NGUOI LIEN HE"/>
        <s v="CTU-NETCO-DN#AWB_x000a_ghi so DN len Bill"/>
        <s v="BILL SERIM GIAO HANG TRC_x000a_BILL YA SAINT CHUNG CTU"/>
        <s v="neu bil dasan thi KHTT-Bill H&amp;M thi minh thanh toan"/>
        <s v="HANG CTU"/>
        <s v="NETCO- NNTT"/>
        <s v="HANG GIAO TRUOC"/>
        <s v="KHDL"/>
        <s v="giao hang chung HD_x000a_ngay 27-31HANG THANG KHONG GIAO HANG"/>
        <s v="TTC-KHTT_x000a_WOLVERINE-NETCO- KHTT"/>
        <s v="CHUNG HD"/>
        <s v="HANG CHUNG TU"/>
        <s v="hang chung ctu_x000a_NETCO-KHTT"/>
        <s v="giao hang truoc-C.Trang"/>
        <s v="giao hang truoc_x000a_Viet so DN# len bill"/>
        <s v="TTC-KHTT"/>
        <s v="chung CTU"/>
        <s v="TTC- KHTT"/>
        <s v="VIETTEL- KHTT"/>
        <s v="HOI LAI XNK"/>
        <s v="HANG CHO CONFIRM"/>
        <s v="di hang va lam chi tiet"/>
        <s v="DONG MOC TREO"/>
        <s v="GIAO DUNG NGUOI LIEN HE"/>
        <s v="VN GEN HANG CHUNG CTU"/>
        <s v="hang ctu_x000a_PHAT DUNG NGUOI LIEN HE"/>
        <s v="HOI LAI A DUNG XNK"/>
        <s v="CTU- C TRANG"/>
        <s v="24-30/6 KIEM KE KHONG NHAN HANG"/>
        <s v="photo bill gui kem"/>
        <s v="NETCO-KHTT- HOI LAI XNK"/>
        <s v="GIAO 2 DN CHO KH"/>
        <s v="CO ADD DIA CHI THI GIAO LIEN DINH, KO ADD DIA CHI GIAO LIEN THUAN"/>
        <s v="CHO CS CONFIRM SHIP MODE"/>
        <s v="NHAN JC PENNEY - CHO KH CONFIRM SHIPMODE"/>
        <s v="C.KATE"/>
        <s v="CHO XNK CONFIRM_x000a_VIET DN# LEN BILL"/>
        <s v="GIAO HANG FORWARDER _x000a_HOI CHI DINH TRUOC KHI GIAO HANG"/>
        <s v="Avery thanh toan, BT-di bo, if KH confirm gap- di air"/>
        <s v="HANG CHO XNK CONFIRM_x000a_VIET SO DN# LEN BILL"/>
        <s v="BILL TO: HYUNJIN APPAREL GIAO VIETTEL, H&amp;M HENNES GIAO NETCO"/>
        <s v="CTU-C.Trang"/>
        <s v="HANG CHUNG CTU_x000a_VIET SO DN# LEN BILL"/>
        <s v="HANG CHUNG HOA DON"/>
        <s v="hoa don photo kem theo hang"/>
        <s v="HANG THANG LONG GIAO HOANG ANH- CTU"/>
        <s v="CHO XNK CONFIRM-PHAT DUNG NGUOI LIEN HE"/>
        <s v="PHO TO BILL GUI KEM CHO KH"/>
        <s v="DOI CS CONFIRM"/>
        <s v="HANG TRC CTU"/>
        <s v="CHUNG TU"/>
        <s v="VAT- DONG MOC TREO- CHUNG HD"/>
        <s v="DOI CS CONFIRM GIAO HANG"/>
        <s v="1 tuan giao 1 lan, duong bo- xnk confirm"/>
        <s v="KO GIAO CHO CS CONFIRM"/>
        <s v="cho XNK confirm-NETCO-DN#AWB_x000a_ghi so DN len Bill"/>
        <s v="FWDER KHDL DOI CHI VAN CF"/>
        <s v="CTU( HANG DI TRUOC CTU DI SAU)"/>
        <s v="HANG CHUNG HD"/>
        <s v="Cho CS confirm"/>
        <s v="NETCO- KHTT"/>
        <s v="GIAO KEM HOA DON"/>
        <s v="giao hang truoc-C.Trang- KHTT- NETCO"/>
        <s v="KHTT-NETCO"/>
        <s v="GOI FORWARDE DEN LAY HANG LIEN HE 0911682286"/>
        <s v="HANG CHO XNK CONFIRM"/>
        <s v="GAP INC GIAO THAI BINH, CON LAI GIAO HA NOI"/>
        <s v="TTC- KHTT - HD"/>
        <s v="HANG KHONG GAP- T5 GIAO XE TAI, HANG GAP-GUI KERRY"/>
        <s v="CHO XNK CONFIRM-_x000a_TTC- KHTT"/>
        <s v="NORTHFACE GIAO NETCO"/>
        <s v="GOI FORWARDER ADC DEN LAY- 0650 6257 333- GIAO DUONG BO- NNTT"/>
        <s v="GIAO THU 7 HANG TUAN_x000a_DUONG BO- NETCO- KHTT- hang chung ctu"/>
        <s v="GIAO BAROOM"/>
        <s v="HANG UNDER AMOR KEM PL"/>
        <s v="VN GEN -CHUNG CTU"/>
        <s v="NETCO-DN#AWB_x000a_ghi so DN len Bill_x000a_CHUNG CTU"/>
        <s v="nhãn Limited giao BaRom- KHTT_x000a_TTC-KHTT_x000a_CHUNG CTU"/>
        <s v="HANG VN GEN KHDL, HANG VAT GIAO NETCO"/>
        <s v="cho XNK confirm_x000a_TTC- KHTT"/>
        <s v="CTU- C.hoa"/>
        <s v="cho chi Tien cofirm di hang( vp tex-giang)"/>
        <s v="HANG TRUOC CHUNG TU"/>
        <s v="hang chung ctu_x000a_TTC-KHTT"/>
        <s v="HANG CHUNG CTU- NEU HANG GAP GIAO TRUOC"/>
        <s v="HANG CTU-"/>
        <s v="TTC-DV Nhat Tinh"/>
        <s v="CTU- C.Trang"/>
        <s v="DAN SHIPPING MARK THEO TUNG DON HANG"/>
        <s v="GIAO HANG CHUNG CTU_x000a_SO DN# LEN BILL"/>
        <s v="TIEN NHI"/>
        <s v="PRIMARK"/>
        <s v="giao hang truoc-C.Trang -GIAO DAI SON"/>
        <s v="SU DUNG VIETTEL"/>
        <s v="cho XNK confirm- PHAT DUNG NGUOI LIEN HE+ CTU"/>
        <s v="NETCO- NOTE TREN BILL &quot; DT TRUOC KHI GIAO&quot;"/>
        <s v="KHACH HANG DEN LAY"/>
        <s v="giao hang chung HD"/>
        <s v="VN GEN CHO CONFIM"/>
        <s v="HANG CHUNG CTU- A DUNG_x000a_Viet so DN# len Bill"/>
        <s v="giao hang truoc"/>
        <s v="HANG CHUNG CHUNG TU_x000a_PHAT DUNG NGUOI LIEN HE"/>
        <s v="VAT giao hang truoc"/>
        <s v="HANG COACH BAO CS KHDL, CON LAI GIAO NETCO"/>
        <s v="NEU HANG NIKE THI TU NGAY 28-CUOI MOI THANG SE K GIAO HANG"/>
      </sharedItems>
    </cacheField>
    <cacheField name="ATTN" numFmtId="0">
      <sharedItems containsBlank="1" containsMixedTypes="1" containsNumber="1" containsInteger="1" minValue="0" maxValue="321862423"/>
    </cacheField>
    <cacheField name="LEADTIME" numFmtId="0">
      <sharedItems containsBlank="1" containsMixedTypes="1" containsNumber="1" containsInteger="1" minValue="313580199" maxValue="3135801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8">
  <r>
    <n v="1"/>
    <x v="0"/>
    <x v="0"/>
    <x v="0"/>
    <s v="NGA: 0989 792 844"/>
    <m/>
  </r>
  <r>
    <n v="2"/>
    <x v="1"/>
    <x v="1"/>
    <x v="1"/>
    <s v="*JLAND KOREA - HANOI REPRESENTATIVE OFFICE_x000a_*FLOOR # 7, LILAMA 10 BUILDING_x000a_TO HUU STR, TRUNG VAN ,  TU LIEM, HA NOI_x000a_TEL: 84-4-916 28 58 18/ 84-4-37676652 (107)_x000a_Ms. Scarlet"/>
    <m/>
  </r>
  <r>
    <n v="3"/>
    <x v="2"/>
    <x v="2"/>
    <x v="1"/>
    <s v="Ms Ha: 0972 749 720"/>
    <m/>
  </r>
  <r>
    <n v="4"/>
    <x v="3"/>
    <x v="3"/>
    <x v="2"/>
    <s v="CINDY DT: 0613 542 971 Fax: 0613 542 973 "/>
    <m/>
  </r>
  <r>
    <n v="5"/>
    <x v="4"/>
    <x v="4"/>
    <x v="1"/>
    <m/>
    <m/>
  </r>
  <r>
    <n v="6"/>
    <x v="5"/>
    <x v="5"/>
    <x v="1"/>
    <s v="ATT: Nguyễn Hà Ngân_x000a_SDT: 0989220255                                  TEL: 04 62753387           "/>
    <s v="bao CS keu Kh dt goi no vao lay_x000a_chu minh goi 247 ko vao"/>
  </r>
  <r>
    <n v="7"/>
    <x v="6"/>
    <x v="6"/>
    <x v="1"/>
    <s v="MS THANH: 0915398241"/>
    <m/>
  </r>
  <r>
    <n v="8"/>
    <x v="7"/>
    <x v="7"/>
    <x v="1"/>
    <s v="0969722242 OR 01674682318"/>
    <m/>
  </r>
  <r>
    <n v="9"/>
    <x v="8"/>
    <x v="8"/>
    <x v="1"/>
    <m/>
    <m/>
  </r>
  <r>
    <n v="10"/>
    <x v="9"/>
    <x v="9"/>
    <x v="3"/>
    <s v="NHU 0905100138"/>
    <m/>
  </r>
  <r>
    <n v="11"/>
    <x v="10"/>
    <x v="10"/>
    <x v="1"/>
    <s v="YB HAN: 210 857 742"/>
    <m/>
  </r>
  <r>
    <n v="12"/>
    <x v="10"/>
    <x v="11"/>
    <x v="1"/>
    <s v="chi Nga - 0916887704"/>
    <m/>
  </r>
  <r>
    <n v="13"/>
    <x v="11"/>
    <x v="12"/>
    <x v="4"/>
    <s v="Ms Tuyet - 0168 8363209"/>
    <m/>
  </r>
  <r>
    <n v="14"/>
    <x v="12"/>
    <x v="13"/>
    <x v="5"/>
    <s v="MS HUYEN"/>
    <m/>
  </r>
  <r>
    <n v="15"/>
    <x v="13"/>
    <x v="14"/>
    <x v="6"/>
    <s v="NONO ZHANG: 064 394 8437"/>
    <m/>
  </r>
  <r>
    <n v="16"/>
    <x v="14"/>
    <x v="15"/>
    <x v="7"/>
    <s v="Ms.Khanh – Thu Mua ( Kitty) _x000a_0939 979 792"/>
    <s v=" Annie _x000a_So dt 0933191393"/>
  </r>
  <r>
    <n v="17"/>
    <x v="15"/>
    <x v="16"/>
    <x v="1"/>
    <s v="TUAN 01299232551"/>
    <m/>
  </r>
  <r>
    <n v="18"/>
    <x v="16"/>
    <x v="17"/>
    <x v="1"/>
    <m/>
    <m/>
  </r>
  <r>
    <n v="19"/>
    <x v="17"/>
    <x v="18"/>
    <x v="1"/>
    <s v="MS DUONG-57 3 838180"/>
    <m/>
  </r>
  <r>
    <n v="20"/>
    <x v="18"/>
    <x v="19"/>
    <x v="1"/>
    <s v="ANH LANG 0903 588 784"/>
    <m/>
  </r>
  <r>
    <n v="21"/>
    <x v="19"/>
    <x v="20"/>
    <x v="1"/>
    <s v="MS TY: 0917 021 577"/>
    <m/>
  </r>
  <r>
    <m/>
    <x v="20"/>
    <x v="21"/>
    <x v="1"/>
    <s v="Ms Lụa 01689245630 hoặc Ms Luyến  0989.328.565 "/>
    <m/>
  </r>
  <r>
    <n v="22"/>
    <x v="21"/>
    <x v="22"/>
    <x v="1"/>
    <s v="THUY TIEN 01233 833 911"/>
    <m/>
  </r>
  <r>
    <n v="23"/>
    <x v="22"/>
    <x v="23"/>
    <x v="0"/>
    <s v="MR VI: 0912 377 481"/>
    <m/>
  </r>
  <r>
    <n v="24"/>
    <x v="23"/>
    <x v="24"/>
    <x v="1"/>
    <s v="ATTN: LUU 0982669798"/>
    <m/>
  </r>
  <r>
    <n v="25"/>
    <x v="24"/>
    <x v="25"/>
    <x v="1"/>
    <s v="LAN ANH: 04 3784 3624"/>
    <m/>
  </r>
  <r>
    <n v="26"/>
    <x v="25"/>
    <x v="26"/>
    <x v="8"/>
    <s v="0976 261 522"/>
    <m/>
  </r>
  <r>
    <n v="27"/>
    <x v="26"/>
    <x v="27"/>
    <x v="1"/>
    <s v="MR BAC: 0982 533 778"/>
    <m/>
  </r>
  <r>
    <n v="28"/>
    <x v="27"/>
    <x v="28"/>
    <x v="9"/>
    <s v="MS HONG: 0936 077 359"/>
    <m/>
  </r>
  <r>
    <n v="29"/>
    <x v="28"/>
    <x v="28"/>
    <x v="1"/>
    <s v="KHANH HOA: 0123 84 74 588"/>
    <m/>
  </r>
  <r>
    <n v="30"/>
    <x v="29"/>
    <x v="23"/>
    <x v="1"/>
    <n v="4"/>
    <m/>
  </r>
  <r>
    <m/>
    <x v="30"/>
    <x v="29"/>
    <x v="1"/>
    <m/>
    <m/>
  </r>
  <r>
    <n v="31"/>
    <x v="31"/>
    <x v="30"/>
    <x v="1"/>
    <s v="Holly Nguyen +84 073 651 9999 Ext: 2105 "/>
    <m/>
  </r>
  <r>
    <n v="32"/>
    <x v="32"/>
    <x v="31"/>
    <x v="1"/>
    <m/>
    <m/>
  </r>
  <r>
    <n v="33"/>
    <x v="33"/>
    <x v="32"/>
    <x v="1"/>
    <s v="PHUONG ANH Tel: 0462820304/ 62820301"/>
    <m/>
  </r>
  <r>
    <n v="34"/>
    <x v="34"/>
    <x v="33"/>
    <x v="10"/>
    <s v="KIM ANH: 0913 269 420"/>
    <m/>
  </r>
  <r>
    <n v="35"/>
    <x v="35"/>
    <x v="34"/>
    <x v="0"/>
    <s v="MS GIANG: 04 628 20304"/>
    <s v="24-36"/>
  </r>
  <r>
    <n v="36"/>
    <x v="36"/>
    <x v="35"/>
    <x v="11"/>
    <s v="NONG 0918.981.539"/>
    <m/>
  </r>
  <r>
    <n v="37"/>
    <x v="37"/>
    <x v="36"/>
    <x v="1"/>
    <m/>
    <m/>
  </r>
  <r>
    <n v="38"/>
    <x v="38"/>
    <x v="37"/>
    <x v="1"/>
    <s v="MS YEN/BICH THAO-4 732198"/>
    <m/>
  </r>
  <r>
    <m/>
    <x v="39"/>
    <x v="38"/>
    <x v="1"/>
    <m/>
    <m/>
  </r>
  <r>
    <n v="39"/>
    <x v="40"/>
    <x v="39"/>
    <x v="1"/>
    <s v="HUONG: 0904 358 105"/>
    <m/>
  </r>
  <r>
    <n v="40"/>
    <x v="41"/>
    <x v="39"/>
    <x v="1"/>
    <s v="Tel: 0084 031 3 925001  - Ms Liz: 108"/>
    <m/>
  </r>
  <r>
    <n v="41"/>
    <x v="42"/>
    <x v="40"/>
    <x v="12"/>
    <s v="MS THAO: 0904 280 159"/>
    <m/>
  </r>
  <r>
    <m/>
    <x v="43"/>
    <x v="41"/>
    <x v="1"/>
    <m/>
    <m/>
  </r>
  <r>
    <n v="42"/>
    <x v="44"/>
    <x v="42"/>
    <x v="1"/>
    <s v="MR LEE: 0908 327 092"/>
    <m/>
  </r>
  <r>
    <n v="43"/>
    <x v="45"/>
    <x v="43"/>
    <x v="1"/>
    <m/>
    <m/>
  </r>
  <r>
    <n v="44"/>
    <x v="46"/>
    <x v="44"/>
    <x v="13"/>
    <s v="Tran Thanh Dien - Phone: 0975.090.643"/>
    <m/>
  </r>
  <r>
    <n v="45"/>
    <x v="47"/>
    <x v="45"/>
    <x v="11"/>
    <s v="MS GIANG: 0904 693 423"/>
    <m/>
  </r>
  <r>
    <n v="46"/>
    <x v="48"/>
    <x v="46"/>
    <x v="1"/>
    <s v="NHUNG HONG: 0240 3558 156"/>
    <m/>
  </r>
  <r>
    <n v="47"/>
    <x v="49"/>
    <x v="47"/>
    <x v="1"/>
    <s v="MS VAN: 0240 3558 156"/>
    <m/>
  </r>
  <r>
    <n v="48"/>
    <x v="50"/>
    <x v="48"/>
    <x v="14"/>
    <s v="0240 3558 156- NHUNG HONG"/>
    <m/>
  </r>
  <r>
    <n v="49"/>
    <x v="51"/>
    <x v="49"/>
    <x v="1"/>
    <s v="Ms Hue :351-880122 -0985.980.025"/>
    <s v="BILL:Young Shin "/>
  </r>
  <r>
    <n v="50"/>
    <x v="52"/>
    <x v="50"/>
    <x v="1"/>
    <m/>
    <m/>
  </r>
  <r>
    <n v="51"/>
    <x v="53"/>
    <x v="51"/>
    <x v="1"/>
    <s v="Hien Vu (  Sdt 0983363076)"/>
    <m/>
  </r>
  <r>
    <n v="52"/>
    <x v="54"/>
    <x v="52"/>
    <x v="1"/>
    <s v="MS LINH: 04 3943 4839"/>
    <m/>
  </r>
  <r>
    <n v="53"/>
    <x v="55"/>
    <x v="53"/>
    <x v="15"/>
    <s v="  Anh Trinh: (XNK- 0988 107 774) OR Thu( 01227 540 890 )"/>
    <m/>
  </r>
  <r>
    <n v="54"/>
    <x v="55"/>
    <x v="54"/>
    <x v="1"/>
    <m/>
    <m/>
  </r>
  <r>
    <m/>
    <x v="56"/>
    <x v="55"/>
    <x v="1"/>
    <m/>
    <m/>
  </r>
  <r>
    <n v="55"/>
    <x v="57"/>
    <x v="56"/>
    <x v="3"/>
    <s v="MR LOC 0979 888 064"/>
    <m/>
  </r>
  <r>
    <n v="56"/>
    <x v="58"/>
    <x v="57"/>
    <x v="1"/>
    <s v="PHUONG: 0986 702 913"/>
    <m/>
  </r>
  <r>
    <n v="57"/>
    <x v="59"/>
    <x v="58"/>
    <x v="1"/>
    <s v="TUNG +84 913 368181"/>
    <m/>
  </r>
  <r>
    <n v="58"/>
    <x v="60"/>
    <x v="59"/>
    <x v="1"/>
    <s v="Mr Nhan:0903 492 507"/>
    <m/>
  </r>
  <r>
    <n v="59"/>
    <x v="61"/>
    <x v="60"/>
    <x v="1"/>
    <s v="MR HAI: 0977 336 665"/>
    <m/>
  </r>
  <r>
    <n v="60"/>
    <x v="62"/>
    <x v="61"/>
    <x v="1"/>
    <s v="BUI DUC DU-363851271"/>
    <m/>
  </r>
  <r>
    <n v="61"/>
    <x v="63"/>
    <x v="62"/>
    <x v="1"/>
    <s v="MR KHUONG: 062 3871 857_x000a_MR DUC: 0122 797 0975"/>
    <m/>
  </r>
  <r>
    <n v="62"/>
    <x v="64"/>
    <x v="63"/>
    <x v="1"/>
    <s v="ATTN: TRANG "/>
    <m/>
  </r>
  <r>
    <n v="63"/>
    <x v="65"/>
    <x v="64"/>
    <x v="1"/>
    <s v="ARIEL MAO: 070 3962750"/>
    <m/>
  </r>
  <r>
    <n v="64"/>
    <x v="66"/>
    <x v="65"/>
    <x v="1"/>
    <s v="Main Line: (8472) 3817 988 OR (84)904 041 022 "/>
    <m/>
  </r>
  <r>
    <n v="65"/>
    <x v="67"/>
    <x v="66"/>
    <x v="16"/>
    <s v="THI 01203910284"/>
    <m/>
  </r>
  <r>
    <n v="66"/>
    <x v="68"/>
    <x v="67"/>
    <x v="1"/>
    <s v="DUNG: 0974 904 506"/>
    <m/>
  </r>
  <r>
    <n v="67"/>
    <x v="69"/>
    <x v="68"/>
    <x v="1"/>
    <s v="ANH HAI 0975602247"/>
    <m/>
  </r>
  <r>
    <n v="68"/>
    <x v="70"/>
    <x v="69"/>
    <x v="1"/>
    <s v="0963000291"/>
    <m/>
  </r>
  <r>
    <n v="69"/>
    <x v="71"/>
    <x v="70"/>
    <x v="1"/>
    <s v="THUY 04 62825908"/>
    <m/>
  </r>
  <r>
    <n v="70"/>
    <x v="72"/>
    <x v="71"/>
    <x v="0"/>
    <s v="MS LOI: 0987 108 511"/>
    <m/>
  </r>
  <r>
    <m/>
    <x v="73"/>
    <x v="72"/>
    <x v="1"/>
    <m/>
    <m/>
  </r>
  <r>
    <n v="71"/>
    <x v="74"/>
    <x v="73"/>
    <x v="1"/>
    <s v="MR.QUY: 0935 053 058"/>
    <m/>
  </r>
  <r>
    <n v="72"/>
    <x v="75"/>
    <x v="74"/>
    <x v="1"/>
    <s v="MS HUE 0978672392"/>
    <m/>
  </r>
  <r>
    <n v="73"/>
    <x v="76"/>
    <x v="75"/>
    <x v="17"/>
    <s v="Ms Linh 0926 589 590_x000a_Ms Hiệp 0162 732 2312 ( số nội bộ 532)"/>
    <s v="TU 28-31 KHONG GIAO HANG"/>
  </r>
  <r>
    <n v="74"/>
    <x v="77"/>
    <x v="76"/>
    <x v="1"/>
    <s v="HIEN: 01667025274"/>
    <m/>
  </r>
  <r>
    <n v="75"/>
    <x v="78"/>
    <x v="77"/>
    <x v="1"/>
    <s v="Mr. Lê Hồng Hải-0321 3942 839"/>
    <m/>
  </r>
  <r>
    <n v="76"/>
    <x v="79"/>
    <x v="78"/>
    <x v="1"/>
    <s v=" Mr.AN,Ms.TU Tel. 84-4-33512162  Fax: 84-4-33512163"/>
    <m/>
  </r>
  <r>
    <m/>
    <x v="80"/>
    <x v="79"/>
    <x v="1"/>
    <s v="CHI HIEN 0963096743"/>
    <m/>
  </r>
  <r>
    <m/>
    <x v="81"/>
    <x v="80"/>
    <x v="1"/>
    <s v="MS HUYEN 0987822611"/>
    <m/>
  </r>
  <r>
    <n v="77"/>
    <x v="82"/>
    <x v="81"/>
    <x v="1"/>
    <m/>
    <m/>
  </r>
  <r>
    <m/>
    <x v="83"/>
    <x v="82"/>
    <x v="1"/>
    <s v="Truc 0935623592"/>
    <m/>
  </r>
  <r>
    <n v="78"/>
    <x v="84"/>
    <x v="83"/>
    <x v="8"/>
    <s v="THO: 0977 353 074"/>
    <m/>
  </r>
  <r>
    <n v="79"/>
    <x v="85"/>
    <x v="84"/>
    <x v="1"/>
    <s v="THU THUY-4 8312075"/>
    <m/>
  </r>
  <r>
    <n v="80"/>
    <x v="86"/>
    <x v="85"/>
    <x v="1"/>
    <m/>
    <m/>
  </r>
  <r>
    <n v="81"/>
    <x v="87"/>
    <x v="86"/>
    <x v="1"/>
    <s v="ANH THIEN/ C. LUYEN: 0321 3972 868"/>
    <m/>
  </r>
  <r>
    <n v="82"/>
    <x v="88"/>
    <x v="87"/>
    <x v="1"/>
    <m/>
    <m/>
  </r>
  <r>
    <n v="83"/>
    <x v="89"/>
    <x v="88"/>
    <x v="1"/>
    <s v="Tel: 84- 511-3697640_x000a_Fax: 84-511- 3697 639"/>
    <m/>
  </r>
  <r>
    <n v="84"/>
    <x v="90"/>
    <x v="89"/>
    <x v="1"/>
    <s v="Do Thi Lanh-Phone: 0166 499 4645"/>
    <m/>
  </r>
  <r>
    <n v="85"/>
    <x v="91"/>
    <x v="90"/>
    <x v="1"/>
    <s v="XIAO BI-320 3784469"/>
    <m/>
  </r>
  <r>
    <n v="86"/>
    <x v="92"/>
    <x v="91"/>
    <x v="1"/>
    <m/>
    <m/>
  </r>
  <r>
    <m/>
    <x v="93"/>
    <x v="92"/>
    <x v="1"/>
    <m/>
    <m/>
  </r>
  <r>
    <n v="87"/>
    <x v="94"/>
    <x v="93"/>
    <x v="1"/>
    <s v="MS KHANH 0936144990"/>
    <m/>
  </r>
  <r>
    <n v="88"/>
    <x v="95"/>
    <x v="94"/>
    <x v="1"/>
    <s v="Mr Chung, Mobile: 0904211193"/>
    <m/>
  </r>
  <r>
    <n v="89"/>
    <x v="96"/>
    <x v="95"/>
    <x v="18"/>
    <s v="Thanh: 0982 175 182"/>
    <m/>
  </r>
  <r>
    <n v="90"/>
    <x v="97"/>
    <x v="96"/>
    <x v="1"/>
    <m/>
    <m/>
  </r>
  <r>
    <n v="91"/>
    <x v="98"/>
    <x v="97"/>
    <x v="8"/>
    <s v="ANH HAI 0975602247"/>
    <m/>
  </r>
  <r>
    <n v="92"/>
    <x v="99"/>
    <x v="98"/>
    <x v="1"/>
    <s v="Mr. Khanh 0913 615 899"/>
    <m/>
  </r>
  <r>
    <n v="93"/>
    <x v="100"/>
    <x v="99"/>
    <x v="1"/>
    <s v="TEL: 07103841925 (MS TRANG)"/>
    <m/>
  </r>
  <r>
    <n v="94"/>
    <x v="101"/>
    <x v="100"/>
    <x v="2"/>
    <s v="Tel: A Hai: 0975 602 247 _x000a_ Ms Nhung 0942 711333"/>
    <m/>
  </r>
  <r>
    <n v="95"/>
    <x v="102"/>
    <x v="101"/>
    <x v="1"/>
    <m/>
    <m/>
  </r>
  <r>
    <n v="96"/>
    <x v="103"/>
    <x v="102"/>
    <x v="1"/>
    <s v="MR: 0908351057-0543820244"/>
    <m/>
  </r>
  <r>
    <n v="97"/>
    <x v="104"/>
    <x v="103"/>
    <x v="1"/>
    <m/>
    <m/>
  </r>
  <r>
    <n v="98"/>
    <x v="105"/>
    <x v="104"/>
    <x v="19"/>
    <s v="MR MIN SIK KOH: 0211 3726 070"/>
    <m/>
  </r>
  <r>
    <n v="99"/>
    <x v="106"/>
    <x v="105"/>
    <x v="1"/>
    <m/>
    <m/>
  </r>
  <r>
    <n v="100"/>
    <x v="107"/>
    <x v="106"/>
    <x v="1"/>
    <s v="MS NGAN: 0168 716 4858"/>
    <m/>
  </r>
  <r>
    <n v="101"/>
    <x v="108"/>
    <x v="107"/>
    <x v="20"/>
    <s v="MR TRUNG: 0945 215 438"/>
    <m/>
  </r>
  <r>
    <n v="102"/>
    <x v="109"/>
    <x v="108"/>
    <x v="1"/>
    <s v="SON 0913218393"/>
    <m/>
  </r>
  <r>
    <n v="103"/>
    <x v="110"/>
    <x v="109"/>
    <x v="1"/>
    <s v="MS NA/ MS KHANH 052 3610678"/>
    <m/>
  </r>
  <r>
    <m/>
    <x v="111"/>
    <x v="110"/>
    <x v="1"/>
    <s v="THOA 0909 850 599"/>
    <m/>
  </r>
  <r>
    <n v="104"/>
    <x v="112"/>
    <x v="111"/>
    <x v="1"/>
    <s v="MS NO: 0933 522 717"/>
    <m/>
  </r>
  <r>
    <n v="105"/>
    <x v="113"/>
    <x v="112"/>
    <x v="21"/>
    <m/>
    <m/>
  </r>
  <r>
    <n v="106"/>
    <x v="114"/>
    <x v="113"/>
    <x v="0"/>
    <s v="MS LOAN: 0241 3821 603"/>
    <m/>
  </r>
  <r>
    <n v="107"/>
    <x v="115"/>
    <x v="114"/>
    <x v="22"/>
    <s v="GẤM: 0974 285 495"/>
    <m/>
  </r>
  <r>
    <n v="108"/>
    <x v="116"/>
    <x v="115"/>
    <x v="23"/>
    <s v="MRS DUNG: 0943 279 768"/>
    <m/>
  </r>
  <r>
    <n v="109"/>
    <x v="117"/>
    <x v="116"/>
    <x v="24"/>
    <s v="0351 3587 559 - MS DIEM"/>
    <s v="48-72"/>
  </r>
  <r>
    <n v="110"/>
    <x v="118"/>
    <x v="117"/>
    <x v="1"/>
    <s v="TEL: Ms. Dung Tran 0907567926"/>
    <m/>
  </r>
  <r>
    <m/>
    <x v="119"/>
    <x v="118"/>
    <x v="1"/>
    <s v="JULIE REN"/>
    <m/>
  </r>
  <r>
    <n v="111"/>
    <x v="120"/>
    <x v="119"/>
    <x v="25"/>
    <s v="MS.HUYỀN- TEL  0914 614 158"/>
    <m/>
  </r>
  <r>
    <n v="112"/>
    <x v="121"/>
    <x v="120"/>
    <x v="1"/>
    <m/>
    <m/>
  </r>
  <r>
    <n v="113"/>
    <x v="122"/>
    <x v="121"/>
    <x v="1"/>
    <m/>
    <m/>
  </r>
  <r>
    <m/>
    <x v="123"/>
    <x v="122"/>
    <x v="1"/>
    <s v="NHUNG HA 0936361585"/>
    <m/>
  </r>
  <r>
    <m/>
    <x v="124"/>
    <x v="123"/>
    <x v="1"/>
    <s v="NHUNG HA 0936361585"/>
    <m/>
  </r>
  <r>
    <n v="114"/>
    <x v="125"/>
    <x v="124"/>
    <x v="1"/>
    <s v="TEL: 0934757461 A.Hoa"/>
    <m/>
  </r>
  <r>
    <n v="115"/>
    <x v="126"/>
    <x v="125"/>
    <x v="1"/>
    <s v="MS THANH 0945107400"/>
    <m/>
  </r>
  <r>
    <n v="116"/>
    <x v="127"/>
    <x v="126"/>
    <x v="26"/>
    <m/>
    <m/>
  </r>
  <r>
    <n v="117"/>
    <x v="128"/>
    <x v="127"/>
    <x v="1"/>
    <s v="Anh Hoan:0904 376 582_x000a_Cham Anh: 0914 479 961- 03233 7471 816"/>
    <m/>
  </r>
  <r>
    <n v="118"/>
    <x v="129"/>
    <x v="128"/>
    <x v="1"/>
    <s v="MS PHUNG: 0905676882"/>
    <m/>
  </r>
  <r>
    <n v="119"/>
    <x v="130"/>
    <x v="129"/>
    <x v="1"/>
    <m/>
    <m/>
  </r>
  <r>
    <n v="120"/>
    <x v="131"/>
    <x v="130"/>
    <x v="1"/>
    <s v="TEL : (+84)510 3665696   EXT : 892, HP : (+84)1268 540 595, chi Huong  01268 540 595"/>
    <m/>
  </r>
  <r>
    <n v="121"/>
    <x v="132"/>
    <x v="131"/>
    <x v="27"/>
    <s v="LAM: 0122 829 5960_x000a_LINH:0908-902-983"/>
    <m/>
  </r>
  <r>
    <n v="122"/>
    <x v="133"/>
    <x v="132"/>
    <x v="28"/>
    <s v="Gap chi Vinh :  0982 338 322_x000a_CHI THUY 0987 224 977"/>
    <m/>
  </r>
  <r>
    <n v="123"/>
    <x v="134"/>
    <x v="133"/>
    <x v="1"/>
    <s v="MS CHI-04 33845920-0903436958"/>
    <s v="D"/>
  </r>
  <r>
    <n v="124"/>
    <x v="135"/>
    <x v="134"/>
    <x v="1"/>
    <s v="A TUAN: 0934363126"/>
    <m/>
  </r>
  <r>
    <n v="125"/>
    <x v="136"/>
    <x v="135"/>
    <x v="25"/>
    <s v="MS VY: 0933 150 071"/>
    <m/>
  </r>
  <r>
    <n v="126"/>
    <x v="137"/>
    <x v="136"/>
    <x v="1"/>
    <s v="ng phuong thanh-0983 168 601-4 3 5588418-126"/>
    <m/>
  </r>
  <r>
    <n v="127"/>
    <x v="138"/>
    <x v="137"/>
    <x v="1"/>
    <s v="ATTN: MS MAI 0989153376"/>
    <m/>
  </r>
  <r>
    <n v="128"/>
    <x v="139"/>
    <x v="138"/>
    <x v="29"/>
    <m/>
    <m/>
  </r>
  <r>
    <n v="129"/>
    <x v="140"/>
    <x v="139"/>
    <x v="1"/>
    <s v="MS NGUYEN THU 032 3722061"/>
    <m/>
  </r>
  <r>
    <n v="130"/>
    <x v="141"/>
    <x v="139"/>
    <x v="0"/>
    <s v="MS HUONG: 0903 281 280"/>
    <m/>
  </r>
  <r>
    <n v="131"/>
    <x v="142"/>
    <x v="140"/>
    <x v="1"/>
    <s v="Attn: Ms Nga/ Ms Thanh: 0321 3589165"/>
    <m/>
  </r>
  <r>
    <n v="132"/>
    <x v="143"/>
    <x v="141"/>
    <x v="1"/>
    <m/>
    <m/>
  </r>
  <r>
    <n v="133"/>
    <x v="144"/>
    <x v="142"/>
    <x v="1"/>
    <m/>
    <m/>
  </r>
  <r>
    <n v="134"/>
    <x v="145"/>
    <x v="143"/>
    <x v="1"/>
    <s v="NHI: 0967 681 295"/>
    <m/>
  </r>
  <r>
    <n v="135"/>
    <x v="146"/>
    <x v="144"/>
    <x v="1"/>
    <s v="CUONG 0906945724"/>
    <m/>
  </r>
  <r>
    <m/>
    <x v="147"/>
    <x v="144"/>
    <x v="1"/>
    <s v="MY QUYEN 01689119259"/>
    <m/>
  </r>
  <r>
    <m/>
    <x v="148"/>
    <x v="145"/>
    <x v="1"/>
    <m/>
    <m/>
  </r>
  <r>
    <m/>
    <x v="149"/>
    <x v="144"/>
    <x v="1"/>
    <s v="NGA 0932055799"/>
    <m/>
  </r>
  <r>
    <n v="136"/>
    <x v="150"/>
    <x v="146"/>
    <x v="1"/>
    <m/>
    <m/>
  </r>
  <r>
    <n v="137"/>
    <x v="151"/>
    <x v="147"/>
    <x v="30"/>
    <s v="MS THUONG: 0982 155 567"/>
    <m/>
  </r>
  <r>
    <n v="138"/>
    <x v="152"/>
    <x v="147"/>
    <x v="1"/>
    <s v="MR HOAM: 04 3827 2159"/>
    <m/>
  </r>
  <r>
    <n v="139"/>
    <x v="153"/>
    <x v="146"/>
    <x v="1"/>
    <s v="Ms Lan Huong: +84 43 6556501 / 3 8272159"/>
    <m/>
  </r>
  <r>
    <n v="140"/>
    <x v="154"/>
    <x v="148"/>
    <x v="31"/>
    <s v=" A Nghia 0906989914"/>
    <m/>
  </r>
  <r>
    <n v="141"/>
    <x v="155"/>
    <x v="149"/>
    <x v="1"/>
    <s v="JEEVA: 0914 908 993"/>
    <m/>
  </r>
  <r>
    <m/>
    <x v="156"/>
    <x v="150"/>
    <x v="1"/>
    <m/>
    <m/>
  </r>
  <r>
    <n v="142"/>
    <x v="157"/>
    <x v="151"/>
    <x v="4"/>
    <s v="MS KIEU: 0169 408 4737"/>
    <m/>
  </r>
  <r>
    <n v="143"/>
    <x v="158"/>
    <x v="152"/>
    <x v="1"/>
    <m/>
    <m/>
  </r>
  <r>
    <m/>
    <x v="159"/>
    <x v="153"/>
    <x v="1"/>
    <m/>
    <m/>
  </r>
  <r>
    <n v="144"/>
    <x v="160"/>
    <x v="154"/>
    <x v="1"/>
    <m/>
    <m/>
  </r>
  <r>
    <n v="145"/>
    <x v="161"/>
    <x v="155"/>
    <x v="1"/>
    <s v="Thanh Nguyen :241 363 4399"/>
    <m/>
  </r>
  <r>
    <n v="146"/>
    <x v="162"/>
    <x v="156"/>
    <x v="1"/>
    <s v="Thanh Nguyen :241 363 4399"/>
    <m/>
  </r>
  <r>
    <n v="147"/>
    <x v="163"/>
    <x v="157"/>
    <x v="1"/>
    <s v="TRUC"/>
    <s v="4785011-bill 0311702359"/>
  </r>
  <r>
    <n v="148"/>
    <x v="164"/>
    <x v="158"/>
    <x v="1"/>
    <s v="MS HOA: 0972 706 082"/>
    <m/>
  </r>
  <r>
    <n v="149"/>
    <x v="165"/>
    <x v="159"/>
    <x v="32"/>
    <s v="MS HIEN 0942 369 399"/>
    <m/>
  </r>
  <r>
    <n v="150"/>
    <x v="166"/>
    <x v="160"/>
    <x v="4"/>
    <s v="MS VAN: 0974 692 439"/>
    <s v="48-72"/>
  </r>
  <r>
    <n v="151"/>
    <x v="167"/>
    <x v="161"/>
    <x v="1"/>
    <s v="Lien he Ms Ngoc - 01675913188"/>
    <m/>
  </r>
  <r>
    <n v="152"/>
    <x v="168"/>
    <x v="162"/>
    <x v="1"/>
    <s v="MS TUYET: 0169 5 357 895"/>
    <m/>
  </r>
  <r>
    <n v="153"/>
    <x v="169"/>
    <x v="162"/>
    <x v="33"/>
    <s v="030 3840 358- C KATE/ A BINH/ HANG"/>
    <m/>
  </r>
  <r>
    <n v="154"/>
    <x v="170"/>
    <x v="162"/>
    <x v="1"/>
    <s v="MS TUYET: 0169 5 357 895"/>
    <m/>
  </r>
  <r>
    <n v="155"/>
    <x v="171"/>
    <x v="163"/>
    <x v="34"/>
    <s v="Attn: kho hoac Ms Tuyet (didong: 01695357895)"/>
    <m/>
  </r>
  <r>
    <n v="156"/>
    <x v="172"/>
    <x v="164"/>
    <x v="35"/>
    <m/>
    <m/>
  </r>
  <r>
    <n v="157"/>
    <x v="173"/>
    <x v="165"/>
    <x v="1"/>
    <s v="MR SON(TP NGHIEP VU)"/>
    <m/>
  </r>
  <r>
    <n v="158"/>
    <x v="174"/>
    <x v="166"/>
    <x v="1"/>
    <s v="Ms Son: 0913 064 098"/>
    <m/>
  </r>
  <r>
    <n v="159"/>
    <x v="175"/>
    <x v="167"/>
    <x v="1"/>
    <m/>
    <m/>
  </r>
  <r>
    <n v="160"/>
    <x v="176"/>
    <x v="168"/>
    <x v="1"/>
    <s v=" 0663 88 33 88 /  0902 575 191"/>
    <m/>
  </r>
  <r>
    <n v="161"/>
    <x v="177"/>
    <x v="169"/>
    <x v="36"/>
    <s v="+84 5837 43618/ 619/ 620"/>
    <m/>
  </r>
  <r>
    <n v="162"/>
    <x v="178"/>
    <x v="170"/>
    <x v="1"/>
    <s v="Tran Thanh Giang (Ms)-240 3 836 627/ 28/ 29-0974 638 550 (Ms Thảo)_x000a_"/>
    <s v="48-72"/>
  </r>
  <r>
    <n v="163"/>
    <x v="179"/>
    <x v="171"/>
    <x v="37"/>
    <s v="036 3681 991"/>
    <m/>
  </r>
  <r>
    <n v="164"/>
    <x v="180"/>
    <x v="172"/>
    <x v="1"/>
    <s v="MR VUI: 0985 292 190"/>
    <m/>
  </r>
  <r>
    <n v="165"/>
    <x v="180"/>
    <x v="173"/>
    <x v="1"/>
    <m/>
    <m/>
  </r>
  <r>
    <n v="166"/>
    <x v="181"/>
    <x v="174"/>
    <x v="1"/>
    <m/>
    <m/>
  </r>
  <r>
    <n v="167"/>
    <x v="182"/>
    <x v="175"/>
    <x v="3"/>
    <s v="MS THUY 0904 990 882"/>
    <m/>
  </r>
  <r>
    <n v="168"/>
    <x v="183"/>
    <x v="176"/>
    <x v="38"/>
    <s v="MR BARRY: 072 3812 984"/>
    <m/>
  </r>
  <r>
    <m/>
    <x v="184"/>
    <x v="177"/>
    <x v="1"/>
    <s v="MS THUY 0987094465"/>
    <m/>
  </r>
  <r>
    <m/>
    <x v="185"/>
    <x v="178"/>
    <x v="1"/>
    <s v="MS THAO 0906204459"/>
    <m/>
  </r>
  <r>
    <n v="169"/>
    <x v="186"/>
    <x v="179"/>
    <x v="39"/>
    <s v="ATTN: Xuan 01688413653"/>
    <m/>
  </r>
  <r>
    <n v="170"/>
    <x v="187"/>
    <x v="180"/>
    <x v="1"/>
    <s v="MS SHIRLEY: 0933 543 239"/>
    <m/>
  </r>
  <r>
    <m/>
    <x v="188"/>
    <x v="181"/>
    <x v="1"/>
    <m/>
    <m/>
  </r>
  <r>
    <m/>
    <x v="189"/>
    <x v="182"/>
    <x v="1"/>
    <s v="MS HUONG 0982094023"/>
    <m/>
  </r>
  <r>
    <n v="171"/>
    <x v="187"/>
    <x v="183"/>
    <x v="1"/>
    <s v="MS LOAN: 01682756700"/>
    <m/>
  </r>
  <r>
    <n v="172"/>
    <x v="190"/>
    <x v="184"/>
    <x v="40"/>
    <m/>
    <m/>
  </r>
  <r>
    <n v="173"/>
    <x v="191"/>
    <x v="185"/>
    <x v="41"/>
    <s v="MS SAM: 0122 497 8912"/>
    <m/>
  </r>
  <r>
    <n v="174"/>
    <x v="192"/>
    <x v="186"/>
    <x v="1"/>
    <s v="Oanh: 0979 572 203"/>
    <m/>
  </r>
  <r>
    <n v="175"/>
    <x v="193"/>
    <x v="187"/>
    <x v="1"/>
    <s v="Phuong Thu sdt:0987689399"/>
    <m/>
  </r>
  <r>
    <n v="176"/>
    <x v="194"/>
    <x v="188"/>
    <x v="1"/>
    <s v="MS THUY: 0948 505 028"/>
    <m/>
  </r>
  <r>
    <n v="177"/>
    <x v="195"/>
    <x v="188"/>
    <x v="42"/>
    <s v="MS LOAN 0976.300.207"/>
    <m/>
  </r>
  <r>
    <n v="178"/>
    <x v="196"/>
    <x v="188"/>
    <x v="1"/>
    <s v="MS OANH: 0936162282"/>
    <m/>
  </r>
  <r>
    <n v="179"/>
    <x v="197"/>
    <x v="188"/>
    <x v="1"/>
    <s v="MR TUAN: 04 3827 6923"/>
    <m/>
  </r>
  <r>
    <n v="180"/>
    <x v="198"/>
    <x v="188"/>
    <x v="1"/>
    <s v="MR NHU: 0987 511 268"/>
    <m/>
  </r>
  <r>
    <n v="181"/>
    <x v="199"/>
    <x v="188"/>
    <x v="43"/>
    <s v="MR MAI 04 8276932"/>
    <m/>
  </r>
  <r>
    <n v="182"/>
    <x v="200"/>
    <x v="189"/>
    <x v="1"/>
    <s v="ATTN: Huong 090 438 9856"/>
    <m/>
  </r>
  <r>
    <n v="183"/>
    <x v="201"/>
    <x v="188"/>
    <x v="1"/>
    <s v="HIEN/LINH: 0989 655 438"/>
    <m/>
  </r>
  <r>
    <n v="184"/>
    <x v="202"/>
    <x v="188"/>
    <x v="1"/>
    <s v="GIANG: 0942 515 456"/>
    <m/>
  </r>
  <r>
    <n v="185"/>
    <x v="203"/>
    <x v="188"/>
    <x v="43"/>
    <s v="MR MAI: 04 3827 6923"/>
    <m/>
  </r>
  <r>
    <n v="186"/>
    <x v="204"/>
    <x v="189"/>
    <x v="1"/>
    <s v="ATTN: Tra My (84) 913 23 04 89"/>
    <m/>
  </r>
  <r>
    <n v="187"/>
    <x v="205"/>
    <x v="190"/>
    <x v="1"/>
    <s v="LARA 0839991208"/>
    <m/>
  </r>
  <r>
    <n v="188"/>
    <x v="206"/>
    <x v="188"/>
    <x v="43"/>
    <s v="MR MAI: 04 3827 6923"/>
    <m/>
  </r>
  <r>
    <n v="189"/>
    <x v="207"/>
    <x v="188"/>
    <x v="1"/>
    <s v="MS DUNG: 0989 289 425"/>
    <m/>
  </r>
  <r>
    <n v="190"/>
    <x v="208"/>
    <x v="188"/>
    <x v="43"/>
    <s v="MS THUY: 0948 505 028"/>
    <m/>
  </r>
  <r>
    <n v="191"/>
    <x v="209"/>
    <x v="188"/>
    <x v="44"/>
    <s v="Ms Trang/ Ms Dao/ Mr Su - PVH_x000a_04 3 8753847"/>
    <m/>
  </r>
  <r>
    <n v="192"/>
    <x v="210"/>
    <x v="188"/>
    <x v="1"/>
    <s v="ATTN: MS THUY 0948 505 028"/>
    <m/>
  </r>
  <r>
    <n v="193"/>
    <x v="211"/>
    <x v="188"/>
    <x v="42"/>
    <s v="MR CHUNG: 0976 804 899"/>
    <m/>
  </r>
  <r>
    <n v="194"/>
    <x v="212"/>
    <x v="191"/>
    <x v="1"/>
    <s v="ATTN: Thuy 0948.505.028"/>
    <m/>
  </r>
  <r>
    <n v="195"/>
    <x v="212"/>
    <x v="188"/>
    <x v="1"/>
    <s v="MS THUY: 04 3827 6923"/>
    <m/>
  </r>
  <r>
    <n v="196"/>
    <x v="213"/>
    <x v="192"/>
    <x v="45"/>
    <s v="MY LOC : 0350 3835 707"/>
    <m/>
  </r>
  <r>
    <n v="197"/>
    <x v="214"/>
    <x v="193"/>
    <x v="1"/>
    <s v="Ms. To Loan +84905710104"/>
    <m/>
  </r>
  <r>
    <n v="198"/>
    <x v="215"/>
    <x v="194"/>
    <x v="1"/>
    <s v="Ms Loan - +84905710104"/>
    <m/>
  </r>
  <r>
    <n v="199"/>
    <x v="216"/>
    <x v="195"/>
    <x v="46"/>
    <s v="ATTN: MR HUNG- XNK_x000a_0167 6118 228"/>
    <m/>
  </r>
  <r>
    <n v="200"/>
    <x v="217"/>
    <x v="196"/>
    <x v="1"/>
    <s v="31-981199-P.Thuy-098 284 4380"/>
    <m/>
  </r>
  <r>
    <n v="201"/>
    <x v="218"/>
    <x v="197"/>
    <x v="1"/>
    <s v="ANH KIEN / ANH CUONG: 0983 005 473 / 0904 211 566_x000a_PHUONG LAN: 04 3864 6710"/>
    <m/>
  </r>
  <r>
    <n v="202"/>
    <x v="219"/>
    <x v="198"/>
    <x v="1"/>
    <m/>
    <m/>
  </r>
  <r>
    <n v="203"/>
    <x v="220"/>
    <x v="199"/>
    <x v="35"/>
    <s v="NGA: 0945 484 668"/>
    <m/>
  </r>
  <r>
    <n v="204"/>
    <x v="221"/>
    <x v="200"/>
    <x v="1"/>
    <s v="ANH HOANG: 0914366996"/>
    <m/>
  </r>
  <r>
    <n v="205"/>
    <x v="222"/>
    <x v="201"/>
    <x v="1"/>
    <s v="MS HAU: 0904 348 881"/>
    <m/>
  </r>
  <r>
    <n v="206"/>
    <x v="223"/>
    <x v="202"/>
    <x v="0"/>
    <s v="MR HAI: 0919 029 428"/>
    <m/>
  </r>
  <r>
    <n v="207"/>
    <x v="224"/>
    <x v="203"/>
    <x v="3"/>
    <s v="MR TUAN: 0904 270 222"/>
    <m/>
  </r>
  <r>
    <n v="208"/>
    <x v="225"/>
    <x v="204"/>
    <x v="36"/>
    <s v="BUI THI HUONG: 0936 281 868"/>
    <m/>
  </r>
  <r>
    <n v="209"/>
    <x v="226"/>
    <x v="205"/>
    <x v="34"/>
    <s v="MS HUONG: 0943 477 994"/>
    <m/>
  </r>
  <r>
    <n v="210"/>
    <x v="227"/>
    <x v="206"/>
    <x v="1"/>
    <s v="MS THOAI: 0935 091 509"/>
    <m/>
  </r>
  <r>
    <n v="211"/>
    <x v="228"/>
    <x v="207"/>
    <x v="1"/>
    <s v="chi Hien: 0919111840"/>
    <s v="KM9-PHAM VAN DONG ST-KIEN THUY-HAI PHONG"/>
  </r>
  <r>
    <n v="212"/>
    <x v="229"/>
    <x v="208"/>
    <x v="1"/>
    <s v="chi Thuy: 01266474780"/>
    <m/>
  </r>
  <r>
    <n v="213"/>
    <x v="230"/>
    <x v="209"/>
    <x v="1"/>
    <s v="Tel:0313 928 686/8"/>
    <m/>
  </r>
  <r>
    <n v="214"/>
    <x v="231"/>
    <x v="210"/>
    <x v="1"/>
    <s v="Chi Tâm, DT 0987 859 639"/>
    <m/>
  </r>
  <r>
    <n v="215"/>
    <x v="232"/>
    <x v="211"/>
    <x v="47"/>
    <s v="HA 0985 852 147"/>
    <m/>
  </r>
  <r>
    <n v="216"/>
    <x v="233"/>
    <x v="212"/>
    <x v="48"/>
    <s v="HUE: 01643264686"/>
    <m/>
  </r>
  <r>
    <n v="217"/>
    <x v="234"/>
    <x v="213"/>
    <x v="1"/>
    <s v="MS HIEN: 0905 337 629"/>
    <m/>
  </r>
  <r>
    <n v="218"/>
    <x v="235"/>
    <x v="214"/>
    <x v="49"/>
    <s v="MR MIAZE: 0321 3986 500"/>
    <m/>
  </r>
  <r>
    <n v="219"/>
    <x v="236"/>
    <x v="215"/>
    <x v="1"/>
    <s v="TEL : +84 2183 883 007/ 0988534489"/>
    <m/>
  </r>
  <r>
    <n v="220"/>
    <x v="237"/>
    <x v="216"/>
    <x v="38"/>
    <s v="MR CHINH: 0320 3846 906"/>
    <m/>
  </r>
  <r>
    <n v="221"/>
    <x v="238"/>
    <x v="214"/>
    <x v="1"/>
    <s v="Mr Yoon -84-321-3986-500"/>
    <m/>
  </r>
  <r>
    <n v="222"/>
    <x v="239"/>
    <x v="217"/>
    <x v="1"/>
    <s v="061 3758 899/ 061 3759 955"/>
    <m/>
  </r>
  <r>
    <n v="223"/>
    <x v="240"/>
    <x v="218"/>
    <x v="1"/>
    <m/>
    <m/>
  </r>
  <r>
    <n v="224"/>
    <x v="241"/>
    <x v="219"/>
    <x v="1"/>
    <s v=" 01208176323- Ms. Truyện"/>
    <m/>
  </r>
  <r>
    <n v="225"/>
    <x v="242"/>
    <x v="220"/>
    <x v="1"/>
    <s v=" Ms.Phuong: 01675075532. "/>
    <m/>
  </r>
  <r>
    <n v="226"/>
    <x v="243"/>
    <x v="221"/>
    <x v="1"/>
    <s v="MS NAM: 0167 230 0648"/>
    <s v="48-72"/>
  </r>
  <r>
    <n v="227"/>
    <x v="244"/>
    <x v="222"/>
    <x v="12"/>
    <s v="MS LIEN 0968 252529"/>
    <m/>
  </r>
  <r>
    <n v="228"/>
    <x v="245"/>
    <x v="223"/>
    <x v="42"/>
    <s v="HANG 0166 944 0509"/>
    <m/>
  </r>
  <r>
    <n v="229"/>
    <x v="246"/>
    <x v="223"/>
    <x v="1"/>
    <s v="Ms Hoai: 01652682368."/>
    <m/>
  </r>
  <r>
    <n v="230"/>
    <x v="247"/>
    <x v="223"/>
    <x v="1"/>
    <s v="Ms Hang/01669440509"/>
    <m/>
  </r>
  <r>
    <n v="231"/>
    <x v="248"/>
    <x v="223"/>
    <x v="1"/>
    <s v="MS GIANG:  01695535035 (Tel: 0313 880001/002 ext:3051)"/>
    <m/>
  </r>
  <r>
    <n v="232"/>
    <x v="249"/>
    <x v="224"/>
    <x v="50"/>
    <s v="Ms Phượng. Tel: 0948281936"/>
    <m/>
  </r>
  <r>
    <n v="233"/>
    <x v="250"/>
    <x v="225"/>
    <x v="1"/>
    <s v="MS LY: 0936 955 584"/>
    <m/>
  </r>
  <r>
    <n v="234"/>
    <x v="251"/>
    <x v="226"/>
    <x v="1"/>
    <s v="MS THAO: 030 3651 442"/>
    <m/>
  </r>
  <r>
    <n v="235"/>
    <x v="252"/>
    <x v="227"/>
    <x v="1"/>
    <s v="0933 380 755 JEAN"/>
    <m/>
  </r>
  <r>
    <n v="236"/>
    <x v="253"/>
    <x v="228"/>
    <x v="1"/>
    <s v="Jasmine Yang:  061 364 7876_x000a_0977 038 832"/>
    <m/>
  </r>
  <r>
    <n v="237"/>
    <x v="254"/>
    <x v="229"/>
    <x v="1"/>
    <s v="Mr DO THU HUONG-31-880001/880002"/>
    <m/>
  </r>
  <r>
    <n v="238"/>
    <x v="255"/>
    <x v="208"/>
    <x v="51"/>
    <s v="0169 553 5035- MS GIANG"/>
    <m/>
  </r>
  <r>
    <n v="239"/>
    <x v="256"/>
    <x v="230"/>
    <x v="1"/>
    <s v="MS THAM 097275801"/>
    <m/>
  </r>
  <r>
    <n v="240"/>
    <x v="257"/>
    <x v="231"/>
    <x v="1"/>
    <s v="0168 7156 612: MS NHUNG"/>
    <m/>
  </r>
  <r>
    <n v="241"/>
    <x v="258"/>
    <x v="232"/>
    <x v="1"/>
    <m/>
    <m/>
  </r>
  <r>
    <n v="242"/>
    <x v="259"/>
    <x v="233"/>
    <x v="1"/>
    <s v="chị nhuần:  0983522340"/>
    <m/>
  </r>
  <r>
    <n v="243"/>
    <x v="260"/>
    <x v="233"/>
    <x v="1"/>
    <s v="Giao Ha Bac 1 - Mr.Thanh: 0978.491.357/ Mr. Duong: 0936.228.933"/>
    <m/>
  </r>
  <r>
    <n v="244"/>
    <x v="261"/>
    <x v="233"/>
    <x v="1"/>
    <s v="MR BINH 0915181104"/>
    <m/>
  </r>
  <r>
    <n v="245"/>
    <x v="262"/>
    <x v="234"/>
    <x v="1"/>
    <s v="NGUYEN THI LE XNK: 0975 442 582"/>
    <m/>
  </r>
  <r>
    <n v="246"/>
    <x v="263"/>
    <x v="234"/>
    <x v="1"/>
    <s v="MS HUONG: 0977 047 203"/>
    <m/>
  </r>
  <r>
    <n v="247"/>
    <x v="264"/>
    <x v="233"/>
    <x v="1"/>
    <s v="MS PHUONG/: 0936 750 474, MS HA 02403674178"/>
    <s v="Ms Son: 0978 665 472"/>
  </r>
  <r>
    <n v="248"/>
    <x v="265"/>
    <x v="233"/>
    <x v="52"/>
    <s v="SON/HAI: 0928 161 983"/>
    <m/>
  </r>
  <r>
    <n v="249"/>
    <x v="266"/>
    <x v="233"/>
    <x v="1"/>
    <s v="NGUYEN VAN DOAN.TEL: 04-2220-9200"/>
    <m/>
  </r>
  <r>
    <n v="250"/>
    <x v="267"/>
    <x v="216"/>
    <x v="53"/>
    <s v="Ms Bich Nga 0945 078 558"/>
    <m/>
  </r>
  <r>
    <n v="251"/>
    <x v="268"/>
    <x v="235"/>
    <x v="1"/>
    <s v="MS HUONG 0989 581 482"/>
    <m/>
  </r>
  <r>
    <n v="252"/>
    <x v="269"/>
    <x v="236"/>
    <x v="1"/>
    <s v="Nguyen Huy Minh - 84-240-3875 555"/>
    <m/>
  </r>
  <r>
    <m/>
    <x v="270"/>
    <x v="237"/>
    <x v="1"/>
    <m/>
    <m/>
  </r>
  <r>
    <m/>
    <x v="271"/>
    <x v="238"/>
    <x v="1"/>
    <s v="VICTOR 01693219399"/>
    <m/>
  </r>
  <r>
    <n v="253"/>
    <x v="272"/>
    <x v="239"/>
    <x v="1"/>
    <s v="A. LUONG: 0913 301 045"/>
    <m/>
  </r>
  <r>
    <n v="254"/>
    <x v="273"/>
    <x v="240"/>
    <x v="1"/>
    <s v="MS HUONG: 0122 2291 686"/>
    <m/>
  </r>
  <r>
    <n v="255"/>
    <x v="274"/>
    <x v="241"/>
    <x v="29"/>
    <s v="LE 0932020367"/>
    <m/>
  </r>
  <r>
    <n v="256"/>
    <x v="275"/>
    <x v="242"/>
    <x v="1"/>
    <s v="RUBI 01686703023"/>
    <m/>
  </r>
  <r>
    <n v="257"/>
    <x v="276"/>
    <x v="200"/>
    <x v="1"/>
    <s v="MS LE: 0932 020 367"/>
    <m/>
  </r>
  <r>
    <n v="258"/>
    <x v="277"/>
    <x v="243"/>
    <x v="1"/>
    <s v="GIANG: 01687887348"/>
    <s v="48-72"/>
  </r>
  <r>
    <m/>
    <x v="278"/>
    <x v="243"/>
    <x v="1"/>
    <s v="MS.NA: 097 8894 809"/>
    <m/>
  </r>
  <r>
    <m/>
    <x v="279"/>
    <x v="243"/>
    <x v="1"/>
    <s v="MS. VAN  ANH: 0166 8064 718"/>
    <m/>
  </r>
  <r>
    <m/>
    <x v="280"/>
    <x v="243"/>
    <x v="1"/>
    <s v="MAI:01666019960"/>
    <m/>
  </r>
  <r>
    <n v="259"/>
    <x v="281"/>
    <x v="243"/>
    <x v="1"/>
    <s v="DUNG/BANG: 0968 874 313"/>
    <m/>
  </r>
  <r>
    <n v="260"/>
    <x v="282"/>
    <x v="244"/>
    <x v="1"/>
    <s v="Quang- 911444089"/>
    <m/>
  </r>
  <r>
    <n v="261"/>
    <x v="283"/>
    <x v="245"/>
    <x v="34"/>
    <s v="Mr quang-04 33665147-0912913401_x000a_BACH PHI NGA 0912 047 188"/>
    <m/>
  </r>
  <r>
    <n v="262"/>
    <x v="284"/>
    <x v="246"/>
    <x v="1"/>
    <s v="ATTN: A SON 0982 015 586"/>
    <m/>
  </r>
  <r>
    <n v="263"/>
    <x v="285"/>
    <x v="247"/>
    <x v="4"/>
    <s v="MS DUYEN: 0985 939 862"/>
    <m/>
  </r>
  <r>
    <n v="264"/>
    <x v="286"/>
    <x v="248"/>
    <x v="38"/>
    <s v="MS HUONG: 0932 296 866"/>
    <m/>
  </r>
  <r>
    <n v="265"/>
    <x v="287"/>
    <x v="248"/>
    <x v="1"/>
    <s v="093 229 6866- MS HUONG"/>
    <m/>
  </r>
  <r>
    <n v="266"/>
    <x v="288"/>
    <x v="249"/>
    <x v="54"/>
    <s v="Attn: Anh Tuyen: 0904 314 138"/>
    <m/>
  </r>
  <r>
    <n v="267"/>
    <x v="289"/>
    <x v="248"/>
    <x v="1"/>
    <s v="QUYNH ANH: 0982 860 789"/>
    <m/>
  </r>
  <r>
    <n v="268"/>
    <x v="290"/>
    <x v="250"/>
    <x v="1"/>
    <s v="PHILIP: 0162 848 1321"/>
    <m/>
  </r>
  <r>
    <n v="269"/>
    <x v="291"/>
    <x v="251"/>
    <x v="29"/>
    <s v="MR CHUNG : 0936 185 442"/>
    <m/>
  </r>
  <r>
    <n v="270"/>
    <x v="292"/>
    <x v="252"/>
    <x v="1"/>
    <m/>
    <m/>
  </r>
  <r>
    <n v="271"/>
    <x v="293"/>
    <x v="253"/>
    <x v="0"/>
    <s v="Ms Rucy( Sales Dept)_x000a_A. Tinh - 0975 002 062"/>
    <m/>
  </r>
  <r>
    <n v="272"/>
    <x v="294"/>
    <x v="254"/>
    <x v="0"/>
    <m/>
    <m/>
  </r>
  <r>
    <n v="273"/>
    <x v="295"/>
    <x v="255"/>
    <x v="1"/>
    <s v="MR THANH 0166 650 4728"/>
    <m/>
  </r>
  <r>
    <n v="274"/>
    <x v="296"/>
    <x v="254"/>
    <x v="0"/>
    <s v="LAN ANH: 0915175682"/>
    <m/>
  </r>
  <r>
    <n v="275"/>
    <x v="297"/>
    <x v="256"/>
    <x v="1"/>
    <s v="Mr.Yyu : 072 768 654/ 655/ 656"/>
    <m/>
  </r>
  <r>
    <n v="276"/>
    <x v="298"/>
    <x v="257"/>
    <x v="55"/>
    <s v="Ms Minh - 84 982 097 789      ​"/>
    <m/>
  </r>
  <r>
    <n v="277"/>
    <x v="299"/>
    <x v="258"/>
    <x v="1"/>
    <s v="Chi Huyen (Kho) 01215322667"/>
    <m/>
  </r>
  <r>
    <n v="278"/>
    <x v="300"/>
    <x v="259"/>
    <x v="56"/>
    <s v="MR DUC: 0905 120 343"/>
    <s v="48-72"/>
  </r>
  <r>
    <m/>
    <x v="301"/>
    <x v="260"/>
    <x v="1"/>
    <m/>
    <m/>
  </r>
  <r>
    <n v="279"/>
    <x v="302"/>
    <x v="261"/>
    <x v="57"/>
    <s v="MS. THANH THUY (0988 625 686)-3213713994"/>
    <m/>
  </r>
  <r>
    <m/>
    <x v="303"/>
    <x v="259"/>
    <x v="1"/>
    <m/>
    <m/>
  </r>
  <r>
    <m/>
    <x v="304"/>
    <x v="261"/>
    <x v="1"/>
    <m/>
    <m/>
  </r>
  <r>
    <m/>
    <x v="305"/>
    <x v="261"/>
    <x v="1"/>
    <m/>
    <m/>
  </r>
  <r>
    <n v="280"/>
    <x v="306"/>
    <x v="262"/>
    <x v="4"/>
    <s v="MS DUYEN 0169 959 4112"/>
    <m/>
  </r>
  <r>
    <n v="281"/>
    <x v="307"/>
    <x v="263"/>
    <x v="1"/>
    <s v="HANH"/>
    <s v="But many orders have small amount- Pls advice me for information to customer when we want combine red invoice."/>
  </r>
  <r>
    <n v="282"/>
    <x v="308"/>
    <x v="264"/>
    <x v="1"/>
    <s v="Ms Huyen: 04 62512666"/>
    <m/>
  </r>
  <r>
    <n v="283"/>
    <x v="309"/>
    <x v="265"/>
    <x v="1"/>
    <n v="0"/>
    <m/>
  </r>
  <r>
    <n v="284"/>
    <x v="310"/>
    <x v="266"/>
    <x v="1"/>
    <s v="A BINH: 0904 223 406"/>
    <m/>
  </r>
  <r>
    <n v="285"/>
    <x v="311"/>
    <x v="267"/>
    <x v="4"/>
    <s v="MS MAI: 0167 890 2591"/>
    <m/>
  </r>
  <r>
    <n v="286"/>
    <x v="312"/>
    <x v="268"/>
    <x v="1"/>
    <s v="Truc 01663646605"/>
    <m/>
  </r>
  <r>
    <n v="287"/>
    <x v="313"/>
    <x v="269"/>
    <x v="1"/>
    <s v="HOAI-01682396706-036 3152769"/>
    <m/>
  </r>
  <r>
    <n v="288"/>
    <x v="313"/>
    <x v="270"/>
    <x v="1"/>
    <s v="84-36-3512769"/>
    <m/>
  </r>
  <r>
    <n v="289"/>
    <x v="314"/>
    <x v="271"/>
    <x v="58"/>
    <s v="MR DAT: 0988 771 449"/>
    <m/>
  </r>
  <r>
    <n v="290"/>
    <x v="315"/>
    <x v="272"/>
    <x v="1"/>
    <s v="HANG  0965 755 332"/>
    <m/>
  </r>
  <r>
    <m/>
    <x v="316"/>
    <x v="273"/>
    <x v="1"/>
    <m/>
    <m/>
  </r>
  <r>
    <n v="291"/>
    <x v="317"/>
    <x v="274"/>
    <x v="59"/>
    <s v="MS MAI: 0903 054 057"/>
    <m/>
  </r>
  <r>
    <n v="292"/>
    <x v="318"/>
    <x v="275"/>
    <x v="60"/>
    <s v="Ms Thao: 0977 115 245_x000a_TEL: 320 355 0855"/>
    <m/>
  </r>
  <r>
    <n v="293"/>
    <x v="319"/>
    <x v="276"/>
    <x v="1"/>
    <s v=" Ms Thuy 84-363-971-010"/>
    <m/>
  </r>
  <r>
    <n v="294"/>
    <x v="320"/>
    <x v="277"/>
    <x v="1"/>
    <s v="VAN ANH"/>
    <m/>
  </r>
  <r>
    <n v="295"/>
    <x v="321"/>
    <x v="278"/>
    <x v="1"/>
    <s v="MS.HANG -MB: 0904458861 OR MR.DUNG .0988317342"/>
    <m/>
  </r>
  <r>
    <n v="296"/>
    <x v="322"/>
    <x v="279"/>
    <x v="1"/>
    <s v="MS.HANG -MB: 0904458861 OR MR.DUNG .0988317342"/>
    <m/>
  </r>
  <r>
    <n v="297"/>
    <x v="323"/>
    <x v="280"/>
    <x v="1"/>
    <m/>
    <m/>
  </r>
  <r>
    <n v="298"/>
    <x v="324"/>
    <x v="281"/>
    <x v="1"/>
    <s v="MS HIEN: 031 3618560"/>
    <m/>
  </r>
  <r>
    <n v="299"/>
    <x v="325"/>
    <x v="282"/>
    <x v="1"/>
    <s v="04 36624559 CHI THU HIEN"/>
    <m/>
  </r>
  <r>
    <n v="300"/>
    <x v="326"/>
    <x v="283"/>
    <x v="61"/>
    <s v="HIEN/ TRINH: 04 3662 4559"/>
    <m/>
  </r>
  <r>
    <n v="301"/>
    <x v="327"/>
    <x v="277"/>
    <x v="1"/>
    <s v="chi Hoai  090 496 4728_x000a_chi Hien 0904409045"/>
    <m/>
  </r>
  <r>
    <n v="302"/>
    <x v="328"/>
    <x v="284"/>
    <x v="1"/>
    <s v="."/>
    <m/>
  </r>
  <r>
    <n v="303"/>
    <x v="329"/>
    <x v="285"/>
    <x v="1"/>
    <s v="JIMMY 0985.851.345"/>
    <m/>
  </r>
  <r>
    <n v="304"/>
    <x v="330"/>
    <x v="286"/>
    <x v="1"/>
    <s v="MS DUYEN: 0979 447 168"/>
    <m/>
  </r>
  <r>
    <n v="305"/>
    <x v="331"/>
    <x v="287"/>
    <x v="62"/>
    <s v="THAO 0905634611"/>
    <s v="24-36"/>
  </r>
  <r>
    <n v="306"/>
    <x v="331"/>
    <x v="287"/>
    <x v="62"/>
    <s v="THANH THAO_x000a_+84.905. 634. 611"/>
    <m/>
  </r>
  <r>
    <n v="307"/>
    <x v="332"/>
    <x v="287"/>
    <x v="1"/>
    <s v="QUYEN 0937.584.451"/>
    <m/>
  </r>
  <r>
    <n v="308"/>
    <x v="333"/>
    <x v="287"/>
    <x v="1"/>
    <s v="ATTN Tran+84 905.795.990  "/>
    <m/>
  </r>
  <r>
    <n v="309"/>
    <x v="334"/>
    <x v="287"/>
    <x v="63"/>
    <s v="Chị Thương-phụ trách phụ liệu kho TCT-​ SĐT: 0511 3 674 661"/>
    <m/>
  </r>
  <r>
    <n v="310"/>
    <x v="335"/>
    <x v="287"/>
    <x v="1"/>
    <s v="MS NGOC: 0511 3879 367"/>
    <m/>
  </r>
  <r>
    <n v="311"/>
    <x v="336"/>
    <x v="287"/>
    <x v="1"/>
    <s v="THUY AN: 0973 791 797"/>
    <m/>
  </r>
  <r>
    <n v="312"/>
    <x v="337"/>
    <x v="287"/>
    <x v="62"/>
    <s v="DUONG NHI: 0935 999 136/MS THUONG 0935261055"/>
    <s v="24-36"/>
  </r>
  <r>
    <n v="313"/>
    <x v="338"/>
    <x v="287"/>
    <x v="62"/>
    <s v="DUONG NHI: 0935 999 136"/>
    <m/>
  </r>
  <r>
    <n v="314"/>
    <x v="339"/>
    <x v="287"/>
    <x v="62"/>
    <s v="Le Thi Thuy Linh (Ms)_x000a_Mobile: +84.935.907.295"/>
    <m/>
  </r>
  <r>
    <n v="315"/>
    <x v="340"/>
    <x v="288"/>
    <x v="64"/>
    <s v="MS LAN: 0976 262 998"/>
    <m/>
  </r>
  <r>
    <n v="316"/>
    <x v="341"/>
    <x v="289"/>
    <x v="1"/>
    <s v="Ms NGOC: 0905 765 407"/>
    <m/>
  </r>
  <r>
    <n v="317"/>
    <x v="342"/>
    <x v="290"/>
    <x v="1"/>
    <s v="Tel: 0084-303-762339 ATTN: Mr. Thanh &amp; Miss Nguyet"/>
    <m/>
  </r>
  <r>
    <n v="318"/>
    <x v="343"/>
    <x v="291"/>
    <x v="4"/>
    <s v="ANH TRI 01633973037 HOAC HUONG 0973532565"/>
    <m/>
  </r>
  <r>
    <m/>
    <x v="344"/>
    <x v="291"/>
    <x v="1"/>
    <s v="MS HELEN 0165 6565 432"/>
    <m/>
  </r>
  <r>
    <m/>
    <x v="345"/>
    <x v="292"/>
    <x v="1"/>
    <s v="MS HUONG 0919190266"/>
    <m/>
  </r>
  <r>
    <n v="319"/>
    <x v="346"/>
    <x v="291"/>
    <x v="4"/>
    <s v="MS HUYEN: 01656235789"/>
    <m/>
  </r>
  <r>
    <n v="320"/>
    <x v="347"/>
    <x v="293"/>
    <x v="1"/>
    <s v="MR MOI: 0907 000 016"/>
    <m/>
  </r>
  <r>
    <n v="321"/>
    <x v="348"/>
    <x v="294"/>
    <x v="1"/>
    <s v="Uyên - Phòng xuất nhập khẩu: 0122.992.7692 "/>
    <m/>
  </r>
  <r>
    <n v="322"/>
    <x v="349"/>
    <x v="295"/>
    <x v="1"/>
    <m/>
    <m/>
  </r>
  <r>
    <n v="323"/>
    <x v="350"/>
    <x v="296"/>
    <x v="1"/>
    <s v="Mr Tuan - 0916425139"/>
    <m/>
  </r>
  <r>
    <n v="324"/>
    <x v="351"/>
    <x v="297"/>
    <x v="1"/>
    <s v="NGUYEN THUY HA-0913425722"/>
    <m/>
  </r>
  <r>
    <n v="325"/>
    <x v="352"/>
    <x v="297"/>
    <x v="65"/>
    <s v="LIEN/ HA:  051 3864 026"/>
    <m/>
  </r>
  <r>
    <n v="326"/>
    <x v="353"/>
    <x v="298"/>
    <x v="1"/>
    <s v="Ms THANH 0915398241"/>
    <m/>
  </r>
  <r>
    <n v="327"/>
    <x v="354"/>
    <x v="299"/>
    <x v="1"/>
    <m/>
    <m/>
  </r>
  <r>
    <n v="328"/>
    <x v="355"/>
    <x v="300"/>
    <x v="1"/>
    <s v="MR BINH 0912 401 002"/>
    <m/>
  </r>
  <r>
    <n v="329"/>
    <x v="356"/>
    <x v="301"/>
    <x v="0"/>
    <s v="MS THOM: 0903 600 510"/>
    <m/>
  </r>
  <r>
    <n v="330"/>
    <x v="357"/>
    <x v="302"/>
    <x v="66"/>
    <s v="0321 944045-321-943-458 _x000a_0914 720 887- CHI MAI_x000a_"/>
    <s v="48-72"/>
  </r>
  <r>
    <n v="331"/>
    <x v="358"/>
    <x v="303"/>
    <x v="20"/>
    <s v="Mr Hong Doan (phone no:+84904379546)"/>
    <m/>
  </r>
  <r>
    <n v="332"/>
    <x v="359"/>
    <x v="304"/>
    <x v="1"/>
    <s v="HANH(Kho vat tu)-321-515741-32-862314/862312- LUONG THI HUU (Mrs.)"/>
    <m/>
  </r>
  <r>
    <n v="333"/>
    <x v="360"/>
    <x v="305"/>
    <x v="1"/>
    <n v="321862423"/>
    <m/>
  </r>
  <r>
    <n v="334"/>
    <x v="361"/>
    <x v="303"/>
    <x v="1"/>
    <s v="MS PHAN HUONG: 0321 3862 314"/>
    <m/>
  </r>
  <r>
    <n v="335"/>
    <x v="362"/>
    <x v="306"/>
    <x v="1"/>
    <s v="Quy: 0987505501"/>
    <m/>
  </r>
  <r>
    <n v="336"/>
    <x v="363"/>
    <x v="307"/>
    <x v="1"/>
    <s v="CHI THANH: 0905471005"/>
    <m/>
  </r>
  <r>
    <n v="337"/>
    <x v="364"/>
    <x v="308"/>
    <x v="1"/>
    <s v="  Ms. Hue 84 313 576 795"/>
    <m/>
  </r>
  <r>
    <n v="338"/>
    <x v="365"/>
    <x v="309"/>
    <x v="1"/>
    <s v="MR VIET 0907 885 545"/>
    <m/>
  </r>
  <r>
    <n v="339"/>
    <x v="366"/>
    <x v="310"/>
    <x v="1"/>
    <s v="NGA/ VAN/THU- 84 0511 3842897._x000a_EXT-2511-THU-0989076697"/>
    <s v="Nhat Phong Van-Mr Vuong/ 0934 023 456_x000a_LIEN: 0905 101 815 / LONG: 0905 060 292"/>
  </r>
  <r>
    <n v="340"/>
    <x v="367"/>
    <x v="311"/>
    <x v="1"/>
    <s v="Thu Nguyen / Jackie Boatman_x000a_0511 842 897"/>
    <m/>
  </r>
  <r>
    <n v="341"/>
    <x v="368"/>
    <x v="312"/>
    <x v="67"/>
    <s v="MS MAI: 036 3616 075"/>
    <m/>
  </r>
  <r>
    <n v="342"/>
    <x v="369"/>
    <x v="313"/>
    <x v="1"/>
    <s v="MS HUONG: 0373 631 266 ext: 110_x000a_0936 467 896"/>
    <m/>
  </r>
  <r>
    <m/>
    <x v="370"/>
    <x v="314"/>
    <x v="1"/>
    <m/>
    <m/>
  </r>
  <r>
    <n v="343"/>
    <x v="371"/>
    <x v="315"/>
    <x v="1"/>
    <m/>
    <m/>
  </r>
  <r>
    <n v="344"/>
    <x v="372"/>
    <x v="316"/>
    <x v="1"/>
    <m/>
    <m/>
  </r>
  <r>
    <n v="345"/>
    <x v="373"/>
    <x v="317"/>
    <x v="1"/>
    <s v="MS HUE: 0912 767 424"/>
    <m/>
  </r>
  <r>
    <n v="346"/>
    <x v="374"/>
    <x v="318"/>
    <x v="1"/>
    <s v="A.THAI 0987588988"/>
    <m/>
  </r>
  <r>
    <n v="347"/>
    <x v="375"/>
    <x v="319"/>
    <x v="1"/>
    <m/>
    <m/>
  </r>
  <r>
    <n v="348"/>
    <x v="375"/>
    <x v="320"/>
    <x v="1"/>
    <s v="Ms. Vui. tel: 84-031 3679592/3 ."/>
    <m/>
  </r>
  <r>
    <n v="349"/>
    <x v="376"/>
    <x v="321"/>
    <x v="1"/>
    <s v="TOMMY_x000a_Tel: 844-3767-6652 "/>
    <m/>
  </r>
  <r>
    <n v="350"/>
    <x v="377"/>
    <x v="322"/>
    <x v="1"/>
    <s v="MS MAI: 84.936.165.615"/>
    <m/>
  </r>
  <r>
    <n v="351"/>
    <x v="378"/>
    <x v="323"/>
    <x v="1"/>
    <s v="DIEU SAM: 066 3896 052"/>
    <m/>
  </r>
  <r>
    <n v="352"/>
    <x v="379"/>
    <x v="324"/>
    <x v="1"/>
    <s v="Ms. Cherry 0961 002 911"/>
    <m/>
  </r>
  <r>
    <m/>
    <x v="380"/>
    <x v="325"/>
    <x v="1"/>
    <s v="SUSAN 0902936733"/>
    <m/>
  </r>
  <r>
    <n v="353"/>
    <x v="381"/>
    <x v="326"/>
    <x v="1"/>
    <s v="Huong (0978432072)"/>
    <m/>
  </r>
  <r>
    <n v="354"/>
    <x v="382"/>
    <x v="327"/>
    <x v="35"/>
    <s v="Hoàng Thị Huyền 0972508992 phòng xuất nhập khẩu"/>
    <m/>
  </r>
  <r>
    <n v="355"/>
    <x v="383"/>
    <x v="328"/>
    <x v="1"/>
    <s v="MS THAM: 0313591476"/>
    <m/>
  </r>
  <r>
    <n v="356"/>
    <x v="384"/>
    <x v="329"/>
    <x v="1"/>
    <s v="Ms Xuan - 0902069182"/>
    <m/>
  </r>
  <r>
    <n v="357"/>
    <x v="385"/>
    <x v="330"/>
    <x v="1"/>
    <s v="MS LINH: 0907 727 046 / MR JIMMY VU: 0972 158 577"/>
    <m/>
  </r>
  <r>
    <m/>
    <x v="386"/>
    <x v="173"/>
    <x v="1"/>
    <m/>
    <m/>
  </r>
  <r>
    <n v="358"/>
    <x v="387"/>
    <x v="331"/>
    <x v="1"/>
    <s v="MR LEE: 0122 8067 009"/>
    <m/>
  </r>
  <r>
    <n v="359"/>
    <x v="388"/>
    <x v="332"/>
    <x v="1"/>
    <m/>
    <m/>
  </r>
  <r>
    <n v="360"/>
    <x v="389"/>
    <x v="333"/>
    <x v="20"/>
    <s v="0321 397 2628-Ms. Vu Thi Khanh Van (HP: 0913 213 132) vankhaihoan@gmail.com_x000a_"/>
    <m/>
  </r>
  <r>
    <n v="361"/>
    <x v="390"/>
    <x v="334"/>
    <x v="1"/>
    <s v="0936 217 238"/>
    <m/>
  </r>
  <r>
    <n v="362"/>
    <x v="391"/>
    <x v="335"/>
    <x v="1"/>
    <s v="ANH BAY-0903508075"/>
    <m/>
  </r>
  <r>
    <n v="363"/>
    <x v="392"/>
    <x v="336"/>
    <x v="1"/>
    <s v="ANH CUONG: 0903 588 095"/>
    <m/>
  </r>
  <r>
    <n v="364"/>
    <x v="393"/>
    <x v="337"/>
    <x v="1"/>
    <s v="TRINH THI LE, tel : 058 3 521 443."/>
    <m/>
  </r>
  <r>
    <n v="365"/>
    <x v="394"/>
    <x v="338"/>
    <x v="1"/>
    <s v="Ms Ngọc Anh ( 0903 513 649)"/>
    <s v="trangocanh@khatoco.com"/>
  </r>
  <r>
    <m/>
    <x v="395"/>
    <x v="339"/>
    <x v="1"/>
    <m/>
    <m/>
  </r>
  <r>
    <n v="366"/>
    <x v="396"/>
    <x v="340"/>
    <x v="1"/>
    <m/>
    <m/>
  </r>
  <r>
    <n v="367"/>
    <x v="397"/>
    <x v="341"/>
    <x v="1"/>
    <s v="MS LAN-321972750"/>
    <m/>
  </r>
  <r>
    <n v="368"/>
    <x v="398"/>
    <x v="342"/>
    <x v="0"/>
    <s v="KIM ANH: 0913 269 420"/>
    <m/>
  </r>
  <r>
    <n v="369"/>
    <x v="399"/>
    <x v="343"/>
    <x v="1"/>
    <s v="HOAI THI 0908230589"/>
    <m/>
  </r>
  <r>
    <n v="370"/>
    <x v="400"/>
    <x v="344"/>
    <x v="0"/>
    <s v="ms Bich.0983502219"/>
    <m/>
  </r>
  <r>
    <n v="371"/>
    <x v="401"/>
    <x v="345"/>
    <x v="0"/>
    <s v="MR CUONG - P. KE HOACH: 0912 968 067"/>
    <m/>
  </r>
  <r>
    <n v="372"/>
    <x v="402"/>
    <x v="346"/>
    <x v="1"/>
    <s v="MS GIANG: 0934 686 893"/>
    <m/>
  </r>
  <r>
    <n v="373"/>
    <x v="403"/>
    <x v="347"/>
    <x v="34"/>
    <s v="MS NGAN 08 3891 1740"/>
    <m/>
  </r>
  <r>
    <n v="374"/>
    <x v="404"/>
    <x v="348"/>
    <x v="2"/>
    <s v="0904 141251- MS DUNG"/>
    <m/>
  </r>
  <r>
    <n v="375"/>
    <x v="405"/>
    <x v="309"/>
    <x v="1"/>
    <s v="MS NGOC: 0937 248 939"/>
    <m/>
  </r>
  <r>
    <n v="376"/>
    <x v="405"/>
    <x v="349"/>
    <x v="1"/>
    <s v="CINDY: 06513542971"/>
    <m/>
  </r>
  <r>
    <n v="377"/>
    <x v="406"/>
    <x v="350"/>
    <x v="68"/>
    <s v="MS BAO ANH_x000a_0977 770 290"/>
    <m/>
  </r>
  <r>
    <n v="378"/>
    <x v="407"/>
    <x v="351"/>
    <x v="3"/>
    <s v="ATTN: CHI CHAU: _x000a_0982020407_x000a_AN: 0919 048 028"/>
    <m/>
  </r>
  <r>
    <n v="379"/>
    <x v="408"/>
    <x v="352"/>
    <x v="1"/>
    <s v="Ms. Jenny Han Dao DT: 84-320-378-1018"/>
    <m/>
  </r>
  <r>
    <n v="380"/>
    <x v="409"/>
    <x v="353"/>
    <x v="24"/>
    <s v="Liên hệ chị Hania: +84 988 099 142"/>
    <m/>
  </r>
  <r>
    <m/>
    <x v="410"/>
    <x v="354"/>
    <x v="1"/>
    <m/>
    <m/>
  </r>
  <r>
    <m/>
    <x v="411"/>
    <x v="355"/>
    <x v="1"/>
    <m/>
    <m/>
  </r>
  <r>
    <m/>
    <x v="412"/>
    <x v="356"/>
    <x v="1"/>
    <m/>
    <m/>
  </r>
  <r>
    <m/>
    <x v="413"/>
    <x v="357"/>
    <x v="1"/>
    <m/>
    <m/>
  </r>
  <r>
    <n v="381"/>
    <x v="414"/>
    <x v="358"/>
    <x v="1"/>
    <s v="THU THUY 0912 412 878"/>
    <m/>
  </r>
  <r>
    <m/>
    <x v="415"/>
    <x v="359"/>
    <x v="1"/>
    <s v="MS NU 0915224482"/>
    <m/>
  </r>
  <r>
    <m/>
    <x v="416"/>
    <x v="360"/>
    <x v="1"/>
    <s v="DUC ANH 0943700291"/>
    <m/>
  </r>
  <r>
    <n v="382"/>
    <x v="417"/>
    <x v="361"/>
    <x v="1"/>
    <s v="0710 3844 1026_x000a_MR GU WEN JUN 0919 978 816"/>
    <m/>
  </r>
  <r>
    <m/>
    <x v="418"/>
    <x v="362"/>
    <x v="1"/>
    <s v="0935 089 833"/>
    <m/>
  </r>
  <r>
    <m/>
    <x v="419"/>
    <x v="363"/>
    <x v="1"/>
    <m/>
    <m/>
  </r>
  <r>
    <m/>
    <x v="138"/>
    <x v="364"/>
    <x v="1"/>
    <s v="chị Thơm 0986 371 045"/>
    <m/>
  </r>
  <r>
    <m/>
    <x v="420"/>
    <x v="365"/>
    <x v="1"/>
    <m/>
    <m/>
  </r>
  <r>
    <n v="383"/>
    <x v="421"/>
    <x v="366"/>
    <x v="1"/>
    <m/>
    <m/>
  </r>
  <r>
    <n v="384"/>
    <x v="422"/>
    <x v="367"/>
    <x v="1"/>
    <s v="0321 398 2209_x000a_Attn: Ms Hien ( 0934 245 648 )"/>
    <m/>
  </r>
  <r>
    <n v="385"/>
    <x v="423"/>
    <x v="368"/>
    <x v="1"/>
    <s v="MS BICH LIEN (0974 521 071)_x000a_ 0711 3953 295 / 0711 395 33 99 - Fax : 0711 3953 449"/>
    <m/>
  </r>
  <r>
    <n v="386"/>
    <x v="424"/>
    <x v="369"/>
    <x v="1"/>
    <s v="AMANDA 0128.437.1016"/>
    <m/>
  </r>
  <r>
    <n v="387"/>
    <x v="425"/>
    <x v="370"/>
    <x v="1"/>
    <s v="MS DUNG: 0903 418 389"/>
    <m/>
  </r>
  <r>
    <n v="388"/>
    <x v="426"/>
    <x v="371"/>
    <x v="1"/>
    <s v="MS Diep: 036 3836 638"/>
    <m/>
  </r>
  <r>
    <n v="389"/>
    <x v="426"/>
    <x v="173"/>
    <x v="1"/>
    <m/>
    <m/>
  </r>
  <r>
    <n v="390"/>
    <x v="427"/>
    <x v="372"/>
    <x v="1"/>
    <s v="66898088-MS KATHY- 0909 158 288_x000a_0907 009 502- MR TIN"/>
    <m/>
  </r>
  <r>
    <n v="391"/>
    <x v="428"/>
    <x v="373"/>
    <x v="29"/>
    <s v="Nguyễn Minh Thư- Sdt: 0963 861 760"/>
    <m/>
  </r>
  <r>
    <n v="392"/>
    <x v="429"/>
    <x v="116"/>
    <x v="1"/>
    <s v="351 3582835"/>
    <m/>
  </r>
  <r>
    <m/>
    <x v="430"/>
    <x v="374"/>
    <x v="1"/>
    <m/>
    <m/>
  </r>
  <r>
    <n v="393"/>
    <x v="431"/>
    <x v="375"/>
    <x v="1"/>
    <s v="Ms Lien- SDT:84 58 373516"/>
    <m/>
  </r>
  <r>
    <n v="394"/>
    <x v="432"/>
    <x v="376"/>
    <x v="1"/>
    <s v="+84320 3818699"/>
    <m/>
  </r>
  <r>
    <n v="395"/>
    <x v="433"/>
    <x v="377"/>
    <x v="1"/>
    <m/>
    <m/>
  </r>
  <r>
    <n v="396"/>
    <x v="434"/>
    <x v="378"/>
    <x v="39"/>
    <s v="A PHUONG: 0976 191 137"/>
    <m/>
  </r>
  <r>
    <n v="397"/>
    <x v="435"/>
    <x v="379"/>
    <x v="1"/>
    <m/>
    <m/>
  </r>
  <r>
    <n v="398"/>
    <x v="436"/>
    <x v="380"/>
    <x v="1"/>
    <s v="BUI VIET SAM"/>
    <s v=" "/>
  </r>
  <r>
    <n v="399"/>
    <x v="437"/>
    <x v="381"/>
    <x v="1"/>
    <s v="Attn: Dung (0902 160 899 )_x000a_MS NHU: 0350 3929380"/>
    <m/>
  </r>
  <r>
    <n v="400"/>
    <x v="438"/>
    <x v="382"/>
    <x v="1"/>
    <s v="MS HUONG: 0933347667"/>
    <m/>
  </r>
  <r>
    <n v="401"/>
    <x v="439"/>
    <x v="383"/>
    <x v="1"/>
    <s v="Mr. Sumiya 0350 3929380"/>
    <m/>
  </r>
  <r>
    <n v="402"/>
    <x v="440"/>
    <x v="384"/>
    <x v="69"/>
    <s v="MS THAM: 0164 946 9310"/>
    <m/>
  </r>
  <r>
    <n v="403"/>
    <x v="441"/>
    <x v="385"/>
    <x v="1"/>
    <s v="TEL: 0908702067"/>
    <m/>
  </r>
  <r>
    <n v="404"/>
    <x v="442"/>
    <x v="386"/>
    <x v="1"/>
    <s v="MS THOA: 0988 303 555"/>
    <m/>
  </r>
  <r>
    <n v="405"/>
    <x v="443"/>
    <x v="387"/>
    <x v="1"/>
    <s v="Mr Mạnh-0973 577 787-313 598060"/>
    <m/>
  </r>
  <r>
    <n v="406"/>
    <x v="444"/>
    <x v="388"/>
    <x v="70"/>
    <s v="ANH TUAN: 0979 399 357"/>
    <s v="khong cho xuat hang vao 2 ngay 30/7 va 31/7 nha"/>
  </r>
  <r>
    <n v="407"/>
    <x v="445"/>
    <x v="389"/>
    <x v="1"/>
    <s v="Ms Huyền: 0974 351 557_x000a_Ms Hường: 0936 852 010/ 0912 231 885"/>
    <m/>
  </r>
  <r>
    <n v="408"/>
    <x v="446"/>
    <x v="390"/>
    <x v="4"/>
    <s v="QUYNH: 0904 011 547"/>
    <m/>
  </r>
  <r>
    <n v="409"/>
    <x v="447"/>
    <x v="391"/>
    <x v="1"/>
    <s v="Ms Nien - 0918636784"/>
    <m/>
  </r>
  <r>
    <m/>
    <x v="448"/>
    <x v="392"/>
    <x v="1"/>
    <s v="NHAT 0944 747 267"/>
    <m/>
  </r>
  <r>
    <n v="410"/>
    <x v="449"/>
    <x v="393"/>
    <x v="1"/>
    <m/>
    <m/>
  </r>
  <r>
    <n v="411"/>
    <x v="450"/>
    <x v="394"/>
    <x v="71"/>
    <s v="MS HUYEN: 84-4-38583225 Ext: 88121."/>
    <m/>
  </r>
  <r>
    <n v="412"/>
    <x v="451"/>
    <x v="395"/>
    <x v="72"/>
    <s v="MS HANH: 036 3844111 EXT: 781"/>
    <m/>
  </r>
  <r>
    <n v="413"/>
    <x v="452"/>
    <x v="396"/>
    <x v="73"/>
    <s v="MS LAN-04-8583225"/>
    <m/>
  </r>
  <r>
    <n v="414"/>
    <x v="453"/>
    <x v="395"/>
    <x v="72"/>
    <s v="NINH: 0986 807 759"/>
    <m/>
  </r>
  <r>
    <n v="415"/>
    <x v="454"/>
    <x v="397"/>
    <x v="35"/>
    <s v="LILY: 0167 4523 233"/>
    <m/>
  </r>
  <r>
    <n v="416"/>
    <x v="455"/>
    <x v="248"/>
    <x v="1"/>
    <m/>
    <m/>
  </r>
  <r>
    <n v="417"/>
    <x v="456"/>
    <x v="398"/>
    <x v="1"/>
    <s v="ANH CHAU- KHO PHU LIEU-05113-759249"/>
    <m/>
  </r>
  <r>
    <n v="418"/>
    <x v="457"/>
    <x v="399"/>
    <x v="1"/>
    <s v="ATTN:HOÀNG NGỌC THỊNH-01699655227"/>
    <m/>
  </r>
  <r>
    <n v="419"/>
    <x v="458"/>
    <x v="400"/>
    <x v="1"/>
    <s v="THUY: 0987 384 437"/>
    <m/>
  </r>
  <r>
    <m/>
    <x v="459"/>
    <x v="401"/>
    <x v="1"/>
    <s v="TUAN 0913227271"/>
    <m/>
  </r>
  <r>
    <n v="420"/>
    <x v="460"/>
    <x v="402"/>
    <x v="74"/>
    <s v="0169 640 1182- MS HUE"/>
    <s v="24-36"/>
  </r>
  <r>
    <n v="421"/>
    <x v="461"/>
    <x v="402"/>
    <x v="1"/>
    <s v="0936 124 689- THUY"/>
    <s v="24-36"/>
  </r>
  <r>
    <m/>
    <x v="253"/>
    <x v="403"/>
    <x v="1"/>
    <s v="TEL: +84-2513- 647 870~-7 MR BOB"/>
    <m/>
  </r>
  <r>
    <n v="422"/>
    <x v="462"/>
    <x v="402"/>
    <x v="75"/>
    <m/>
    <m/>
  </r>
  <r>
    <n v="423"/>
    <x v="463"/>
    <x v="402"/>
    <x v="1"/>
    <s v="MS HIEN: 0988 969 755"/>
    <m/>
  </r>
  <r>
    <n v="424"/>
    <x v="464"/>
    <x v="404"/>
    <x v="1"/>
    <s v="Tel: 01679842135"/>
    <m/>
  </r>
  <r>
    <n v="425"/>
    <x v="465"/>
    <x v="405"/>
    <x v="1"/>
    <m/>
    <m/>
  </r>
  <r>
    <n v="426"/>
    <x v="466"/>
    <x v="406"/>
    <x v="1"/>
    <m/>
    <m/>
  </r>
  <r>
    <n v="427"/>
    <x v="467"/>
    <x v="407"/>
    <x v="1"/>
    <m/>
    <m/>
  </r>
  <r>
    <n v="428"/>
    <x v="468"/>
    <x v="12"/>
    <x v="0"/>
    <s v="MS LIEN: 0968 217191"/>
    <m/>
  </r>
  <r>
    <n v="429"/>
    <x v="469"/>
    <x v="408"/>
    <x v="39"/>
    <s v="0210 3821 915"/>
    <m/>
  </r>
  <r>
    <n v="430"/>
    <x v="470"/>
    <x v="409"/>
    <x v="1"/>
    <s v="MS TRANG: 0974 910 262_x000a_MS NHUNG: 0936 813 688"/>
    <m/>
  </r>
  <r>
    <n v="431"/>
    <x v="471"/>
    <x v="410"/>
    <x v="1"/>
    <s v="MAI NGUYEN +84 127 554 1811"/>
    <m/>
  </r>
  <r>
    <n v="432"/>
    <x v="472"/>
    <x v="411"/>
    <x v="1"/>
    <m/>
    <m/>
  </r>
  <r>
    <n v="433"/>
    <x v="473"/>
    <x v="412"/>
    <x v="1"/>
    <s v="PHUONG THANH: 01265992728-TAM: 0918472185-07103842263"/>
    <m/>
  </r>
  <r>
    <n v="434"/>
    <x v="474"/>
    <x v="413"/>
    <x v="1"/>
    <s v="A DUC: 01676 999 777"/>
    <m/>
  </r>
  <r>
    <n v="435"/>
    <x v="475"/>
    <x v="414"/>
    <x v="1"/>
    <s v="MS QUYNH: 01689931762"/>
    <m/>
  </r>
  <r>
    <n v="436"/>
    <x v="476"/>
    <x v="415"/>
    <x v="39"/>
    <s v=" MS HUONG 0978 695 777/_x000a_ MR QUAN 0913 580 180"/>
    <m/>
  </r>
  <r>
    <n v="437"/>
    <x v="477"/>
    <x v="416"/>
    <x v="1"/>
    <s v="MS SAM 0913322129"/>
    <m/>
  </r>
  <r>
    <n v="438"/>
    <x v="478"/>
    <x v="417"/>
    <x v="1"/>
    <s v="MS DUNG: 0912 922 456"/>
    <m/>
  </r>
  <r>
    <m/>
    <x v="479"/>
    <x v="418"/>
    <x v="1"/>
    <s v="LUU 0908099619"/>
    <m/>
  </r>
  <r>
    <n v="439"/>
    <x v="480"/>
    <x v="419"/>
    <x v="1"/>
    <s v="MS ÁNH-0510 944888"/>
    <m/>
  </r>
  <r>
    <n v="440"/>
    <x v="481"/>
    <x v="420"/>
    <x v="1"/>
    <s v="MR HA-433641239-Mr Thang 0913 268 037"/>
    <s v="bill-WEATHERPROOF GARMENT"/>
  </r>
  <r>
    <n v="441"/>
    <x v="482"/>
    <x v="421"/>
    <x v="76"/>
    <s v="NGOC(KHO)-04-6440458-phuong0988087290"/>
    <s v="24-36"/>
  </r>
  <r>
    <n v="442"/>
    <x v="483"/>
    <x v="422"/>
    <x v="19"/>
    <s v="MS HANG: 04 6446 802"/>
    <m/>
  </r>
  <r>
    <n v="443"/>
    <x v="484"/>
    <x v="423"/>
    <x v="1"/>
    <s v="MS TIEN: 04 36448 629"/>
    <m/>
  </r>
  <r>
    <n v="444"/>
    <x v="485"/>
    <x v="424"/>
    <x v="12"/>
    <s v="MS LIEN : 0903 463 454"/>
    <m/>
  </r>
  <r>
    <n v="445"/>
    <x v="486"/>
    <x v="423"/>
    <x v="42"/>
    <s v="0915330479- MS GIANG"/>
    <m/>
  </r>
  <r>
    <n v="446"/>
    <x v="487"/>
    <x v="425"/>
    <x v="1"/>
    <s v="MS BICH: 0902 201 180"/>
    <m/>
  </r>
  <r>
    <n v="447"/>
    <x v="488"/>
    <x v="426"/>
    <x v="1"/>
    <s v="Attn: Ms Tam 0913 931 896"/>
    <m/>
  </r>
  <r>
    <n v="448"/>
    <x v="489"/>
    <x v="427"/>
    <x v="1"/>
    <s v="A VINH: 0936 271 529"/>
    <m/>
  </r>
  <r>
    <n v="449"/>
    <x v="490"/>
    <x v="428"/>
    <x v="1"/>
    <s v="PHAM NGOC HA-4-6750213/ 9282742_x000a_Ms Mo: 01674 156872"/>
    <m/>
  </r>
  <r>
    <n v="450"/>
    <x v="491"/>
    <x v="429"/>
    <x v="1"/>
    <n v="27"/>
    <s v="R"/>
  </r>
  <r>
    <n v="451"/>
    <x v="492"/>
    <x v="430"/>
    <x v="1"/>
    <s v="Mr. Quynh: 0975900275_x000a_Ms. Trang 0973876354"/>
    <m/>
  </r>
  <r>
    <n v="452"/>
    <x v="493"/>
    <x v="431"/>
    <x v="77"/>
    <s v="HP: + 84 976.568.702"/>
    <m/>
  </r>
  <r>
    <n v="453"/>
    <x v="494"/>
    <x v="432"/>
    <x v="1"/>
    <s v="MS NGOC: 0974 856 259"/>
    <m/>
  </r>
  <r>
    <n v="454"/>
    <x v="495"/>
    <x v="433"/>
    <x v="1"/>
    <m/>
    <m/>
  </r>
  <r>
    <n v="455"/>
    <x v="496"/>
    <x v="434"/>
    <x v="1"/>
    <s v="CHI BICH 0936171499"/>
    <m/>
  </r>
  <r>
    <n v="456"/>
    <x v="497"/>
    <x v="435"/>
    <x v="1"/>
    <s v="MS GIANG: 0902 175 065"/>
    <m/>
  </r>
  <r>
    <n v="457"/>
    <x v="497"/>
    <x v="436"/>
    <x v="3"/>
    <s v="MS THOA 0975 737 145/_x000a_ MS THUAN 0986 475 152"/>
    <m/>
  </r>
  <r>
    <n v="458"/>
    <x v="498"/>
    <x v="437"/>
    <x v="1"/>
    <m/>
    <m/>
  </r>
  <r>
    <n v="459"/>
    <x v="499"/>
    <x v="438"/>
    <x v="1"/>
    <s v="MS HONG SEN: 0935 477 139"/>
    <m/>
  </r>
  <r>
    <n v="460"/>
    <x v="500"/>
    <x v="439"/>
    <x v="1"/>
    <s v="Tel: Ms Hanh: 0986 16 2273, Ms Thao: 0986 825 394 or Ms Ngoc: 0934 181 465"/>
    <m/>
  </r>
  <r>
    <m/>
    <x v="501"/>
    <x v="440"/>
    <x v="1"/>
    <m/>
    <m/>
  </r>
  <r>
    <n v="461"/>
    <x v="500"/>
    <x v="441"/>
    <x v="1"/>
    <s v="Ms Hanh: 0986 16 2273, Ms Thao: 0986 825 394 or Ms Ngoc: 0934 181 465"/>
    <m/>
  </r>
  <r>
    <n v="462"/>
    <x v="502"/>
    <x v="442"/>
    <x v="1"/>
    <s v=" "/>
    <m/>
  </r>
  <r>
    <n v="463"/>
    <x v="503"/>
    <x v="443"/>
    <x v="0"/>
    <s v="TRUC: 0937 856 326"/>
    <m/>
  </r>
  <r>
    <n v="464"/>
    <x v="504"/>
    <x v="444"/>
    <x v="78"/>
    <s v="ANH TRINH: 0321 3854 417"/>
    <m/>
  </r>
  <r>
    <n v="465"/>
    <x v="505"/>
    <x v="445"/>
    <x v="1"/>
    <m/>
    <m/>
  </r>
  <r>
    <n v="466"/>
    <x v="506"/>
    <x v="446"/>
    <x v="1"/>
    <m/>
    <m/>
  </r>
  <r>
    <n v="467"/>
    <x v="507"/>
    <x v="447"/>
    <x v="1"/>
    <s v="A Thinh (MR) 904770343_x000a_TEL : 0350 849 451"/>
    <m/>
  </r>
  <r>
    <n v="468"/>
    <x v="508"/>
    <x v="448"/>
    <x v="3"/>
    <s v="LE VAN BINH_x000a_TEL: 0084 350 3849617/ FAX: 3862851"/>
    <m/>
  </r>
  <r>
    <n v="469"/>
    <x v="509"/>
    <x v="449"/>
    <x v="1"/>
    <s v="Mr. D Tien Dung-350-649563-HIEU- 0983 740 929"/>
    <m/>
  </r>
  <r>
    <n v="470"/>
    <x v="510"/>
    <x v="450"/>
    <x v="1"/>
    <s v="Mr Tap: 0912342833"/>
    <m/>
  </r>
  <r>
    <n v="471"/>
    <x v="511"/>
    <x v="451"/>
    <x v="1"/>
    <s v="MS NGA 0915 133 216"/>
    <m/>
  </r>
  <r>
    <m/>
    <x v="512"/>
    <x v="452"/>
    <x v="1"/>
    <m/>
    <m/>
  </r>
  <r>
    <m/>
    <x v="513"/>
    <x v="453"/>
    <x v="1"/>
    <s v="PHUONG MAI 0964 309 166"/>
    <m/>
  </r>
  <r>
    <n v="472"/>
    <x v="514"/>
    <x v="139"/>
    <x v="1"/>
    <s v="Tel:84 -320-3560- 971 Fax:84-320- 3560- 972_x000a_ATTN: Ken"/>
    <m/>
  </r>
  <r>
    <n v="473"/>
    <x v="515"/>
    <x v="454"/>
    <x v="1"/>
    <s v="NGA 0934 038 532"/>
    <m/>
  </r>
  <r>
    <m/>
    <x v="516"/>
    <x v="455"/>
    <x v="1"/>
    <m/>
    <m/>
  </r>
  <r>
    <n v="474"/>
    <x v="93"/>
    <x v="456"/>
    <x v="1"/>
    <s v="Attn: Ms Nguyet ( 0169.213.6477 )"/>
    <m/>
  </r>
  <r>
    <n v="475"/>
    <x v="517"/>
    <x v="457"/>
    <x v="1"/>
    <s v="MS. THINH - 0912253583_x000a_MS CHAU- 0988907292_x000a_MS HANH- 0983 128 224"/>
    <m/>
  </r>
  <r>
    <n v="476"/>
    <x v="518"/>
    <x v="458"/>
    <x v="12"/>
    <s v="Điện thoại: 0320.3560971 Ext: 217- KATE"/>
    <m/>
  </r>
  <r>
    <n v="477"/>
    <x v="519"/>
    <x v="459"/>
    <x v="1"/>
    <s v="THAO 01674031987"/>
    <m/>
  </r>
  <r>
    <n v="478"/>
    <x v="520"/>
    <x v="460"/>
    <x v="0"/>
    <s v="HIEU 098 378 6458"/>
    <m/>
  </r>
  <r>
    <n v="479"/>
    <x v="521"/>
    <x v="461"/>
    <x v="4"/>
    <s v="ANDIE NGO: 070 6252266"/>
    <m/>
  </r>
  <r>
    <n v="480"/>
    <x v="522"/>
    <x v="462"/>
    <x v="79"/>
    <s v="HONG: 0983 155 520"/>
    <m/>
  </r>
  <r>
    <n v="481"/>
    <x v="523"/>
    <x v="463"/>
    <x v="1"/>
    <m/>
    <m/>
  </r>
  <r>
    <n v="482"/>
    <x v="524"/>
    <x v="464"/>
    <x v="1"/>
    <s v="ATTN: MR BANG 0905082080_x000a_A KHOA: 0909 467 437"/>
    <m/>
  </r>
  <r>
    <n v="483"/>
    <x v="525"/>
    <x v="465"/>
    <x v="12"/>
    <s v="TRANG: 0912.932.333 "/>
    <m/>
  </r>
  <r>
    <n v="484"/>
    <x v="526"/>
    <x v="466"/>
    <x v="1"/>
    <s v="LE: 0982 526 853"/>
    <m/>
  </r>
  <r>
    <n v="485"/>
    <x v="527"/>
    <x v="467"/>
    <x v="1"/>
    <s v="MS HIEN: 0978 807 252"/>
    <m/>
  </r>
  <r>
    <n v="486"/>
    <x v="528"/>
    <x v="468"/>
    <x v="1"/>
    <s v="ATTN: HUYEN: 0903 439616/HUONG : 01674 532668"/>
    <m/>
  </r>
  <r>
    <m/>
    <x v="529"/>
    <x v="469"/>
    <x v="1"/>
    <m/>
    <m/>
  </r>
  <r>
    <m/>
    <x v="530"/>
    <x v="470"/>
    <x v="1"/>
    <s v="MS ROBIN 0985509049"/>
    <m/>
  </r>
  <r>
    <m/>
    <x v="531"/>
    <x v="471"/>
    <x v="1"/>
    <m/>
    <m/>
  </r>
  <r>
    <n v="487"/>
    <x v="532"/>
    <x v="114"/>
    <x v="1"/>
    <s v="Mr Hao 0903 443 059"/>
    <m/>
  </r>
  <r>
    <m/>
    <x v="533"/>
    <x v="472"/>
    <x v="1"/>
    <m/>
    <m/>
  </r>
  <r>
    <n v="488"/>
    <x v="532"/>
    <x v="473"/>
    <x v="1"/>
    <s v="Mr Hao 0903 443 059"/>
    <m/>
  </r>
  <r>
    <n v="489"/>
    <x v="534"/>
    <x v="474"/>
    <x v="1"/>
    <m/>
    <m/>
  </r>
  <r>
    <n v="490"/>
    <x v="535"/>
    <x v="475"/>
    <x v="1"/>
    <m/>
    <m/>
  </r>
  <r>
    <n v="491"/>
    <x v="536"/>
    <x v="476"/>
    <x v="1"/>
    <s v="MS NGAN: 0947 029 086"/>
    <m/>
  </r>
  <r>
    <n v="492"/>
    <x v="537"/>
    <x v="477"/>
    <x v="1"/>
    <s v="Mr Stephen Yiu: 0169.706.8819"/>
    <m/>
  </r>
  <r>
    <n v="493"/>
    <x v="538"/>
    <x v="478"/>
    <x v="1"/>
    <m/>
    <m/>
  </r>
  <r>
    <n v="494"/>
    <x v="539"/>
    <x v="479"/>
    <x v="1"/>
    <m/>
    <m/>
  </r>
  <r>
    <n v="495"/>
    <x v="540"/>
    <x v="478"/>
    <x v="1"/>
    <s v="OANH"/>
    <m/>
  </r>
  <r>
    <n v="496"/>
    <x v="541"/>
    <x v="480"/>
    <x v="4"/>
    <s v="MS HONG: 0169 255 7340"/>
    <m/>
  </r>
  <r>
    <n v="497"/>
    <x v="542"/>
    <x v="481"/>
    <x v="1"/>
    <m/>
    <m/>
  </r>
  <r>
    <m/>
    <x v="543"/>
    <x v="482"/>
    <x v="1"/>
    <m/>
    <m/>
  </r>
  <r>
    <n v="498"/>
    <x v="544"/>
    <x v="483"/>
    <x v="1"/>
    <m/>
    <m/>
  </r>
  <r>
    <n v="499"/>
    <x v="545"/>
    <x v="484"/>
    <x v="1"/>
    <m/>
    <m/>
  </r>
  <r>
    <n v="500"/>
    <x v="546"/>
    <x v="485"/>
    <x v="1"/>
    <s v="MS HAI: 0946 280 042"/>
    <m/>
  </r>
  <r>
    <n v="501"/>
    <x v="547"/>
    <x v="486"/>
    <x v="62"/>
    <s v="QUYNH HOA: 0936 729 206"/>
    <m/>
  </r>
  <r>
    <n v="502"/>
    <x v="548"/>
    <x v="487"/>
    <x v="1"/>
    <s v="LAN ANH: 0972 290 965/0988 899329"/>
    <m/>
  </r>
  <r>
    <n v="503"/>
    <x v="549"/>
    <x v="488"/>
    <x v="1"/>
    <s v="THU PHUONG/VAN-8586024"/>
    <m/>
  </r>
  <r>
    <n v="504"/>
    <x v="550"/>
    <x v="489"/>
    <x v="35"/>
    <s v="MS MERRY: 0989 709 898"/>
    <m/>
  </r>
  <r>
    <n v="505"/>
    <x v="551"/>
    <x v="490"/>
    <x v="1"/>
    <s v="Nhung 0948325628"/>
    <m/>
  </r>
  <r>
    <n v="506"/>
    <x v="552"/>
    <x v="491"/>
    <x v="1"/>
    <s v="LIEU: 0510 3942 504"/>
    <m/>
  </r>
  <r>
    <n v="507"/>
    <x v="553"/>
    <x v="492"/>
    <x v="1"/>
    <s v="Mr Ra Byuong Mun : 0210 38 54 005"/>
    <m/>
  </r>
  <r>
    <n v="508"/>
    <x v="554"/>
    <x v="493"/>
    <x v="1"/>
    <s v="HUE: 0320 3751 156"/>
    <m/>
  </r>
  <r>
    <n v="509"/>
    <x v="555"/>
    <x v="494"/>
    <x v="1"/>
    <s v="Attn: Tran Tuyet 0983 694 802"/>
    <m/>
  </r>
  <r>
    <n v="510"/>
    <x v="556"/>
    <x v="495"/>
    <x v="1"/>
    <m/>
    <m/>
  </r>
  <r>
    <n v="511"/>
    <x v="557"/>
    <x v="496"/>
    <x v="1"/>
    <s v="Attn: Ms Linh - 0972 298 358"/>
    <m/>
  </r>
  <r>
    <n v="512"/>
    <x v="557"/>
    <x v="497"/>
    <x v="1"/>
    <s v="Attn: Ms Linh - 0972 298 358"/>
    <m/>
  </r>
  <r>
    <n v="513"/>
    <x v="558"/>
    <x v="498"/>
    <x v="1"/>
    <m/>
    <m/>
  </r>
  <r>
    <n v="514"/>
    <x v="559"/>
    <x v="499"/>
    <x v="1"/>
    <s v="MS HOA: 030 3625 526"/>
    <m/>
  </r>
  <r>
    <n v="515"/>
    <x v="560"/>
    <x v="500"/>
    <x v="1"/>
    <m/>
    <m/>
  </r>
  <r>
    <n v="516"/>
    <x v="561"/>
    <x v="501"/>
    <x v="80"/>
    <m/>
    <m/>
  </r>
  <r>
    <n v="517"/>
    <x v="562"/>
    <x v="502"/>
    <x v="1"/>
    <s v="NGAN 0974 412 073"/>
    <m/>
  </r>
  <r>
    <n v="518"/>
    <x v="563"/>
    <x v="503"/>
    <x v="1"/>
    <s v="MR HOA: 0903 434 076"/>
    <m/>
  </r>
  <r>
    <n v="519"/>
    <x v="564"/>
    <x v="504"/>
    <x v="1"/>
    <s v="MS XUAN MAI: 062 3821 947"/>
    <m/>
  </r>
  <r>
    <n v="520"/>
    <x v="565"/>
    <x v="505"/>
    <x v="81"/>
    <s v="MR KM Phone: (84) 3203555865 ex- 738, _x000a_ Cell # +84 942 863 502_x000a_LAN: 0904 360 462"/>
    <m/>
  </r>
  <r>
    <n v="521"/>
    <x v="566"/>
    <x v="506"/>
    <x v="1"/>
    <s v="MS LUYEN-0917338707-0240 3 865145"/>
    <m/>
  </r>
  <r>
    <n v="522"/>
    <x v="567"/>
    <x v="507"/>
    <x v="1"/>
    <s v="MR PARK JONG CHUL : 0240 3865 145"/>
    <m/>
  </r>
  <r>
    <n v="523"/>
    <x v="568"/>
    <x v="508"/>
    <x v="0"/>
    <s v="MS SEN: 0320 3922560"/>
    <m/>
  </r>
  <r>
    <n v="524"/>
    <x v="569"/>
    <x v="509"/>
    <x v="1"/>
    <s v="BA NGOC: 01635888486"/>
    <m/>
  </r>
  <r>
    <n v="525"/>
    <x v="570"/>
    <x v="510"/>
    <x v="1"/>
    <s v="MS SUONG: 0905 267 641"/>
    <m/>
  </r>
  <r>
    <m/>
    <x v="571"/>
    <x v="511"/>
    <x v="1"/>
    <s v="Bùi Anh/Tracy 01649102382 MsMai 01688372595"/>
    <m/>
  </r>
  <r>
    <n v="526"/>
    <x v="572"/>
    <x v="512"/>
    <x v="1"/>
    <s v="Chi Ha: Dthoai 0168 6080 423"/>
    <m/>
  </r>
  <r>
    <n v="527"/>
    <x v="573"/>
    <x v="513"/>
    <x v="1"/>
    <s v="HANG 0905279922"/>
    <m/>
  </r>
  <r>
    <n v="528"/>
    <x v="574"/>
    <x v="514"/>
    <x v="1"/>
    <m/>
    <m/>
  </r>
  <r>
    <n v="529"/>
    <x v="575"/>
    <x v="515"/>
    <x v="1"/>
    <s v="Attn: Mr Thuong: 0982 493 888"/>
    <m/>
  </r>
  <r>
    <n v="530"/>
    <x v="576"/>
    <x v="516"/>
    <x v="1"/>
    <s v="MR DOAN: 0986 330 212"/>
    <m/>
  </r>
  <r>
    <n v="531"/>
    <x v="577"/>
    <x v="517"/>
    <x v="1"/>
    <s v="MS KIM TOAN: 0977 945 671"/>
    <m/>
  </r>
  <r>
    <m/>
    <x v="578"/>
    <x v="518"/>
    <x v="1"/>
    <s v="HA TRAN 0962171056"/>
    <m/>
  </r>
  <r>
    <m/>
    <x v="579"/>
    <x v="519"/>
    <x v="1"/>
    <m/>
    <m/>
  </r>
  <r>
    <m/>
    <x v="580"/>
    <x v="520"/>
    <x v="1"/>
    <s v="Toản (0963783402)"/>
    <m/>
  </r>
  <r>
    <m/>
    <x v="581"/>
    <x v="521"/>
    <x v="1"/>
    <m/>
    <m/>
  </r>
  <r>
    <m/>
    <x v="582"/>
    <x v="522"/>
    <x v="1"/>
    <s v="MR PHAT 0946642386"/>
    <m/>
  </r>
  <r>
    <m/>
    <x v="583"/>
    <x v="523"/>
    <x v="1"/>
    <s v="MR HOAI 0934206639"/>
    <m/>
  </r>
  <r>
    <m/>
    <x v="584"/>
    <x v="524"/>
    <x v="82"/>
    <s v="THUY 01626621770"/>
    <m/>
  </r>
  <r>
    <m/>
    <x v="585"/>
    <x v="525"/>
    <x v="1"/>
    <m/>
    <m/>
  </r>
  <r>
    <m/>
    <x v="586"/>
    <x v="526"/>
    <x v="1"/>
    <m/>
    <m/>
  </r>
  <r>
    <m/>
    <x v="587"/>
    <x v="527"/>
    <x v="1"/>
    <m/>
    <m/>
  </r>
  <r>
    <n v="532"/>
    <x v="588"/>
    <x v="528"/>
    <x v="1"/>
    <s v="MS LINH-0918 680 362"/>
    <m/>
  </r>
  <r>
    <n v="533"/>
    <x v="589"/>
    <x v="529"/>
    <x v="0"/>
    <s v="MR LAM: 0168 495 5775"/>
    <m/>
  </r>
  <r>
    <n v="534"/>
    <x v="590"/>
    <x v="530"/>
    <x v="1"/>
    <s v="THUY TRANG: 0985 200 229"/>
    <m/>
  </r>
  <r>
    <n v="535"/>
    <x v="591"/>
    <x v="531"/>
    <x v="1"/>
    <s v="THAO 0914763607"/>
    <m/>
  </r>
  <r>
    <n v="536"/>
    <x v="592"/>
    <x v="532"/>
    <x v="1"/>
    <s v="WATER 0988 269 723"/>
    <m/>
  </r>
  <r>
    <n v="537"/>
    <x v="593"/>
    <x v="533"/>
    <x v="1"/>
    <s v="NGAN 01233963696"/>
    <m/>
  </r>
  <r>
    <n v="538"/>
    <x v="594"/>
    <x v="534"/>
    <x v="35"/>
    <s v="0164 869 9699- A TUAN"/>
    <m/>
  </r>
  <r>
    <n v="539"/>
    <x v="595"/>
    <x v="535"/>
    <x v="4"/>
    <s v="01276826827- MS NGAN"/>
    <m/>
  </r>
  <r>
    <n v="540"/>
    <x v="596"/>
    <x v="536"/>
    <x v="1"/>
    <m/>
    <m/>
  </r>
  <r>
    <n v="541"/>
    <x v="597"/>
    <x v="535"/>
    <x v="4"/>
    <s v="01276826827- MS NGAN"/>
    <m/>
  </r>
  <r>
    <n v="542"/>
    <x v="598"/>
    <x v="537"/>
    <x v="23"/>
    <s v="ANH HAI: 0919677261"/>
    <m/>
  </r>
  <r>
    <n v="543"/>
    <x v="599"/>
    <x v="538"/>
    <x v="1"/>
    <s v="Mrs.  Merry/Huong_x000a_+84-0989709898"/>
    <m/>
  </r>
  <r>
    <n v="544"/>
    <x v="600"/>
    <x v="539"/>
    <x v="1"/>
    <s v="Vat tu - Ms. Nam - 0384 387 823"/>
    <m/>
  </r>
  <r>
    <m/>
    <x v="601"/>
    <x v="182"/>
    <x v="1"/>
    <s v="MS HUONG 0982094023"/>
    <m/>
  </r>
  <r>
    <n v="545"/>
    <x v="602"/>
    <x v="540"/>
    <x v="1"/>
    <s v="HO ANH: 0947 574 646"/>
    <m/>
  </r>
  <r>
    <n v="546"/>
    <x v="603"/>
    <x v="541"/>
    <x v="1"/>
    <s v="thu-0313 597 978"/>
    <m/>
  </r>
  <r>
    <n v="547"/>
    <x v="604"/>
    <x v="542"/>
    <x v="1"/>
    <s v="Ms Tham  0944 341 357"/>
    <m/>
  </r>
  <r>
    <m/>
    <x v="605"/>
    <x v="543"/>
    <x v="1"/>
    <m/>
    <m/>
  </r>
  <r>
    <m/>
    <x v="606"/>
    <x v="544"/>
    <x v="1"/>
    <s v="JOHN 01656201930"/>
    <m/>
  </r>
  <r>
    <m/>
    <x v="607"/>
    <x v="545"/>
    <x v="1"/>
    <m/>
    <m/>
  </r>
  <r>
    <m/>
    <x v="608"/>
    <x v="546"/>
    <x v="1"/>
    <m/>
    <m/>
  </r>
  <r>
    <m/>
    <x v="609"/>
    <x v="547"/>
    <x v="1"/>
    <m/>
    <m/>
  </r>
  <r>
    <m/>
    <x v="610"/>
    <x v="548"/>
    <x v="1"/>
    <m/>
    <m/>
  </r>
  <r>
    <m/>
    <x v="611"/>
    <x v="549"/>
    <x v="1"/>
    <m/>
    <m/>
  </r>
  <r>
    <m/>
    <x v="612"/>
    <x v="550"/>
    <x v="1"/>
    <m/>
    <m/>
  </r>
  <r>
    <n v="548"/>
    <x v="613"/>
    <x v="551"/>
    <x v="1"/>
    <s v="Truong Thi Hoang Linh - packing team.So dt: 0905 024 608"/>
    <m/>
  </r>
  <r>
    <n v="549"/>
    <x v="614"/>
    <x v="552"/>
    <x v="1"/>
    <s v="HUONG 01208361859"/>
    <m/>
  </r>
  <r>
    <n v="550"/>
    <x v="615"/>
    <x v="553"/>
    <x v="83"/>
    <s v="Hand phone: 0984 530 372  A.SANG"/>
    <m/>
  </r>
  <r>
    <n v="551"/>
    <x v="616"/>
    <x v="554"/>
    <x v="84"/>
    <s v="0912 950 692- MS CHI"/>
    <m/>
  </r>
  <r>
    <m/>
    <x v="617"/>
    <x v="555"/>
    <x v="1"/>
    <m/>
    <m/>
  </r>
  <r>
    <m/>
    <x v="618"/>
    <x v="173"/>
    <x v="1"/>
    <m/>
    <m/>
  </r>
  <r>
    <n v="552"/>
    <x v="619"/>
    <x v="556"/>
    <x v="85"/>
    <s v="HUE/NGUYET: 04 3394 7153"/>
    <m/>
  </r>
  <r>
    <n v="553"/>
    <x v="620"/>
    <x v="557"/>
    <x v="1"/>
    <s v="MS THAO 0947938288"/>
    <m/>
  </r>
  <r>
    <m/>
    <x v="621"/>
    <x v="558"/>
    <x v="1"/>
    <m/>
    <m/>
  </r>
  <r>
    <n v="554"/>
    <x v="622"/>
    <x v="559"/>
    <x v="29"/>
    <s v="Đt: 0320. 3845. 187 (Máy lẻ: 222)_x000a_0985 793 138- MS NHIEN"/>
    <m/>
  </r>
  <r>
    <n v="555"/>
    <x v="623"/>
    <x v="560"/>
    <x v="54"/>
    <s v="Attn: Ms Dung: 0982 308 380"/>
    <m/>
  </r>
  <r>
    <n v="556"/>
    <x v="624"/>
    <x v="561"/>
    <x v="1"/>
    <s v="ATTN: Ms Phuong Lan/ Mr Ha_x000a_Tel: +84-(0)4-3864-6710_x000a_Fax: +84-(0)4-3864-6928_x000a_"/>
    <m/>
  </r>
  <r>
    <n v="557"/>
    <x v="625"/>
    <x v="171"/>
    <x v="1"/>
    <s v="MS NGOC/HA: 0363 3684 5941"/>
    <m/>
  </r>
  <r>
    <n v="558"/>
    <x v="626"/>
    <x v="562"/>
    <x v="1"/>
    <s v="KIEU NHI 01662389971"/>
    <m/>
  </r>
  <r>
    <n v="559"/>
    <x v="627"/>
    <x v="563"/>
    <x v="1"/>
    <s v="Huyền: 0977114330 "/>
    <s v=" "/>
  </r>
  <r>
    <m/>
    <x v="628"/>
    <x v="563"/>
    <x v="1"/>
    <s v="THẢO kho : 0162.803.5191"/>
    <m/>
  </r>
  <r>
    <m/>
    <x v="629"/>
    <x v="564"/>
    <x v="1"/>
    <m/>
    <m/>
  </r>
  <r>
    <m/>
    <x v="630"/>
    <x v="565"/>
    <x v="1"/>
    <s v="MRS LINH 0966.326.926"/>
    <m/>
  </r>
  <r>
    <m/>
    <x v="631"/>
    <x v="566"/>
    <x v="1"/>
    <m/>
    <m/>
  </r>
  <r>
    <m/>
    <x v="632"/>
    <x v="567"/>
    <x v="1"/>
    <s v="Ms Duyen 0935456607"/>
    <m/>
  </r>
  <r>
    <n v="560"/>
    <x v="633"/>
    <x v="568"/>
    <x v="1"/>
    <s v="075 3637 346/347/333"/>
    <m/>
  </r>
  <r>
    <n v="561"/>
    <x v="634"/>
    <x v="569"/>
    <x v="1"/>
    <s v="MS LIEN 01634615428"/>
    <m/>
  </r>
  <r>
    <n v="562"/>
    <x v="635"/>
    <x v="570"/>
    <x v="1"/>
    <s v="MS LINH: 0944801718"/>
    <m/>
  </r>
  <r>
    <n v="563"/>
    <x v="636"/>
    <x v="571"/>
    <x v="1"/>
    <s v="PING PAI: 0711 3582 498"/>
    <m/>
  </r>
  <r>
    <n v="564"/>
    <x v="637"/>
    <x v="572"/>
    <x v="1"/>
    <s v="MINH: 0985 024 353"/>
    <m/>
  </r>
  <r>
    <n v="565"/>
    <x v="638"/>
    <x v="573"/>
    <x v="1"/>
    <s v="YEN: 0986 885 110"/>
    <m/>
  </r>
  <r>
    <n v="566"/>
    <x v="639"/>
    <x v="574"/>
    <x v="1"/>
    <s v="Điện thoại: 04-3670 0001 _x000a_Người liên lạc: _x000a_Hương- 0987 888 418 _x000a_Duyên-0978 858 385"/>
    <s v="94/75 HONG HA RD-BA DINH-HANOI"/>
  </r>
  <r>
    <n v="567"/>
    <x v="640"/>
    <x v="575"/>
    <x v="1"/>
    <s v="Điện thoại: 04-3670 0001 _x000a_Người liên lạc: _x000a_Hương- ĐT di động: 0987 888 418 _x000a_Duyên- DDT di động: 0978 858 385"/>
    <m/>
  </r>
  <r>
    <n v="568"/>
    <x v="641"/>
    <x v="576"/>
    <x v="86"/>
    <s v="Nguyen Thanh Tuan: 04 39454235"/>
    <m/>
  </r>
  <r>
    <n v="569"/>
    <x v="642"/>
    <x v="577"/>
    <x v="1"/>
    <s v="MS THANH: 0908 608 688"/>
    <m/>
  </r>
  <r>
    <n v="570"/>
    <x v="643"/>
    <x v="578"/>
    <x v="87"/>
    <s v="MS TIEN: 0167 747 8607"/>
    <m/>
  </r>
  <r>
    <n v="571"/>
    <x v="644"/>
    <x v="579"/>
    <x v="1"/>
    <s v="ATTN: HENRY/ CAROL: 083 8734165"/>
    <m/>
  </r>
  <r>
    <n v="572"/>
    <x v="645"/>
    <x v="580"/>
    <x v="1"/>
    <m/>
    <m/>
  </r>
  <r>
    <n v="573"/>
    <x v="646"/>
    <x v="581"/>
    <x v="1"/>
    <s v="BARRY/JIM-313 979902"/>
    <m/>
  </r>
  <r>
    <n v="574"/>
    <x v="647"/>
    <x v="582"/>
    <x v="1"/>
    <s v="MS TAM-058.3743516"/>
    <m/>
  </r>
  <r>
    <n v="575"/>
    <x v="648"/>
    <x v="583"/>
    <x v="1"/>
    <m/>
    <m/>
  </r>
  <r>
    <n v="576"/>
    <x v="649"/>
    <x v="584"/>
    <x v="1"/>
    <m/>
    <m/>
  </r>
  <r>
    <n v="577"/>
    <x v="650"/>
    <x v="585"/>
    <x v="1"/>
    <m/>
    <m/>
  </r>
  <r>
    <n v="578"/>
    <x v="651"/>
    <x v="585"/>
    <x v="1"/>
    <s v="ATTN: HUONG 01655225094"/>
    <m/>
  </r>
  <r>
    <n v="579"/>
    <x v="652"/>
    <x v="586"/>
    <x v="1"/>
    <s v="MS NGOC 0977 845 290"/>
    <m/>
  </r>
  <r>
    <n v="580"/>
    <x v="653"/>
    <x v="587"/>
    <x v="1"/>
    <s v="NGAN/NGOC/THUY/HAU-3203574168"/>
    <m/>
  </r>
  <r>
    <n v="581"/>
    <x v="654"/>
    <x v="588"/>
    <x v="1"/>
    <s v="NGOC-32103955188"/>
    <m/>
  </r>
  <r>
    <m/>
    <x v="655"/>
    <x v="589"/>
    <x v="1"/>
    <m/>
    <m/>
  </r>
  <r>
    <n v="582"/>
    <x v="656"/>
    <x v="590"/>
    <x v="0"/>
    <s v="MS QUYEN: 0975 358 064"/>
    <m/>
  </r>
  <r>
    <n v="583"/>
    <x v="657"/>
    <x v="591"/>
    <x v="1"/>
    <s v="MR KY/ MS PHUONG: 0613 513241_x000a_0168 871 7393- MS HANH"/>
    <m/>
  </r>
  <r>
    <n v="584"/>
    <x v="658"/>
    <x v="592"/>
    <x v="88"/>
    <s v="MR VIET: 0973 799 128"/>
    <m/>
  </r>
  <r>
    <n v="585"/>
    <x v="659"/>
    <x v="592"/>
    <x v="89"/>
    <s v="JULIE: 0973 292 681"/>
    <m/>
  </r>
  <r>
    <n v="586"/>
    <x v="660"/>
    <x v="593"/>
    <x v="1"/>
    <s v="TUAN 0932214898"/>
    <m/>
  </r>
  <r>
    <m/>
    <x v="618"/>
    <x v="173"/>
    <x v="1"/>
    <m/>
    <m/>
  </r>
  <r>
    <m/>
    <x v="661"/>
    <x v="594"/>
    <x v="1"/>
    <s v="Ms Phung 01687770829"/>
    <m/>
  </r>
  <r>
    <m/>
    <x v="662"/>
    <x v="595"/>
    <x v="1"/>
    <m/>
    <m/>
  </r>
  <r>
    <n v="587"/>
    <x v="663"/>
    <x v="596"/>
    <x v="1"/>
    <m/>
    <m/>
  </r>
  <r>
    <n v="588"/>
    <x v="664"/>
    <x v="351"/>
    <x v="1"/>
    <s v="MR HUYNH-0909896097"/>
    <m/>
  </r>
  <r>
    <n v="589"/>
    <x v="665"/>
    <x v="597"/>
    <x v="90"/>
    <s v="CHỊ THANH- PHONG VAT TU: 0904 811 639"/>
    <m/>
  </r>
  <r>
    <n v="590"/>
    <x v="666"/>
    <x v="598"/>
    <x v="1"/>
    <s v=" Ms Nga 01632.455.666 "/>
    <m/>
  </r>
  <r>
    <n v="591"/>
    <x v="667"/>
    <x v="599"/>
    <x v="1"/>
    <s v="Ms Huệ - 0904250450"/>
    <m/>
  </r>
  <r>
    <n v="592"/>
    <x v="668"/>
    <x v="600"/>
    <x v="14"/>
    <s v="MS YEN: 0983 397 798"/>
    <m/>
  </r>
  <r>
    <m/>
    <x v="669"/>
    <x v="601"/>
    <x v="1"/>
    <m/>
    <m/>
  </r>
  <r>
    <n v="593"/>
    <x v="670"/>
    <x v="602"/>
    <x v="1"/>
    <s v="Ms Anna Dinh 0961280099"/>
    <m/>
  </r>
  <r>
    <n v="594"/>
    <x v="671"/>
    <x v="603"/>
    <x v="1"/>
    <m/>
    <m/>
  </r>
  <r>
    <n v="595"/>
    <x v="672"/>
    <x v="604"/>
    <x v="1"/>
    <m/>
    <m/>
  </r>
  <r>
    <n v="596"/>
    <x v="673"/>
    <x v="605"/>
    <x v="1"/>
    <s v="HOA_x000a_DT:0988 11 0026"/>
    <m/>
  </r>
  <r>
    <n v="597"/>
    <x v="674"/>
    <x v="606"/>
    <x v="1"/>
    <s v="Em Luyen kho vat lieu sdt :0936 862 057 + Em Thanh sdt :01678 120 979 "/>
    <m/>
  </r>
  <r>
    <n v="598"/>
    <x v="675"/>
    <x v="607"/>
    <x v="1"/>
    <s v="CHI DANG 0984388614"/>
    <m/>
  </r>
  <r>
    <n v="599"/>
    <x v="676"/>
    <x v="608"/>
    <x v="1"/>
    <m/>
    <m/>
  </r>
  <r>
    <n v="600"/>
    <x v="677"/>
    <x v="609"/>
    <x v="62"/>
    <s v="QUYEN-0919727279_x000a_MR TRAI 054 3751 751- EXT:146"/>
    <m/>
  </r>
  <r>
    <n v="601"/>
    <x v="678"/>
    <x v="610"/>
    <x v="1"/>
    <m/>
    <m/>
  </r>
  <r>
    <n v="602"/>
    <x v="679"/>
    <x v="611"/>
    <x v="1"/>
    <s v="Ms Thu 0902151398"/>
    <m/>
  </r>
  <r>
    <n v="603"/>
    <x v="680"/>
    <x v="612"/>
    <x v="1"/>
    <s v="MR CHUONG: 09086663955"/>
    <m/>
  </r>
  <r>
    <n v="604"/>
    <x v="681"/>
    <x v="613"/>
    <x v="0"/>
    <s v="ATTN: MS PHUONG 01682 591291_x000a_0320 3 744600"/>
    <m/>
  </r>
  <r>
    <n v="605"/>
    <x v="682"/>
    <x v="614"/>
    <x v="1"/>
    <s v="LOAN 0985 691 695"/>
    <m/>
  </r>
  <r>
    <n v="606"/>
    <x v="683"/>
    <x v="615"/>
    <x v="1"/>
    <s v="MS CHI. Mobile : 01289.270.808_x000a_Tel : 0313.663.868  Ext : 3825"/>
    <m/>
  </r>
  <r>
    <n v="607"/>
    <x v="684"/>
    <x v="508"/>
    <x v="1"/>
    <s v="MS SEN: 0320 3922 560"/>
    <m/>
  </r>
  <r>
    <n v="608"/>
    <x v="685"/>
    <x v="616"/>
    <x v="1"/>
    <s v="MR AN: 0210-3857-580 "/>
    <m/>
  </r>
  <r>
    <n v="609"/>
    <x v="686"/>
    <x v="617"/>
    <x v="1"/>
    <s v="MS HUONG: 0913 301 994"/>
    <m/>
  </r>
  <r>
    <n v="610"/>
    <x v="687"/>
    <x v="618"/>
    <x v="1"/>
    <s v="TUAN: 0942 935 662"/>
    <m/>
  </r>
  <r>
    <n v="611"/>
    <x v="688"/>
    <x v="619"/>
    <x v="1"/>
    <s v=" Khanh:  +84 273 898301~2"/>
    <m/>
  </r>
  <r>
    <n v="612"/>
    <x v="689"/>
    <x v="620"/>
    <x v="37"/>
    <s v="MR VU: 0903 758 857"/>
    <m/>
  </r>
  <r>
    <n v="613"/>
    <x v="690"/>
    <x v="621"/>
    <x v="0"/>
    <s v="MS VAN- XNK: 0933 848 850"/>
    <m/>
  </r>
  <r>
    <n v="614"/>
    <x v="691"/>
    <x v="622"/>
    <x v="0"/>
    <s v="Ms.Thu : 84 91 487 6779_x000a_Ms.Phuong Anh: 84 96 419 0968"/>
    <m/>
  </r>
  <r>
    <n v="615"/>
    <x v="692"/>
    <x v="623"/>
    <x v="91"/>
    <s v="ms Lien (0983507984) -04-37875516"/>
    <s v="24-36"/>
  </r>
  <r>
    <n v="616"/>
    <x v="693"/>
    <x v="624"/>
    <x v="1"/>
    <s v="MS HA 0909 799 711"/>
    <m/>
  </r>
  <r>
    <n v="617"/>
    <x v="694"/>
    <x v="625"/>
    <x v="1"/>
    <m/>
    <m/>
  </r>
  <r>
    <n v="618"/>
    <x v="695"/>
    <x v="626"/>
    <x v="0"/>
    <s v="Mr.Hung: 0210 3992 772"/>
    <m/>
  </r>
  <r>
    <n v="619"/>
    <x v="696"/>
    <x v="627"/>
    <x v="1"/>
    <s v="ATTENTION : MS.Nghia/ Mrs thuý /Mrs Ha_x000a_TEL: 84-320.3861727/ ext 138  FAX: 84-320.3861730"/>
    <m/>
  </r>
  <r>
    <n v="620"/>
    <x v="697"/>
    <x v="628"/>
    <x v="0"/>
    <s v="0169 785 0504- MR JEON"/>
    <m/>
  </r>
  <r>
    <n v="621"/>
    <x v="698"/>
    <x v="629"/>
    <x v="92"/>
    <s v="0211 3842830 ~4"/>
    <m/>
  </r>
  <r>
    <n v="622"/>
    <x v="699"/>
    <x v="630"/>
    <x v="1"/>
    <s v="Cloudy 0978998609"/>
    <m/>
  </r>
  <r>
    <n v="623"/>
    <x v="700"/>
    <x v="629"/>
    <x v="1"/>
    <m/>
    <m/>
  </r>
  <r>
    <n v="624"/>
    <x v="701"/>
    <x v="631"/>
    <x v="1"/>
    <s v="Hong 01674608151"/>
    <m/>
  </r>
  <r>
    <n v="625"/>
    <x v="702"/>
    <x v="631"/>
    <x v="1"/>
    <s v="YUNQUAN ZHANG-651-388 9970"/>
    <m/>
  </r>
  <r>
    <n v="626"/>
    <x v="703"/>
    <x v="632"/>
    <x v="1"/>
    <s v="chị Hương - SĐT: 0909 709609"/>
    <m/>
  </r>
  <r>
    <n v="627"/>
    <x v="704"/>
    <x v="633"/>
    <x v="1"/>
    <s v="HA/NGUYET-0313580199"/>
    <n v="313580199"/>
  </r>
  <r>
    <n v="628"/>
    <x v="705"/>
    <x v="634"/>
    <x v="1"/>
    <s v="KATE NGUYEN: 0169 3123 015"/>
    <m/>
  </r>
  <r>
    <n v="629"/>
    <x v="706"/>
    <x v="635"/>
    <x v="1"/>
    <m/>
    <m/>
  </r>
  <r>
    <n v="630"/>
    <x v="707"/>
    <x v="636"/>
    <x v="93"/>
    <s v="MR DUY (P. DICH VU)- 0988 616 478"/>
    <m/>
  </r>
  <r>
    <n v="631"/>
    <x v="708"/>
    <x v="637"/>
    <x v="1"/>
    <m/>
    <m/>
  </r>
  <r>
    <n v="632"/>
    <x v="709"/>
    <x v="638"/>
    <x v="1"/>
    <s v="Tôn Nhung – 0904 160 149"/>
    <m/>
  </r>
  <r>
    <m/>
    <x v="710"/>
    <x v="178"/>
    <x v="1"/>
    <s v="MS THAO 0906204459"/>
    <m/>
  </r>
  <r>
    <n v="633"/>
    <x v="711"/>
    <x v="639"/>
    <x v="1"/>
    <s v="MR HAI-0511 3 931202"/>
    <m/>
  </r>
  <r>
    <n v="634"/>
    <x v="712"/>
    <x v="640"/>
    <x v="1"/>
    <s v="MS PHUONG 01238230440"/>
    <m/>
  </r>
  <r>
    <n v="635"/>
    <x v="713"/>
    <x v="641"/>
    <x v="1"/>
    <s v="MR HAN: 0912 520 704"/>
    <m/>
  </r>
  <r>
    <n v="636"/>
    <x v="714"/>
    <x v="642"/>
    <x v="1"/>
    <s v="HONG:0913 059 357_x000a_HUE: 0919 084 179_x000a_HUNG: 0974 426 176_x000a_HAN: 0912 520 704"/>
    <m/>
  </r>
  <r>
    <n v="637"/>
    <x v="715"/>
    <x v="643"/>
    <x v="1"/>
    <s v="KHO PHU LIEU 01666574579"/>
    <m/>
  </r>
  <r>
    <n v="638"/>
    <x v="716"/>
    <x v="644"/>
    <x v="1"/>
    <s v="MR TRANG: 0979 059 125"/>
    <m/>
  </r>
  <r>
    <n v="639"/>
    <x v="717"/>
    <x v="645"/>
    <x v="1"/>
    <s v="MR DUC 0989 921 518"/>
    <m/>
  </r>
  <r>
    <n v="640"/>
    <x v="718"/>
    <x v="646"/>
    <x v="1"/>
    <s v="MR TRANG: 0979 059 125"/>
    <m/>
  </r>
  <r>
    <n v="641"/>
    <x v="719"/>
    <x v="644"/>
    <x v="94"/>
    <s v="TRAN THI THOM: 0978742354"/>
    <m/>
  </r>
  <r>
    <n v="642"/>
    <x v="720"/>
    <x v="644"/>
    <x v="1"/>
    <s v="THOM 0978 742 354"/>
    <m/>
  </r>
  <r>
    <n v="643"/>
    <x v="721"/>
    <x v="647"/>
    <x v="1"/>
    <s v="BONNY- 0918 428 398"/>
    <m/>
  </r>
  <r>
    <n v="644"/>
    <x v="722"/>
    <x v="644"/>
    <x v="1"/>
    <s v="MR TRANG: 0979 059 125"/>
    <m/>
  </r>
  <r>
    <n v="645"/>
    <x v="723"/>
    <x v="648"/>
    <x v="1"/>
    <s v="Anh Trang- Kho PL – so di dong 0979059125​"/>
    <m/>
  </r>
  <r>
    <n v="646"/>
    <x v="724"/>
    <x v="647"/>
    <x v="1"/>
    <s v="KATTY"/>
    <m/>
  </r>
  <r>
    <n v="647"/>
    <x v="725"/>
    <x v="645"/>
    <x v="1"/>
    <s v="84-972 447 179"/>
    <m/>
  </r>
  <r>
    <n v="648"/>
    <x v="726"/>
    <x v="645"/>
    <x v="94"/>
    <s v="MR TUNG: 0350 3649 365"/>
    <m/>
  </r>
  <r>
    <n v="649"/>
    <x v="727"/>
    <x v="649"/>
    <x v="1"/>
    <s v="MR CUONG-0909 135336"/>
    <m/>
  </r>
  <r>
    <n v="650"/>
    <x v="728"/>
    <x v="645"/>
    <x v="95"/>
    <s v="LOAN: 0350-649 365_x000a_tel: 0915 303 739_x000a_"/>
    <s v="24-36"/>
  </r>
  <r>
    <n v="651"/>
    <x v="729"/>
    <x v="650"/>
    <x v="1"/>
    <s v="Anh Trang- Kho PL  0979059125"/>
    <m/>
  </r>
  <r>
    <n v="652"/>
    <x v="730"/>
    <x v="645"/>
    <x v="1"/>
    <m/>
    <m/>
  </r>
  <r>
    <n v="653"/>
    <x v="731"/>
    <x v="651"/>
    <x v="1"/>
    <s v="MR THIEU: 0912 453 331"/>
    <m/>
  </r>
  <r>
    <n v="654"/>
    <x v="732"/>
    <x v="645"/>
    <x v="94"/>
    <s v="MR TUNG: 0350 3649 365"/>
    <m/>
  </r>
  <r>
    <n v="655"/>
    <x v="733"/>
    <x v="652"/>
    <x v="1"/>
    <m/>
    <m/>
  </r>
  <r>
    <n v="656"/>
    <x v="734"/>
    <x v="652"/>
    <x v="35"/>
    <s v="0903 684 186- MR NHAN"/>
    <m/>
  </r>
  <r>
    <n v="657"/>
    <x v="735"/>
    <x v="653"/>
    <x v="0"/>
    <s v="MS LOAN: 0129 534 9322"/>
    <m/>
  </r>
  <r>
    <n v="658"/>
    <x v="736"/>
    <x v="654"/>
    <x v="1"/>
    <s v="604 5821214"/>
    <s v="NHAN GIAY: HS CODE:4821909000"/>
  </r>
  <r>
    <n v="659"/>
    <x v="737"/>
    <x v="655"/>
    <x v="1"/>
    <s v="MR CUONG: 0916 193 887"/>
    <m/>
  </r>
  <r>
    <n v="660"/>
    <x v="738"/>
    <x v="656"/>
    <x v="1"/>
    <s v="MS DENH"/>
    <m/>
  </r>
  <r>
    <n v="661"/>
    <x v="739"/>
    <x v="657"/>
    <x v="11"/>
    <s v="Ms Nhung: 0988 220087_x000a_Tel: 0511 37592 49"/>
    <m/>
  </r>
  <r>
    <n v="662"/>
    <x v="740"/>
    <x v="658"/>
    <x v="96"/>
    <s v="MR MINH: 0904 875 595"/>
    <m/>
  </r>
  <r>
    <n v="663"/>
    <x v="741"/>
    <x v="658"/>
    <x v="35"/>
    <s v="MS AN: 0320 3718 301"/>
    <m/>
  </r>
  <r>
    <n v="664"/>
    <x v="742"/>
    <x v="659"/>
    <x v="97"/>
    <s v="MS HUONG: 0987 873 437"/>
    <m/>
  </r>
  <r>
    <n v="665"/>
    <x v="743"/>
    <x v="660"/>
    <x v="1"/>
    <s v="hien-0902-798358-061-8951160"/>
    <m/>
  </r>
  <r>
    <n v="666"/>
    <x v="744"/>
    <x v="661"/>
    <x v="1"/>
    <s v="MS NGA: 0989 792 844"/>
    <m/>
  </r>
  <r>
    <n v="667"/>
    <x v="745"/>
    <x v="662"/>
    <x v="98"/>
    <s v="31 3645391-DIEM-01686427989"/>
    <m/>
  </r>
  <r>
    <n v="668"/>
    <x v="746"/>
    <x v="663"/>
    <x v="1"/>
    <s v="THAO 01297604668"/>
    <m/>
  </r>
  <r>
    <n v="669"/>
    <x v="747"/>
    <x v="664"/>
    <x v="1"/>
    <m/>
    <m/>
  </r>
  <r>
    <m/>
    <x v="748"/>
    <x v="665"/>
    <x v="1"/>
    <m/>
    <m/>
  </r>
  <r>
    <n v="670"/>
    <x v="749"/>
    <x v="666"/>
    <x v="37"/>
    <s v="ms Dina:84-3203781074/ 84 1696855633"/>
    <m/>
  </r>
  <r>
    <n v="671"/>
    <x v="750"/>
    <x v="667"/>
    <x v="99"/>
    <m/>
    <m/>
  </r>
  <r>
    <n v="672"/>
    <x v="751"/>
    <x v="668"/>
    <x v="0"/>
    <s v="Emma /Christine  (+84) 2113 565 980."/>
    <m/>
  </r>
  <r>
    <n v="673"/>
    <x v="752"/>
    <x v="669"/>
    <x v="1"/>
    <s v="MS HOA: 0987 883 526"/>
    <m/>
  </r>
  <r>
    <n v="674"/>
    <x v="753"/>
    <x v="670"/>
    <x v="1"/>
    <s v="MS DIEP: 0904 488 303"/>
    <m/>
  </r>
  <r>
    <n v="675"/>
    <x v="754"/>
    <x v="671"/>
    <x v="1"/>
    <s v="MR NHAT-0313877528"/>
    <m/>
  </r>
  <r>
    <n v="676"/>
    <x v="755"/>
    <x v="672"/>
    <x v="1"/>
    <m/>
    <m/>
  </r>
  <r>
    <n v="677"/>
    <x v="756"/>
    <x v="673"/>
    <x v="32"/>
    <s v="ATTN: MS. XUYEN XNK_x000a_0989 263 395"/>
    <m/>
  </r>
  <r>
    <n v="678"/>
    <x v="757"/>
    <x v="674"/>
    <x v="1"/>
    <s v="MR THANH: 0982 035 790"/>
    <m/>
  </r>
  <r>
    <n v="679"/>
    <x v="758"/>
    <x v="675"/>
    <x v="1"/>
    <s v="Mr. Nguyen Van Hai:_x000a_  090 600 1643"/>
    <m/>
  </r>
  <r>
    <n v="680"/>
    <x v="759"/>
    <x v="676"/>
    <x v="1"/>
    <s v="THUY: 0123 664 2196"/>
    <m/>
  </r>
  <r>
    <n v="681"/>
    <x v="760"/>
    <x v="676"/>
    <x v="1"/>
    <s v="YAYA: 036 3846 788 EXT:2"/>
    <m/>
  </r>
  <r>
    <n v="682"/>
    <x v="761"/>
    <x v="677"/>
    <x v="1"/>
    <s v="ANH QUANG: 0913 626 377"/>
    <m/>
  </r>
  <r>
    <n v="683"/>
    <x v="762"/>
    <x v="678"/>
    <x v="1"/>
    <s v="Ms.Hương (kế toán kho) 0948.180.088"/>
    <m/>
  </r>
  <r>
    <n v="684"/>
    <x v="763"/>
    <x v="679"/>
    <x v="1"/>
    <m/>
    <m/>
  </r>
  <r>
    <m/>
    <x v="764"/>
    <x v="680"/>
    <x v="1"/>
    <m/>
    <m/>
  </r>
  <r>
    <n v="685"/>
    <x v="765"/>
    <x v="681"/>
    <x v="1"/>
    <s v="Attn: Ms HANG 0915387383"/>
    <m/>
  </r>
  <r>
    <n v="686"/>
    <x v="766"/>
    <x v="682"/>
    <x v="100"/>
    <s v="bill ledway-Ms Phuoc-0984924564"/>
    <s v="073 3 937274"/>
  </r>
  <r>
    <n v="687"/>
    <x v="767"/>
    <x v="683"/>
    <x v="1"/>
    <s v="MS SUN-613 992951"/>
    <m/>
  </r>
  <r>
    <n v="688"/>
    <x v="768"/>
    <x v="684"/>
    <x v="1"/>
    <s v="DONG DONG: 0978 999 981"/>
    <m/>
  </r>
  <r>
    <n v="689"/>
    <x v="769"/>
    <x v="685"/>
    <x v="1"/>
    <s v="MS HUONG: 0977 411 072"/>
    <m/>
  </r>
  <r>
    <n v="690"/>
    <x v="770"/>
    <x v="686"/>
    <x v="1"/>
    <s v="MS DUNG: 036 3731 722"/>
    <m/>
  </r>
  <r>
    <n v="691"/>
    <x v="771"/>
    <x v="687"/>
    <x v="78"/>
    <s v="Attn. Mr Nhi – 0905764660"/>
    <m/>
  </r>
  <r>
    <n v="692"/>
    <x v="772"/>
    <x v="688"/>
    <x v="1"/>
    <s v="VAN-03 63834219"/>
    <m/>
  </r>
  <r>
    <n v="693"/>
    <x v="773"/>
    <x v="689"/>
    <x v="1"/>
    <s v="HOA 0966 356 988"/>
    <s v="NNTT"/>
  </r>
  <r>
    <n v="694"/>
    <x v="774"/>
    <x v="690"/>
    <x v="1"/>
    <m/>
    <m/>
  </r>
  <r>
    <n v="695"/>
    <x v="775"/>
    <x v="691"/>
    <x v="1"/>
    <s v="Ms Huong/Ms Hong: 84-4-38615334_x000a_Tel: 0944 538 499"/>
    <m/>
  </r>
  <r>
    <m/>
    <x v="776"/>
    <x v="692"/>
    <x v="1"/>
    <s v="HIEU 0978 504 407"/>
    <m/>
  </r>
  <r>
    <n v="696"/>
    <x v="777"/>
    <x v="691"/>
    <x v="1"/>
    <s v="Ms Huong/Ms Hong: 84-4-38615334_x000a_Tel: 0944 538 499"/>
    <m/>
  </r>
  <r>
    <n v="697"/>
    <x v="778"/>
    <x v="693"/>
    <x v="1"/>
    <s v="MS HANH: 0982 099 672_x000a_MS NGUYET: 0983 019 675"/>
    <m/>
  </r>
  <r>
    <n v="698"/>
    <x v="779"/>
    <x v="694"/>
    <x v="1"/>
    <s v="Tel: 0084 313 848050_x000a_Ms Phuong"/>
    <m/>
  </r>
  <r>
    <n v="699"/>
    <x v="780"/>
    <x v="695"/>
    <x v="1"/>
    <m/>
    <m/>
  </r>
  <r>
    <n v="700"/>
    <x v="781"/>
    <x v="696"/>
    <x v="1"/>
    <s v=" NGUOI NHAN : TU 0939316239"/>
    <m/>
  </r>
  <r>
    <n v="701"/>
    <x v="782"/>
    <x v="697"/>
    <x v="101"/>
    <s v="MS CHI: 0935 930 434"/>
    <m/>
  </r>
  <r>
    <n v="702"/>
    <x v="783"/>
    <x v="698"/>
    <x v="34"/>
    <s v="CAM NHUNG: 0972 92 6363"/>
    <m/>
  </r>
  <r>
    <n v="703"/>
    <x v="784"/>
    <x v="699"/>
    <x v="1"/>
    <s v="nguoi nhan: Tu 0939316239"/>
    <m/>
  </r>
  <r>
    <n v="704"/>
    <x v="785"/>
    <x v="700"/>
    <x v="1"/>
    <s v="ATTN: 073-3571779/78"/>
    <m/>
  </r>
  <r>
    <n v="705"/>
    <x v="786"/>
    <x v="701"/>
    <x v="23"/>
    <s v="MS DIEN: 0913 728 841"/>
    <m/>
  </r>
  <r>
    <n v="706"/>
    <x v="787"/>
    <x v="702"/>
    <x v="1"/>
    <s v="Ms Hien  +84240383668"/>
    <m/>
  </r>
  <r>
    <n v="707"/>
    <x v="788"/>
    <x v="703"/>
    <x v="1"/>
    <s v="MS NGAN: 0932384082 – 0909840213 "/>
    <m/>
  </r>
  <r>
    <n v="708"/>
    <x v="789"/>
    <x v="704"/>
    <x v="1"/>
    <m/>
    <m/>
  </r>
  <r>
    <n v="709"/>
    <x v="790"/>
    <x v="705"/>
    <x v="79"/>
    <s v="ATTN: HUY 0904117795_x000a_ 0904472347"/>
    <m/>
  </r>
  <r>
    <n v="710"/>
    <x v="791"/>
    <x v="210"/>
    <x v="79"/>
    <s v="Chi Tâm, DT 0987 859 639"/>
    <m/>
  </r>
  <r>
    <n v="711"/>
    <x v="792"/>
    <x v="706"/>
    <x v="1"/>
    <s v="Ms Oanh: 055 3674 888"/>
    <m/>
  </r>
  <r>
    <n v="712"/>
    <x v="793"/>
    <x v="707"/>
    <x v="1"/>
    <s v="MS HIEN:  0903294379"/>
    <m/>
  </r>
  <r>
    <n v="713"/>
    <x v="794"/>
    <x v="708"/>
    <x v="1"/>
    <s v="THU: 0983 400 399"/>
    <m/>
  </r>
  <r>
    <n v="714"/>
    <x v="795"/>
    <x v="709"/>
    <x v="1"/>
    <s v="MS NINH 0987 930 558/_x000a_ MR CUONG 0919 686 228"/>
    <m/>
  </r>
  <r>
    <n v="715"/>
    <x v="796"/>
    <x v="709"/>
    <x v="1"/>
    <s v="MANH CUONG: 0903 278 330"/>
    <m/>
  </r>
  <r>
    <n v="716"/>
    <x v="797"/>
    <x v="710"/>
    <x v="1"/>
    <s v="A Son-dt0321 3878878 "/>
    <m/>
  </r>
  <r>
    <n v="717"/>
    <x v="798"/>
    <x v="711"/>
    <x v="1"/>
    <s v="MS HONG-072 3 511 596"/>
    <m/>
  </r>
  <r>
    <n v="718"/>
    <x v="799"/>
    <x v="712"/>
    <x v="0"/>
    <s v="MS HUONG: 0124 724 6666"/>
    <m/>
  </r>
  <r>
    <n v="719"/>
    <x v="800"/>
    <x v="713"/>
    <x v="102"/>
    <m/>
    <m/>
  </r>
  <r>
    <n v="720"/>
    <x v="801"/>
    <x v="714"/>
    <x v="1"/>
    <s v="MR GIAP: 0978 726 840"/>
    <m/>
  </r>
  <r>
    <n v="721"/>
    <x v="802"/>
    <x v="715"/>
    <x v="1"/>
    <s v="MS THU: 0902 371 055"/>
    <m/>
  </r>
  <r>
    <n v="722"/>
    <x v="802"/>
    <x v="716"/>
    <x v="1"/>
    <s v="MADAM PHAM THI DU: 84 738 512 012_x000a_MS TRANG: 84 733 851 201"/>
    <m/>
  </r>
  <r>
    <n v="723"/>
    <x v="803"/>
    <x v="605"/>
    <x v="1"/>
    <s v="HuỆ NHÂN-0903492407"/>
    <m/>
  </r>
  <r>
    <n v="724"/>
    <x v="804"/>
    <x v="717"/>
    <x v="1"/>
    <s v=" ATTN: VÂN ANH - 0979 435 405"/>
    <m/>
  </r>
  <r>
    <n v="725"/>
    <x v="805"/>
    <x v="182"/>
    <x v="1"/>
    <s v="MINH 0968 536 659"/>
    <m/>
  </r>
  <r>
    <m/>
    <x v="806"/>
    <x v="718"/>
    <x v="1"/>
    <m/>
    <m/>
  </r>
  <r>
    <m/>
    <x v="807"/>
    <x v="719"/>
    <x v="1"/>
    <m/>
    <m/>
  </r>
  <r>
    <n v="726"/>
    <x v="808"/>
    <x v="720"/>
    <x v="103"/>
    <s v="MS NGA: 0987 820 658"/>
    <m/>
  </r>
  <r>
    <n v="727"/>
    <x v="809"/>
    <x v="182"/>
    <x v="103"/>
    <s v="Hao 0967465293"/>
    <m/>
  </r>
  <r>
    <n v="728"/>
    <x v="809"/>
    <x v="182"/>
    <x v="1"/>
    <s v="HAO 0967465293"/>
    <m/>
  </r>
  <r>
    <m/>
    <x v="810"/>
    <x v="144"/>
    <x v="1"/>
    <s v="HANG 01693460264"/>
    <m/>
  </r>
  <r>
    <m/>
    <x v="811"/>
    <x v="721"/>
    <x v="1"/>
    <m/>
    <m/>
  </r>
  <r>
    <m/>
    <x v="812"/>
    <x v="722"/>
    <x v="1"/>
    <s v="HIEN 0320 3773333"/>
    <m/>
  </r>
  <r>
    <n v="729"/>
    <x v="813"/>
    <x v="723"/>
    <x v="1"/>
    <m/>
    <m/>
  </r>
  <r>
    <m/>
    <x v="814"/>
    <x v="182"/>
    <x v="1"/>
    <s v="MS DUNG: 0963 528 138"/>
    <m/>
  </r>
  <r>
    <n v="730"/>
    <x v="815"/>
    <x v="723"/>
    <x v="103"/>
    <s v="MS NGA: 0987 820 658"/>
    <m/>
  </r>
  <r>
    <n v="731"/>
    <x v="816"/>
    <x v="724"/>
    <x v="103"/>
    <s v="MS NGA: 0987 820 658"/>
    <m/>
  </r>
  <r>
    <n v="732"/>
    <x v="816"/>
    <x v="723"/>
    <x v="1"/>
    <s v="MS NGA: 0987 820 658"/>
    <m/>
  </r>
  <r>
    <n v="733"/>
    <x v="817"/>
    <x v="182"/>
    <x v="1"/>
    <s v="THU 0982094023"/>
    <m/>
  </r>
  <r>
    <n v="734"/>
    <x v="818"/>
    <x v="587"/>
    <x v="103"/>
    <s v="MS HANH 0168 2094 534"/>
    <m/>
  </r>
  <r>
    <n v="735"/>
    <x v="819"/>
    <x v="723"/>
    <x v="1"/>
    <s v="LUAN 01674241088"/>
    <m/>
  </r>
  <r>
    <n v="736"/>
    <x v="820"/>
    <x v="723"/>
    <x v="1"/>
    <s v="HOA 0968747693"/>
    <m/>
  </r>
  <r>
    <m/>
    <x v="821"/>
    <x v="182"/>
    <x v="1"/>
    <s v="MS DUNG: 0963 528 138"/>
    <m/>
  </r>
  <r>
    <n v="737"/>
    <x v="822"/>
    <x v="723"/>
    <x v="1"/>
    <s v="LUAN 01674241088"/>
    <s v="PT12H"/>
  </r>
  <r>
    <m/>
    <x v="823"/>
    <x v="725"/>
    <x v="1"/>
    <s v="VU 01635538000"/>
    <m/>
  </r>
  <r>
    <n v="738"/>
    <x v="824"/>
    <x v="182"/>
    <x v="11"/>
    <s v="HAU: 0128 833 0267"/>
    <m/>
  </r>
  <r>
    <n v="739"/>
    <x v="825"/>
    <x v="726"/>
    <x v="1"/>
    <s v="HANH 01682094534"/>
    <m/>
  </r>
  <r>
    <n v="740"/>
    <x v="826"/>
    <x v="727"/>
    <x v="1"/>
    <s v="NGOC LAN: 0975 852 685"/>
    <m/>
  </r>
  <r>
    <n v="741"/>
    <x v="827"/>
    <x v="728"/>
    <x v="25"/>
    <s v="MR TUNG: 0916 629 986"/>
    <m/>
  </r>
  <r>
    <n v="742"/>
    <x v="828"/>
    <x v="729"/>
    <x v="1"/>
    <s v="Phan Trang Phone: +84 1258 006 626"/>
    <m/>
  </r>
  <r>
    <n v="743"/>
    <x v="829"/>
    <x v="729"/>
    <x v="1"/>
    <s v="MY 01693796888"/>
    <m/>
  </r>
  <r>
    <n v="744"/>
    <x v="830"/>
    <x v="729"/>
    <x v="1"/>
    <s v="MY: 0168 547 6223"/>
    <m/>
  </r>
  <r>
    <m/>
    <x v="831"/>
    <x v="730"/>
    <x v="1"/>
    <m/>
    <m/>
  </r>
  <r>
    <m/>
    <x v="832"/>
    <x v="731"/>
    <x v="1"/>
    <m/>
    <m/>
  </r>
  <r>
    <n v="745"/>
    <x v="833"/>
    <x v="728"/>
    <x v="1"/>
    <s v="01677 564 575 MR HOANG"/>
    <m/>
  </r>
  <r>
    <n v="746"/>
    <x v="834"/>
    <x v="732"/>
    <x v="1"/>
    <s v="MS GRACE 0904 043 828"/>
    <m/>
  </r>
  <r>
    <n v="747"/>
    <x v="835"/>
    <x v="729"/>
    <x v="1"/>
    <s v="MS HUONG THU KHO: 0913 873 007"/>
    <m/>
  </r>
  <r>
    <n v="748"/>
    <x v="836"/>
    <x v="733"/>
    <x v="1"/>
    <s v="TRANG: 01685 151 959"/>
    <m/>
  </r>
  <r>
    <n v="749"/>
    <x v="837"/>
    <x v="729"/>
    <x v="25"/>
    <s v="MS HUYEN: 0983 911 440_x000a_MS NHUNG: 0984 063 748"/>
    <m/>
  </r>
  <r>
    <m/>
    <x v="838"/>
    <x v="734"/>
    <x v="1"/>
    <s v="Mrs.  Merry/Huong +84-0989709898"/>
    <m/>
  </r>
  <r>
    <n v="750"/>
    <x v="839"/>
    <x v="733"/>
    <x v="1"/>
    <s v="Thanh Tuan:0915 311 775_x000a_nguoi lien he : cho cs confim"/>
    <m/>
  </r>
  <r>
    <n v="751"/>
    <x v="840"/>
    <x v="735"/>
    <x v="1"/>
    <s v="Ms. Ngọc - 01693029385"/>
    <m/>
  </r>
  <r>
    <n v="752"/>
    <x v="841"/>
    <x v="733"/>
    <x v="1"/>
    <s v="0169 302 9385"/>
    <m/>
  </r>
  <r>
    <n v="753"/>
    <x v="842"/>
    <x v="736"/>
    <x v="30"/>
    <s v="01688372595 Mai"/>
    <m/>
  </r>
  <r>
    <n v="754"/>
    <x v="843"/>
    <x v="737"/>
    <x v="1"/>
    <s v="MS VAN 0966438333"/>
    <m/>
  </r>
  <r>
    <n v="755"/>
    <x v="844"/>
    <x v="7"/>
    <x v="1"/>
    <s v="MR LANH 0987731294"/>
    <m/>
  </r>
  <r>
    <n v="756"/>
    <x v="845"/>
    <x v="7"/>
    <x v="1"/>
    <s v="01688372595 Mai"/>
    <m/>
  </r>
  <r>
    <n v="757"/>
    <x v="846"/>
    <x v="7"/>
    <x v="1"/>
    <s v="01679255184"/>
    <m/>
  </r>
  <r>
    <n v="758"/>
    <x v="847"/>
    <x v="733"/>
    <x v="1"/>
    <s v="VINH: 0949 832 845"/>
    <m/>
  </r>
  <r>
    <n v="759"/>
    <x v="848"/>
    <x v="733"/>
    <x v="1"/>
    <s v="0169 302 9385"/>
    <m/>
  </r>
  <r>
    <n v="760"/>
    <x v="849"/>
    <x v="738"/>
    <x v="1"/>
    <s v="QUANG HUNG: 0977 008 544"/>
    <m/>
  </r>
  <r>
    <n v="761"/>
    <x v="850"/>
    <x v="739"/>
    <x v="1"/>
    <s v="PHUONG: 0280 3509 724"/>
    <s v="Chi nhánh SC2- TNG Thái Nguyên xin thông báo lịch nghỉ lễ Quốc Khánh 2/9/2015. Chi nhánh sẽ bắt đầu nghỉ từ ngày 2/9/2015 đến hết ngày 6/9/2015"/>
  </r>
  <r>
    <n v="762"/>
    <x v="851"/>
    <x v="740"/>
    <x v="1"/>
    <s v="THANH TRA: 0169 266 1597"/>
    <m/>
  </r>
  <r>
    <n v="763"/>
    <x v="852"/>
    <x v="741"/>
    <x v="1"/>
    <s v="MS TRANG: 01258006626"/>
    <m/>
  </r>
  <r>
    <n v="764"/>
    <x v="853"/>
    <x v="729"/>
    <x v="1"/>
    <s v="Ngoc Duong _ 01693029385"/>
    <m/>
  </r>
  <r>
    <n v="765"/>
    <x v="854"/>
    <x v="742"/>
    <x v="1"/>
    <s v="MS THAO: 0166 234 2174"/>
    <m/>
  </r>
  <r>
    <n v="766"/>
    <x v="855"/>
    <x v="743"/>
    <x v="1"/>
    <m/>
    <m/>
  </r>
  <r>
    <n v="767"/>
    <x v="856"/>
    <x v="744"/>
    <x v="1"/>
    <s v="ATTN: MR THINH/ MR VIET_x000a_075. 3636373"/>
    <m/>
  </r>
  <r>
    <n v="768"/>
    <x v="857"/>
    <x v="745"/>
    <x v="1"/>
    <s v="MS HUONG(P.KH)-031 2213149"/>
    <m/>
  </r>
  <r>
    <n v="769"/>
    <x v="858"/>
    <x v="746"/>
    <x v="1"/>
    <s v="MR SON: 0909 360 793"/>
    <m/>
  </r>
  <r>
    <n v="770"/>
    <x v="859"/>
    <x v="747"/>
    <x v="1"/>
    <s v="MS NGUYET: 0984 364 206"/>
    <m/>
  </r>
  <r>
    <n v="771"/>
    <x v="860"/>
    <x v="748"/>
    <x v="1"/>
    <s v="MR BINH: 0904 659 810"/>
    <s v="Bill to: ARMONDI (UK) LTD"/>
  </r>
  <r>
    <n v="772"/>
    <x v="861"/>
    <x v="749"/>
    <x v="1"/>
    <s v="Ms ly: 0912927880"/>
    <m/>
  </r>
  <r>
    <n v="773"/>
    <x v="862"/>
    <x v="750"/>
    <x v="1"/>
    <s v="TRAN THI DUNG_x000a_0510 3841154"/>
    <m/>
  </r>
  <r>
    <n v="774"/>
    <x v="863"/>
    <x v="750"/>
    <x v="19"/>
    <s v="TRAN THI DUNG_x000a_0510 3841154"/>
    <m/>
  </r>
  <r>
    <n v="775"/>
    <x v="864"/>
    <x v="26"/>
    <x v="1"/>
    <s v="MS THOA: 01666 416 647"/>
    <m/>
  </r>
  <r>
    <n v="776"/>
    <x v="865"/>
    <x v="751"/>
    <x v="35"/>
    <s v="MS HANG: 0124 4466 005"/>
    <m/>
  </r>
  <r>
    <n v="777"/>
    <x v="866"/>
    <x v="752"/>
    <x v="1"/>
    <s v="ATTN:Kim Tuyến: 0947 48 2299"/>
    <m/>
  </r>
  <r>
    <n v="778"/>
    <x v="867"/>
    <x v="753"/>
    <x v="1"/>
    <s v="0166 444 3755- MS THUY"/>
    <m/>
  </r>
  <r>
    <n v="779"/>
    <x v="868"/>
    <x v="754"/>
    <x v="11"/>
    <s v="MS HUE: 0240 3768 467_x000a_"/>
    <m/>
  </r>
  <r>
    <n v="780"/>
    <x v="869"/>
    <x v="754"/>
    <x v="104"/>
    <s v="MS HUYEN: 0987 397 984- L L BEAN"/>
    <m/>
  </r>
  <r>
    <n v="781"/>
    <x v="870"/>
    <x v="755"/>
    <x v="1"/>
    <m/>
    <m/>
  </r>
  <r>
    <n v="782"/>
    <x v="871"/>
    <x v="756"/>
    <x v="1"/>
    <s v="Tel: 84-75- 3635600   Fax: 84-75- 3635601"/>
    <m/>
  </r>
  <r>
    <n v="783"/>
    <x v="872"/>
    <x v="757"/>
    <x v="105"/>
    <s v="Britney: 09 3737 9409"/>
    <m/>
  </r>
  <r>
    <n v="784"/>
    <x v="873"/>
    <x v="758"/>
    <x v="106"/>
    <s v="Attn: Maria :(0906 216 229)_x000a_04 358 60 656"/>
    <m/>
  </r>
  <r>
    <n v="785"/>
    <x v="874"/>
    <x v="759"/>
    <x v="30"/>
    <s v="JS LEE/ SUSAN/ PHUONG: 0363 898 643"/>
    <m/>
  </r>
  <r>
    <n v="786"/>
    <x v="875"/>
    <x v="759"/>
    <x v="1"/>
    <s v="SOAI: 0985 097 881"/>
    <m/>
  </r>
  <r>
    <n v="787"/>
    <x v="876"/>
    <x v="760"/>
    <x v="39"/>
    <s v="Ms Hanh : 0511 3935 666"/>
    <m/>
  </r>
  <r>
    <n v="788"/>
    <x v="877"/>
    <x v="761"/>
    <x v="1"/>
    <s v="MAI KA: 037 3842 746"/>
    <m/>
  </r>
  <r>
    <n v="789"/>
    <x v="878"/>
    <x v="762"/>
    <x v="1"/>
    <s v="MS HUONG: 0919 388 668"/>
    <m/>
  </r>
  <r>
    <n v="790"/>
    <x v="879"/>
    <x v="763"/>
    <x v="1"/>
    <s v="01634.540.895_x000a_HUONG( Mr Cường: 0963.877.688     or Mr Phú: 0989.302.482)"/>
    <m/>
  </r>
  <r>
    <n v="791"/>
    <x v="880"/>
    <x v="764"/>
    <x v="12"/>
    <s v="MR VINH: 0988 911 154"/>
    <m/>
  </r>
  <r>
    <n v="792"/>
    <x v="881"/>
    <x v="765"/>
    <x v="107"/>
    <s v="THUY TIEN 84 5103 810 797"/>
    <m/>
  </r>
  <r>
    <n v="793"/>
    <x v="882"/>
    <x v="766"/>
    <x v="1"/>
    <s v="Hau: 043 8528 084"/>
    <m/>
  </r>
  <r>
    <m/>
    <x v="883"/>
    <x v="767"/>
    <x v="1"/>
    <m/>
    <m/>
  </r>
  <r>
    <m/>
    <x v="884"/>
    <x v="734"/>
    <x v="1"/>
    <s v="TUAN ANH 0966543689"/>
    <m/>
  </r>
  <r>
    <m/>
    <x v="885"/>
    <x v="768"/>
    <x v="1"/>
    <m/>
    <m/>
  </r>
  <r>
    <n v="794"/>
    <x v="886"/>
    <x v="769"/>
    <x v="1"/>
    <s v="MS HONG: 04 3852 8084"/>
    <m/>
  </r>
  <r>
    <n v="795"/>
    <x v="887"/>
    <x v="770"/>
    <x v="108"/>
    <s v="NGAN: 0976 558 930"/>
    <m/>
  </r>
  <r>
    <n v="796"/>
    <x v="888"/>
    <x v="771"/>
    <x v="1"/>
    <s v="0313 899023"/>
    <m/>
  </r>
  <r>
    <m/>
    <x v="889"/>
    <x v="772"/>
    <x v="1"/>
    <s v="DAT 0943334596"/>
    <m/>
  </r>
  <r>
    <n v="797"/>
    <x v="890"/>
    <x v="773"/>
    <x v="109"/>
    <s v="MS HONG-072 3 511 596"/>
    <m/>
  </r>
  <r>
    <n v="798"/>
    <x v="891"/>
    <x v="774"/>
    <x v="1"/>
    <s v="MS PHUONG 0916 073 087"/>
    <m/>
  </r>
  <r>
    <n v="799"/>
    <x v="892"/>
    <x v="775"/>
    <x v="1"/>
    <s v="C VAN: 0917 490 248"/>
    <m/>
  </r>
  <r>
    <n v="800"/>
    <x v="893"/>
    <x v="776"/>
    <x v="1"/>
    <s v="064 3 848 372/ 3 848 178_x000a_KIM THANH: P KH- XNK( 0908 300 222)"/>
    <m/>
  </r>
  <r>
    <n v="801"/>
    <x v="894"/>
    <x v="409"/>
    <x v="1"/>
    <s v="CHAM ANH-313 654942-MR HA"/>
    <m/>
  </r>
  <r>
    <n v="802"/>
    <x v="894"/>
    <x v="777"/>
    <x v="1"/>
    <m/>
    <m/>
  </r>
  <r>
    <n v="803"/>
    <x v="895"/>
    <x v="778"/>
    <x v="1"/>
    <s v="LE VAN HUNG-436418764"/>
    <m/>
  </r>
  <r>
    <n v="804"/>
    <x v="896"/>
    <x v="779"/>
    <x v="110"/>
    <s v="MS THUY:  0904 370 273"/>
    <m/>
  </r>
  <r>
    <n v="805"/>
    <x v="897"/>
    <x v="780"/>
    <x v="1"/>
    <s v="PHUONG 0986336338"/>
    <m/>
  </r>
  <r>
    <n v="806"/>
    <x v="897"/>
    <x v="781"/>
    <x v="1"/>
    <s v="PHUONG: 098 633 6338_x000a_-321-394 5427-4-221 295 22_x000a_0978 492 795"/>
    <m/>
  </r>
  <r>
    <n v="807"/>
    <x v="898"/>
    <x v="782"/>
    <x v="1"/>
    <s v="Thai Hoang Gia 0972-515-163"/>
    <m/>
  </r>
  <r>
    <n v="808"/>
    <x v="899"/>
    <x v="783"/>
    <x v="1"/>
    <s v="XUAN NHU-036 851255"/>
    <m/>
  </r>
  <r>
    <n v="809"/>
    <x v="900"/>
    <x v="784"/>
    <x v="1"/>
    <s v="MS THUYEN: 0987 254 242"/>
    <m/>
  </r>
  <r>
    <n v="810"/>
    <x v="901"/>
    <x v="785"/>
    <x v="1"/>
    <m/>
    <m/>
  </r>
  <r>
    <n v="811"/>
    <x v="902"/>
    <x v="786"/>
    <x v="1"/>
    <s v="Dương - 0916 271 369"/>
    <m/>
  </r>
  <r>
    <m/>
    <x v="903"/>
    <x v="787"/>
    <x v="1"/>
    <m/>
    <m/>
  </r>
  <r>
    <n v="812"/>
    <x v="904"/>
    <x v="788"/>
    <x v="1"/>
    <s v=" EMMA 84 211 3565 982"/>
    <m/>
  </r>
  <r>
    <n v="813"/>
    <x v="905"/>
    <x v="789"/>
    <x v="25"/>
    <s v="MS THUY 0966 608 665"/>
    <s v="24-36"/>
  </r>
  <r>
    <n v="814"/>
    <x v="906"/>
    <x v="790"/>
    <x v="25"/>
    <s v="MS WARI: 0906 682 696"/>
    <m/>
  </r>
  <r>
    <n v="815"/>
    <x v="907"/>
    <x v="791"/>
    <x v="1"/>
    <s v="Ms Quynh / Ms Huong: _x000a_(84) 241-828673 or 828674"/>
    <m/>
  </r>
  <r>
    <n v="816"/>
    <x v="908"/>
    <x v="792"/>
    <x v="25"/>
    <s v="HUONG 0989481786"/>
    <m/>
  </r>
  <r>
    <m/>
    <x v="909"/>
    <x v="793"/>
    <x v="1"/>
    <m/>
    <m/>
  </r>
  <r>
    <m/>
    <x v="910"/>
    <x v="794"/>
    <x v="1"/>
    <m/>
    <m/>
  </r>
  <r>
    <n v="817"/>
    <x v="911"/>
    <x v="795"/>
    <x v="1"/>
    <m/>
    <m/>
  </r>
  <r>
    <n v="818"/>
    <x v="912"/>
    <x v="796"/>
    <x v="1"/>
    <m/>
    <m/>
  </r>
  <r>
    <n v="819"/>
    <x v="913"/>
    <x v="797"/>
    <x v="1"/>
    <s v="Mr. Lee: 037 895 8555/ 037 895 8556"/>
    <m/>
  </r>
  <r>
    <n v="820"/>
    <x v="914"/>
    <x v="798"/>
    <x v="1"/>
    <s v="0320 3857258"/>
    <m/>
  </r>
  <r>
    <n v="821"/>
    <x v="915"/>
    <x v="799"/>
    <x v="1"/>
    <s v="Binh 0965194668"/>
    <m/>
  </r>
  <r>
    <n v="822"/>
    <x v="916"/>
    <x v="800"/>
    <x v="1"/>
    <s v="Attn: Ms. Huyen: 84 3925725"/>
    <m/>
  </r>
  <r>
    <n v="823"/>
    <x v="917"/>
    <x v="801"/>
    <x v="1"/>
    <s v="MS NGA- 0988 962 901"/>
    <m/>
  </r>
  <r>
    <n v="824"/>
    <x v="918"/>
    <x v="802"/>
    <x v="1"/>
    <m/>
    <m/>
  </r>
  <r>
    <n v="825"/>
    <x v="919"/>
    <x v="803"/>
    <x v="1"/>
    <s v="MR MINH: 0962 921 401"/>
    <m/>
  </r>
  <r>
    <n v="826"/>
    <x v="920"/>
    <x v="804"/>
    <x v="1"/>
    <s v="LIEN: 0979 738 462"/>
    <m/>
  </r>
  <r>
    <n v="827"/>
    <x v="921"/>
    <x v="805"/>
    <x v="1"/>
    <m/>
    <m/>
  </r>
  <r>
    <n v="828"/>
    <x v="922"/>
    <x v="806"/>
    <x v="1"/>
    <m/>
    <m/>
  </r>
  <r>
    <n v="829"/>
    <x v="923"/>
    <x v="807"/>
    <x v="1"/>
    <s v="MS VAN ANH: 0986 101 911"/>
    <m/>
  </r>
  <r>
    <n v="830"/>
    <x v="924"/>
    <x v="808"/>
    <x v="1"/>
    <m/>
    <m/>
  </r>
  <r>
    <n v="831"/>
    <x v="925"/>
    <x v="809"/>
    <x v="4"/>
    <s v="Mr. Woo (Kyeong Hoon, Woo) _x000a_+84-93-688-5694"/>
    <m/>
  </r>
  <r>
    <n v="832"/>
    <x v="926"/>
    <x v="810"/>
    <x v="1"/>
    <s v="ATTN: HUYEN 0972 421 468"/>
    <m/>
  </r>
  <r>
    <n v="833"/>
    <x v="927"/>
    <x v="811"/>
    <x v="111"/>
    <s v="HA: 0982 063 216"/>
    <m/>
  </r>
  <r>
    <n v="834"/>
    <x v="928"/>
    <x v="811"/>
    <x v="1"/>
    <s v="ATTN: HA 0982 063 216"/>
    <m/>
  </r>
  <r>
    <n v="835"/>
    <x v="929"/>
    <x v="812"/>
    <x v="1"/>
    <s v=" Hieu: 043556 0751/ 0979629 323. "/>
    <m/>
  </r>
  <r>
    <m/>
    <x v="930"/>
    <x v="813"/>
    <x v="1"/>
    <s v="Chị Vân Anh - 0986.101.911"/>
    <m/>
  </r>
  <r>
    <m/>
    <x v="931"/>
    <x v="814"/>
    <x v="1"/>
    <m/>
    <m/>
  </r>
  <r>
    <n v="836"/>
    <x v="932"/>
    <x v="815"/>
    <x v="1"/>
    <s v="MS LAM: 0982690662"/>
    <m/>
  </r>
  <r>
    <n v="837"/>
    <x v="933"/>
    <x v="816"/>
    <x v="1"/>
    <s v="Bill:Ledway-HIEU-511863757-0914104121-MS QUYEN"/>
    <m/>
  </r>
  <r>
    <n v="838"/>
    <x v="934"/>
    <x v="817"/>
    <x v="1"/>
    <s v="Luu 0934075159"/>
    <m/>
  </r>
  <r>
    <n v="839"/>
    <x v="934"/>
    <x v="818"/>
    <x v="1"/>
    <s v="CHI LIEU: 0934075159"/>
    <m/>
  </r>
  <r>
    <n v="840"/>
    <x v="935"/>
    <x v="819"/>
    <x v="1"/>
    <s v="MS HUONG: 0909923767- 47300806.EXT:2209"/>
    <m/>
  </r>
  <r>
    <n v="841"/>
    <x v="936"/>
    <x v="820"/>
    <x v="1"/>
    <s v="Huyen-0987763767_x000a_04- 8624611"/>
    <m/>
  </r>
  <r>
    <n v="842"/>
    <x v="937"/>
    <x v="821"/>
    <x v="1"/>
    <s v=" CHI TRANG : 0128 253 8980 "/>
    <m/>
  </r>
  <r>
    <n v="843"/>
    <x v="938"/>
    <x v="822"/>
    <x v="1"/>
    <s v="TIEN 0907072122"/>
    <m/>
  </r>
  <r>
    <n v="844"/>
    <x v="939"/>
    <x v="123"/>
    <x v="1"/>
    <m/>
    <m/>
  </r>
  <r>
    <m/>
    <x v="940"/>
    <x v="123"/>
    <x v="1"/>
    <m/>
    <m/>
  </r>
  <r>
    <n v="845"/>
    <x v="941"/>
    <x v="823"/>
    <x v="1"/>
    <s v="LUONG NHUNG HA 0936 361 585"/>
    <m/>
  </r>
  <r>
    <n v="846"/>
    <x v="942"/>
    <x v="824"/>
    <x v="1"/>
    <s v="MR VU: 0936 383 610"/>
    <m/>
  </r>
  <r>
    <n v="847"/>
    <x v="943"/>
    <x v="825"/>
    <x v="1"/>
    <m/>
    <m/>
  </r>
  <r>
    <n v="848"/>
    <x v="944"/>
    <x v="826"/>
    <x v="12"/>
    <s v="A NAM/ A SA: 04 3633 5518"/>
    <m/>
  </r>
  <r>
    <n v="849"/>
    <x v="945"/>
    <x v="827"/>
    <x v="1"/>
    <s v="MS HUONG: 0989 709 898/ MS VAN ANH: 0986 101 911"/>
    <m/>
  </r>
  <r>
    <m/>
    <x v="144"/>
    <x v="142"/>
    <x v="112"/>
    <m/>
    <m/>
  </r>
  <r>
    <n v="850"/>
    <x v="946"/>
    <x v="828"/>
    <x v="1"/>
    <m/>
    <m/>
  </r>
  <r>
    <n v="851"/>
    <x v="947"/>
    <x v="829"/>
    <x v="1"/>
    <m/>
    <m/>
  </r>
  <r>
    <n v="852"/>
    <x v="948"/>
    <x v="830"/>
    <x v="1"/>
    <s v="MS HUONG: 0916 027 183"/>
    <m/>
  </r>
  <r>
    <n v="853"/>
    <x v="949"/>
    <x v="429"/>
    <x v="1"/>
    <s v="MRS NGA: 0976 064 468"/>
    <m/>
  </r>
  <r>
    <n v="854"/>
    <x v="950"/>
    <x v="429"/>
    <x v="1"/>
    <s v="THUY VINH: 0912 971 875"/>
    <m/>
  </r>
  <r>
    <n v="855"/>
    <x v="951"/>
    <x v="831"/>
    <x v="1"/>
    <s v="NGUYEN DUC THINH_x000a_0320 846679"/>
    <m/>
  </r>
  <r>
    <n v="856"/>
    <x v="952"/>
    <x v="832"/>
    <x v="1"/>
    <s v="MS HAI 0976940881"/>
    <m/>
  </r>
  <r>
    <n v="857"/>
    <x v="953"/>
    <x v="833"/>
    <x v="1"/>
    <s v="Ms Trang - 0987910882"/>
    <m/>
  </r>
  <r>
    <m/>
    <x v="954"/>
    <x v="834"/>
    <x v="1"/>
    <m/>
    <m/>
  </r>
  <r>
    <n v="858"/>
    <x v="955"/>
    <x v="835"/>
    <x v="1"/>
    <s v="Ms Lai Yen - 84-168-353 0089"/>
    <m/>
  </r>
  <r>
    <n v="859"/>
    <x v="956"/>
    <x v="836"/>
    <x v="1"/>
    <s v="TRUC LINH: 072 3813 925"/>
    <m/>
  </r>
  <r>
    <n v="860"/>
    <x v="957"/>
    <x v="837"/>
    <x v="1"/>
    <s v=" MS TRIẾN-0987881105"/>
    <m/>
  </r>
  <r>
    <n v="861"/>
    <x v="958"/>
    <x v="53"/>
    <x v="1"/>
    <s v="MS. TRIEN/ MS.TIEN: 066-3785516/19"/>
    <m/>
  </r>
  <r>
    <n v="862"/>
    <x v="959"/>
    <x v="838"/>
    <x v="35"/>
    <s v="MR DONG: 0168 357 3889"/>
    <m/>
  </r>
  <r>
    <n v="863"/>
    <x v="960"/>
    <x v="839"/>
    <x v="1"/>
    <s v="MS DAN CHAN: 0905 067 288"/>
    <m/>
  </r>
  <r>
    <n v="864"/>
    <x v="961"/>
    <x v="840"/>
    <x v="113"/>
    <s v="NHU (PURCHASING) 0973729049"/>
    <m/>
  </r>
  <r>
    <n v="865"/>
    <x v="962"/>
    <x v="805"/>
    <x v="1"/>
    <s v="CLARK-THAO(lan-0938414697_x000a_ROPORT:HANG-64-612002_x000a_WOL:ms huynh-bpdh- 0933 714 959"/>
    <m/>
  </r>
  <r>
    <n v="866"/>
    <x v="963"/>
    <x v="841"/>
    <x v="47"/>
    <s v="Hà (Purchasing)- SDT ​0985.852.147"/>
    <m/>
  </r>
  <r>
    <n v="867"/>
    <x v="964"/>
    <x v="842"/>
    <x v="114"/>
    <s v="ANH CANH: 0908 700 628"/>
    <m/>
  </r>
  <r>
    <n v="868"/>
    <x v="965"/>
    <x v="96"/>
    <x v="1"/>
    <s v="NGOC 0913835253"/>
    <m/>
  </r>
  <r>
    <n v="869"/>
    <x v="966"/>
    <x v="843"/>
    <x v="1"/>
    <m/>
    <m/>
  </r>
  <r>
    <n v="870"/>
    <x v="967"/>
    <x v="844"/>
    <x v="1"/>
    <s v="Attn: Ly - 04 3 984 58 27"/>
    <m/>
  </r>
  <r>
    <n v="871"/>
    <x v="968"/>
    <x v="845"/>
    <x v="1"/>
    <s v="MR QUY: 0913 687 786"/>
    <m/>
  </r>
  <r>
    <n v="872"/>
    <x v="969"/>
    <x v="846"/>
    <x v="1"/>
    <s v="HA: 0904 255 236"/>
    <m/>
  </r>
  <r>
    <n v="873"/>
    <x v="970"/>
    <x v="847"/>
    <x v="37"/>
    <s v="MR DAT 0904 093 481"/>
    <m/>
  </r>
  <r>
    <n v="874"/>
    <x v="971"/>
    <x v="848"/>
    <x v="1"/>
    <s v="Van anh 0914796794"/>
    <m/>
  </r>
  <r>
    <n v="875"/>
    <x v="972"/>
    <x v="849"/>
    <x v="1"/>
    <s v="MS ANH/ MS HUONG: 04 3384 7131"/>
    <s v="24-36"/>
  </r>
  <r>
    <n v="876"/>
    <x v="973"/>
    <x v="850"/>
    <x v="1"/>
    <s v="Mr Nhiên – 0976.108.468 or 0918.511.768"/>
    <m/>
  </r>
  <r>
    <n v="877"/>
    <x v="974"/>
    <x v="851"/>
    <x v="1"/>
    <s v="Bui Hanh : 0435141523 "/>
    <m/>
  </r>
  <r>
    <m/>
    <x v="975"/>
    <x v="852"/>
    <x v="1"/>
    <s v="MS KIM CHUNG 0903471391"/>
    <m/>
  </r>
  <r>
    <n v="878"/>
    <x v="976"/>
    <x v="853"/>
    <x v="1"/>
    <s v="MAI: 0989 422 094"/>
    <m/>
  </r>
  <r>
    <n v="879"/>
    <x v="977"/>
    <x v="854"/>
    <x v="1"/>
    <s v="MS NET: 031 3816 628"/>
    <m/>
  </r>
  <r>
    <m/>
    <x v="978"/>
    <x v="855"/>
    <x v="115"/>
    <m/>
    <m/>
  </r>
  <r>
    <n v="880"/>
    <x v="979"/>
    <x v="856"/>
    <x v="116"/>
    <s v="064-3614598- MS TRAM/ MS THANH"/>
    <m/>
  </r>
  <r>
    <n v="881"/>
    <x v="980"/>
    <x v="857"/>
    <x v="35"/>
    <s v=" Quyen  0166 283 3991"/>
    <m/>
  </r>
  <r>
    <m/>
    <x v="981"/>
    <x v="858"/>
    <x v="1"/>
    <m/>
    <m/>
  </r>
  <r>
    <n v="882"/>
    <x v="982"/>
    <x v="859"/>
    <x v="117"/>
    <s v="MS HOA: 0904 325 299"/>
    <m/>
  </r>
  <r>
    <n v="883"/>
    <x v="983"/>
    <x v="859"/>
    <x v="118"/>
    <s v="MS HOA: 0904 325 299"/>
    <m/>
  </r>
  <r>
    <n v="884"/>
    <x v="984"/>
    <x v="860"/>
    <x v="1"/>
    <s v="MR TAN: 0918 514 693"/>
    <m/>
  </r>
  <r>
    <n v="885"/>
    <x v="985"/>
    <x v="861"/>
    <x v="119"/>
    <s v="HUE: 0128 207 5950"/>
    <m/>
  </r>
  <r>
    <n v="886"/>
    <x v="986"/>
    <x v="554"/>
    <x v="1"/>
    <s v="0912 950 692- MS CHI"/>
    <m/>
  </r>
  <r>
    <n v="887"/>
    <x v="987"/>
    <x v="409"/>
    <x v="120"/>
    <s v="MR JUNG/ MS HUONG_x000a_0313 768 800"/>
    <m/>
  </r>
  <r>
    <m/>
    <x v="988"/>
    <x v="862"/>
    <x v="1"/>
    <s v="MR VIET 0975 669 994"/>
    <m/>
  </r>
  <r>
    <n v="888"/>
    <x v="989"/>
    <x v="863"/>
    <x v="1"/>
    <s v="THU 0986595339"/>
    <m/>
  </r>
  <r>
    <n v="889"/>
    <x v="990"/>
    <x v="864"/>
    <x v="121"/>
    <s v="Anh Hoa-TPKH-0983618595"/>
    <m/>
  </r>
  <r>
    <n v="890"/>
    <x v="991"/>
    <x v="865"/>
    <x v="1"/>
    <s v="Ms Trang: 0962067377 / 0947608683"/>
    <m/>
  </r>
  <r>
    <n v="891"/>
    <x v="992"/>
    <x v="866"/>
    <x v="1"/>
    <s v="HUONG 0978629537"/>
    <m/>
  </r>
  <r>
    <n v="892"/>
    <x v="993"/>
    <x v="867"/>
    <x v="1"/>
    <s v="Kim Loan: Tel       :   0763 834709 Mobile :   0946.621900"/>
    <m/>
  </r>
  <r>
    <n v="893"/>
    <x v="994"/>
    <x v="868"/>
    <x v="1"/>
    <s v="QUANG DAO: 0977 647 346"/>
    <m/>
  </r>
  <r>
    <n v="894"/>
    <x v="995"/>
    <x v="869"/>
    <x v="12"/>
    <s v="Dieu Suong  0974 014 491"/>
    <m/>
  </r>
  <r>
    <n v="895"/>
    <x v="995"/>
    <x v="870"/>
    <x v="1"/>
    <s v="THUAN/ SUONG: 0651 3644 660"/>
    <m/>
  </r>
  <r>
    <n v="896"/>
    <x v="996"/>
    <x v="871"/>
    <x v="1"/>
    <s v="MR CHOI – 04 7855637 –_x000a_ 04 33546592"/>
    <m/>
  </r>
  <r>
    <n v="897"/>
    <x v="997"/>
    <x v="872"/>
    <x v="7"/>
    <s v="QUYNH ANH: 0935 471 807"/>
    <m/>
  </r>
  <r>
    <n v="898"/>
    <x v="998"/>
    <x v="873"/>
    <x v="7"/>
    <s v="QUYNH ANH: 0935 471 807"/>
    <m/>
  </r>
  <r>
    <n v="899"/>
    <x v="999"/>
    <x v="874"/>
    <x v="122"/>
    <s v="Tuyen Vu (035 0391 6899)"/>
    <m/>
  </r>
  <r>
    <n v="900"/>
    <x v="1000"/>
    <x v="875"/>
    <x v="1"/>
    <s v="Ms Hue - 0982 671 779"/>
    <m/>
  </r>
  <r>
    <m/>
    <x v="1001"/>
    <x v="876"/>
    <x v="1"/>
    <m/>
    <m/>
  </r>
  <r>
    <n v="901"/>
    <x v="1002"/>
    <x v="877"/>
    <x v="1"/>
    <s v="YEN 0982 909 111"/>
    <m/>
  </r>
  <r>
    <n v="902"/>
    <x v="1003"/>
    <x v="878"/>
    <x v="1"/>
    <s v="CHI HANG- HUONG-4.8271433"/>
    <m/>
  </r>
  <r>
    <n v="903"/>
    <x v="1004"/>
    <x v="879"/>
    <x v="1"/>
    <s v="MS THUY: 0906 055 862"/>
    <m/>
  </r>
  <r>
    <n v="904"/>
    <x v="1005"/>
    <x v="880"/>
    <x v="1"/>
    <m/>
    <m/>
  </r>
  <r>
    <n v="905"/>
    <x v="1006"/>
    <x v="881"/>
    <x v="0"/>
    <s v="HUONG XNK: 031 3743 308"/>
    <m/>
  </r>
  <r>
    <n v="906"/>
    <x v="1007"/>
    <x v="882"/>
    <x v="12"/>
    <s v="SĐT : 0918 820 286/ 0912 831 566"/>
    <m/>
  </r>
  <r>
    <n v="907"/>
    <x v="1008"/>
    <x v="883"/>
    <x v="1"/>
    <s v="MS HAU:01235610247"/>
    <m/>
  </r>
  <r>
    <n v="908"/>
    <x v="1009"/>
    <x v="884"/>
    <x v="1"/>
    <m/>
    <m/>
  </r>
  <r>
    <n v="909"/>
    <x v="1010"/>
    <x v="885"/>
    <x v="1"/>
    <s v="0978 870 978"/>
    <m/>
  </r>
  <r>
    <n v="910"/>
    <x v="1011"/>
    <x v="883"/>
    <x v="123"/>
    <s v="XUAN DUONG: 0936 296 270"/>
    <m/>
  </r>
  <r>
    <n v="911"/>
    <x v="1012"/>
    <x v="883"/>
    <x v="1"/>
    <s v="THUY: 0943 368 244"/>
    <m/>
  </r>
  <r>
    <n v="912"/>
    <x v="1013"/>
    <x v="883"/>
    <x v="1"/>
    <s v="Nguoi nhan : Ms Phuong/Ms Dinh : 0936308665"/>
    <m/>
  </r>
  <r>
    <n v="913"/>
    <x v="1014"/>
    <x v="886"/>
    <x v="1"/>
    <s v="ATTN: TRA LINH 04 3 6419228"/>
    <m/>
  </r>
  <r>
    <m/>
    <x v="1015"/>
    <x v="887"/>
    <x v="1"/>
    <m/>
    <m/>
  </r>
  <r>
    <m/>
    <x v="1014"/>
    <x v="173"/>
    <x v="1"/>
    <m/>
    <m/>
  </r>
  <r>
    <n v="914"/>
    <x v="1016"/>
    <x v="888"/>
    <x v="1"/>
    <s v="MR NHUT: 0942404338"/>
    <m/>
  </r>
  <r>
    <n v="915"/>
    <x v="1017"/>
    <x v="663"/>
    <x v="0"/>
    <s v="THUY: 0350 3819 198"/>
    <m/>
  </r>
  <r>
    <n v="916"/>
    <x v="1018"/>
    <x v="889"/>
    <x v="1"/>
    <m/>
    <m/>
  </r>
  <r>
    <n v="917"/>
    <x v="1019"/>
    <x v="890"/>
    <x v="1"/>
    <s v="CHI DIEM: 0905 855 169"/>
    <m/>
  </r>
  <r>
    <n v="917"/>
    <x v="1020"/>
    <x v="891"/>
    <x v="4"/>
    <s v="MS UYEN: 0904 094 54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P3:P6" firstHeaderRow="1" firstDataRow="1" firstDataCol="1" rowPageCount="1" colPageCount="1"/>
  <pivotFields count="6">
    <pivotField showAll="0"/>
    <pivotField axis="axisPage" showAll="0">
      <items count="1022">
        <item x="0"/>
        <item x="1"/>
        <item x="2"/>
        <item x="3"/>
        <item x="5"/>
        <item x="6"/>
        <item x="7"/>
        <item x="8"/>
        <item x="9"/>
        <item x="69"/>
        <item x="10"/>
        <item x="11"/>
        <item x="12"/>
        <item x="343"/>
        <item x="344"/>
        <item x="13"/>
        <item x="14"/>
        <item x="15"/>
        <item x="16"/>
        <item x="17"/>
        <item x="18"/>
        <item x="19"/>
        <item x="21"/>
        <item x="22"/>
        <item x="23"/>
        <item x="24"/>
        <item x="25"/>
        <item x="26"/>
        <item x="27"/>
        <item x="28"/>
        <item x="530"/>
        <item x="29"/>
        <item x="31"/>
        <item x="32"/>
        <item x="33"/>
        <item x="34"/>
        <item x="35"/>
        <item x="36"/>
        <item x="37"/>
        <item x="38"/>
        <item x="40"/>
        <item x="41"/>
        <item x="42"/>
        <item x="44"/>
        <item x="45"/>
        <item x="46"/>
        <item x="47"/>
        <item x="48"/>
        <item x="49"/>
        <item x="50"/>
        <item x="51"/>
        <item x="52"/>
        <item x="53"/>
        <item x="54"/>
        <item x="55"/>
        <item x="57"/>
        <item x="58"/>
        <item x="59"/>
        <item x="631"/>
        <item x="60"/>
        <item x="61"/>
        <item x="62"/>
        <item x="63"/>
        <item x="501"/>
        <item x="64"/>
        <item x="65"/>
        <item x="66"/>
        <item x="67"/>
        <item x="68"/>
        <item x="70"/>
        <item x="71"/>
        <item x="119"/>
        <item x="72"/>
        <item x="74"/>
        <item x="75"/>
        <item x="76"/>
        <item x="77"/>
        <item x="78"/>
        <item x="79"/>
        <item x="82"/>
        <item x="84"/>
        <item x="85"/>
        <item x="86"/>
        <item x="56"/>
        <item x="831"/>
        <item x="87"/>
        <item x="159"/>
        <item x="571"/>
        <item x="89"/>
        <item x="90"/>
        <item x="91"/>
        <item x="92"/>
        <item x="386"/>
        <item x="94"/>
        <item x="587"/>
        <item x="95"/>
        <item x="96"/>
        <item x="97"/>
        <item x="98"/>
        <item x="100"/>
        <item x="101"/>
        <item x="99"/>
        <item x="102"/>
        <item x="584"/>
        <item x="543"/>
        <item x="103"/>
        <item x="104"/>
        <item x="105"/>
        <item x="106"/>
        <item x="107"/>
        <item x="108"/>
        <item x="109"/>
        <item x="110"/>
        <item x="112"/>
        <item x="113"/>
        <item x="114"/>
        <item x="115"/>
        <item x="607"/>
        <item x="116"/>
        <item x="117"/>
        <item x="118"/>
        <item x="120"/>
        <item x="121"/>
        <item x="122"/>
        <item x="124"/>
        <item x="123"/>
        <item x="940"/>
        <item x="705"/>
        <item x="125"/>
        <item x="621"/>
        <item x="126"/>
        <item x="949"/>
        <item x="127"/>
        <item x="128"/>
        <item x="129"/>
        <item x="301"/>
        <item x="130"/>
        <item x="131"/>
        <item x="132"/>
        <item x="133"/>
        <item x="134"/>
        <item x="135"/>
        <item x="136"/>
        <item x="137"/>
        <item x="138"/>
        <item x="139"/>
        <item x="140"/>
        <item x="141"/>
        <item x="142"/>
        <item x="143"/>
        <item x="144"/>
        <item x="145"/>
        <item x="147"/>
        <item x="810"/>
        <item x="146"/>
        <item x="149"/>
        <item x="150"/>
        <item x="151"/>
        <item x="152"/>
        <item x="153"/>
        <item x="154"/>
        <item x="155"/>
        <item x="157"/>
        <item x="158"/>
        <item x="160"/>
        <item x="161"/>
        <item x="162"/>
        <item x="163"/>
        <item x="164"/>
        <item x="165"/>
        <item x="166"/>
        <item x="883"/>
        <item x="167"/>
        <item x="168"/>
        <item x="169"/>
        <item x="170"/>
        <item x="171"/>
        <item x="172"/>
        <item x="173"/>
        <item x="174"/>
        <item x="175"/>
        <item x="885"/>
        <item x="176"/>
        <item x="981"/>
        <item x="177"/>
        <item x="178"/>
        <item x="179"/>
        <item x="180"/>
        <item x="181"/>
        <item x="182"/>
        <item x="183"/>
        <item x="812"/>
        <item x="186"/>
        <item x="187"/>
        <item x="190"/>
        <item x="191"/>
        <item x="192"/>
        <item x="193"/>
        <item x="806"/>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811"/>
        <item x="430"/>
        <item x="223"/>
        <item x="224"/>
        <item x="225"/>
        <item x="226"/>
        <item x="227"/>
        <item x="228"/>
        <item x="229"/>
        <item x="230"/>
        <item x="231"/>
        <item x="232"/>
        <item x="233"/>
        <item x="234"/>
        <item x="235"/>
        <item x="236"/>
        <item x="237"/>
        <item x="238"/>
        <item x="239"/>
        <item x="240"/>
        <item x="241"/>
        <item x="7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72"/>
        <item x="273"/>
        <item x="274"/>
        <item x="275"/>
        <item x="276"/>
        <item x="345"/>
        <item x="278"/>
        <item x="280"/>
        <item x="279"/>
        <item x="277"/>
        <item x="281"/>
        <item x="282"/>
        <item x="283"/>
        <item x="978"/>
        <item x="316"/>
        <item x="284"/>
        <item x="285"/>
        <item x="286"/>
        <item x="287"/>
        <item x="288"/>
        <item x="289"/>
        <item x="290"/>
        <item x="291"/>
        <item x="292"/>
        <item x="293"/>
        <item x="294"/>
        <item x="295"/>
        <item x="296"/>
        <item x="297"/>
        <item x="298"/>
        <item x="299"/>
        <item x="300"/>
        <item x="302"/>
        <item x="303"/>
        <item x="304"/>
        <item x="305"/>
        <item x="612"/>
        <item x="306"/>
        <item x="307"/>
        <item x="308"/>
        <item x="309"/>
        <item x="310"/>
        <item x="311"/>
        <item x="312"/>
        <item x="313"/>
        <item x="314"/>
        <item x="315"/>
        <item x="512"/>
        <item x="317"/>
        <item x="318"/>
        <item x="319"/>
        <item x="320"/>
        <item x="321"/>
        <item x="322"/>
        <item x="323"/>
        <item x="324"/>
        <item x="325"/>
        <item x="326"/>
        <item x="327"/>
        <item x="328"/>
        <item x="823"/>
        <item x="605"/>
        <item x="329"/>
        <item x="330"/>
        <item x="331"/>
        <item x="332"/>
        <item x="333"/>
        <item x="334"/>
        <item x="335"/>
        <item x="336"/>
        <item x="337"/>
        <item x="338"/>
        <item x="479"/>
        <item x="339"/>
        <item x="609"/>
        <item x="340"/>
        <item x="341"/>
        <item x="342"/>
        <item x="346"/>
        <item x="347"/>
        <item x="348"/>
        <item x="349"/>
        <item x="350"/>
        <item x="351"/>
        <item x="352"/>
        <item x="353"/>
        <item x="354"/>
        <item x="355"/>
        <item x="356"/>
        <item x="357"/>
        <item x="358"/>
        <item x="359"/>
        <item x="360"/>
        <item x="361"/>
        <item x="362"/>
        <item x="363"/>
        <item x="364"/>
        <item x="365"/>
        <item x="366"/>
        <item x="367"/>
        <item x="368"/>
        <item x="369"/>
        <item x="371"/>
        <item x="372"/>
        <item x="373"/>
        <item x="374"/>
        <item x="375"/>
        <item x="376"/>
        <item x="377"/>
        <item x="378"/>
        <item x="379"/>
        <item x="381"/>
        <item x="669"/>
        <item x="382"/>
        <item x="383"/>
        <item x="384"/>
        <item x="385"/>
        <item x="387"/>
        <item x="685"/>
        <item x="388"/>
        <item x="389"/>
        <item x="390"/>
        <item x="391"/>
        <item x="392"/>
        <item x="393"/>
        <item x="394"/>
        <item x="396"/>
        <item x="583"/>
        <item x="397"/>
        <item x="398"/>
        <item x="399"/>
        <item x="400"/>
        <item x="401"/>
        <item x="402"/>
        <item x="403"/>
        <item x="404"/>
        <item x="405"/>
        <item x="406"/>
        <item x="407"/>
        <item x="408"/>
        <item x="409"/>
        <item x="414"/>
        <item x="417"/>
        <item x="421"/>
        <item x="422"/>
        <item x="423"/>
        <item x="424"/>
        <item x="425"/>
        <item x="426"/>
        <item x="427"/>
        <item x="428"/>
        <item x="429"/>
        <item x="431"/>
        <item x="432"/>
        <item x="433"/>
        <item x="434"/>
        <item x="435"/>
        <item x="436"/>
        <item x="437"/>
        <item x="438"/>
        <item x="439"/>
        <item x="440"/>
        <item x="441"/>
        <item x="442"/>
        <item x="443"/>
        <item x="444"/>
        <item x="445"/>
        <item x="610"/>
        <item x="446"/>
        <item x="611"/>
        <item x="447"/>
        <item x="579"/>
        <item x="449"/>
        <item x="448"/>
        <item x="450"/>
        <item x="516"/>
        <item x="451"/>
        <item x="452"/>
        <item x="453"/>
        <item x="454"/>
        <item x="455"/>
        <item x="456"/>
        <item x="632"/>
        <item x="457"/>
        <item x="458"/>
        <item x="460"/>
        <item x="461"/>
        <item x="462"/>
        <item x="463"/>
        <item x="464"/>
        <item x="931"/>
        <item x="416"/>
        <item x="80"/>
        <item x="465"/>
        <item x="466"/>
        <item x="467"/>
        <item x="468"/>
        <item x="469"/>
        <item x="470"/>
        <item x="471"/>
        <item x="472"/>
        <item x="473"/>
        <item x="909"/>
        <item x="474"/>
        <item x="475"/>
        <item x="832"/>
        <item x="476"/>
        <item x="477"/>
        <item x="478"/>
        <item x="269"/>
        <item x="480"/>
        <item x="481"/>
        <item x="482"/>
        <item x="483"/>
        <item x="484"/>
        <item x="485"/>
        <item x="486"/>
        <item x="487"/>
        <item x="488"/>
        <item x="489"/>
        <item x="490"/>
        <item x="491"/>
        <item x="492"/>
        <item x="493"/>
        <item x="494"/>
        <item x="495"/>
        <item x="496"/>
        <item x="497"/>
        <item x="498"/>
        <item x="271"/>
        <item x="39"/>
        <item x="88"/>
        <item x="499"/>
        <item x="500"/>
        <item x="502"/>
        <item x="503"/>
        <item x="504"/>
        <item x="505"/>
        <item x="506"/>
        <item x="507"/>
        <item x="508"/>
        <item x="903"/>
        <item x="509"/>
        <item x="510"/>
        <item x="511"/>
        <item x="514"/>
        <item x="515"/>
        <item x="93"/>
        <item x="517"/>
        <item x="889"/>
        <item x="518"/>
        <item x="519"/>
        <item x="520"/>
        <item x="521"/>
        <item x="522"/>
        <item x="523"/>
        <item x="524"/>
        <item x="525"/>
        <item x="526"/>
        <item x="527"/>
        <item x="528"/>
        <item x="532"/>
        <item x="534"/>
        <item x="535"/>
        <item x="536"/>
        <item x="537"/>
        <item x="538"/>
        <item x="539"/>
        <item x="540"/>
        <item x="541"/>
        <item x="542"/>
        <item x="544"/>
        <item x="545"/>
        <item x="546"/>
        <item x="547"/>
        <item x="548"/>
        <item x="549"/>
        <item x="551"/>
        <item x="954"/>
        <item x="988"/>
        <item x="73"/>
        <item x="552"/>
        <item x="553"/>
        <item x="554"/>
        <item x="555"/>
        <item x="556"/>
        <item x="557"/>
        <item x="558"/>
        <item x="559"/>
        <item x="560"/>
        <item x="561"/>
        <item x="30"/>
        <item x="562"/>
        <item x="410"/>
        <item x="563"/>
        <item x="564"/>
        <item x="565"/>
        <item x="566"/>
        <item x="567"/>
        <item x="568"/>
        <item x="569"/>
        <item x="570"/>
        <item x="572"/>
        <item x="573"/>
        <item x="533"/>
        <item x="574"/>
        <item x="575"/>
        <item x="576"/>
        <item x="577"/>
        <item x="588"/>
        <item x="589"/>
        <item x="590"/>
        <item x="591"/>
        <item x="592"/>
        <item x="81"/>
        <item x="593"/>
        <item x="594"/>
        <item x="595"/>
        <item x="596"/>
        <item x="597"/>
        <item x="598"/>
        <item x="599"/>
        <item x="600"/>
        <item x="602"/>
        <item x="603"/>
        <item x="604"/>
        <item x="613"/>
        <item x="614"/>
        <item x="615"/>
        <item x="616"/>
        <item x="619"/>
        <item x="620"/>
        <item x="622"/>
        <item x="623"/>
        <item x="624"/>
        <item x="625"/>
        <item x="626"/>
        <item x="627"/>
        <item x="628"/>
        <item x="633"/>
        <item x="606"/>
        <item x="634"/>
        <item x="635"/>
        <item x="636"/>
        <item x="637"/>
        <item x="4"/>
        <item x="638"/>
        <item x="370"/>
        <item x="639"/>
        <item x="640"/>
        <item x="641"/>
        <item x="642"/>
        <item x="643"/>
        <item x="910"/>
        <item x="644"/>
        <item x="645"/>
        <item x="646"/>
        <item x="647"/>
        <item x="648"/>
        <item x="185"/>
        <item x="710"/>
        <item x="649"/>
        <item x="650"/>
        <item x="651"/>
        <item x="652"/>
        <item x="653"/>
        <item x="654"/>
        <item x="655"/>
        <item x="656"/>
        <item x="657"/>
        <item x="658"/>
        <item x="659"/>
        <item x="413"/>
        <item x="395"/>
        <item x="660"/>
        <item x="663"/>
        <item x="664"/>
        <item x="665"/>
        <item x="666"/>
        <item x="667"/>
        <item x="662"/>
        <item x="668"/>
        <item x="670"/>
        <item x="671"/>
        <item x="672"/>
        <item x="673"/>
        <item x="674"/>
        <item x="675"/>
        <item x="676"/>
        <item x="677"/>
        <item x="1019"/>
        <item x="678"/>
        <item x="679"/>
        <item x="581"/>
        <item x="680"/>
        <item x="681"/>
        <item x="682"/>
        <item x="683"/>
        <item x="684"/>
        <item x="686"/>
        <item x="687"/>
        <item x="688"/>
        <item x="689"/>
        <item x="690"/>
        <item x="691"/>
        <item x="692"/>
        <item x="693"/>
        <item x="694"/>
        <item x="661"/>
        <item x="695"/>
        <item x="696"/>
        <item x="697"/>
        <item x="698"/>
        <item x="699"/>
        <item x="700"/>
        <item x="701"/>
        <item x="702"/>
        <item x="703"/>
        <item x="415"/>
        <item x="704"/>
        <item x="748"/>
        <item x="706"/>
        <item x="188"/>
        <item x="707"/>
        <item x="975"/>
        <item x="43"/>
        <item x="708"/>
        <item x="709"/>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380"/>
        <item x="739"/>
        <item x="740"/>
        <item x="741"/>
        <item x="742"/>
        <item x="743"/>
        <item x="459"/>
        <item x="20"/>
        <item x="744"/>
        <item x="745"/>
        <item x="83"/>
        <item x="746"/>
        <item x="747"/>
        <item x="617"/>
        <item x="585"/>
        <item x="586"/>
        <item x="749"/>
        <item x="750"/>
        <item x="412"/>
        <item x="751"/>
        <item x="752"/>
        <item x="753"/>
        <item x="754"/>
        <item x="755"/>
        <item x="756"/>
        <item x="757"/>
        <item x="758"/>
        <item x="759"/>
        <item x="760"/>
        <item x="761"/>
        <item x="762"/>
        <item x="763"/>
        <item x="765"/>
        <item x="766"/>
        <item x="807"/>
        <item x="767"/>
        <item x="768"/>
        <item x="769"/>
        <item x="770"/>
        <item x="771"/>
        <item x="772"/>
        <item x="550"/>
        <item x="773"/>
        <item x="776"/>
        <item x="774"/>
        <item x="156"/>
        <item x="775"/>
        <item x="777"/>
        <item x="778"/>
        <item x="779"/>
        <item x="780"/>
        <item x="781"/>
        <item x="782"/>
        <item x="783"/>
        <item x="784"/>
        <item x="785"/>
        <item x="411"/>
        <item x="270"/>
        <item x="786"/>
        <item x="787"/>
        <item x="788"/>
        <item x="529"/>
        <item x="789"/>
        <item x="790"/>
        <item x="791"/>
        <item x="792"/>
        <item x="793"/>
        <item x="608"/>
        <item x="794"/>
        <item x="795"/>
        <item x="796"/>
        <item x="797"/>
        <item x="798"/>
        <item x="799"/>
        <item x="800"/>
        <item x="801"/>
        <item x="802"/>
        <item x="803"/>
        <item x="804"/>
        <item x="814"/>
        <item x="821"/>
        <item x="808"/>
        <item x="809"/>
        <item x="805"/>
        <item x="813"/>
        <item x="815"/>
        <item x="816"/>
        <item x="817"/>
        <item x="818"/>
        <item x="819"/>
        <item x="820"/>
        <item x="601"/>
        <item x="189"/>
        <item x="822"/>
        <item x="824"/>
        <item x="825"/>
        <item x="826"/>
        <item x="827"/>
        <item x="828"/>
        <item x="829"/>
        <item x="830"/>
        <item x="833"/>
        <item x="834"/>
        <item x="835"/>
        <item x="836"/>
        <item x="837"/>
        <item x="839"/>
        <item x="840"/>
        <item x="841"/>
        <item x="843"/>
        <item x="844"/>
        <item x="845"/>
        <item x="842"/>
        <item x="846"/>
        <item x="847"/>
        <item x="848"/>
        <item x="849"/>
        <item x="850"/>
        <item x="851"/>
        <item x="852"/>
        <item x="853"/>
        <item x="854"/>
        <item x="855"/>
        <item x="856"/>
        <item x="857"/>
        <item x="858"/>
        <item x="859"/>
        <item x="860"/>
        <item x="861"/>
        <item x="862"/>
        <item x="863"/>
        <item x="864"/>
        <item x="865"/>
        <item x="866"/>
        <item x="111"/>
        <item x="867"/>
        <item x="868"/>
        <item x="869"/>
        <item x="870"/>
        <item x="871"/>
        <item x="872"/>
        <item x="873"/>
        <item x="874"/>
        <item x="875"/>
        <item x="876"/>
        <item x="877"/>
        <item x="878"/>
        <item x="418"/>
        <item x="879"/>
        <item x="880"/>
        <item x="881"/>
        <item x="882"/>
        <item x="886"/>
        <item x="887"/>
        <item x="888"/>
        <item x="890"/>
        <item x="891"/>
        <item x="892"/>
        <item x="893"/>
        <item x="894"/>
        <item x="895"/>
        <item x="896"/>
        <item x="897"/>
        <item x="898"/>
        <item x="899"/>
        <item x="900"/>
        <item x="901"/>
        <item x="902"/>
        <item x="904"/>
        <item x="972"/>
        <item x="905"/>
        <item x="906"/>
        <item x="907"/>
        <item x="911"/>
        <item x="912"/>
        <item x="913"/>
        <item x="908"/>
        <item x="914"/>
        <item x="915"/>
        <item x="916"/>
        <item x="917"/>
        <item x="918"/>
        <item x="919"/>
        <item x="629"/>
        <item x="630"/>
        <item x="920"/>
        <item x="921"/>
        <item x="582"/>
        <item x="922"/>
        <item x="923"/>
        <item x="924"/>
        <item x="419"/>
        <item x="925"/>
        <item x="926"/>
        <item x="927"/>
        <item x="928"/>
        <item x="580"/>
        <item x="930"/>
        <item x="929"/>
        <item x="932"/>
        <item x="933"/>
        <item x="934"/>
        <item x="935"/>
        <item x="936"/>
        <item x="937"/>
        <item x="941"/>
        <item x="938"/>
        <item x="939"/>
        <item x="420"/>
        <item x="942"/>
        <item x="943"/>
        <item x="944"/>
        <item x="884"/>
        <item x="838"/>
        <item x="945"/>
        <item x="946"/>
        <item x="947"/>
        <item x="948"/>
        <item x="950"/>
        <item x="1001"/>
        <item x="951"/>
        <item x="952"/>
        <item x="953"/>
        <item x="955"/>
        <item x="956"/>
        <item x="957"/>
        <item x="958"/>
        <item x="531"/>
        <item x="513"/>
        <item x="959"/>
        <item x="960"/>
        <item x="961"/>
        <item x="962"/>
        <item x="963"/>
        <item x="964"/>
        <item x="965"/>
        <item x="966"/>
        <item x="967"/>
        <item x="968"/>
        <item x="969"/>
        <item x="970"/>
        <item x="971"/>
        <item x="973"/>
        <item x="974"/>
        <item x="976"/>
        <item x="977"/>
        <item x="979"/>
        <item x="980"/>
        <item x="982"/>
        <item x="983"/>
        <item x="984"/>
        <item x="578"/>
        <item x="985"/>
        <item x="986"/>
        <item x="987"/>
        <item x="989"/>
        <item x="990"/>
        <item x="991"/>
        <item x="992"/>
        <item x="993"/>
        <item x="994"/>
        <item x="995"/>
        <item x="996"/>
        <item x="997"/>
        <item x="998"/>
        <item x="999"/>
        <item x="1000"/>
        <item x="148"/>
        <item x="184"/>
        <item x="618"/>
        <item x="1002"/>
        <item x="1003"/>
        <item x="1004"/>
        <item x="1005"/>
        <item x="1006"/>
        <item x="1007"/>
        <item x="1008"/>
        <item x="1009"/>
        <item x="1010"/>
        <item x="1011"/>
        <item x="1012"/>
        <item x="1013"/>
        <item x="1015"/>
        <item x="1014"/>
        <item x="1016"/>
        <item x="1017"/>
        <item x="1018"/>
        <item x="1020"/>
        <item t="default"/>
      </items>
    </pivotField>
    <pivotField axis="axisRow" showAll="0">
      <items count="893">
        <item x="449"/>
        <item x="734"/>
        <item x="3"/>
        <item x="44"/>
        <item x="170"/>
        <item x="552"/>
        <item x="563"/>
        <item x="717"/>
        <item x="416"/>
        <item x="265"/>
        <item x="725"/>
        <item x="675"/>
        <item x="681"/>
        <item x="443"/>
        <item x="686"/>
        <item x="66"/>
        <item x="50"/>
        <item x="579"/>
        <item x="296"/>
        <item x="789"/>
        <item x="441"/>
        <item x="439"/>
        <item x="645"/>
        <item x="547"/>
        <item x="649"/>
        <item x="561"/>
        <item x="745"/>
        <item x="856"/>
        <item x="283"/>
        <item x="125"/>
        <item x="220"/>
        <item x="9"/>
        <item x="124"/>
        <item x="685"/>
        <item x="335"/>
        <item x="299"/>
        <item x="136"/>
        <item x="534"/>
        <item x="497"/>
        <item x="496"/>
        <item x="487"/>
        <item x="512"/>
        <item x="40"/>
        <item x="654"/>
        <item x="537"/>
        <item x="737"/>
        <item x="729"/>
        <item x="604"/>
        <item x="37"/>
        <item x="38"/>
        <item x="207"/>
        <item x="471"/>
        <item x="829"/>
        <item x="742"/>
        <item x="317"/>
        <item x="148"/>
        <item x="461"/>
        <item x="451"/>
        <item x="52"/>
        <item x="328"/>
        <item x="826"/>
        <item x="277"/>
        <item x="282"/>
        <item x="488"/>
        <item x="62"/>
        <item x="577"/>
        <item x="636"/>
        <item x="358"/>
        <item x="402"/>
        <item x="830"/>
        <item x="239"/>
        <item x="81"/>
        <item x="733"/>
        <item x="777"/>
        <item x="409"/>
        <item x="18"/>
        <item x="715"/>
        <item x="716"/>
        <item x="513"/>
        <item x="85"/>
        <item x="295"/>
        <item x="347"/>
        <item x="744"/>
        <item x="63"/>
        <item x="816"/>
        <item x="820"/>
        <item x="514"/>
        <item x="705"/>
        <item x="504"/>
        <item x="506"/>
        <item x="507"/>
        <item x="32"/>
        <item x="823"/>
        <item x="310"/>
        <item x="339"/>
        <item x="746"/>
        <item x="149"/>
        <item x="689"/>
        <item x="46"/>
        <item x="48"/>
        <item x="47"/>
        <item x="97"/>
        <item x="800"/>
        <item x="197"/>
        <item x="877"/>
        <item x="591"/>
        <item x="287"/>
        <item x="378"/>
        <item x="842"/>
        <item x="596"/>
        <item x="365"/>
        <item x="694"/>
        <item x="748"/>
        <item x="843"/>
        <item x="732"/>
        <item x="684"/>
        <item x="437"/>
        <item x="73"/>
        <item x="502"/>
        <item x="711"/>
        <item x="585"/>
        <item x="232"/>
        <item x="163"/>
        <item x="868"/>
        <item x="853"/>
        <item x="157"/>
        <item x="146"/>
        <item x="147"/>
        <item x="96"/>
        <item x="398"/>
        <item x="773"/>
        <item x="864"/>
        <item x="8"/>
        <item x="462"/>
        <item x="827"/>
        <item x="489"/>
        <item x="34"/>
        <item x="102"/>
        <item x="60"/>
        <item x="321"/>
        <item x="303"/>
        <item x="304"/>
        <item x="337"/>
        <item x="776"/>
        <item x="652"/>
        <item x="818"/>
        <item x="394"/>
        <item x="396"/>
        <item x="817"/>
        <item x="680"/>
        <item x="448"/>
        <item x="575"/>
        <item x="576"/>
        <item x="164"/>
        <item x="869"/>
        <item x="870"/>
        <item x="847"/>
        <item x="765"/>
        <item x="571"/>
        <item x="126"/>
        <item x="828"/>
        <item x="549"/>
        <item x="133"/>
        <item x="305"/>
        <item x="602"/>
        <item x="301"/>
        <item x="612"/>
        <item x="600"/>
        <item x="142"/>
        <item x="860"/>
        <item x="703"/>
        <item x="218"/>
        <item x="53"/>
        <item x="837"/>
        <item x="285"/>
        <item x="132"/>
        <item x="368"/>
        <item x="15"/>
        <item x="154"/>
        <item x="631"/>
        <item x="247"/>
        <item x="710"/>
        <item x="692"/>
        <item x="756"/>
        <item x="380"/>
        <item x="866"/>
        <item x="682"/>
        <item x="671"/>
        <item x="603"/>
        <item x="65"/>
        <item x="668"/>
        <item x="263"/>
        <item x="369"/>
        <item x="615"/>
        <item x="390"/>
        <item x="424"/>
        <item x="169"/>
        <item x="346"/>
        <item x="195"/>
        <item x="628"/>
        <item x="160"/>
        <item x="666"/>
        <item x="473"/>
        <item x="862"/>
        <item x="605"/>
        <item x="736"/>
        <item x="594"/>
        <item x="308"/>
        <item x="809"/>
        <item x="629"/>
        <item x="2"/>
        <item x="375"/>
        <item x="841"/>
        <item x="657"/>
        <item x="440"/>
        <item x="858"/>
        <item x="258"/>
        <item x="29"/>
        <item x="658"/>
        <item x="637"/>
        <item x="250"/>
        <item x="212"/>
        <item x="255"/>
        <item x="327"/>
        <item x="762"/>
        <item x="669"/>
        <item x="852"/>
        <item x="569"/>
        <item x="434"/>
        <item x="51"/>
        <item x="620"/>
        <item x="261"/>
        <item x="775"/>
        <item x="340"/>
        <item x="243"/>
        <item x="718"/>
        <item x="832"/>
        <item x="887"/>
        <item x="453"/>
        <item x="565"/>
        <item x="493"/>
        <item x="103"/>
        <item x="545"/>
        <item x="113"/>
        <item x="486"/>
        <item x="330"/>
        <item x="836"/>
        <item x="888"/>
        <item x="640"/>
        <item x="315"/>
        <item x="647"/>
        <item x="138"/>
        <item x="501"/>
        <item x="323"/>
        <item x="202"/>
        <item x="14"/>
        <item x="172"/>
        <item x="423"/>
        <item x="167"/>
        <item x="521"/>
        <item x="714"/>
        <item x="874"/>
        <item x="271"/>
        <item x="564"/>
        <item x="199"/>
        <item x="191"/>
        <item x="189"/>
        <item x="188"/>
        <item x="562"/>
        <item x="88"/>
        <item x="107"/>
        <item x="311"/>
        <item x="307"/>
        <item x="839"/>
        <item x="656"/>
        <item x="31"/>
        <item x="316"/>
        <item x="698"/>
        <item x="465"/>
        <item x="891"/>
        <item x="695"/>
        <item x="418"/>
        <item x="360"/>
        <item x="6"/>
        <item x="345"/>
        <item x="867"/>
        <item x="478"/>
        <item x="153"/>
        <item x="412"/>
        <item x="644"/>
        <item x="727"/>
        <item x="334"/>
        <item x="665"/>
        <item x="516"/>
        <item x="492"/>
        <item x="253"/>
        <item x="177"/>
        <item x="223"/>
        <item x="696"/>
        <item x="728"/>
        <item x="61"/>
        <item x="797"/>
        <item x="855"/>
        <item x="687"/>
        <item x="363"/>
        <item x="595"/>
        <item x="495"/>
        <item x="181"/>
        <item x="445"/>
        <item x="120"/>
        <item x="280"/>
        <item x="790"/>
        <item x="791"/>
        <item x="883"/>
        <item x="519"/>
        <item x="555"/>
        <item x="759"/>
        <item x="322"/>
        <item x="39"/>
        <item x="252"/>
        <item x="13"/>
        <item x="542"/>
        <item x="54"/>
        <item x="693"/>
        <item x="755"/>
        <item x="417"/>
        <item x="425"/>
        <item x="660"/>
        <item x="215"/>
        <item x="670"/>
        <item x="231"/>
        <item x="211"/>
        <item x="114"/>
        <item x="86"/>
        <item x="472"/>
        <item x="884"/>
        <item x="350"/>
        <item x="446"/>
        <item x="835"/>
        <item x="116"/>
        <item x="241"/>
        <item x="743"/>
        <item x="238"/>
        <item x="200"/>
        <item x="882"/>
        <item x="599"/>
        <item x="805"/>
        <item x="4"/>
        <item x="642"/>
        <item x="544"/>
        <item x="481"/>
        <item x="589"/>
        <item x="724"/>
        <item x="182"/>
        <item x="793"/>
        <item x="158"/>
        <item x="292"/>
        <item x="720"/>
        <item x="726"/>
        <item x="254"/>
        <item x="723"/>
        <item x="535"/>
        <item x="432"/>
        <item x="655"/>
        <item x="79"/>
        <item x="246"/>
        <item x="415"/>
        <item x="890"/>
        <item x="558"/>
        <item x="41"/>
        <item x="410"/>
        <item x="719"/>
        <item x="171"/>
        <item x="825"/>
        <item x="428"/>
        <item x="403"/>
        <item x="55"/>
        <item x="614"/>
        <item x="12"/>
        <item x="20"/>
        <item x="771"/>
        <item x="121"/>
        <item x="325"/>
        <item x="551"/>
        <item x="10"/>
        <item x="235"/>
        <item x="286"/>
        <item x="99"/>
        <item x="351"/>
        <item x="750"/>
        <item x="291"/>
        <item x="592"/>
        <item x="635"/>
        <item x="422"/>
        <item x="379"/>
        <item x="131"/>
        <item x="366"/>
        <item x="236"/>
        <item x="7"/>
        <item x="786"/>
        <item x="290"/>
        <item x="479"/>
        <item x="480"/>
        <item x="619"/>
        <item x="430"/>
        <item x="865"/>
        <item x="83"/>
        <item x="482"/>
        <item x="357"/>
        <item x="134"/>
        <item x="570"/>
        <item x="288"/>
        <item x="490"/>
        <item x="811"/>
        <item x="806"/>
        <item x="112"/>
        <item x="447"/>
        <item x="314"/>
        <item x="651"/>
        <item x="367"/>
        <item x="210"/>
        <item x="470"/>
        <item x="753"/>
        <item x="262"/>
        <item x="58"/>
        <item x="341"/>
        <item x="674"/>
        <item x="803"/>
        <item x="110"/>
        <item x="162"/>
        <item x="556"/>
        <item x="840"/>
        <item x="468"/>
        <item x="879"/>
        <item x="431"/>
        <item x="92"/>
        <item x="770"/>
        <item x="702"/>
        <item x="779"/>
        <item x="222"/>
        <item x="508"/>
        <item x="554"/>
        <item x="278"/>
        <item x="279"/>
        <item x="435"/>
        <item x="302"/>
        <item x="129"/>
        <item x="201"/>
        <item x="781"/>
        <item x="559"/>
        <item x="597"/>
        <item x="638"/>
        <item x="281"/>
        <item x="284"/>
        <item x="678"/>
        <item x="208"/>
        <item x="381"/>
        <item x="699"/>
        <item x="783"/>
        <item x="691"/>
        <item x="93"/>
        <item x="690"/>
        <item x="436"/>
        <item x="780"/>
        <item x="293"/>
        <item x="688"/>
        <item x="371"/>
        <item x="766"/>
        <item x="90"/>
        <item x="115"/>
        <item x="216"/>
        <item x="798"/>
        <item x="248"/>
        <item x="175"/>
        <item x="312"/>
        <item x="383"/>
        <item x="229"/>
        <item x="713"/>
        <item x="352"/>
        <item x="611"/>
        <item x="374"/>
        <item x="538"/>
        <item x="541"/>
        <item x="118"/>
        <item x="43"/>
        <item x="804"/>
        <item x="159"/>
        <item x="342"/>
        <item x="810"/>
        <item x="294"/>
        <item x="850"/>
        <item x="141"/>
        <item x="608"/>
        <item x="343"/>
        <item x="772"/>
        <item x="659"/>
        <item x="854"/>
        <item x="566"/>
        <item x="145"/>
        <item x="886"/>
        <item x="848"/>
        <item x="491"/>
        <item x="194"/>
        <item x="193"/>
        <item x="857"/>
        <item x="407"/>
        <item x="198"/>
        <item x="807"/>
        <item x="82"/>
        <item x="795"/>
        <item x="815"/>
        <item x="824"/>
        <item x="632"/>
        <item x="230"/>
        <item x="257"/>
        <item x="438"/>
        <item x="802"/>
        <item x="598"/>
        <item x="144"/>
        <item x="662"/>
        <item x="706"/>
        <item x="72"/>
        <item x="406"/>
        <item x="834"/>
        <item x="128"/>
        <item x="259"/>
        <item x="17"/>
        <item x="550"/>
        <item x="664"/>
        <item x="590"/>
        <item x="527"/>
        <item x="821"/>
        <item x="661"/>
        <item x="382"/>
        <item x="21"/>
        <item x="607"/>
        <item x="324"/>
        <item x="227"/>
        <item x="477"/>
        <item x="494"/>
        <item x="752"/>
        <item x="580"/>
        <item x="373"/>
        <item x="22"/>
        <item x="151"/>
        <item x="206"/>
        <item x="474"/>
        <item x="510"/>
        <item x="213"/>
        <item x="622"/>
        <item x="767"/>
        <item x="349"/>
        <item x="309"/>
        <item x="135"/>
        <item x="274"/>
        <item x="393"/>
        <item x="104"/>
        <item x="361"/>
        <item x="64"/>
        <item x="226"/>
        <item x="838"/>
        <item x="42"/>
        <item x="676"/>
        <item x="616"/>
        <item x="30"/>
        <item x="168"/>
        <item x="788"/>
        <item x="751"/>
        <item x="876"/>
        <item x="880"/>
        <item x="179"/>
        <item x="267"/>
        <item x="130"/>
        <item x="568"/>
        <item x="757"/>
        <item x="442"/>
        <item x="272"/>
        <item x="69"/>
        <item x="859"/>
        <item x="332"/>
        <item x="557"/>
        <item x="224"/>
        <item x="573"/>
        <item x="183"/>
        <item x="180"/>
        <item x="881"/>
        <item x="578"/>
        <item x="356"/>
        <item x="101"/>
        <item x="584"/>
        <item x="95"/>
        <item x="498"/>
        <item x="419"/>
        <item x="639"/>
        <item x="276"/>
        <item x="372"/>
        <item x="348"/>
        <item x="80"/>
        <item x="586"/>
        <item x="214"/>
        <item x="452"/>
        <item x="184"/>
        <item x="454"/>
        <item x="174"/>
        <item x="730"/>
        <item x="518"/>
        <item x="587"/>
        <item x="392"/>
        <item x="764"/>
        <item x="606"/>
        <item x="204"/>
        <item x="234"/>
        <item x="747"/>
        <item x="822"/>
        <item x="233"/>
        <item x="186"/>
        <item x="601"/>
        <item x="74"/>
        <item x="273"/>
        <item x="433"/>
        <item x="395"/>
        <item x="630"/>
        <item x="190"/>
        <item x="844"/>
        <item x="209"/>
        <item x="851"/>
        <item x="546"/>
        <item x="105"/>
        <item x="624"/>
        <item x="19"/>
        <item x="712"/>
        <item x="801"/>
        <item x="574"/>
        <item x="401"/>
        <item x="100"/>
        <item x="187"/>
        <item x="872"/>
        <item x="871"/>
        <item x="70"/>
        <item x="875"/>
        <item x="298"/>
        <item x="484"/>
        <item x="483"/>
        <item x="878"/>
        <item x="700"/>
        <item x="450"/>
        <item x="873"/>
        <item x="249"/>
        <item x="617"/>
        <item x="760"/>
        <item x="242"/>
        <item x="683"/>
        <item x="540"/>
        <item x="610"/>
        <item x="812"/>
        <item x="387"/>
        <item x="476"/>
        <item x="623"/>
        <item x="458"/>
        <item x="326"/>
        <item x="667"/>
        <item x="140"/>
        <item x="333"/>
        <item x="466"/>
        <item x="385"/>
        <item x="76"/>
        <item x="91"/>
        <item x="609"/>
        <item x="509"/>
        <item x="523"/>
        <item x="813"/>
        <item x="763"/>
        <item x="289"/>
        <item x="139"/>
        <item x="89"/>
        <item x="528"/>
        <item x="529"/>
        <item x="634"/>
        <item x="677"/>
        <item x="464"/>
        <item x="260"/>
        <item x="539"/>
        <item x="408"/>
        <item x="593"/>
        <item x="143"/>
        <item x="0"/>
        <item x="663"/>
        <item x="377"/>
        <item x="460"/>
        <item x="517"/>
        <item x="761"/>
        <item x="221"/>
        <item x="708"/>
        <item x="833"/>
        <item x="782"/>
        <item x="758"/>
        <item x="444"/>
        <item x="155"/>
        <item x="152"/>
        <item x="455"/>
        <item x="531"/>
        <item x="532"/>
        <item x="785"/>
        <item x="1"/>
        <item x="819"/>
        <item x="268"/>
        <item x="78"/>
        <item x="426"/>
        <item x="846"/>
        <item x="769"/>
        <item x="485"/>
        <item x="889"/>
        <item x="399"/>
        <item x="427"/>
        <item x="520"/>
        <item x="621"/>
        <item x="192"/>
        <item x="560"/>
        <item x="178"/>
        <item x="831"/>
        <item x="794"/>
        <item x="548"/>
        <item x="318"/>
        <item x="106"/>
        <item x="673"/>
        <item x="749"/>
        <item x="721"/>
        <item x="84"/>
        <item x="329"/>
        <item x="731"/>
        <item x="68"/>
        <item x="463"/>
        <item x="411"/>
        <item x="814"/>
        <item x="336"/>
        <item x="370"/>
        <item x="123"/>
        <item x="203"/>
        <item x="774"/>
        <item x="778"/>
        <item x="543"/>
        <item x="25"/>
        <item x="522"/>
        <item x="353"/>
        <item x="338"/>
        <item x="530"/>
        <item x="219"/>
        <item x="111"/>
        <item x="359"/>
        <item x="583"/>
        <item x="87"/>
        <item x="738"/>
        <item x="739"/>
        <item x="740"/>
        <item x="646"/>
        <item x="648"/>
        <item x="391"/>
        <item x="524"/>
        <item x="582"/>
        <item x="228"/>
        <item x="885"/>
        <item x="768"/>
        <item x="643"/>
        <item x="414"/>
        <item x="754"/>
        <item x="707"/>
        <item x="475"/>
        <item x="572"/>
        <item x="264"/>
        <item x="94"/>
        <item x="98"/>
        <item x="36"/>
        <item x="5"/>
        <item x="845"/>
        <item x="266"/>
        <item x="161"/>
        <item x="500"/>
        <item x="362"/>
        <item x="240"/>
        <item x="404"/>
        <item x="245"/>
        <item x="331"/>
        <item x="627"/>
        <item x="413"/>
        <item x="849"/>
        <item x="71"/>
        <item x="808"/>
        <item x="49"/>
        <item x="388"/>
        <item x="799"/>
        <item x="672"/>
        <item x="459"/>
        <item x="863"/>
        <item x="784"/>
        <item x="27"/>
        <item x="166"/>
        <item x="16"/>
        <item x="300"/>
        <item x="270"/>
        <item x="57"/>
        <item x="320"/>
        <item x="319"/>
        <item x="467"/>
        <item x="709"/>
        <item x="650"/>
        <item x="499"/>
        <item x="526"/>
        <item x="108"/>
        <item x="313"/>
        <item x="364"/>
        <item x="109"/>
        <item x="137"/>
        <item x="205"/>
        <item x="792"/>
        <item x="344"/>
        <item x="796"/>
        <item x="511"/>
        <item x="122"/>
        <item x="59"/>
        <item x="456"/>
        <item x="127"/>
        <item x="355"/>
        <item x="26"/>
        <item x="386"/>
        <item x="354"/>
        <item x="533"/>
        <item x="536"/>
        <item x="225"/>
        <item x="376"/>
        <item x="625"/>
        <item x="787"/>
        <item x="56"/>
        <item x="306"/>
        <item x="405"/>
        <item x="469"/>
        <item x="256"/>
        <item x="75"/>
        <item x="679"/>
        <item x="150"/>
        <item x="697"/>
        <item x="297"/>
        <item x="11"/>
        <item x="618"/>
        <item x="420"/>
        <item x="735"/>
        <item x="24"/>
        <item x="429"/>
        <item x="653"/>
        <item x="244"/>
        <item x="633"/>
        <item x="741"/>
        <item x="251"/>
        <item x="400"/>
        <item x="217"/>
        <item x="567"/>
        <item x="156"/>
        <item x="553"/>
        <item x="581"/>
        <item x="384"/>
        <item x="269"/>
        <item x="165"/>
        <item x="397"/>
        <item x="701"/>
        <item x="503"/>
        <item x="33"/>
        <item x="525"/>
        <item x="722"/>
        <item x="35"/>
        <item x="119"/>
        <item x="421"/>
        <item x="196"/>
        <item x="77"/>
        <item x="588"/>
        <item x="185"/>
        <item x="117"/>
        <item x="515"/>
        <item x="176"/>
        <item x="613"/>
        <item x="67"/>
        <item x="275"/>
        <item x="45"/>
        <item x="237"/>
        <item x="457"/>
        <item x="704"/>
        <item x="505"/>
        <item x="861"/>
        <item x="389"/>
        <item x="28"/>
        <item x="641"/>
        <item x="23"/>
        <item x="173"/>
        <item x="626"/>
        <item t="default"/>
      </items>
    </pivotField>
    <pivotField axis="axisRow" showAll="0">
      <items count="125">
        <item x="11"/>
        <item x="72"/>
        <item x="47"/>
        <item x="17"/>
        <item x="57"/>
        <item x="21"/>
        <item x="59"/>
        <item x="54"/>
        <item x="100"/>
        <item x="15"/>
        <item x="78"/>
        <item x="52"/>
        <item x="4"/>
        <item x="113"/>
        <item x="98"/>
        <item x="88"/>
        <item x="55"/>
        <item x="74"/>
        <item x="65"/>
        <item x="35"/>
        <item x="29"/>
        <item x="69"/>
        <item x="51"/>
        <item x="7"/>
        <item x="46"/>
        <item x="99"/>
        <item x="106"/>
        <item x="10"/>
        <item x="76"/>
        <item x="60"/>
        <item x="20"/>
        <item x="107"/>
        <item x="40"/>
        <item x="67"/>
        <item x="71"/>
        <item x="41"/>
        <item x="75"/>
        <item x="85"/>
        <item x="50"/>
        <item x="92"/>
        <item x="6"/>
        <item x="42"/>
        <item x="108"/>
        <item x="116"/>
        <item x="27"/>
        <item x="56"/>
        <item x="119"/>
        <item x="33"/>
        <item x="32"/>
        <item x="111"/>
        <item x="81"/>
        <item x="80"/>
        <item x="91"/>
        <item x="83"/>
        <item x="90"/>
        <item x="39"/>
        <item x="84"/>
        <item x="58"/>
        <item x="3"/>
        <item x="120"/>
        <item x="0"/>
        <item x="118"/>
        <item x="103"/>
        <item x="31"/>
        <item x="102"/>
        <item x="61"/>
        <item x="77"/>
        <item x="62"/>
        <item x="30"/>
        <item x="122"/>
        <item x="23"/>
        <item x="104"/>
        <item x="44"/>
        <item x="25"/>
        <item x="87"/>
        <item x="64"/>
        <item x="68"/>
        <item x="101"/>
        <item x="93"/>
        <item x="97"/>
        <item x="63"/>
        <item x="45"/>
        <item x="38"/>
        <item x="14"/>
        <item x="18"/>
        <item x="5"/>
        <item x="115"/>
        <item x="26"/>
        <item x="13"/>
        <item x="82"/>
        <item x="2"/>
        <item x="73"/>
        <item x="79"/>
        <item x="24"/>
        <item x="114"/>
        <item x="95"/>
        <item x="12"/>
        <item x="49"/>
        <item x="22"/>
        <item x="123"/>
        <item x="53"/>
        <item x="96"/>
        <item x="16"/>
        <item x="89"/>
        <item x="19"/>
        <item x="66"/>
        <item x="48"/>
        <item x="110"/>
        <item x="8"/>
        <item x="112"/>
        <item x="109"/>
        <item x="36"/>
        <item x="86"/>
        <item x="105"/>
        <item x="34"/>
        <item x="28"/>
        <item x="70"/>
        <item x="121"/>
        <item x="9"/>
        <item x="37"/>
        <item x="117"/>
        <item x="94"/>
        <item x="43"/>
        <item x="1"/>
        <item t="default"/>
      </items>
    </pivotField>
    <pivotField showAll="0"/>
    <pivotField showAll="0"/>
  </pivotFields>
  <rowFields count="2">
    <field x="2"/>
    <field x="3"/>
  </rowFields>
  <rowItems count="3">
    <i>
      <x v="267"/>
    </i>
    <i r="1">
      <x v="122"/>
    </i>
    <i t="grand">
      <x/>
    </i>
  </rowItems>
  <colItems count="1">
    <i/>
  </colItems>
  <pageFields count="1">
    <pageField fld="1" item="20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tel:+845103665696" TargetMode="External"/><Relationship Id="rId7" Type="http://schemas.openxmlformats.org/officeDocument/2006/relationships/vmlDrawing" Target="../drawings/vmlDrawing1.vml"/><Relationship Id="rId2" Type="http://schemas.openxmlformats.org/officeDocument/2006/relationships/hyperlink" Target="tel:09333%20999%2085" TargetMode="Externa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hyperlink" Target="tel:0909%20709609" TargetMode="External"/><Relationship Id="rId4" Type="http://schemas.openxmlformats.org/officeDocument/2006/relationships/hyperlink" Target="tel:+84126854059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06"/>
  <sheetViews>
    <sheetView tabSelected="1" view="pageBreakPreview" topLeftCell="A4" zoomScaleNormal="100" zoomScaleSheetLayoutView="100" workbookViewId="0">
      <pane xSplit="13" ySplit="4" topLeftCell="N8" activePane="bottomRight" state="frozen"/>
      <selection activeCell="A4" sqref="A4"/>
      <selection pane="topRight" activeCell="N4" sqref="N4"/>
      <selection pane="bottomLeft" activeCell="A8" sqref="A8"/>
      <selection pane="bottomRight" activeCell="M4" sqref="M1:M1048576"/>
    </sheetView>
  </sheetViews>
  <sheetFormatPr defaultColWidth="9.109375" defaultRowHeight="13.8"/>
  <cols>
    <col min="1" max="1" width="5.88671875" style="212" customWidth="1"/>
    <col min="2" max="2" width="7.88671875" style="219" customWidth="1"/>
    <col min="3" max="3" width="19.5546875" style="212" customWidth="1"/>
    <col min="4" max="4" width="27.109375" style="212" customWidth="1"/>
    <col min="5" max="5" width="10.109375" style="211" customWidth="1"/>
    <col min="6" max="6" width="8.5546875" style="212" customWidth="1"/>
    <col min="7" max="7" width="18.109375" style="212" customWidth="1"/>
    <col min="8" max="8" width="16.33203125" style="225" customWidth="1"/>
    <col min="9" max="9" width="16.33203125" style="219" customWidth="1"/>
    <col min="10" max="10" width="16.6640625" style="223" customWidth="1"/>
    <col min="11" max="11" width="22.6640625" style="212" customWidth="1"/>
    <col min="12" max="12" width="13.109375" style="212" bestFit="1" customWidth="1"/>
    <col min="13" max="13" width="30.44140625" style="212" customWidth="1"/>
    <col min="14" max="16384" width="9.109375" style="213"/>
  </cols>
  <sheetData>
    <row r="1" spans="1:14">
      <c r="D1" s="213"/>
      <c r="K1" s="211"/>
      <c r="N1" s="214"/>
    </row>
    <row r="2" spans="1:14" ht="37.200000000000003">
      <c r="D2" s="214"/>
      <c r="G2" s="275" t="s">
        <v>0</v>
      </c>
      <c r="H2" s="275"/>
      <c r="I2" s="275"/>
      <c r="J2" s="275"/>
      <c r="K2" s="211"/>
      <c r="N2" s="214"/>
    </row>
    <row r="3" spans="1:14">
      <c r="D3" s="214"/>
      <c r="K3" s="211"/>
      <c r="N3" s="214"/>
    </row>
    <row r="4" spans="1:14">
      <c r="D4" s="214"/>
      <c r="K4" s="211"/>
      <c r="N4" s="214"/>
    </row>
    <row r="5" spans="1:14">
      <c r="A5" s="211" t="s">
        <v>1</v>
      </c>
    </row>
    <row r="6" spans="1:14" ht="36" customHeight="1"/>
    <row r="7" spans="1:14" ht="27.6">
      <c r="A7" s="206" t="s">
        <v>2</v>
      </c>
      <c r="B7" s="207" t="s">
        <v>3</v>
      </c>
      <c r="C7" s="206" t="s">
        <v>2858</v>
      </c>
      <c r="D7" s="206" t="s">
        <v>5</v>
      </c>
      <c r="E7" s="206" t="s">
        <v>6</v>
      </c>
      <c r="F7" s="206" t="s">
        <v>7</v>
      </c>
      <c r="G7" s="206" t="s">
        <v>8</v>
      </c>
      <c r="H7" s="210" t="s">
        <v>9</v>
      </c>
      <c r="I7" s="208" t="s">
        <v>10</v>
      </c>
      <c r="J7" s="209" t="s">
        <v>11</v>
      </c>
      <c r="K7" s="206" t="s">
        <v>12</v>
      </c>
      <c r="L7" s="206" t="s">
        <v>13</v>
      </c>
      <c r="M7" s="206" t="s">
        <v>2859</v>
      </c>
    </row>
    <row r="8" spans="1:14" ht="96.6">
      <c r="A8" s="216">
        <f>IF(C8&lt;&gt;"",SUBTOTAL(103,$C$8:C8),"")</f>
        <v>1</v>
      </c>
      <c r="B8" s="226">
        <v>43222</v>
      </c>
      <c r="C8" s="216" t="s">
        <v>1795</v>
      </c>
      <c r="D8" s="216" t="str">
        <f>IF(C8&lt;&gt;"",VLOOKUP(C8,[1]DSKH!B:E,2,0),"")</f>
        <v>Cn 14- Khai quang sub-industrial zone, Khai Quang commune, Vinh Yen capital town, Vinh Phuc province.</v>
      </c>
      <c r="E8" s="215">
        <v>1</v>
      </c>
      <c r="F8" s="216"/>
      <c r="G8" s="216" t="str">
        <f>IF(C8&lt;&gt;"",VLOOKUP(C8,[1]DSKH!B:E,3,0),"")</f>
        <v>NEU CO NOTE GIAO BAROM, BOOK BAROM MAIL, SAU 2H CHUYEN SANG NGAY MAI BOOK</v>
      </c>
      <c r="H8" s="222">
        <v>1098184573</v>
      </c>
      <c r="I8" s="217"/>
      <c r="J8" s="224" t="s">
        <v>3075</v>
      </c>
      <c r="K8" s="216">
        <f>IF(C8&lt;&gt;"",VLOOKUP(C8,[1]DSKH!B:E,4,0),"")</f>
        <v>0</v>
      </c>
      <c r="L8" s="216">
        <v>0.9</v>
      </c>
      <c r="M8" s="216" t="str">
        <f>C8&amp;"-"&amp;" "&amp;H8&amp;" "&amp;"-"&amp;"MAY"&amp;" "&amp;"02"&amp;"-"&amp;J8</f>
        <v>SHINWON EBENEZER VN- 1098184573 -MAY 02-NA002184682</v>
      </c>
    </row>
    <row r="9" spans="1:14" ht="27.6">
      <c r="A9" s="216">
        <f>IF(C9&lt;&gt;"",SUBTOTAL(103,$C$8:C9),"")</f>
        <v>2</v>
      </c>
      <c r="B9" s="226">
        <v>43222</v>
      </c>
      <c r="C9" s="216" t="s">
        <v>2215</v>
      </c>
      <c r="D9" s="216" t="str">
        <f>IF(C9&lt;&gt;"",VLOOKUP(C9,[1]DSKH!B:E,2,0),"")</f>
        <v>HONG CHAU, DONG HUNG, THAI BINH</v>
      </c>
      <c r="E9" s="215">
        <v>31</v>
      </c>
      <c r="F9" s="216"/>
      <c r="G9" s="216">
        <f>IF(C9&lt;&gt;"",VLOOKUP(C9,[2]DSKH!B:E,3,0),"")</f>
        <v>0</v>
      </c>
      <c r="H9" s="222">
        <v>1098156763</v>
      </c>
      <c r="I9" s="217"/>
      <c r="J9" s="224" t="s">
        <v>3076</v>
      </c>
      <c r="K9" s="216" t="str">
        <f>IF(C9&lt;&gt;"",VLOOKUP(C9,[1]DSKH!B:E,4,0),"")</f>
        <v>JS LEE/ SUSAN/ PHUONG: 0363 898 643</v>
      </c>
      <c r="L9" s="216">
        <f>10*19+16.2+18.2+18.6+18+17.5+19+18.6+15.5+16+17.3+18.5+18.5+18.5+18.8+18.6+18.5+15.4+17+18.6+18.6+3.3</f>
        <v>549.20000000000005</v>
      </c>
      <c r="M9" s="216" t="str">
        <f t="shared" ref="M9:M11" si="0">C9&amp;"-"&amp;" "&amp;H9&amp;" "&amp;"-"&amp;"MAY"&amp;" "&amp;"02"&amp;"-"&amp;J9</f>
        <v>V.J.ONE- 1098156763 -MAY 02-NA002184683</v>
      </c>
    </row>
    <row r="10" spans="1:14" ht="41.4">
      <c r="A10" s="216">
        <f>IF(C10&lt;&gt;"",SUBTOTAL(103,$C$8:C10),"")</f>
        <v>3</v>
      </c>
      <c r="B10" s="226">
        <v>43222</v>
      </c>
      <c r="C10" s="216" t="s">
        <v>985</v>
      </c>
      <c r="D10" s="216" t="str">
        <f>IF(C10&lt;&gt;"",VLOOKUP(C10,[1]DSKH!B:E,2,0),"")</f>
        <v>8 BACH DANG, HUNG YEN</v>
      </c>
      <c r="E10" s="215">
        <v>9</v>
      </c>
      <c r="F10" s="216"/>
      <c r="G10" s="216" t="str">
        <f>IF(C10&lt;&gt;"",VLOOKUP(C10,[2]DSKH!B:E,3,0),"")</f>
        <v>CTU-NETCO-DN#AWB
ghi so DN len Bill</v>
      </c>
      <c r="H10" s="222">
        <v>1098177461</v>
      </c>
      <c r="I10" s="217"/>
      <c r="J10" s="224" t="s">
        <v>3077</v>
      </c>
      <c r="K10" s="216" t="str">
        <f>IF(C10&lt;&gt;"",VLOOKUP(C10,[1]DSKH!B:E,4,0),"")</f>
        <v>Mr Hong Doan (phone no:+84904379546)</v>
      </c>
      <c r="L10" s="216">
        <f>0.4+0.36+0.5+0.34+1.1+0.44+0.32+0.44+0.5</f>
        <v>4.4000000000000004</v>
      </c>
      <c r="M10" s="216" t="str">
        <f t="shared" si="0"/>
        <v>HUNG YEN- 1098177461 -MAY 02-NA002184684</v>
      </c>
    </row>
    <row r="11" spans="1:14">
      <c r="A11" s="216" t="str">
        <f>IF(C11&lt;&gt;"",SUBTOTAL(103,$C$8:C11),"")</f>
        <v/>
      </c>
      <c r="B11" s="226">
        <v>43222</v>
      </c>
      <c r="C11" s="216"/>
      <c r="D11" s="216" t="str">
        <f>IF(C11&lt;&gt;"",VLOOKUP(C11,[1]DSKH!B:E,2,0),"")</f>
        <v/>
      </c>
      <c r="E11" s="215"/>
      <c r="F11" s="216"/>
      <c r="G11" s="216" t="str">
        <f>IF(C11&lt;&gt;"",VLOOKUP(C11,[2]DSKH!B:E,3,0),"")</f>
        <v/>
      </c>
      <c r="H11" s="222">
        <v>1098174404</v>
      </c>
      <c r="I11" s="217"/>
      <c r="J11" s="224"/>
      <c r="K11" s="216" t="str">
        <f>IF(C11&lt;&gt;"",VLOOKUP(C11,[1]DSKH!B:E,4,0),"")</f>
        <v/>
      </c>
      <c r="L11" s="216"/>
      <c r="M11" s="216" t="str">
        <f t="shared" si="0"/>
        <v>- 1098174404 -MAY 02-</v>
      </c>
    </row>
    <row r="12" spans="1:14">
      <c r="A12" s="216" t="str">
        <f>IF(C12&lt;&gt;"",SUBTOTAL(103,$C$12:C12),"")</f>
        <v/>
      </c>
      <c r="B12" s="226">
        <v>43222</v>
      </c>
      <c r="C12" s="216"/>
      <c r="D12" s="216" t="str">
        <f>IF(C12&lt;&gt;"",VLOOKUP(C12,[1]DSKH!B:E,2,0),"")</f>
        <v/>
      </c>
      <c r="E12" s="215"/>
      <c r="F12" s="216"/>
      <c r="G12" s="216" t="str">
        <f>IF(C12&lt;&gt;"",VLOOKUP(C12,DSKH!B:E,3,0),"")</f>
        <v/>
      </c>
      <c r="H12" s="222"/>
      <c r="I12" s="217"/>
      <c r="J12" s="224"/>
      <c r="K12" s="216" t="str">
        <f>IF(C12&lt;&gt;"",VLOOKUP(C12,[1]DSKH!B:E,4,0),"")</f>
        <v/>
      </c>
      <c r="L12" s="216"/>
      <c r="M12" s="216" t="str">
        <f t="shared" ref="M12:M75" si="1">C12&amp;"-"&amp;" "&amp;H12&amp;" "&amp;"-"&amp;"MAY"&amp;" "&amp;"02"&amp;"-"&amp;J12</f>
        <v>-  -MAY 02-</v>
      </c>
    </row>
    <row r="13" spans="1:14">
      <c r="A13" s="216" t="str">
        <f>IF(C13&lt;&gt;"",SUBTOTAL(103,$C$12:C13),"")</f>
        <v/>
      </c>
      <c r="B13" s="226">
        <v>43222</v>
      </c>
      <c r="C13" s="216"/>
      <c r="D13" s="216" t="str">
        <f>IF(C13&lt;&gt;"",VLOOKUP(C13,[1]DSKH!B:E,2,0),"")</f>
        <v/>
      </c>
      <c r="E13" s="215"/>
      <c r="F13" s="216"/>
      <c r="G13" s="216" t="str">
        <f>IF(C13&lt;&gt;"",VLOOKUP(C13,DSKH!B:E,3,0),"")</f>
        <v/>
      </c>
      <c r="H13" s="222"/>
      <c r="I13" s="217"/>
      <c r="J13" s="224"/>
      <c r="K13" s="216" t="str">
        <f>IF(C13&lt;&gt;"",VLOOKUP(C13,[1]DSKH!B:E,4,0),"")</f>
        <v/>
      </c>
      <c r="L13" s="216"/>
      <c r="M13" s="216" t="str">
        <f t="shared" si="1"/>
        <v>-  -MAY 02-</v>
      </c>
    </row>
    <row r="14" spans="1:14">
      <c r="A14" s="216" t="str">
        <f>IF(C14&lt;&gt;"",SUBTOTAL(103,$C$12:C14),"")</f>
        <v/>
      </c>
      <c r="B14" s="226">
        <v>43222</v>
      </c>
      <c r="C14" s="216"/>
      <c r="D14" s="216" t="str">
        <f>IF(C14&lt;&gt;"",VLOOKUP(C14,[1]DSKH!B:E,2,0),"")</f>
        <v/>
      </c>
      <c r="E14" s="215"/>
      <c r="F14" s="216"/>
      <c r="G14" s="216" t="str">
        <f>IF(C14&lt;&gt;"",VLOOKUP(C14,DSKH!B:E,3,0),"")</f>
        <v/>
      </c>
      <c r="H14" s="222"/>
      <c r="I14" s="217"/>
      <c r="J14" s="224"/>
      <c r="K14" s="216" t="str">
        <f>IF(C14&lt;&gt;"",VLOOKUP(C14,[1]DSKH!B:E,4,0),"")</f>
        <v/>
      </c>
      <c r="L14" s="216"/>
      <c r="M14" s="216" t="str">
        <f t="shared" si="1"/>
        <v>-  -MAY 02-</v>
      </c>
    </row>
    <row r="15" spans="1:14">
      <c r="A15" s="216" t="str">
        <f>IF(C15&lt;&gt;"",SUBTOTAL(103,$C$12:C15),"")</f>
        <v/>
      </c>
      <c r="B15" s="226">
        <v>43222</v>
      </c>
      <c r="C15" s="216"/>
      <c r="D15" s="216" t="str">
        <f>IF(C15&lt;&gt;"",VLOOKUP(C15,[1]DSKH!B:E,2,0),"")</f>
        <v/>
      </c>
      <c r="E15" s="215"/>
      <c r="F15" s="216"/>
      <c r="G15" s="216" t="str">
        <f>IF(C15&lt;&gt;"",VLOOKUP(C15,DSKH!B:E,3,0),"")</f>
        <v/>
      </c>
      <c r="H15" s="222"/>
      <c r="I15" s="217"/>
      <c r="J15" s="224"/>
      <c r="K15" s="216" t="str">
        <f>IF(C15&lt;&gt;"",VLOOKUP(C15,[1]DSKH!B:E,4,0),"")</f>
        <v/>
      </c>
      <c r="L15" s="216"/>
      <c r="M15" s="216" t="str">
        <f t="shared" si="1"/>
        <v>-  -MAY 02-</v>
      </c>
    </row>
    <row r="16" spans="1:14">
      <c r="A16" s="216" t="str">
        <f>IF(C16&lt;&gt;"",SUBTOTAL(103,$C$12:C16),"")</f>
        <v/>
      </c>
      <c r="B16" s="226">
        <v>43222</v>
      </c>
      <c r="C16" s="216"/>
      <c r="D16" s="216" t="str">
        <f>IF(C16&lt;&gt;"",VLOOKUP(C16,[1]DSKH!B:E,2,0),"")</f>
        <v/>
      </c>
      <c r="E16" s="215"/>
      <c r="F16" s="216"/>
      <c r="G16" s="216" t="str">
        <f>IF(C16&lt;&gt;"",VLOOKUP(C16,DSKH!B:E,3,0),"")</f>
        <v/>
      </c>
      <c r="H16" s="222"/>
      <c r="I16" s="217"/>
      <c r="J16" s="224"/>
      <c r="K16" s="216" t="str">
        <f>IF(C16&lt;&gt;"",VLOOKUP(C16,[1]DSKH!B:E,4,0),"")</f>
        <v/>
      </c>
      <c r="L16" s="216"/>
      <c r="M16" s="216" t="str">
        <f t="shared" si="1"/>
        <v>-  -MAY 02-</v>
      </c>
    </row>
    <row r="17" spans="1:13">
      <c r="A17" s="216" t="str">
        <f>IF(C17&lt;&gt;"",SUBTOTAL(103,$C$12:C17),"")</f>
        <v/>
      </c>
      <c r="B17" s="226">
        <v>43222</v>
      </c>
      <c r="C17" s="216"/>
      <c r="D17" s="216" t="str">
        <f>IF(C17&lt;&gt;"",VLOOKUP(C17,[1]DSKH!B:E,2,0),"")</f>
        <v/>
      </c>
      <c r="E17" s="215"/>
      <c r="F17" s="216"/>
      <c r="G17" s="216" t="str">
        <f>IF(C17&lt;&gt;"",VLOOKUP(C17,DSKH!B:E,3,0),"")</f>
        <v/>
      </c>
      <c r="H17" s="222"/>
      <c r="I17" s="217"/>
      <c r="J17" s="224"/>
      <c r="K17" s="216" t="str">
        <f>IF(C17&lt;&gt;"",VLOOKUP(C17,[1]DSKH!B:E,4,0),"")</f>
        <v/>
      </c>
      <c r="L17" s="216"/>
      <c r="M17" s="216" t="str">
        <f t="shared" si="1"/>
        <v>-  -MAY 02-</v>
      </c>
    </row>
    <row r="18" spans="1:13">
      <c r="A18" s="216" t="str">
        <f>IF(C18&lt;&gt;"",SUBTOTAL(103,$C$12:C18),"")</f>
        <v/>
      </c>
      <c r="B18" s="226">
        <v>43222</v>
      </c>
      <c r="C18" s="216"/>
      <c r="D18" s="216" t="str">
        <f>IF(C18&lt;&gt;"",VLOOKUP(C18,[1]DSKH!B:E,2,0),"")</f>
        <v/>
      </c>
      <c r="E18" s="215"/>
      <c r="F18" s="216"/>
      <c r="G18" s="216" t="str">
        <f>IF(C18&lt;&gt;"",VLOOKUP(C18,DSKH!B:E,3,0),"")</f>
        <v/>
      </c>
      <c r="H18" s="222"/>
      <c r="I18" s="217"/>
      <c r="J18" s="224"/>
      <c r="K18" s="216" t="str">
        <f>IF(C18&lt;&gt;"",VLOOKUP(C18,[1]DSKH!B:E,4,0),"")</f>
        <v/>
      </c>
      <c r="L18" s="216"/>
      <c r="M18" s="216" t="str">
        <f t="shared" si="1"/>
        <v>-  -MAY 02-</v>
      </c>
    </row>
    <row r="19" spans="1:13">
      <c r="A19" s="216" t="str">
        <f>IF(C19&lt;&gt;"",SUBTOTAL(103,$C$12:C19),"")</f>
        <v/>
      </c>
      <c r="B19" s="226">
        <v>43222</v>
      </c>
      <c r="C19" s="216"/>
      <c r="D19" s="216" t="str">
        <f>IF(C19&lt;&gt;"",VLOOKUP(C19,[1]DSKH!B:E,2,0),"")</f>
        <v/>
      </c>
      <c r="E19" s="215"/>
      <c r="F19" s="216"/>
      <c r="G19" s="216" t="str">
        <f>IF(C19&lt;&gt;"",VLOOKUP(C19,DSKH!B:E,3,0),"")</f>
        <v/>
      </c>
      <c r="H19" s="222"/>
      <c r="I19" s="217"/>
      <c r="J19" s="224"/>
      <c r="K19" s="216" t="str">
        <f>IF(C19&lt;&gt;"",VLOOKUP(C19,[1]DSKH!B:E,4,0),"")</f>
        <v/>
      </c>
      <c r="L19" s="216"/>
      <c r="M19" s="216" t="str">
        <f t="shared" si="1"/>
        <v>-  -MAY 02-</v>
      </c>
    </row>
    <row r="20" spans="1:13">
      <c r="A20" s="216" t="str">
        <f>IF(C20&lt;&gt;"",SUBTOTAL(103,$C$12:C20),"")</f>
        <v/>
      </c>
      <c r="B20" s="226">
        <v>43222</v>
      </c>
      <c r="C20" s="216"/>
      <c r="D20" s="216" t="str">
        <f>IF(C20&lt;&gt;"",VLOOKUP(C20,[1]DSKH!B:E,2,0),"")</f>
        <v/>
      </c>
      <c r="E20" s="215"/>
      <c r="F20" s="216"/>
      <c r="G20" s="216" t="str">
        <f>IF(C20&lt;&gt;"",VLOOKUP(C20,DSKH!B:E,3,0),"")</f>
        <v/>
      </c>
      <c r="H20" s="222"/>
      <c r="I20" s="217"/>
      <c r="J20" s="224"/>
      <c r="K20" s="216" t="str">
        <f>IF(C20&lt;&gt;"",VLOOKUP(C20,[1]DSKH!B:E,4,0),"")</f>
        <v/>
      </c>
      <c r="L20" s="216"/>
      <c r="M20" s="216" t="str">
        <f t="shared" si="1"/>
        <v>-  -MAY 02-</v>
      </c>
    </row>
    <row r="21" spans="1:13">
      <c r="A21" s="216" t="str">
        <f>IF(C21&lt;&gt;"",SUBTOTAL(103,$C$12:C21),"")</f>
        <v/>
      </c>
      <c r="B21" s="226">
        <v>43222</v>
      </c>
      <c r="C21" s="216"/>
      <c r="D21" s="216" t="str">
        <f>IF(C21&lt;&gt;"",VLOOKUP(C21,[1]DSKH!B:E,2,0),"")</f>
        <v/>
      </c>
      <c r="E21" s="215"/>
      <c r="F21" s="216"/>
      <c r="G21" s="216" t="str">
        <f>IF(C21&lt;&gt;"",VLOOKUP(C21,DSKH!B:E,3,0),"")</f>
        <v/>
      </c>
      <c r="H21" s="222"/>
      <c r="I21" s="217"/>
      <c r="J21" s="224"/>
      <c r="K21" s="216" t="str">
        <f>IF(C21&lt;&gt;"",VLOOKUP(C21,[1]DSKH!B:E,4,0),"")</f>
        <v/>
      </c>
      <c r="L21" s="216"/>
      <c r="M21" s="216" t="str">
        <f t="shared" si="1"/>
        <v>-  -MAY 02-</v>
      </c>
    </row>
    <row r="22" spans="1:13">
      <c r="A22" s="216" t="str">
        <f>IF(C22&lt;&gt;"",SUBTOTAL(103,$C$12:C22),"")</f>
        <v/>
      </c>
      <c r="B22" s="226">
        <v>43222</v>
      </c>
      <c r="C22" s="216"/>
      <c r="D22" s="216" t="str">
        <f>IF(C22&lt;&gt;"",VLOOKUP(C22,[1]DSKH!B:E,2,0),"")</f>
        <v/>
      </c>
      <c r="E22" s="215"/>
      <c r="F22" s="216"/>
      <c r="G22" s="216" t="str">
        <f>IF(C22&lt;&gt;"",VLOOKUP(C22,DSKH!B:E,3,0),"")</f>
        <v/>
      </c>
      <c r="H22" s="222"/>
      <c r="I22" s="217"/>
      <c r="J22" s="224"/>
      <c r="K22" s="216" t="str">
        <f>IF(C22&lt;&gt;"",VLOOKUP(C22,[1]DSKH!B:E,4,0),"")</f>
        <v/>
      </c>
      <c r="L22" s="216"/>
      <c r="M22" s="216" t="str">
        <f t="shared" si="1"/>
        <v>-  -MAY 02-</v>
      </c>
    </row>
    <row r="23" spans="1:13">
      <c r="A23" s="216" t="str">
        <f>IF(C23&lt;&gt;"",SUBTOTAL(103,$C$12:C23),"")</f>
        <v/>
      </c>
      <c r="B23" s="226">
        <v>43222</v>
      </c>
      <c r="C23" s="216"/>
      <c r="D23" s="216" t="str">
        <f>IF(C23&lt;&gt;"",VLOOKUP(C23,[1]DSKH!B:E,2,0),"")</f>
        <v/>
      </c>
      <c r="E23" s="215"/>
      <c r="F23" s="216"/>
      <c r="G23" s="216" t="str">
        <f>IF(C23&lt;&gt;"",VLOOKUP(C23,DSKH!B:E,3,0),"")</f>
        <v/>
      </c>
      <c r="H23" s="222"/>
      <c r="I23" s="217"/>
      <c r="J23" s="224"/>
      <c r="K23" s="216" t="str">
        <f>IF(C23&lt;&gt;"",VLOOKUP(C23,[1]DSKH!B:E,4,0),"")</f>
        <v/>
      </c>
      <c r="L23" s="216"/>
      <c r="M23" s="216" t="str">
        <f t="shared" si="1"/>
        <v>-  -MAY 02-</v>
      </c>
    </row>
    <row r="24" spans="1:13">
      <c r="A24" s="216" t="str">
        <f>IF(C24&lt;&gt;"",SUBTOTAL(103,$C$12:C24),"")</f>
        <v/>
      </c>
      <c r="B24" s="226">
        <v>43222</v>
      </c>
      <c r="C24" s="216"/>
      <c r="D24" s="216" t="str">
        <f>IF(C24&lt;&gt;"",VLOOKUP(C24,[1]DSKH!B:E,2,0),"")</f>
        <v/>
      </c>
      <c r="E24" s="215"/>
      <c r="F24" s="216"/>
      <c r="G24" s="216" t="str">
        <f>IF(C24&lt;&gt;"",VLOOKUP(C24,DSKH!B:E,3,0),"")</f>
        <v/>
      </c>
      <c r="H24" s="222"/>
      <c r="I24" s="217"/>
      <c r="J24" s="224"/>
      <c r="K24" s="216" t="str">
        <f>IF(C24&lt;&gt;"",VLOOKUP(C24,[1]DSKH!B:E,4,0),"")</f>
        <v/>
      </c>
      <c r="L24" s="216"/>
      <c r="M24" s="216" t="str">
        <f t="shared" si="1"/>
        <v>-  -MAY 02-</v>
      </c>
    </row>
    <row r="25" spans="1:13">
      <c r="A25" s="216" t="str">
        <f>IF(C25&lt;&gt;"",SUBTOTAL(103,$C$12:C25),"")</f>
        <v/>
      </c>
      <c r="B25" s="226">
        <v>43222</v>
      </c>
      <c r="C25" s="216"/>
      <c r="D25" s="216" t="str">
        <f>IF(C25&lt;&gt;"",VLOOKUP(C25,[1]DSKH!B:E,2,0),"")</f>
        <v/>
      </c>
      <c r="E25" s="215"/>
      <c r="F25" s="216"/>
      <c r="G25" s="216" t="str">
        <f>IF(C25&lt;&gt;"",VLOOKUP(C25,DSKH!B:E,3,0),"")</f>
        <v/>
      </c>
      <c r="H25" s="222"/>
      <c r="I25" s="217"/>
      <c r="J25" s="224"/>
      <c r="K25" s="216" t="str">
        <f>IF(C25&lt;&gt;"",VLOOKUP(C25,[1]DSKH!B:E,4,0),"")</f>
        <v/>
      </c>
      <c r="L25" s="216"/>
      <c r="M25" s="216" t="str">
        <f t="shared" si="1"/>
        <v>-  -MAY 02-</v>
      </c>
    </row>
    <row r="26" spans="1:13">
      <c r="A26" s="216" t="str">
        <f>IF(C26&lt;&gt;"",SUBTOTAL(103,$C$12:C26),"")</f>
        <v/>
      </c>
      <c r="B26" s="226">
        <v>43222</v>
      </c>
      <c r="C26" s="216"/>
      <c r="D26" s="216" t="str">
        <f>IF(C26&lt;&gt;"",VLOOKUP(C26,[1]DSKH!B:E,2,0),"")</f>
        <v/>
      </c>
      <c r="E26" s="215"/>
      <c r="F26" s="216"/>
      <c r="G26" s="216" t="str">
        <f>IF(C26&lt;&gt;"",VLOOKUP(C26,DSKH!B:E,3,0),"")</f>
        <v/>
      </c>
      <c r="H26" s="222"/>
      <c r="I26" s="217"/>
      <c r="J26" s="224"/>
      <c r="K26" s="216" t="str">
        <f>IF(C26&lt;&gt;"",VLOOKUP(C26,[1]DSKH!B:E,4,0),"")</f>
        <v/>
      </c>
      <c r="L26" s="216"/>
      <c r="M26" s="216" t="str">
        <f t="shared" si="1"/>
        <v>-  -MAY 02-</v>
      </c>
    </row>
    <row r="27" spans="1:13">
      <c r="A27" s="216" t="str">
        <f>IF(C27&lt;&gt;"",SUBTOTAL(103,$C$12:C27),"")</f>
        <v/>
      </c>
      <c r="B27" s="226">
        <v>43222</v>
      </c>
      <c r="C27" s="216"/>
      <c r="D27" s="216" t="str">
        <f>IF(C27&lt;&gt;"",VLOOKUP(C27,[1]DSKH!B:E,2,0),"")</f>
        <v/>
      </c>
      <c r="E27" s="215"/>
      <c r="F27" s="216"/>
      <c r="G27" s="216" t="str">
        <f>IF(C27&lt;&gt;"",VLOOKUP(C27,DSKH!B:E,3,0),"")</f>
        <v/>
      </c>
      <c r="H27" s="222"/>
      <c r="I27" s="217"/>
      <c r="J27" s="224"/>
      <c r="K27" s="216" t="str">
        <f>IF(C27&lt;&gt;"",VLOOKUP(C27,[1]DSKH!B:E,4,0),"")</f>
        <v/>
      </c>
      <c r="L27" s="216"/>
      <c r="M27" s="216" t="str">
        <f t="shared" si="1"/>
        <v>-  -MAY 02-</v>
      </c>
    </row>
    <row r="28" spans="1:13">
      <c r="A28" s="216" t="str">
        <f>IF(C28&lt;&gt;"",SUBTOTAL(103,$C$12:C28),"")</f>
        <v/>
      </c>
      <c r="B28" s="226">
        <v>43222</v>
      </c>
      <c r="C28" s="216"/>
      <c r="D28" s="216" t="str">
        <f>IF(C28&lt;&gt;"",VLOOKUP(C28,[1]DSKH!B:E,2,0),"")</f>
        <v/>
      </c>
      <c r="E28" s="215"/>
      <c r="F28" s="216"/>
      <c r="G28" s="216" t="str">
        <f>IF(C28&lt;&gt;"",VLOOKUP(C28,DSKH!B:E,3,0),"")</f>
        <v/>
      </c>
      <c r="H28" s="222"/>
      <c r="I28" s="217"/>
      <c r="J28" s="224"/>
      <c r="K28" s="216" t="str">
        <f>IF(C28&lt;&gt;"",VLOOKUP(C28,[1]DSKH!B:E,4,0),"")</f>
        <v/>
      </c>
      <c r="L28" s="216"/>
      <c r="M28" s="216" t="str">
        <f t="shared" si="1"/>
        <v>-  -MAY 02-</v>
      </c>
    </row>
    <row r="29" spans="1:13">
      <c r="A29" s="216" t="str">
        <f>IF(C29&lt;&gt;"",SUBTOTAL(103,$C$12:C29),"")</f>
        <v/>
      </c>
      <c r="B29" s="226">
        <v>43222</v>
      </c>
      <c r="C29" s="216"/>
      <c r="D29" s="216" t="str">
        <f>IF(C29&lt;&gt;"",VLOOKUP(C29,[1]DSKH!B:E,2,0),"")</f>
        <v/>
      </c>
      <c r="E29" s="215"/>
      <c r="F29" s="216"/>
      <c r="G29" s="216" t="str">
        <f>IF(C29&lt;&gt;"",VLOOKUP(C29,DSKH!B:E,3,0),"")</f>
        <v/>
      </c>
      <c r="H29" s="222"/>
      <c r="I29" s="217"/>
      <c r="J29" s="224"/>
      <c r="K29" s="216" t="str">
        <f>IF(C29&lt;&gt;"",VLOOKUP(C29,[1]DSKH!B:E,4,0),"")</f>
        <v/>
      </c>
      <c r="L29" s="216"/>
      <c r="M29" s="216" t="str">
        <f t="shared" si="1"/>
        <v>-  -MAY 02-</v>
      </c>
    </row>
    <row r="30" spans="1:13">
      <c r="A30" s="216" t="str">
        <f>IF(C30&lt;&gt;"",SUBTOTAL(103,$C$12:C30),"")</f>
        <v/>
      </c>
      <c r="B30" s="226">
        <v>43222</v>
      </c>
      <c r="C30" s="216"/>
      <c r="D30" s="216" t="str">
        <f>IF(C30&lt;&gt;"",VLOOKUP(C30,[1]DSKH!B:E,2,0),"")</f>
        <v/>
      </c>
      <c r="E30" s="215"/>
      <c r="F30" s="216"/>
      <c r="G30" s="216" t="str">
        <f>IF(C30&lt;&gt;"",VLOOKUP(C30,DSKH!B:E,3,0),"")</f>
        <v/>
      </c>
      <c r="H30" s="222"/>
      <c r="I30" s="217"/>
      <c r="J30" s="224"/>
      <c r="K30" s="216" t="str">
        <f>IF(C30&lt;&gt;"",VLOOKUP(C30,[1]DSKH!B:E,4,0),"")</f>
        <v/>
      </c>
      <c r="L30" s="216"/>
      <c r="M30" s="216" t="str">
        <f t="shared" si="1"/>
        <v>-  -MAY 02-</v>
      </c>
    </row>
    <row r="31" spans="1:13">
      <c r="A31" s="216" t="str">
        <f>IF(C31&lt;&gt;"",SUBTOTAL(103,$C$12:C31),"")</f>
        <v/>
      </c>
      <c r="B31" s="226">
        <v>43222</v>
      </c>
      <c r="C31" s="216"/>
      <c r="D31" s="216" t="str">
        <f>IF(C31&lt;&gt;"",VLOOKUP(C31,[1]DSKH!B:E,2,0),"")</f>
        <v/>
      </c>
      <c r="E31" s="215"/>
      <c r="F31" s="216"/>
      <c r="G31" s="216" t="str">
        <f>IF(C31&lt;&gt;"",VLOOKUP(C31,DSKH!B:E,3,0),"")</f>
        <v/>
      </c>
      <c r="H31" s="222"/>
      <c r="I31" s="217"/>
      <c r="J31" s="224"/>
      <c r="K31" s="216" t="str">
        <f>IF(C31&lt;&gt;"",VLOOKUP(C31,[1]DSKH!B:E,4,0),"")</f>
        <v/>
      </c>
      <c r="L31" s="216"/>
      <c r="M31" s="216" t="str">
        <f t="shared" si="1"/>
        <v>-  -MAY 02-</v>
      </c>
    </row>
    <row r="32" spans="1:13">
      <c r="A32" s="216" t="str">
        <f>IF(C32&lt;&gt;"",SUBTOTAL(103,$C$12:C32),"")</f>
        <v/>
      </c>
      <c r="B32" s="226">
        <v>43222</v>
      </c>
      <c r="C32" s="216"/>
      <c r="D32" s="216" t="str">
        <f>IF(C32&lt;&gt;"",VLOOKUP(C32,[1]DSKH!B:E,2,0),"")</f>
        <v/>
      </c>
      <c r="E32" s="215"/>
      <c r="F32" s="216"/>
      <c r="G32" s="216" t="str">
        <f>IF(C32&lt;&gt;"",VLOOKUP(C32,DSKH!B:E,3,0),"")</f>
        <v/>
      </c>
      <c r="H32" s="222"/>
      <c r="I32" s="217"/>
      <c r="J32" s="224"/>
      <c r="K32" s="216" t="str">
        <f>IF(C32&lt;&gt;"",VLOOKUP(C32,[1]DSKH!B:E,4,0),"")</f>
        <v/>
      </c>
      <c r="L32" s="216"/>
      <c r="M32" s="216" t="str">
        <f t="shared" si="1"/>
        <v>-  -MAY 02-</v>
      </c>
    </row>
    <row r="33" spans="1:13">
      <c r="A33" s="216" t="str">
        <f>IF(C33&lt;&gt;"",SUBTOTAL(103,$C$12:C33),"")</f>
        <v/>
      </c>
      <c r="B33" s="226">
        <v>43222</v>
      </c>
      <c r="C33" s="216"/>
      <c r="D33" s="216" t="str">
        <f>IF(C33&lt;&gt;"",VLOOKUP(C33,[1]DSKH!B:E,2,0),"")</f>
        <v/>
      </c>
      <c r="E33" s="215"/>
      <c r="F33" s="216"/>
      <c r="G33" s="216" t="str">
        <f>IF(C33&lt;&gt;"",VLOOKUP(C33,DSKH!B:E,3,0),"")</f>
        <v/>
      </c>
      <c r="H33" s="222"/>
      <c r="I33" s="217"/>
      <c r="J33" s="224"/>
      <c r="K33" s="216" t="str">
        <f>IF(C33&lt;&gt;"",VLOOKUP(C33,[1]DSKH!B:E,4,0),"")</f>
        <v/>
      </c>
      <c r="L33" s="216"/>
      <c r="M33" s="216" t="str">
        <f t="shared" si="1"/>
        <v>-  -MAY 02-</v>
      </c>
    </row>
    <row r="34" spans="1:13">
      <c r="A34" s="216" t="str">
        <f>IF(C34&lt;&gt;"",SUBTOTAL(103,$C$12:C34),"")</f>
        <v/>
      </c>
      <c r="B34" s="226">
        <v>43222</v>
      </c>
      <c r="C34" s="216"/>
      <c r="D34" s="216" t="str">
        <f>IF(C34&lt;&gt;"",VLOOKUP(C34,[1]DSKH!B:E,2,0),"")</f>
        <v/>
      </c>
      <c r="E34" s="215"/>
      <c r="F34" s="216"/>
      <c r="G34" s="216" t="str">
        <f>IF(C34&lt;&gt;"",VLOOKUP(C34,DSKH!B:E,3,0),"")</f>
        <v/>
      </c>
      <c r="H34" s="222"/>
      <c r="I34" s="217"/>
      <c r="J34" s="224"/>
      <c r="K34" s="216" t="str">
        <f>IF(C34&lt;&gt;"",VLOOKUP(C34,[1]DSKH!B:E,4,0),"")</f>
        <v/>
      </c>
      <c r="L34" s="216"/>
      <c r="M34" s="216" t="str">
        <f t="shared" si="1"/>
        <v>-  -MAY 02-</v>
      </c>
    </row>
    <row r="35" spans="1:13">
      <c r="A35" s="216" t="str">
        <f>IF(C35&lt;&gt;"",SUBTOTAL(103,$C$12:C35),"")</f>
        <v/>
      </c>
      <c r="B35" s="226">
        <v>43222</v>
      </c>
      <c r="C35" s="216"/>
      <c r="D35" s="216" t="str">
        <f>IF(C35&lt;&gt;"",VLOOKUP(C35,[1]DSKH!B:E,2,0),"")</f>
        <v/>
      </c>
      <c r="E35" s="215"/>
      <c r="F35" s="216"/>
      <c r="G35" s="216" t="str">
        <f>IF(C35&lt;&gt;"",VLOOKUP(C35,DSKH!B:E,3,0),"")</f>
        <v/>
      </c>
      <c r="H35" s="222"/>
      <c r="I35" s="217"/>
      <c r="J35" s="224"/>
      <c r="K35" s="216" t="str">
        <f>IF(C35&lt;&gt;"",VLOOKUP(C35,[1]DSKH!B:E,4,0),"")</f>
        <v/>
      </c>
      <c r="L35" s="216"/>
      <c r="M35" s="216" t="str">
        <f t="shared" si="1"/>
        <v>-  -MAY 02-</v>
      </c>
    </row>
    <row r="36" spans="1:13">
      <c r="A36" s="216" t="str">
        <f>IF(C36&lt;&gt;"",SUBTOTAL(103,$C$12:C36),"")</f>
        <v/>
      </c>
      <c r="B36" s="226">
        <v>43222</v>
      </c>
      <c r="C36" s="216"/>
      <c r="D36" s="216" t="str">
        <f>IF(C36&lt;&gt;"",VLOOKUP(C36,[1]DSKH!B:E,2,0),"")</f>
        <v/>
      </c>
      <c r="E36" s="215"/>
      <c r="F36" s="216"/>
      <c r="G36" s="216" t="str">
        <f>IF(C36&lt;&gt;"",VLOOKUP(C36,DSKH!B:E,3,0),"")</f>
        <v/>
      </c>
      <c r="H36" s="222"/>
      <c r="I36" s="217"/>
      <c r="J36" s="224"/>
      <c r="K36" s="216" t="str">
        <f>IF(C36&lt;&gt;"",VLOOKUP(C36,[1]DSKH!B:E,4,0),"")</f>
        <v/>
      </c>
      <c r="L36" s="216"/>
      <c r="M36" s="216" t="str">
        <f t="shared" si="1"/>
        <v>-  -MAY 02-</v>
      </c>
    </row>
    <row r="37" spans="1:13">
      <c r="A37" s="216" t="str">
        <f>IF(C37&lt;&gt;"",SUBTOTAL(103,$C$12:C37),"")</f>
        <v/>
      </c>
      <c r="B37" s="226">
        <v>43222</v>
      </c>
      <c r="C37" s="216"/>
      <c r="D37" s="216" t="str">
        <f>IF(C37&lt;&gt;"",VLOOKUP(C37,[1]DSKH!B:E,2,0),"")</f>
        <v/>
      </c>
      <c r="E37" s="215"/>
      <c r="F37" s="216"/>
      <c r="G37" s="216" t="str">
        <f>IF(C37&lt;&gt;"",VLOOKUP(C37,DSKH!B:E,3,0),"")</f>
        <v/>
      </c>
      <c r="H37" s="222"/>
      <c r="I37" s="217"/>
      <c r="J37" s="224"/>
      <c r="K37" s="216" t="str">
        <f>IF(C37&lt;&gt;"",VLOOKUP(C37,[1]DSKH!B:E,4,0),"")</f>
        <v/>
      </c>
      <c r="L37" s="216"/>
      <c r="M37" s="216" t="str">
        <f t="shared" si="1"/>
        <v>-  -MAY 02-</v>
      </c>
    </row>
    <row r="38" spans="1:13">
      <c r="A38" s="216" t="str">
        <f>IF(C38&lt;&gt;"",SUBTOTAL(103,$C$12:C38),"")</f>
        <v/>
      </c>
      <c r="B38" s="226">
        <v>43222</v>
      </c>
      <c r="C38" s="216"/>
      <c r="D38" s="216" t="str">
        <f>IF(C38&lt;&gt;"",VLOOKUP(C38,[1]DSKH!B:E,2,0),"")</f>
        <v/>
      </c>
      <c r="E38" s="215"/>
      <c r="F38" s="216"/>
      <c r="G38" s="216" t="str">
        <f>IF(C38&lt;&gt;"",VLOOKUP(C38,DSKH!B:E,3,0),"")</f>
        <v/>
      </c>
      <c r="H38" s="222"/>
      <c r="I38" s="217"/>
      <c r="J38" s="224"/>
      <c r="K38" s="216" t="str">
        <f>IF(C38&lt;&gt;"",VLOOKUP(C38,[1]DSKH!B:E,4,0),"")</f>
        <v/>
      </c>
      <c r="L38" s="216"/>
      <c r="M38" s="216" t="str">
        <f t="shared" si="1"/>
        <v>-  -MAY 02-</v>
      </c>
    </row>
    <row r="39" spans="1:13">
      <c r="A39" s="216" t="str">
        <f>IF(C39&lt;&gt;"",SUBTOTAL(103,$C$12:C39),"")</f>
        <v/>
      </c>
      <c r="B39" s="226">
        <v>43222</v>
      </c>
      <c r="C39" s="216"/>
      <c r="D39" s="216" t="str">
        <f>IF(C39&lt;&gt;"",VLOOKUP(C39,[1]DSKH!B:E,2,0),"")</f>
        <v/>
      </c>
      <c r="E39" s="215"/>
      <c r="F39" s="216"/>
      <c r="G39" s="216" t="str">
        <f>IF(C39&lt;&gt;"",VLOOKUP(C39,DSKH!B:E,3,0),"")</f>
        <v/>
      </c>
      <c r="H39" s="222"/>
      <c r="I39" s="217"/>
      <c r="J39" s="224"/>
      <c r="K39" s="216" t="str">
        <f>IF(C39&lt;&gt;"",VLOOKUP(C39,[1]DSKH!B:E,4,0),"")</f>
        <v/>
      </c>
      <c r="L39" s="216"/>
      <c r="M39" s="216" t="str">
        <f t="shared" si="1"/>
        <v>-  -MAY 02-</v>
      </c>
    </row>
    <row r="40" spans="1:13">
      <c r="A40" s="216" t="str">
        <f>IF(C40&lt;&gt;"",SUBTOTAL(103,$C$12:C40),"")</f>
        <v/>
      </c>
      <c r="B40" s="226">
        <v>43222</v>
      </c>
      <c r="C40" s="216"/>
      <c r="D40" s="216" t="str">
        <f>IF(C40&lt;&gt;"",VLOOKUP(C40,[1]DSKH!B:E,2,0),"")</f>
        <v/>
      </c>
      <c r="E40" s="215"/>
      <c r="F40" s="216"/>
      <c r="G40" s="216" t="str">
        <f>IF(C40&lt;&gt;"",VLOOKUP(C40,DSKH!B:E,3,0),"")</f>
        <v/>
      </c>
      <c r="H40" s="222"/>
      <c r="I40" s="217"/>
      <c r="J40" s="224"/>
      <c r="K40" s="216" t="str">
        <f>IF(C40&lt;&gt;"",VLOOKUP(C40,[1]DSKH!B:E,4,0),"")</f>
        <v/>
      </c>
      <c r="L40" s="216"/>
      <c r="M40" s="216" t="str">
        <f t="shared" si="1"/>
        <v>-  -MAY 02-</v>
      </c>
    </row>
    <row r="41" spans="1:13">
      <c r="A41" s="216" t="str">
        <f>IF(C41&lt;&gt;"",SUBTOTAL(103,$C$12:C41),"")</f>
        <v/>
      </c>
      <c r="B41" s="226">
        <v>43222</v>
      </c>
      <c r="C41" s="216"/>
      <c r="D41" s="216" t="str">
        <f>IF(C41&lt;&gt;"",VLOOKUP(C41,[1]DSKH!B:E,2,0),"")</f>
        <v/>
      </c>
      <c r="E41" s="215"/>
      <c r="F41" s="216"/>
      <c r="G41" s="216" t="str">
        <f>IF(C41&lt;&gt;"",VLOOKUP(C41,DSKH!B:E,3,0),"")</f>
        <v/>
      </c>
      <c r="H41" s="222"/>
      <c r="I41" s="217"/>
      <c r="J41" s="224"/>
      <c r="K41" s="216" t="str">
        <f>IF(C41&lt;&gt;"",VLOOKUP(C41,[1]DSKH!B:E,4,0),"")</f>
        <v/>
      </c>
      <c r="L41" s="216"/>
      <c r="M41" s="216" t="str">
        <f t="shared" si="1"/>
        <v>-  -MAY 02-</v>
      </c>
    </row>
    <row r="42" spans="1:13">
      <c r="A42" s="216" t="str">
        <f>IF(C42&lt;&gt;"",SUBTOTAL(103,$C$12:C42),"")</f>
        <v/>
      </c>
      <c r="B42" s="226">
        <v>43222</v>
      </c>
      <c r="C42" s="216"/>
      <c r="D42" s="216" t="str">
        <f>IF(C42&lt;&gt;"",VLOOKUP(C42,[1]DSKH!B:E,2,0),"")</f>
        <v/>
      </c>
      <c r="E42" s="215"/>
      <c r="F42" s="216"/>
      <c r="G42" s="216" t="str">
        <f>IF(C42&lt;&gt;"",VLOOKUP(C42,DSKH!B:E,3,0),"")</f>
        <v/>
      </c>
      <c r="H42" s="222"/>
      <c r="I42" s="217"/>
      <c r="J42" s="224"/>
      <c r="K42" s="216" t="str">
        <f>IF(C42&lt;&gt;"",VLOOKUP(C42,[1]DSKH!B:E,4,0),"")</f>
        <v/>
      </c>
      <c r="L42" s="216"/>
      <c r="M42" s="216" t="str">
        <f t="shared" si="1"/>
        <v>-  -MAY 02-</v>
      </c>
    </row>
    <row r="43" spans="1:13">
      <c r="A43" s="216" t="str">
        <f>IF(C43&lt;&gt;"",SUBTOTAL(103,$C$12:C43),"")</f>
        <v/>
      </c>
      <c r="B43" s="226">
        <v>43222</v>
      </c>
      <c r="C43" s="216"/>
      <c r="D43" s="216" t="str">
        <f>IF(C43&lt;&gt;"",VLOOKUP(C43,[1]DSKH!B:E,2,0),"")</f>
        <v/>
      </c>
      <c r="E43" s="215"/>
      <c r="F43" s="216"/>
      <c r="G43" s="216" t="str">
        <f>IF(C43&lt;&gt;"",VLOOKUP(C43,DSKH!B:E,3,0),"")</f>
        <v/>
      </c>
      <c r="H43" s="222"/>
      <c r="I43" s="217"/>
      <c r="J43" s="224"/>
      <c r="K43" s="216" t="str">
        <f>IF(C43&lt;&gt;"",VLOOKUP(C43,[1]DSKH!B:E,4,0),"")</f>
        <v/>
      </c>
      <c r="L43" s="216"/>
      <c r="M43" s="216" t="str">
        <f t="shared" si="1"/>
        <v>-  -MAY 02-</v>
      </c>
    </row>
    <row r="44" spans="1:13">
      <c r="A44" s="216" t="str">
        <f>IF(C44&lt;&gt;"",SUBTOTAL(103,$C$12:C44),"")</f>
        <v/>
      </c>
      <c r="B44" s="226">
        <v>43222</v>
      </c>
      <c r="C44" s="216"/>
      <c r="D44" s="216" t="str">
        <f>IF(C44&lt;&gt;"",VLOOKUP(C44,[1]DSKH!B:E,2,0),"")</f>
        <v/>
      </c>
      <c r="E44" s="215"/>
      <c r="F44" s="216"/>
      <c r="G44" s="216" t="str">
        <f>IF(C44&lt;&gt;"",VLOOKUP(C44,DSKH!B:E,3,0),"")</f>
        <v/>
      </c>
      <c r="H44" s="222"/>
      <c r="I44" s="217"/>
      <c r="J44" s="224"/>
      <c r="K44" s="216" t="str">
        <f>IF(C44&lt;&gt;"",VLOOKUP(C44,[1]DSKH!B:E,4,0),"")</f>
        <v/>
      </c>
      <c r="L44" s="216"/>
      <c r="M44" s="216" t="str">
        <f t="shared" si="1"/>
        <v>-  -MAY 02-</v>
      </c>
    </row>
    <row r="45" spans="1:13">
      <c r="A45" s="216" t="str">
        <f>IF(C45&lt;&gt;"",SUBTOTAL(103,$C$12:C45),"")</f>
        <v/>
      </c>
      <c r="B45" s="226">
        <v>43222</v>
      </c>
      <c r="C45" s="216"/>
      <c r="D45" s="216" t="str">
        <f>IF(C45&lt;&gt;"",VLOOKUP(C45,[1]DSKH!B:E,2,0),"")</f>
        <v/>
      </c>
      <c r="E45" s="215"/>
      <c r="F45" s="216"/>
      <c r="G45" s="216" t="str">
        <f>IF(C45&lt;&gt;"",VLOOKUP(C45,DSKH!B:E,3,0),"")</f>
        <v/>
      </c>
      <c r="H45" s="222"/>
      <c r="I45" s="217"/>
      <c r="J45" s="224"/>
      <c r="K45" s="216" t="str">
        <f>IF(C45&lt;&gt;"",VLOOKUP(C45,[1]DSKH!B:E,4,0),"")</f>
        <v/>
      </c>
      <c r="L45" s="216"/>
      <c r="M45" s="216" t="str">
        <f t="shared" si="1"/>
        <v>-  -MAY 02-</v>
      </c>
    </row>
    <row r="46" spans="1:13">
      <c r="A46" s="216" t="str">
        <f>IF(C46&lt;&gt;"",SUBTOTAL(103,$C$12:C46),"")</f>
        <v/>
      </c>
      <c r="B46" s="226">
        <v>43222</v>
      </c>
      <c r="C46" s="216"/>
      <c r="D46" s="216" t="str">
        <f>IF(C46&lt;&gt;"",VLOOKUP(C46,[1]DSKH!B:E,2,0),"")</f>
        <v/>
      </c>
      <c r="E46" s="215"/>
      <c r="F46" s="216"/>
      <c r="G46" s="216" t="str">
        <f>IF(C46&lt;&gt;"",VLOOKUP(C46,DSKH!B:E,3,0),"")</f>
        <v/>
      </c>
      <c r="H46" s="222"/>
      <c r="I46" s="217"/>
      <c r="J46" s="224"/>
      <c r="K46" s="216" t="str">
        <f>IF(C46&lt;&gt;"",VLOOKUP(C46,[1]DSKH!B:E,4,0),"")</f>
        <v/>
      </c>
      <c r="L46" s="216"/>
      <c r="M46" s="216" t="str">
        <f t="shared" si="1"/>
        <v>-  -MAY 02-</v>
      </c>
    </row>
    <row r="47" spans="1:13">
      <c r="A47" s="216" t="str">
        <f>IF(C47&lt;&gt;"",SUBTOTAL(103,$C$12:C47),"")</f>
        <v/>
      </c>
      <c r="B47" s="226">
        <v>43222</v>
      </c>
      <c r="C47" s="216"/>
      <c r="D47" s="216" t="str">
        <f>IF(C47&lt;&gt;"",VLOOKUP(C47,[1]DSKH!B:E,2,0),"")</f>
        <v/>
      </c>
      <c r="E47" s="215"/>
      <c r="F47" s="216"/>
      <c r="G47" s="216" t="str">
        <f>IF(C47&lt;&gt;"",VLOOKUP(C47,DSKH!B:E,3,0),"")</f>
        <v/>
      </c>
      <c r="H47" s="222"/>
      <c r="I47" s="217"/>
      <c r="J47" s="224"/>
      <c r="K47" s="216" t="str">
        <f>IF(C47&lt;&gt;"",VLOOKUP(C47,[1]DSKH!B:E,4,0),"")</f>
        <v/>
      </c>
      <c r="L47" s="216"/>
      <c r="M47" s="216" t="str">
        <f t="shared" si="1"/>
        <v>-  -MAY 02-</v>
      </c>
    </row>
    <row r="48" spans="1:13">
      <c r="A48" s="216" t="str">
        <f>IF(C48&lt;&gt;"",SUBTOTAL(103,$C$12:C48),"")</f>
        <v/>
      </c>
      <c r="B48" s="226">
        <v>43222</v>
      </c>
      <c r="C48" s="216"/>
      <c r="D48" s="216" t="str">
        <f>IF(C48&lt;&gt;"",VLOOKUP(C48,[1]DSKH!B:E,2,0),"")</f>
        <v/>
      </c>
      <c r="E48" s="215"/>
      <c r="F48" s="216"/>
      <c r="G48" s="216" t="str">
        <f>IF(C48&lt;&gt;"",VLOOKUP(C48,DSKH!B:E,3,0),"")</f>
        <v/>
      </c>
      <c r="H48" s="222"/>
      <c r="I48" s="217"/>
      <c r="J48" s="224"/>
      <c r="K48" s="216" t="str">
        <f>IF(C48&lt;&gt;"",VLOOKUP(C48,[1]DSKH!B:E,4,0),"")</f>
        <v/>
      </c>
      <c r="L48" s="216"/>
      <c r="M48" s="216" t="str">
        <f t="shared" si="1"/>
        <v>-  -MAY 02-</v>
      </c>
    </row>
    <row r="49" spans="1:13">
      <c r="A49" s="216" t="str">
        <f>IF(C49&lt;&gt;"",SUBTOTAL(103,$C$12:C49),"")</f>
        <v/>
      </c>
      <c r="B49" s="226">
        <v>43222</v>
      </c>
      <c r="C49" s="216"/>
      <c r="D49" s="216" t="str">
        <f>IF(C49&lt;&gt;"",VLOOKUP(C49,[1]DSKH!B:E,2,0),"")</f>
        <v/>
      </c>
      <c r="E49" s="215"/>
      <c r="F49" s="216"/>
      <c r="G49" s="216" t="str">
        <f>IF(C49&lt;&gt;"",VLOOKUP(C49,DSKH!B:E,3,0),"")</f>
        <v/>
      </c>
      <c r="H49" s="222"/>
      <c r="I49" s="217"/>
      <c r="J49" s="224"/>
      <c r="K49" s="216" t="str">
        <f>IF(C49&lt;&gt;"",VLOOKUP(C49,[1]DSKH!B:E,4,0),"")</f>
        <v/>
      </c>
      <c r="L49" s="216"/>
      <c r="M49" s="216" t="str">
        <f t="shared" si="1"/>
        <v>-  -MAY 02-</v>
      </c>
    </row>
    <row r="50" spans="1:13">
      <c r="A50" s="216" t="str">
        <f>IF(C50&lt;&gt;"",SUBTOTAL(103,$C$12:C50),"")</f>
        <v/>
      </c>
      <c r="B50" s="226">
        <v>43222</v>
      </c>
      <c r="C50" s="216"/>
      <c r="D50" s="216" t="str">
        <f>IF(C50&lt;&gt;"",VLOOKUP(C50,[1]DSKH!B:E,2,0),"")</f>
        <v/>
      </c>
      <c r="E50" s="215"/>
      <c r="F50" s="216"/>
      <c r="G50" s="216" t="str">
        <f>IF(C50&lt;&gt;"",VLOOKUP(C50,DSKH!B:E,3,0),"")</f>
        <v/>
      </c>
      <c r="H50" s="222"/>
      <c r="I50" s="217"/>
      <c r="J50" s="224"/>
      <c r="K50" s="216" t="str">
        <f>IF(C50&lt;&gt;"",VLOOKUP(C50,[1]DSKH!B:E,4,0),"")</f>
        <v/>
      </c>
      <c r="L50" s="216"/>
      <c r="M50" s="216" t="str">
        <f t="shared" si="1"/>
        <v>-  -MAY 02-</v>
      </c>
    </row>
    <row r="51" spans="1:13">
      <c r="A51" s="216" t="str">
        <f>IF(C51&lt;&gt;"",SUBTOTAL(103,$C$12:C51),"")</f>
        <v/>
      </c>
      <c r="B51" s="226">
        <v>43222</v>
      </c>
      <c r="C51" s="216"/>
      <c r="D51" s="216" t="str">
        <f>IF(C51&lt;&gt;"",VLOOKUP(C51,[1]DSKH!B:E,2,0),"")</f>
        <v/>
      </c>
      <c r="E51" s="215"/>
      <c r="F51" s="216"/>
      <c r="G51" s="216" t="str">
        <f>IF(C51&lt;&gt;"",VLOOKUP(C51,DSKH!B:E,3,0),"")</f>
        <v/>
      </c>
      <c r="H51" s="222"/>
      <c r="I51" s="217"/>
      <c r="J51" s="224"/>
      <c r="K51" s="216" t="str">
        <f>IF(C51&lt;&gt;"",VLOOKUP(C51,[1]DSKH!B:E,4,0),"")</f>
        <v/>
      </c>
      <c r="L51" s="216"/>
      <c r="M51" s="216" t="str">
        <f t="shared" si="1"/>
        <v>-  -MAY 02-</v>
      </c>
    </row>
    <row r="52" spans="1:13">
      <c r="A52" s="216" t="str">
        <f>IF(C52&lt;&gt;"",SUBTOTAL(103,$C$12:C52),"")</f>
        <v/>
      </c>
      <c r="B52" s="226">
        <v>43222</v>
      </c>
      <c r="C52" s="216"/>
      <c r="D52" s="216" t="str">
        <f>IF(C52&lt;&gt;"",VLOOKUP(C52,[1]DSKH!B:E,2,0),"")</f>
        <v/>
      </c>
      <c r="E52" s="215"/>
      <c r="F52" s="216"/>
      <c r="G52" s="216" t="str">
        <f>IF(C52&lt;&gt;"",VLOOKUP(C52,DSKH!B:E,3,0),"")</f>
        <v/>
      </c>
      <c r="H52" s="222"/>
      <c r="I52" s="217"/>
      <c r="J52" s="224"/>
      <c r="K52" s="216" t="str">
        <f>IF(C52&lt;&gt;"",VLOOKUP(C52,[1]DSKH!B:E,4,0),"")</f>
        <v/>
      </c>
      <c r="L52" s="216"/>
      <c r="M52" s="216" t="str">
        <f t="shared" si="1"/>
        <v>-  -MAY 02-</v>
      </c>
    </row>
    <row r="53" spans="1:13">
      <c r="A53" s="216" t="str">
        <f>IF(C53&lt;&gt;"",SUBTOTAL(103,$C$12:C53),"")</f>
        <v/>
      </c>
      <c r="B53" s="226">
        <v>43222</v>
      </c>
      <c r="C53" s="216"/>
      <c r="D53" s="216" t="str">
        <f>IF(C53&lt;&gt;"",VLOOKUP(C53,[1]DSKH!B:E,2,0),"")</f>
        <v/>
      </c>
      <c r="E53" s="215"/>
      <c r="F53" s="216"/>
      <c r="G53" s="216" t="str">
        <f>IF(C53&lt;&gt;"",VLOOKUP(C53,DSKH!B:E,3,0),"")</f>
        <v/>
      </c>
      <c r="H53" s="222"/>
      <c r="I53" s="217"/>
      <c r="J53" s="224"/>
      <c r="K53" s="216" t="str">
        <f>IF(C53&lt;&gt;"",VLOOKUP(C53,[1]DSKH!B:E,4,0),"")</f>
        <v/>
      </c>
      <c r="L53" s="216"/>
      <c r="M53" s="216" t="str">
        <f t="shared" si="1"/>
        <v>-  -MAY 02-</v>
      </c>
    </row>
    <row r="54" spans="1:13">
      <c r="A54" s="216" t="str">
        <f>IF(C54&lt;&gt;"",SUBTOTAL(103,$C$12:C54),"")</f>
        <v/>
      </c>
      <c r="B54" s="226">
        <v>43222</v>
      </c>
      <c r="C54" s="216"/>
      <c r="D54" s="216" t="str">
        <f>IF(C54&lt;&gt;"",VLOOKUP(C54,[1]DSKH!B:E,2,0),"")</f>
        <v/>
      </c>
      <c r="E54" s="215"/>
      <c r="F54" s="216"/>
      <c r="G54" s="216" t="str">
        <f>IF(C54&lt;&gt;"",VLOOKUP(C54,DSKH!B:E,3,0),"")</f>
        <v/>
      </c>
      <c r="H54" s="222"/>
      <c r="I54" s="217"/>
      <c r="J54" s="224"/>
      <c r="K54" s="216" t="str">
        <f>IF(C54&lt;&gt;"",VLOOKUP(C54,[1]DSKH!B:E,4,0),"")</f>
        <v/>
      </c>
      <c r="L54" s="216"/>
      <c r="M54" s="216" t="str">
        <f t="shared" si="1"/>
        <v>-  -MAY 02-</v>
      </c>
    </row>
    <row r="55" spans="1:13">
      <c r="A55" s="216" t="str">
        <f>IF(C55&lt;&gt;"",SUBTOTAL(103,$C$12:C55),"")</f>
        <v/>
      </c>
      <c r="B55" s="226">
        <v>43222</v>
      </c>
      <c r="C55" s="216"/>
      <c r="D55" s="216" t="str">
        <f>IF(C55&lt;&gt;"",VLOOKUP(C55,[1]DSKH!B:E,2,0),"")</f>
        <v/>
      </c>
      <c r="E55" s="215"/>
      <c r="F55" s="216"/>
      <c r="G55" s="216" t="str">
        <f>IF(C55&lt;&gt;"",VLOOKUP(C55,DSKH!B:E,3,0),"")</f>
        <v/>
      </c>
      <c r="H55" s="222"/>
      <c r="I55" s="217"/>
      <c r="J55" s="224"/>
      <c r="K55" s="216" t="str">
        <f>IF(C55&lt;&gt;"",VLOOKUP(C55,[1]DSKH!B:E,4,0),"")</f>
        <v/>
      </c>
      <c r="L55" s="216"/>
      <c r="M55" s="216" t="str">
        <f t="shared" si="1"/>
        <v>-  -MAY 02-</v>
      </c>
    </row>
    <row r="56" spans="1:13">
      <c r="A56" s="216" t="str">
        <f>IF(C56&lt;&gt;"",SUBTOTAL(103,$C$12:C56),"")</f>
        <v/>
      </c>
      <c r="B56" s="226">
        <v>43222</v>
      </c>
      <c r="C56" s="216"/>
      <c r="D56" s="216" t="str">
        <f>IF(C56&lt;&gt;"",VLOOKUP(C56,[1]DSKH!B:E,2,0),"")</f>
        <v/>
      </c>
      <c r="E56" s="215"/>
      <c r="F56" s="216"/>
      <c r="G56" s="216" t="str">
        <f>IF(C56&lt;&gt;"",VLOOKUP(C56,DSKH!B:E,3,0),"")</f>
        <v/>
      </c>
      <c r="H56" s="222"/>
      <c r="I56" s="217"/>
      <c r="J56" s="224"/>
      <c r="K56" s="216" t="str">
        <f>IF(C56&lt;&gt;"",VLOOKUP(C56,[1]DSKH!B:E,4,0),"")</f>
        <v/>
      </c>
      <c r="L56" s="216"/>
      <c r="M56" s="216" t="str">
        <f t="shared" si="1"/>
        <v>-  -MAY 02-</v>
      </c>
    </row>
    <row r="57" spans="1:13">
      <c r="A57" s="216" t="str">
        <f>IF(C57&lt;&gt;"",SUBTOTAL(103,$C$12:C57),"")</f>
        <v/>
      </c>
      <c r="B57" s="226">
        <v>43222</v>
      </c>
      <c r="C57" s="216"/>
      <c r="D57" s="216" t="str">
        <f>IF(C57&lt;&gt;"",VLOOKUP(C57,[1]DSKH!B:E,2,0),"")</f>
        <v/>
      </c>
      <c r="E57" s="215"/>
      <c r="F57" s="216"/>
      <c r="G57" s="216" t="str">
        <f>IF(C57&lt;&gt;"",VLOOKUP(C57,DSKH!B:E,3,0),"")</f>
        <v/>
      </c>
      <c r="H57" s="222"/>
      <c r="I57" s="217"/>
      <c r="J57" s="224"/>
      <c r="K57" s="216" t="str">
        <f>IF(C57&lt;&gt;"",VLOOKUP(C57,[1]DSKH!B:E,4,0),"")</f>
        <v/>
      </c>
      <c r="L57" s="216"/>
      <c r="M57" s="216" t="str">
        <f t="shared" si="1"/>
        <v>-  -MAY 02-</v>
      </c>
    </row>
    <row r="58" spans="1:13">
      <c r="A58" s="216" t="str">
        <f>IF(C58&lt;&gt;"",SUBTOTAL(103,$C$12:C58),"")</f>
        <v/>
      </c>
      <c r="B58" s="226">
        <v>43222</v>
      </c>
      <c r="C58" s="216"/>
      <c r="D58" s="216" t="str">
        <f>IF(C58&lt;&gt;"",VLOOKUP(C58,[1]DSKH!B:E,2,0),"")</f>
        <v/>
      </c>
      <c r="E58" s="215"/>
      <c r="F58" s="216"/>
      <c r="G58" s="216" t="str">
        <f>IF(C58&lt;&gt;"",VLOOKUP(C58,DSKH!B:E,3,0),"")</f>
        <v/>
      </c>
      <c r="H58" s="222"/>
      <c r="I58" s="217"/>
      <c r="J58" s="224"/>
      <c r="K58" s="216" t="str">
        <f>IF(C58&lt;&gt;"",VLOOKUP(C58,[1]DSKH!B:E,4,0),"")</f>
        <v/>
      </c>
      <c r="L58" s="216"/>
      <c r="M58" s="216" t="str">
        <f t="shared" si="1"/>
        <v>-  -MAY 02-</v>
      </c>
    </row>
    <row r="59" spans="1:13">
      <c r="A59" s="216" t="str">
        <f>IF(C59&lt;&gt;"",SUBTOTAL(103,$C$12:C59),"")</f>
        <v/>
      </c>
      <c r="B59" s="226">
        <v>43222</v>
      </c>
      <c r="C59" s="216"/>
      <c r="D59" s="216" t="str">
        <f>IF(C59&lt;&gt;"",VLOOKUP(C59,[1]DSKH!B:E,2,0),"")</f>
        <v/>
      </c>
      <c r="E59" s="215"/>
      <c r="F59" s="216"/>
      <c r="G59" s="216" t="str">
        <f>IF(C59&lt;&gt;"",VLOOKUP(C59,DSKH!B:E,3,0),"")</f>
        <v/>
      </c>
      <c r="H59" s="222"/>
      <c r="I59" s="217"/>
      <c r="J59" s="224"/>
      <c r="K59" s="216" t="str">
        <f>IF(C59&lt;&gt;"",VLOOKUP(C59,[1]DSKH!B:E,4,0),"")</f>
        <v/>
      </c>
      <c r="L59" s="216"/>
      <c r="M59" s="216" t="str">
        <f t="shared" si="1"/>
        <v>-  -MAY 02-</v>
      </c>
    </row>
    <row r="60" spans="1:13">
      <c r="A60" s="216" t="str">
        <f>IF(C60&lt;&gt;"",SUBTOTAL(103,$C$12:C60),"")</f>
        <v/>
      </c>
      <c r="B60" s="226">
        <v>43222</v>
      </c>
      <c r="C60" s="216"/>
      <c r="D60" s="216" t="str">
        <f>IF(C60&lt;&gt;"",VLOOKUP(C60,[1]DSKH!B:E,2,0),"")</f>
        <v/>
      </c>
      <c r="E60" s="215"/>
      <c r="F60" s="216"/>
      <c r="G60" s="216" t="str">
        <f>IF(C60&lt;&gt;"",VLOOKUP(C60,DSKH!B:E,3,0),"")</f>
        <v/>
      </c>
      <c r="H60" s="222"/>
      <c r="I60" s="217"/>
      <c r="J60" s="224"/>
      <c r="K60" s="216" t="str">
        <f>IF(C60&lt;&gt;"",VLOOKUP(C60,[1]DSKH!B:E,4,0),"")</f>
        <v/>
      </c>
      <c r="L60" s="216"/>
      <c r="M60" s="216" t="str">
        <f t="shared" si="1"/>
        <v>-  -MAY 02-</v>
      </c>
    </row>
    <row r="61" spans="1:13">
      <c r="A61" s="216" t="str">
        <f>IF(C61&lt;&gt;"",SUBTOTAL(103,$C$12:C61),"")</f>
        <v/>
      </c>
      <c r="B61" s="226">
        <v>43222</v>
      </c>
      <c r="C61" s="216"/>
      <c r="D61" s="216" t="str">
        <f>IF(C61&lt;&gt;"",VLOOKUP(C61,[1]DSKH!B:E,2,0),"")</f>
        <v/>
      </c>
      <c r="E61" s="215"/>
      <c r="F61" s="216"/>
      <c r="G61" s="216" t="str">
        <f>IF(C61&lt;&gt;"",VLOOKUP(C61,DSKH!B:E,3,0),"")</f>
        <v/>
      </c>
      <c r="H61" s="222"/>
      <c r="I61" s="217"/>
      <c r="J61" s="224"/>
      <c r="K61" s="216" t="str">
        <f>IF(C61&lt;&gt;"",VLOOKUP(C61,[1]DSKH!B:E,4,0),"")</f>
        <v/>
      </c>
      <c r="L61" s="216"/>
      <c r="M61" s="216" t="str">
        <f t="shared" si="1"/>
        <v>-  -MAY 02-</v>
      </c>
    </row>
    <row r="62" spans="1:13">
      <c r="A62" s="216" t="str">
        <f>IF(C62&lt;&gt;"",SUBTOTAL(103,$C$12:C62),"")</f>
        <v/>
      </c>
      <c r="B62" s="226">
        <v>43222</v>
      </c>
      <c r="C62" s="216"/>
      <c r="D62" s="216" t="str">
        <f>IF(C62&lt;&gt;"",VLOOKUP(C62,[1]DSKH!B:E,2,0),"")</f>
        <v/>
      </c>
      <c r="E62" s="215"/>
      <c r="F62" s="216"/>
      <c r="G62" s="216" t="str">
        <f>IF(C62&lt;&gt;"",VLOOKUP(C62,DSKH!B:E,3,0),"")</f>
        <v/>
      </c>
      <c r="H62" s="222"/>
      <c r="I62" s="217"/>
      <c r="J62" s="224"/>
      <c r="K62" s="216" t="str">
        <f>IF(C62&lt;&gt;"",VLOOKUP(C62,[1]DSKH!B:E,4,0),"")</f>
        <v/>
      </c>
      <c r="L62" s="216"/>
      <c r="M62" s="216" t="str">
        <f t="shared" si="1"/>
        <v>-  -MAY 02-</v>
      </c>
    </row>
    <row r="63" spans="1:13">
      <c r="A63" s="216" t="str">
        <f>IF(C63&lt;&gt;"",SUBTOTAL(103,$C$12:C63),"")</f>
        <v/>
      </c>
      <c r="B63" s="226">
        <v>43222</v>
      </c>
      <c r="C63" s="216"/>
      <c r="D63" s="216" t="str">
        <f>IF(C63&lt;&gt;"",VLOOKUP(C63,[1]DSKH!B:E,2,0),"")</f>
        <v/>
      </c>
      <c r="E63" s="215"/>
      <c r="F63" s="216"/>
      <c r="G63" s="216" t="str">
        <f>IF(C63&lt;&gt;"",VLOOKUP(C63,DSKH!B:E,3,0),"")</f>
        <v/>
      </c>
      <c r="H63" s="222"/>
      <c r="I63" s="217"/>
      <c r="J63" s="224"/>
      <c r="K63" s="216" t="str">
        <f>IF(C63&lt;&gt;"",VLOOKUP(C63,[1]DSKH!B:E,4,0),"")</f>
        <v/>
      </c>
      <c r="L63" s="216"/>
      <c r="M63" s="216" t="str">
        <f t="shared" si="1"/>
        <v>-  -MAY 02-</v>
      </c>
    </row>
    <row r="64" spans="1:13">
      <c r="A64" s="216" t="str">
        <f>IF(C64&lt;&gt;"",SUBTOTAL(103,$C$12:C64),"")</f>
        <v/>
      </c>
      <c r="B64" s="226">
        <v>43222</v>
      </c>
      <c r="C64" s="216"/>
      <c r="D64" s="216" t="str">
        <f>IF(C64&lt;&gt;"",VLOOKUP(C64,[1]DSKH!B:E,2,0),"")</f>
        <v/>
      </c>
      <c r="E64" s="215"/>
      <c r="F64" s="216"/>
      <c r="G64" s="216" t="str">
        <f>IF(C64&lt;&gt;"",VLOOKUP(C64,DSKH!B:E,3,0),"")</f>
        <v/>
      </c>
      <c r="H64" s="222"/>
      <c r="I64" s="217"/>
      <c r="J64" s="224"/>
      <c r="K64" s="216" t="str">
        <f>IF(C64&lt;&gt;"",VLOOKUP(C64,[1]DSKH!B:E,4,0),"")</f>
        <v/>
      </c>
      <c r="L64" s="216"/>
      <c r="M64" s="216" t="str">
        <f t="shared" si="1"/>
        <v>-  -MAY 02-</v>
      </c>
    </row>
    <row r="65" spans="1:13">
      <c r="A65" s="216" t="str">
        <f>IF(C65&lt;&gt;"",SUBTOTAL(103,$C$12:C65),"")</f>
        <v/>
      </c>
      <c r="B65" s="226">
        <v>43222</v>
      </c>
      <c r="C65" s="216"/>
      <c r="D65" s="216" t="str">
        <f>IF(C65&lt;&gt;"",VLOOKUP(C65,[1]DSKH!B:E,2,0),"")</f>
        <v/>
      </c>
      <c r="E65" s="215"/>
      <c r="F65" s="216"/>
      <c r="G65" s="216" t="str">
        <f>IF(C65&lt;&gt;"",VLOOKUP(C65,DSKH!B:E,3,0),"")</f>
        <v/>
      </c>
      <c r="H65" s="222"/>
      <c r="I65" s="217"/>
      <c r="J65" s="224"/>
      <c r="K65" s="216" t="str">
        <f>IF(C65&lt;&gt;"",VLOOKUP(C65,[1]DSKH!B:E,4,0),"")</f>
        <v/>
      </c>
      <c r="L65" s="216"/>
      <c r="M65" s="216" t="str">
        <f t="shared" si="1"/>
        <v>-  -MAY 02-</v>
      </c>
    </row>
    <row r="66" spans="1:13">
      <c r="A66" s="216" t="str">
        <f>IF(C66&lt;&gt;"",SUBTOTAL(103,$C$12:C66),"")</f>
        <v/>
      </c>
      <c r="B66" s="226">
        <v>43222</v>
      </c>
      <c r="C66" s="216"/>
      <c r="D66" s="216" t="str">
        <f>IF(C66&lt;&gt;"",VLOOKUP(C66,[1]DSKH!B:E,2,0),"")</f>
        <v/>
      </c>
      <c r="E66" s="215"/>
      <c r="F66" s="216"/>
      <c r="G66" s="216" t="str">
        <f>IF(C66&lt;&gt;"",VLOOKUP(C66,DSKH!B:E,3,0),"")</f>
        <v/>
      </c>
      <c r="H66" s="222"/>
      <c r="I66" s="217"/>
      <c r="J66" s="224"/>
      <c r="K66" s="216" t="str">
        <f>IF(C66&lt;&gt;"",VLOOKUP(C66,[1]DSKH!B:E,4,0),"")</f>
        <v/>
      </c>
      <c r="L66" s="216"/>
      <c r="M66" s="216" t="str">
        <f t="shared" si="1"/>
        <v>-  -MAY 02-</v>
      </c>
    </row>
    <row r="67" spans="1:13">
      <c r="A67" s="216" t="str">
        <f>IF(C67&lt;&gt;"",SUBTOTAL(103,$C$12:C67),"")</f>
        <v/>
      </c>
      <c r="B67" s="226">
        <v>43222</v>
      </c>
      <c r="C67" s="216"/>
      <c r="D67" s="216" t="str">
        <f>IF(C67&lt;&gt;"",VLOOKUP(C67,[1]DSKH!B:E,2,0),"")</f>
        <v/>
      </c>
      <c r="E67" s="215"/>
      <c r="F67" s="216"/>
      <c r="G67" s="216" t="str">
        <f>IF(C67&lt;&gt;"",VLOOKUP(C67,DSKH!B:E,3,0),"")</f>
        <v/>
      </c>
      <c r="H67" s="222"/>
      <c r="I67" s="217"/>
      <c r="J67" s="224"/>
      <c r="K67" s="216" t="str">
        <f>IF(C67&lt;&gt;"",VLOOKUP(C67,[1]DSKH!B:E,4,0),"")</f>
        <v/>
      </c>
      <c r="L67" s="216"/>
      <c r="M67" s="216" t="str">
        <f t="shared" si="1"/>
        <v>-  -MAY 02-</v>
      </c>
    </row>
    <row r="68" spans="1:13">
      <c r="A68" s="216" t="str">
        <f>IF(C68&lt;&gt;"",SUBTOTAL(103,$C$12:C68),"")</f>
        <v/>
      </c>
      <c r="B68" s="226">
        <v>43222</v>
      </c>
      <c r="C68" s="216"/>
      <c r="D68" s="216" t="str">
        <f>IF(C68&lt;&gt;"",VLOOKUP(C68,[1]DSKH!B:E,2,0),"")</f>
        <v/>
      </c>
      <c r="E68" s="215"/>
      <c r="F68" s="216"/>
      <c r="G68" s="216" t="str">
        <f>IF(C68&lt;&gt;"",VLOOKUP(C68,DSKH!B:E,3,0),"")</f>
        <v/>
      </c>
      <c r="H68" s="222"/>
      <c r="I68" s="217"/>
      <c r="J68" s="224"/>
      <c r="K68" s="216" t="str">
        <f>IF(C68&lt;&gt;"",VLOOKUP(C68,[1]DSKH!B:E,4,0),"")</f>
        <v/>
      </c>
      <c r="L68" s="216"/>
      <c r="M68" s="216" t="str">
        <f t="shared" si="1"/>
        <v>-  -MAY 02-</v>
      </c>
    </row>
    <row r="69" spans="1:13">
      <c r="A69" s="216" t="str">
        <f>IF(C69&lt;&gt;"",SUBTOTAL(103,$C$12:C69),"")</f>
        <v/>
      </c>
      <c r="B69" s="226">
        <v>43222</v>
      </c>
      <c r="C69" s="216"/>
      <c r="D69" s="216" t="str">
        <f>IF(C69&lt;&gt;"",VLOOKUP(C69,[1]DSKH!B:E,2,0),"")</f>
        <v/>
      </c>
      <c r="E69" s="215"/>
      <c r="F69" s="216"/>
      <c r="G69" s="216" t="str">
        <f>IF(C69&lt;&gt;"",VLOOKUP(C69,DSKH!B:E,3,0),"")</f>
        <v/>
      </c>
      <c r="H69" s="222"/>
      <c r="I69" s="217"/>
      <c r="J69" s="224"/>
      <c r="K69" s="216" t="str">
        <f>IF(C69&lt;&gt;"",VLOOKUP(C69,[1]DSKH!B:E,4,0),"")</f>
        <v/>
      </c>
      <c r="L69" s="216"/>
      <c r="M69" s="216" t="str">
        <f t="shared" si="1"/>
        <v>-  -MAY 02-</v>
      </c>
    </row>
    <row r="70" spans="1:13">
      <c r="A70" s="216" t="str">
        <f>IF(C70&lt;&gt;"",SUBTOTAL(103,$C$12:C70),"")</f>
        <v/>
      </c>
      <c r="B70" s="226">
        <v>43222</v>
      </c>
      <c r="C70" s="216"/>
      <c r="D70" s="216" t="str">
        <f>IF(C70&lt;&gt;"",VLOOKUP(C70,[1]DSKH!B:E,2,0),"")</f>
        <v/>
      </c>
      <c r="E70" s="215"/>
      <c r="F70" s="216"/>
      <c r="G70" s="216" t="str">
        <f>IF(C70&lt;&gt;"",VLOOKUP(C70,DSKH!B:E,3,0),"")</f>
        <v/>
      </c>
      <c r="H70" s="222"/>
      <c r="I70" s="217"/>
      <c r="J70" s="224"/>
      <c r="K70" s="216" t="str">
        <f>IF(C70&lt;&gt;"",VLOOKUP(C70,[1]DSKH!B:E,4,0),"")</f>
        <v/>
      </c>
      <c r="L70" s="216"/>
      <c r="M70" s="216" t="str">
        <f t="shared" si="1"/>
        <v>-  -MAY 02-</v>
      </c>
    </row>
    <row r="71" spans="1:13">
      <c r="A71" s="216" t="str">
        <f>IF(C71&lt;&gt;"",SUBTOTAL(103,$C$12:C71),"")</f>
        <v/>
      </c>
      <c r="B71" s="226">
        <v>43222</v>
      </c>
      <c r="C71" s="216"/>
      <c r="D71" s="216" t="str">
        <f>IF(C71&lt;&gt;"",VLOOKUP(C71,[1]DSKH!B:E,2,0),"")</f>
        <v/>
      </c>
      <c r="E71" s="215"/>
      <c r="F71" s="216"/>
      <c r="G71" s="216" t="str">
        <f>IF(C71&lt;&gt;"",VLOOKUP(C71,DSKH!B:E,3,0),"")</f>
        <v/>
      </c>
      <c r="H71" s="222"/>
      <c r="I71" s="217"/>
      <c r="J71" s="224"/>
      <c r="K71" s="216" t="str">
        <f>IF(C71&lt;&gt;"",VLOOKUP(C71,[1]DSKH!B:E,4,0),"")</f>
        <v/>
      </c>
      <c r="L71" s="216"/>
      <c r="M71" s="216" t="str">
        <f t="shared" si="1"/>
        <v>-  -MAY 02-</v>
      </c>
    </row>
    <row r="72" spans="1:13">
      <c r="A72" s="216" t="str">
        <f>IF(C72&lt;&gt;"",SUBTOTAL(103,$C$12:C72),"")</f>
        <v/>
      </c>
      <c r="B72" s="226">
        <v>43222</v>
      </c>
      <c r="C72" s="216"/>
      <c r="D72" s="216" t="str">
        <f>IF(C72&lt;&gt;"",VLOOKUP(C72,[1]DSKH!B:E,2,0),"")</f>
        <v/>
      </c>
      <c r="E72" s="215"/>
      <c r="F72" s="216"/>
      <c r="G72" s="216" t="str">
        <f>IF(C72&lt;&gt;"",VLOOKUP(C72,DSKH!B:E,3,0),"")</f>
        <v/>
      </c>
      <c r="H72" s="222"/>
      <c r="I72" s="217"/>
      <c r="J72" s="224"/>
      <c r="K72" s="216" t="str">
        <f>IF(C72&lt;&gt;"",VLOOKUP(C72,[1]DSKH!B:E,4,0),"")</f>
        <v/>
      </c>
      <c r="L72" s="216"/>
      <c r="M72" s="216" t="str">
        <f t="shared" si="1"/>
        <v>-  -MAY 02-</v>
      </c>
    </row>
    <row r="73" spans="1:13">
      <c r="A73" s="216" t="str">
        <f>IF(C73&lt;&gt;"",SUBTOTAL(103,$C$12:C73),"")</f>
        <v/>
      </c>
      <c r="B73" s="226">
        <v>43222</v>
      </c>
      <c r="C73" s="216"/>
      <c r="D73" s="216" t="str">
        <f>IF(C73&lt;&gt;"",VLOOKUP(C73,[1]DSKH!B:E,2,0),"")</f>
        <v/>
      </c>
      <c r="E73" s="215"/>
      <c r="F73" s="216"/>
      <c r="G73" s="216" t="str">
        <f>IF(C73&lt;&gt;"",VLOOKUP(C73,DSKH!B:E,3,0),"")</f>
        <v/>
      </c>
      <c r="H73" s="222"/>
      <c r="I73" s="217"/>
      <c r="J73" s="224"/>
      <c r="K73" s="216" t="str">
        <f>IF(C73&lt;&gt;"",VLOOKUP(C73,[1]DSKH!B:E,4,0),"")</f>
        <v/>
      </c>
      <c r="L73" s="216"/>
      <c r="M73" s="216" t="str">
        <f t="shared" si="1"/>
        <v>-  -MAY 02-</v>
      </c>
    </row>
    <row r="74" spans="1:13">
      <c r="A74" s="216" t="str">
        <f>IF(C74&lt;&gt;"",SUBTOTAL(103,$C$12:C74),"")</f>
        <v/>
      </c>
      <c r="B74" s="226">
        <v>43222</v>
      </c>
      <c r="C74" s="216"/>
      <c r="D74" s="216" t="str">
        <f>IF(C74&lt;&gt;"",VLOOKUP(C74,[1]DSKH!B:E,2,0),"")</f>
        <v/>
      </c>
      <c r="E74" s="215"/>
      <c r="F74" s="216"/>
      <c r="G74" s="216" t="str">
        <f>IF(C74&lt;&gt;"",VLOOKUP(C74,DSKH!B:E,3,0),"")</f>
        <v/>
      </c>
      <c r="H74" s="222"/>
      <c r="I74" s="217"/>
      <c r="J74" s="224"/>
      <c r="K74" s="216" t="str">
        <f>IF(C74&lt;&gt;"",VLOOKUP(C74,[1]DSKH!B:E,4,0),"")</f>
        <v/>
      </c>
      <c r="L74" s="216"/>
      <c r="M74" s="216" t="str">
        <f t="shared" si="1"/>
        <v>-  -MAY 02-</v>
      </c>
    </row>
    <row r="75" spans="1:13">
      <c r="A75" s="216" t="str">
        <f>IF(C75&lt;&gt;"",SUBTOTAL(103,$C$12:C75),"")</f>
        <v/>
      </c>
      <c r="B75" s="226">
        <v>43222</v>
      </c>
      <c r="C75" s="216"/>
      <c r="D75" s="216" t="str">
        <f>IF(C75&lt;&gt;"",VLOOKUP(C75,[1]DSKH!B:E,2,0),"")</f>
        <v/>
      </c>
      <c r="E75" s="215"/>
      <c r="F75" s="216"/>
      <c r="G75" s="216" t="str">
        <f>IF(C75&lt;&gt;"",VLOOKUP(C75,DSKH!B:E,3,0),"")</f>
        <v/>
      </c>
      <c r="H75" s="222"/>
      <c r="I75" s="217"/>
      <c r="J75" s="224"/>
      <c r="K75" s="216" t="str">
        <f>IF(C75&lt;&gt;"",VLOOKUP(C75,[1]DSKH!B:E,4,0),"")</f>
        <v/>
      </c>
      <c r="L75" s="216"/>
      <c r="M75" s="216" t="str">
        <f t="shared" si="1"/>
        <v>-  -MAY 02-</v>
      </c>
    </row>
    <row r="76" spans="1:13">
      <c r="A76" s="216" t="str">
        <f>IF(C76&lt;&gt;"",SUBTOTAL(103,$C$12:C76),"")</f>
        <v/>
      </c>
      <c r="B76" s="226">
        <v>43222</v>
      </c>
      <c r="C76" s="216"/>
      <c r="D76" s="216" t="str">
        <f>IF(C76&lt;&gt;"",VLOOKUP(C76,[1]DSKH!B:E,2,0),"")</f>
        <v/>
      </c>
      <c r="E76" s="215"/>
      <c r="F76" s="216"/>
      <c r="G76" s="216" t="str">
        <f>IF(C76&lt;&gt;"",VLOOKUP(C76,DSKH!B:E,3,0),"")</f>
        <v/>
      </c>
      <c r="H76" s="222"/>
      <c r="I76" s="217"/>
      <c r="J76" s="224"/>
      <c r="K76" s="216" t="str">
        <f>IF(C76&lt;&gt;"",VLOOKUP(C76,[1]DSKH!B:E,4,0),"")</f>
        <v/>
      </c>
      <c r="L76" s="216"/>
      <c r="M76" s="216" t="str">
        <f t="shared" ref="M76:M139" si="2">C76&amp;"-"&amp;" "&amp;H76&amp;" "&amp;"-"&amp;"MAY"&amp;" "&amp;"02"&amp;"-"&amp;J76</f>
        <v>-  -MAY 02-</v>
      </c>
    </row>
    <row r="77" spans="1:13">
      <c r="A77" s="216" t="str">
        <f>IF(C77&lt;&gt;"",SUBTOTAL(103,$C$12:C77),"")</f>
        <v/>
      </c>
      <c r="B77" s="226">
        <v>43222</v>
      </c>
      <c r="C77" s="216"/>
      <c r="D77" s="216" t="str">
        <f>IF(C77&lt;&gt;"",VLOOKUP(C77,[1]DSKH!B:E,2,0),"")</f>
        <v/>
      </c>
      <c r="E77" s="215"/>
      <c r="F77" s="216"/>
      <c r="G77" s="216" t="str">
        <f>IF(C77&lt;&gt;"",VLOOKUP(C77,DSKH!B:E,3,0),"")</f>
        <v/>
      </c>
      <c r="H77" s="222"/>
      <c r="I77" s="217"/>
      <c r="J77" s="224"/>
      <c r="K77" s="216" t="str">
        <f>IF(C77&lt;&gt;"",VLOOKUP(C77,[1]DSKH!B:E,4,0),"")</f>
        <v/>
      </c>
      <c r="L77" s="216"/>
      <c r="M77" s="216" t="str">
        <f t="shared" si="2"/>
        <v>-  -MAY 02-</v>
      </c>
    </row>
    <row r="78" spans="1:13">
      <c r="A78" s="216" t="str">
        <f>IF(C78&lt;&gt;"",SUBTOTAL(103,$C$12:C78),"")</f>
        <v/>
      </c>
      <c r="B78" s="226">
        <v>43222</v>
      </c>
      <c r="C78" s="216"/>
      <c r="D78" s="216" t="str">
        <f>IF(C78&lt;&gt;"",VLOOKUP(C78,[1]DSKH!B:E,2,0),"")</f>
        <v/>
      </c>
      <c r="E78" s="215"/>
      <c r="F78" s="216"/>
      <c r="G78" s="216" t="str">
        <f>IF(C78&lt;&gt;"",VLOOKUP(C78,DSKH!B:E,3,0),"")</f>
        <v/>
      </c>
      <c r="H78" s="222"/>
      <c r="I78" s="217"/>
      <c r="J78" s="224"/>
      <c r="K78" s="216" t="str">
        <f>IF(C78&lt;&gt;"",VLOOKUP(C78,[1]DSKH!B:E,4,0),"")</f>
        <v/>
      </c>
      <c r="L78" s="216"/>
      <c r="M78" s="216" t="str">
        <f t="shared" si="2"/>
        <v>-  -MAY 02-</v>
      </c>
    </row>
    <row r="79" spans="1:13">
      <c r="A79" s="216" t="str">
        <f>IF(C79&lt;&gt;"",SUBTOTAL(103,$C$12:C79),"")</f>
        <v/>
      </c>
      <c r="B79" s="226">
        <v>43222</v>
      </c>
      <c r="C79" s="216"/>
      <c r="D79" s="216" t="str">
        <f>IF(C79&lt;&gt;"",VLOOKUP(C79,[1]DSKH!B:E,2,0),"")</f>
        <v/>
      </c>
      <c r="E79" s="215"/>
      <c r="F79" s="216"/>
      <c r="G79" s="216" t="str">
        <f>IF(C79&lt;&gt;"",VLOOKUP(C79,DSKH!B:E,3,0),"")</f>
        <v/>
      </c>
      <c r="H79" s="222"/>
      <c r="I79" s="217"/>
      <c r="J79" s="224"/>
      <c r="K79" s="216" t="str">
        <f>IF(C79&lt;&gt;"",VLOOKUP(C79,[1]DSKH!B:E,4,0),"")</f>
        <v/>
      </c>
      <c r="L79" s="216"/>
      <c r="M79" s="216" t="str">
        <f t="shared" si="2"/>
        <v>-  -MAY 02-</v>
      </c>
    </row>
    <row r="80" spans="1:13">
      <c r="A80" s="216" t="str">
        <f>IF(C80&lt;&gt;"",SUBTOTAL(103,$C$12:C80),"")</f>
        <v/>
      </c>
      <c r="B80" s="226">
        <v>43222</v>
      </c>
      <c r="C80" s="216"/>
      <c r="D80" s="216" t="str">
        <f>IF(C80&lt;&gt;"",VLOOKUP(C80,[1]DSKH!B:E,2,0),"")</f>
        <v/>
      </c>
      <c r="E80" s="215"/>
      <c r="F80" s="216"/>
      <c r="G80" s="216" t="str">
        <f>IF(C80&lt;&gt;"",VLOOKUP(C80,DSKH!B:E,3,0),"")</f>
        <v/>
      </c>
      <c r="H80" s="222"/>
      <c r="I80" s="217"/>
      <c r="J80" s="224"/>
      <c r="K80" s="216" t="str">
        <f>IF(C80&lt;&gt;"",VLOOKUP(C80,[1]DSKH!B:E,4,0),"")</f>
        <v/>
      </c>
      <c r="L80" s="216"/>
      <c r="M80" s="216" t="str">
        <f t="shared" si="2"/>
        <v>-  -MAY 02-</v>
      </c>
    </row>
    <row r="81" spans="1:13">
      <c r="A81" s="216" t="str">
        <f>IF(C81&lt;&gt;"",SUBTOTAL(103,$C$12:C81),"")</f>
        <v/>
      </c>
      <c r="B81" s="226">
        <v>43222</v>
      </c>
      <c r="C81" s="216"/>
      <c r="D81" s="216" t="str">
        <f>IF(C81&lt;&gt;"",VLOOKUP(C81,[1]DSKH!B:E,2,0),"")</f>
        <v/>
      </c>
      <c r="E81" s="215"/>
      <c r="F81" s="216"/>
      <c r="G81" s="216" t="str">
        <f>IF(C81&lt;&gt;"",VLOOKUP(C81,DSKH!B:E,3,0),"")</f>
        <v/>
      </c>
      <c r="H81" s="222"/>
      <c r="I81" s="217"/>
      <c r="J81" s="224"/>
      <c r="K81" s="216" t="str">
        <f>IF(C81&lt;&gt;"",VLOOKUP(C81,[1]DSKH!B:E,4,0),"")</f>
        <v/>
      </c>
      <c r="L81" s="216"/>
      <c r="M81" s="216" t="str">
        <f t="shared" si="2"/>
        <v>-  -MAY 02-</v>
      </c>
    </row>
    <row r="82" spans="1:13">
      <c r="A82" s="216" t="str">
        <f>IF(C82&lt;&gt;"",SUBTOTAL(103,$C$12:C82),"")</f>
        <v/>
      </c>
      <c r="B82" s="226">
        <v>43222</v>
      </c>
      <c r="C82" s="216"/>
      <c r="D82" s="216" t="str">
        <f>IF(C82&lt;&gt;"",VLOOKUP(C82,[1]DSKH!B:E,2,0),"")</f>
        <v/>
      </c>
      <c r="E82" s="215"/>
      <c r="F82" s="216"/>
      <c r="G82" s="216" t="str">
        <f>IF(C82&lt;&gt;"",VLOOKUP(C82,DSKH!B:E,3,0),"")</f>
        <v/>
      </c>
      <c r="H82" s="222"/>
      <c r="I82" s="217"/>
      <c r="J82" s="224"/>
      <c r="K82" s="216" t="str">
        <f>IF(C82&lt;&gt;"",VLOOKUP(C82,[1]DSKH!B:E,4,0),"")</f>
        <v/>
      </c>
      <c r="L82" s="216"/>
      <c r="M82" s="216" t="str">
        <f t="shared" si="2"/>
        <v>-  -MAY 02-</v>
      </c>
    </row>
    <row r="83" spans="1:13">
      <c r="A83" s="216" t="str">
        <f>IF(C83&lt;&gt;"",SUBTOTAL(103,$C$12:C83),"")</f>
        <v/>
      </c>
      <c r="B83" s="226">
        <v>43222</v>
      </c>
      <c r="C83" s="216"/>
      <c r="D83" s="216" t="str">
        <f>IF(C83&lt;&gt;"",VLOOKUP(C83,[1]DSKH!B:E,2,0),"")</f>
        <v/>
      </c>
      <c r="E83" s="215"/>
      <c r="F83" s="216"/>
      <c r="G83" s="216" t="str">
        <f>IF(C83&lt;&gt;"",VLOOKUP(C83,DSKH!B:E,3,0),"")</f>
        <v/>
      </c>
      <c r="H83" s="222"/>
      <c r="I83" s="217"/>
      <c r="J83" s="224"/>
      <c r="K83" s="216" t="str">
        <f>IF(C83&lt;&gt;"",VLOOKUP(C83,[1]DSKH!B:E,4,0),"")</f>
        <v/>
      </c>
      <c r="L83" s="216"/>
      <c r="M83" s="216" t="str">
        <f t="shared" si="2"/>
        <v>-  -MAY 02-</v>
      </c>
    </row>
    <row r="84" spans="1:13">
      <c r="A84" s="216" t="str">
        <f>IF(C84&lt;&gt;"",SUBTOTAL(103,$C$12:C84),"")</f>
        <v/>
      </c>
      <c r="B84" s="226">
        <v>43222</v>
      </c>
      <c r="C84" s="216"/>
      <c r="D84" s="216" t="str">
        <f>IF(C84&lt;&gt;"",VLOOKUP(C84,[1]DSKH!B:E,2,0),"")</f>
        <v/>
      </c>
      <c r="E84" s="215"/>
      <c r="F84" s="216"/>
      <c r="G84" s="216" t="str">
        <f>IF(C84&lt;&gt;"",VLOOKUP(C84,DSKH!B:E,3,0),"")</f>
        <v/>
      </c>
      <c r="H84" s="222"/>
      <c r="I84" s="217"/>
      <c r="J84" s="224"/>
      <c r="K84" s="216" t="str">
        <f>IF(C84&lt;&gt;"",VLOOKUP(C84,[1]DSKH!B:E,4,0),"")</f>
        <v/>
      </c>
      <c r="L84" s="216"/>
      <c r="M84" s="216" t="str">
        <f t="shared" si="2"/>
        <v>-  -MAY 02-</v>
      </c>
    </row>
    <row r="85" spans="1:13">
      <c r="A85" s="216" t="str">
        <f>IF(C85&lt;&gt;"",SUBTOTAL(103,$C$12:C85),"")</f>
        <v/>
      </c>
      <c r="B85" s="226">
        <v>43222</v>
      </c>
      <c r="C85" s="216"/>
      <c r="D85" s="216" t="str">
        <f>IF(C85&lt;&gt;"",VLOOKUP(C85,[1]DSKH!B:E,2,0),"")</f>
        <v/>
      </c>
      <c r="E85" s="215"/>
      <c r="F85" s="216"/>
      <c r="G85" s="216" t="str">
        <f>IF(C85&lt;&gt;"",VLOOKUP(C85,DSKH!B:E,3,0),"")</f>
        <v/>
      </c>
      <c r="H85" s="222"/>
      <c r="I85" s="217"/>
      <c r="J85" s="224"/>
      <c r="K85" s="216" t="str">
        <f>IF(C85&lt;&gt;"",VLOOKUP(C85,[1]DSKH!B:E,4,0),"")</f>
        <v/>
      </c>
      <c r="L85" s="216"/>
      <c r="M85" s="216" t="str">
        <f t="shared" si="2"/>
        <v>-  -MAY 02-</v>
      </c>
    </row>
    <row r="86" spans="1:13">
      <c r="A86" s="216" t="str">
        <f>IF(C86&lt;&gt;"",SUBTOTAL(103,$C$12:C86),"")</f>
        <v/>
      </c>
      <c r="B86" s="226">
        <v>43222</v>
      </c>
      <c r="C86" s="216"/>
      <c r="D86" s="216" t="str">
        <f>IF(C86&lt;&gt;"",VLOOKUP(C86,[1]DSKH!B:E,2,0),"")</f>
        <v/>
      </c>
      <c r="E86" s="215"/>
      <c r="F86" s="216"/>
      <c r="G86" s="216" t="str">
        <f>IF(C86&lt;&gt;"",VLOOKUP(C86,DSKH!B:E,3,0),"")</f>
        <v/>
      </c>
      <c r="H86" s="222"/>
      <c r="I86" s="217"/>
      <c r="J86" s="224"/>
      <c r="K86" s="216" t="str">
        <f>IF(C86&lt;&gt;"",VLOOKUP(C86,[1]DSKH!B:E,4,0),"")</f>
        <v/>
      </c>
      <c r="L86" s="216"/>
      <c r="M86" s="216" t="str">
        <f t="shared" si="2"/>
        <v>-  -MAY 02-</v>
      </c>
    </row>
    <row r="87" spans="1:13">
      <c r="A87" s="216" t="str">
        <f>IF(C87&lt;&gt;"",SUBTOTAL(103,$C$12:C87),"")</f>
        <v/>
      </c>
      <c r="B87" s="226">
        <v>43222</v>
      </c>
      <c r="C87" s="216"/>
      <c r="D87" s="216" t="str">
        <f>IF(C87&lt;&gt;"",VLOOKUP(C87,[1]DSKH!B:E,2,0),"")</f>
        <v/>
      </c>
      <c r="E87" s="215"/>
      <c r="F87" s="216"/>
      <c r="G87" s="216" t="str">
        <f>IF(C87&lt;&gt;"",VLOOKUP(C87,DSKH!B:E,3,0),"")</f>
        <v/>
      </c>
      <c r="H87" s="222"/>
      <c r="I87" s="217"/>
      <c r="J87" s="224"/>
      <c r="K87" s="216" t="str">
        <f>IF(C87&lt;&gt;"",VLOOKUP(C87,[1]DSKH!B:E,4,0),"")</f>
        <v/>
      </c>
      <c r="L87" s="216"/>
      <c r="M87" s="216" t="str">
        <f t="shared" si="2"/>
        <v>-  -MAY 02-</v>
      </c>
    </row>
    <row r="88" spans="1:13">
      <c r="A88" s="216" t="str">
        <f>IF(C88&lt;&gt;"",SUBTOTAL(103,$C$12:C88),"")</f>
        <v/>
      </c>
      <c r="B88" s="226">
        <v>43222</v>
      </c>
      <c r="C88" s="216"/>
      <c r="D88" s="216" t="str">
        <f>IF(C88&lt;&gt;"",VLOOKUP(C88,[1]DSKH!B:E,2,0),"")</f>
        <v/>
      </c>
      <c r="E88" s="215"/>
      <c r="F88" s="216"/>
      <c r="G88" s="216" t="str">
        <f>IF(C88&lt;&gt;"",VLOOKUP(C88,DSKH!B:E,3,0),"")</f>
        <v/>
      </c>
      <c r="H88" s="222"/>
      <c r="I88" s="217"/>
      <c r="J88" s="224"/>
      <c r="K88" s="216" t="str">
        <f>IF(C88&lt;&gt;"",VLOOKUP(C88,[1]DSKH!B:E,4,0),"")</f>
        <v/>
      </c>
      <c r="L88" s="216"/>
      <c r="M88" s="216" t="str">
        <f t="shared" si="2"/>
        <v>-  -MAY 02-</v>
      </c>
    </row>
    <row r="89" spans="1:13">
      <c r="A89" s="216" t="str">
        <f>IF(C89&lt;&gt;"",SUBTOTAL(103,$C$12:C89),"")</f>
        <v/>
      </c>
      <c r="B89" s="226">
        <v>43222</v>
      </c>
      <c r="C89" s="216"/>
      <c r="D89" s="216" t="str">
        <f>IF(C89&lt;&gt;"",VLOOKUP(C89,[1]DSKH!B:E,2,0),"")</f>
        <v/>
      </c>
      <c r="E89" s="215"/>
      <c r="F89" s="216"/>
      <c r="G89" s="216" t="str">
        <f>IF(C89&lt;&gt;"",VLOOKUP(C89,DSKH!B:E,3,0),"")</f>
        <v/>
      </c>
      <c r="H89" s="222"/>
      <c r="I89" s="217"/>
      <c r="J89" s="224"/>
      <c r="K89" s="216" t="str">
        <f>IF(C89&lt;&gt;"",VLOOKUP(C89,[1]DSKH!B:E,4,0),"")</f>
        <v/>
      </c>
      <c r="L89" s="216"/>
      <c r="M89" s="216" t="str">
        <f t="shared" si="2"/>
        <v>-  -MAY 02-</v>
      </c>
    </row>
    <row r="90" spans="1:13">
      <c r="A90" s="216" t="str">
        <f>IF(C90&lt;&gt;"",SUBTOTAL(103,$C$12:C90),"")</f>
        <v/>
      </c>
      <c r="B90" s="226">
        <v>43222</v>
      </c>
      <c r="C90" s="216"/>
      <c r="D90" s="216" t="str">
        <f>IF(C90&lt;&gt;"",VLOOKUP(C90,[1]DSKH!B:E,2,0),"")</f>
        <v/>
      </c>
      <c r="E90" s="215"/>
      <c r="F90" s="216"/>
      <c r="G90" s="216" t="str">
        <f>IF(C90&lt;&gt;"",VLOOKUP(C90,DSKH!B:E,3,0),"")</f>
        <v/>
      </c>
      <c r="H90" s="222"/>
      <c r="I90" s="217"/>
      <c r="J90" s="224"/>
      <c r="K90" s="216" t="str">
        <f>IF(C90&lt;&gt;"",VLOOKUP(C90,[1]DSKH!B:E,4,0),"")</f>
        <v/>
      </c>
      <c r="L90" s="216"/>
      <c r="M90" s="216" t="str">
        <f t="shared" si="2"/>
        <v>-  -MAY 02-</v>
      </c>
    </row>
    <row r="91" spans="1:13">
      <c r="A91" s="216" t="str">
        <f>IF(C91&lt;&gt;"",SUBTOTAL(103,$C$12:C91),"")</f>
        <v/>
      </c>
      <c r="B91" s="226">
        <v>43222</v>
      </c>
      <c r="C91" s="216"/>
      <c r="D91" s="216" t="str">
        <f>IF(C91&lt;&gt;"",VLOOKUP(C91,[1]DSKH!B:E,2,0),"")</f>
        <v/>
      </c>
      <c r="E91" s="215"/>
      <c r="F91" s="216"/>
      <c r="G91" s="216" t="str">
        <f>IF(C91&lt;&gt;"",VLOOKUP(C91,DSKH!B:E,3,0),"")</f>
        <v/>
      </c>
      <c r="H91" s="222"/>
      <c r="I91" s="217"/>
      <c r="J91" s="224"/>
      <c r="K91" s="216" t="str">
        <f>IF(C91&lt;&gt;"",VLOOKUP(C91,[1]DSKH!B:E,4,0),"")</f>
        <v/>
      </c>
      <c r="L91" s="216"/>
      <c r="M91" s="216" t="str">
        <f t="shared" si="2"/>
        <v>-  -MAY 02-</v>
      </c>
    </row>
    <row r="92" spans="1:13">
      <c r="A92" s="216" t="str">
        <f>IF(C92&lt;&gt;"",SUBTOTAL(103,$C$12:C92),"")</f>
        <v/>
      </c>
      <c r="B92" s="226">
        <v>43222</v>
      </c>
      <c r="C92" s="216"/>
      <c r="D92" s="216" t="str">
        <f>IF(C92&lt;&gt;"",VLOOKUP(C92,[1]DSKH!B:E,2,0),"")</f>
        <v/>
      </c>
      <c r="E92" s="215"/>
      <c r="F92" s="216"/>
      <c r="G92" s="216" t="str">
        <f>IF(C92&lt;&gt;"",VLOOKUP(C92,DSKH!B:E,3,0),"")</f>
        <v/>
      </c>
      <c r="H92" s="222"/>
      <c r="I92" s="217"/>
      <c r="J92" s="224"/>
      <c r="K92" s="216" t="str">
        <f>IF(C92&lt;&gt;"",VLOOKUP(C92,[1]DSKH!B:E,4,0),"")</f>
        <v/>
      </c>
      <c r="L92" s="216"/>
      <c r="M92" s="216" t="str">
        <f t="shared" si="2"/>
        <v>-  -MAY 02-</v>
      </c>
    </row>
    <row r="93" spans="1:13">
      <c r="A93" s="216" t="str">
        <f>IF(C93&lt;&gt;"",SUBTOTAL(103,$C$12:C93),"")</f>
        <v/>
      </c>
      <c r="B93" s="226">
        <v>43222</v>
      </c>
      <c r="C93" s="216"/>
      <c r="D93" s="216" t="str">
        <f>IF(C93&lt;&gt;"",VLOOKUP(C93,[1]DSKH!B:E,2,0),"")</f>
        <v/>
      </c>
      <c r="E93" s="215"/>
      <c r="F93" s="216"/>
      <c r="G93" s="216" t="str">
        <f>IF(C93&lt;&gt;"",VLOOKUP(C93,DSKH!B:E,3,0),"")</f>
        <v/>
      </c>
      <c r="H93" s="222"/>
      <c r="I93" s="217"/>
      <c r="J93" s="224"/>
      <c r="K93" s="216" t="str">
        <f>IF(C93&lt;&gt;"",VLOOKUP(C93,[1]DSKH!B:E,4,0),"")</f>
        <v/>
      </c>
      <c r="L93" s="216"/>
      <c r="M93" s="216" t="str">
        <f t="shared" si="2"/>
        <v>-  -MAY 02-</v>
      </c>
    </row>
    <row r="94" spans="1:13">
      <c r="A94" s="216" t="str">
        <f>IF(C94&lt;&gt;"",SUBTOTAL(103,$C$12:C94),"")</f>
        <v/>
      </c>
      <c r="B94" s="226">
        <v>43222</v>
      </c>
      <c r="C94" s="216"/>
      <c r="D94" s="216" t="str">
        <f>IF(C94&lt;&gt;"",VLOOKUP(C94,[1]DSKH!B:E,2,0),"")</f>
        <v/>
      </c>
      <c r="E94" s="215"/>
      <c r="F94" s="216"/>
      <c r="G94" s="216" t="str">
        <f>IF(C94&lt;&gt;"",VLOOKUP(C94,DSKH!B:E,3,0),"")</f>
        <v/>
      </c>
      <c r="H94" s="222"/>
      <c r="I94" s="217"/>
      <c r="J94" s="224"/>
      <c r="K94" s="216" t="str">
        <f>IF(C94&lt;&gt;"",VLOOKUP(C94,[1]DSKH!B:E,4,0),"")</f>
        <v/>
      </c>
      <c r="L94" s="216"/>
      <c r="M94" s="216" t="str">
        <f t="shared" si="2"/>
        <v>-  -MAY 02-</v>
      </c>
    </row>
    <row r="95" spans="1:13">
      <c r="A95" s="216" t="str">
        <f>IF(C95&lt;&gt;"",SUBTOTAL(103,$C$12:C95),"")</f>
        <v/>
      </c>
      <c r="B95" s="226">
        <v>43222</v>
      </c>
      <c r="C95" s="216"/>
      <c r="D95" s="216" t="str">
        <f>IF(C95&lt;&gt;"",VLOOKUP(C95,[1]DSKH!B:E,2,0),"")</f>
        <v/>
      </c>
      <c r="E95" s="215"/>
      <c r="F95" s="216"/>
      <c r="G95" s="216" t="str">
        <f>IF(C95&lt;&gt;"",VLOOKUP(C95,DSKH!B:E,3,0),"")</f>
        <v/>
      </c>
      <c r="H95" s="222"/>
      <c r="I95" s="217"/>
      <c r="J95" s="224"/>
      <c r="K95" s="216" t="str">
        <f>IF(C95&lt;&gt;"",VLOOKUP(C95,[1]DSKH!B:E,4,0),"")</f>
        <v/>
      </c>
      <c r="L95" s="216"/>
      <c r="M95" s="216" t="str">
        <f t="shared" si="2"/>
        <v>-  -MAY 02-</v>
      </c>
    </row>
    <row r="96" spans="1:13">
      <c r="A96" s="216" t="str">
        <f>IF(C96&lt;&gt;"",SUBTOTAL(103,$C$12:C96),"")</f>
        <v/>
      </c>
      <c r="B96" s="226">
        <v>43222</v>
      </c>
      <c r="C96" s="216"/>
      <c r="D96" s="216" t="str">
        <f>IF(C96&lt;&gt;"",VLOOKUP(C96,[1]DSKH!B:E,2,0),"")</f>
        <v/>
      </c>
      <c r="E96" s="215"/>
      <c r="F96" s="216"/>
      <c r="G96" s="216" t="str">
        <f>IF(C96&lt;&gt;"",VLOOKUP(C96,DSKH!B:E,3,0),"")</f>
        <v/>
      </c>
      <c r="H96" s="222"/>
      <c r="I96" s="217"/>
      <c r="J96" s="224"/>
      <c r="K96" s="216" t="str">
        <f>IF(C96&lt;&gt;"",VLOOKUP(C96,[1]DSKH!B:E,4,0),"")</f>
        <v/>
      </c>
      <c r="L96" s="216"/>
      <c r="M96" s="216" t="str">
        <f t="shared" si="2"/>
        <v>-  -MAY 02-</v>
      </c>
    </row>
    <row r="97" spans="1:13">
      <c r="A97" s="216" t="str">
        <f>IF(C97&lt;&gt;"",SUBTOTAL(103,$C$12:C97),"")</f>
        <v/>
      </c>
      <c r="B97" s="226">
        <v>43222</v>
      </c>
      <c r="C97" s="216"/>
      <c r="D97" s="216" t="str">
        <f>IF(C97&lt;&gt;"",VLOOKUP(C97,[1]DSKH!B:E,2,0),"")</f>
        <v/>
      </c>
      <c r="E97" s="215"/>
      <c r="F97" s="216"/>
      <c r="G97" s="216" t="str">
        <f>IF(C97&lt;&gt;"",VLOOKUP(C97,DSKH!B:E,3,0),"")</f>
        <v/>
      </c>
      <c r="H97" s="222"/>
      <c r="I97" s="217"/>
      <c r="J97" s="224"/>
      <c r="K97" s="216" t="str">
        <f>IF(C97&lt;&gt;"",VLOOKUP(C97,[1]DSKH!B:E,4,0),"")</f>
        <v/>
      </c>
      <c r="L97" s="216"/>
      <c r="M97" s="216" t="str">
        <f t="shared" si="2"/>
        <v>-  -MAY 02-</v>
      </c>
    </row>
    <row r="98" spans="1:13">
      <c r="A98" s="216" t="str">
        <f>IF(C98&lt;&gt;"",SUBTOTAL(103,$C$12:C98),"")</f>
        <v/>
      </c>
      <c r="B98" s="226">
        <v>43222</v>
      </c>
      <c r="C98" s="216"/>
      <c r="D98" s="216" t="str">
        <f>IF(C98&lt;&gt;"",VLOOKUP(C98,[1]DSKH!B:E,2,0),"")</f>
        <v/>
      </c>
      <c r="E98" s="215"/>
      <c r="F98" s="216"/>
      <c r="G98" s="216" t="str">
        <f>IF(C98&lt;&gt;"",VLOOKUP(C98,DSKH!B:E,3,0),"")</f>
        <v/>
      </c>
      <c r="H98" s="222"/>
      <c r="I98" s="217"/>
      <c r="J98" s="224"/>
      <c r="K98" s="216" t="str">
        <f>IF(C98&lt;&gt;"",VLOOKUP(C98,[1]DSKH!B:E,4,0),"")</f>
        <v/>
      </c>
      <c r="L98" s="216"/>
      <c r="M98" s="216" t="str">
        <f t="shared" si="2"/>
        <v>-  -MAY 02-</v>
      </c>
    </row>
    <row r="99" spans="1:13">
      <c r="A99" s="216" t="str">
        <f>IF(C99&lt;&gt;"",SUBTOTAL(103,$C$12:C99),"")</f>
        <v/>
      </c>
      <c r="B99" s="226">
        <v>43222</v>
      </c>
      <c r="C99" s="216"/>
      <c r="D99" s="216" t="str">
        <f>IF(C99&lt;&gt;"",VLOOKUP(C99,[1]DSKH!B:E,2,0),"")</f>
        <v/>
      </c>
      <c r="E99" s="215"/>
      <c r="F99" s="216"/>
      <c r="G99" s="216" t="str">
        <f>IF(C99&lt;&gt;"",VLOOKUP(C99,DSKH!B:E,3,0),"")</f>
        <v/>
      </c>
      <c r="H99" s="222"/>
      <c r="I99" s="217"/>
      <c r="J99" s="224"/>
      <c r="K99" s="216" t="str">
        <f>IF(C99&lt;&gt;"",VLOOKUP(C99,[1]DSKH!B:E,4,0),"")</f>
        <v/>
      </c>
      <c r="L99" s="216"/>
      <c r="M99" s="216" t="str">
        <f t="shared" si="2"/>
        <v>-  -MAY 02-</v>
      </c>
    </row>
    <row r="100" spans="1:13">
      <c r="A100" s="216" t="str">
        <f>IF(C100&lt;&gt;"",SUBTOTAL(103,$C$12:C100),"")</f>
        <v/>
      </c>
      <c r="B100" s="226">
        <v>43222</v>
      </c>
      <c r="C100" s="216"/>
      <c r="D100" s="216" t="str">
        <f>IF(C100&lt;&gt;"",VLOOKUP(C100,[1]DSKH!B:E,2,0),"")</f>
        <v/>
      </c>
      <c r="E100" s="215"/>
      <c r="F100" s="216"/>
      <c r="G100" s="216" t="str">
        <f>IF(C100&lt;&gt;"",VLOOKUP(C100,DSKH!B:E,3,0),"")</f>
        <v/>
      </c>
      <c r="H100" s="222"/>
      <c r="I100" s="217"/>
      <c r="J100" s="224"/>
      <c r="K100" s="216" t="str">
        <f>IF(C100&lt;&gt;"",VLOOKUP(C100,[1]DSKH!B:E,4,0),"")</f>
        <v/>
      </c>
      <c r="L100" s="216"/>
      <c r="M100" s="216" t="str">
        <f t="shared" si="2"/>
        <v>-  -MAY 02-</v>
      </c>
    </row>
    <row r="101" spans="1:13">
      <c r="A101" s="216" t="str">
        <f>IF(C101&lt;&gt;"",SUBTOTAL(103,$C$12:C101),"")</f>
        <v/>
      </c>
      <c r="B101" s="226">
        <v>43222</v>
      </c>
      <c r="C101" s="216"/>
      <c r="D101" s="216" t="str">
        <f>IF(C101&lt;&gt;"",VLOOKUP(C101,[1]DSKH!B:E,2,0),"")</f>
        <v/>
      </c>
      <c r="E101" s="215"/>
      <c r="F101" s="216"/>
      <c r="G101" s="216" t="str">
        <f>IF(C101&lt;&gt;"",VLOOKUP(C101,DSKH!B:E,3,0),"")</f>
        <v/>
      </c>
      <c r="H101" s="222"/>
      <c r="I101" s="217"/>
      <c r="J101" s="224"/>
      <c r="K101" s="216" t="str">
        <f>IF(C101&lt;&gt;"",VLOOKUP(C101,[1]DSKH!B:E,4,0),"")</f>
        <v/>
      </c>
      <c r="L101" s="216"/>
      <c r="M101" s="216" t="str">
        <f t="shared" si="2"/>
        <v>-  -MAY 02-</v>
      </c>
    </row>
    <row r="102" spans="1:13">
      <c r="A102" s="216" t="str">
        <f>IF(C102&lt;&gt;"",SUBTOTAL(103,$C$12:C102),"")</f>
        <v/>
      </c>
      <c r="B102" s="226">
        <v>43222</v>
      </c>
      <c r="C102" s="216"/>
      <c r="D102" s="216" t="str">
        <f>IF(C102&lt;&gt;"",VLOOKUP(C102,[1]DSKH!B:E,2,0),"")</f>
        <v/>
      </c>
      <c r="E102" s="215"/>
      <c r="F102" s="216"/>
      <c r="G102" s="216" t="str">
        <f>IF(C102&lt;&gt;"",VLOOKUP(C102,DSKH!B:E,3,0),"")</f>
        <v/>
      </c>
      <c r="H102" s="222"/>
      <c r="I102" s="217"/>
      <c r="J102" s="224"/>
      <c r="K102" s="216" t="str">
        <f>IF(C102&lt;&gt;"",VLOOKUP(C102,[1]DSKH!B:E,4,0),"")</f>
        <v/>
      </c>
      <c r="L102" s="216"/>
      <c r="M102" s="216" t="str">
        <f t="shared" si="2"/>
        <v>-  -MAY 02-</v>
      </c>
    </row>
    <row r="103" spans="1:13">
      <c r="A103" s="216" t="str">
        <f>IF(C103&lt;&gt;"",SUBTOTAL(103,$C$12:C103),"")</f>
        <v/>
      </c>
      <c r="B103" s="226">
        <v>43222</v>
      </c>
      <c r="C103" s="216"/>
      <c r="D103" s="216" t="str">
        <f>IF(C103&lt;&gt;"",VLOOKUP(C103,[1]DSKH!B:E,2,0),"")</f>
        <v/>
      </c>
      <c r="E103" s="215"/>
      <c r="F103" s="216"/>
      <c r="G103" s="216" t="str">
        <f>IF(C103&lt;&gt;"",VLOOKUP(C103,DSKH!B:E,3,0),"")</f>
        <v/>
      </c>
      <c r="H103" s="222"/>
      <c r="I103" s="217"/>
      <c r="J103" s="224"/>
      <c r="K103" s="216" t="str">
        <f>IF(C103&lt;&gt;"",VLOOKUP(C103,[1]DSKH!B:E,4,0),"")</f>
        <v/>
      </c>
      <c r="L103" s="216"/>
      <c r="M103" s="216" t="str">
        <f t="shared" si="2"/>
        <v>-  -MAY 02-</v>
      </c>
    </row>
    <row r="104" spans="1:13">
      <c r="A104" s="216" t="str">
        <f>IF(C104&lt;&gt;"",SUBTOTAL(103,$C$12:C104),"")</f>
        <v/>
      </c>
      <c r="B104" s="226">
        <v>43222</v>
      </c>
      <c r="C104" s="216"/>
      <c r="D104" s="216" t="str">
        <f>IF(C104&lt;&gt;"",VLOOKUP(C104,[1]DSKH!B:E,2,0),"")</f>
        <v/>
      </c>
      <c r="E104" s="215"/>
      <c r="F104" s="216"/>
      <c r="G104" s="216" t="str">
        <f>IF(C104&lt;&gt;"",VLOOKUP(C104,DSKH!B:E,3,0),"")</f>
        <v/>
      </c>
      <c r="H104" s="222"/>
      <c r="I104" s="217"/>
      <c r="J104" s="224"/>
      <c r="K104" s="216" t="str">
        <f>IF(C104&lt;&gt;"",VLOOKUP(C104,[1]DSKH!B:E,4,0),"")</f>
        <v/>
      </c>
      <c r="L104" s="216"/>
      <c r="M104" s="216" t="str">
        <f t="shared" si="2"/>
        <v>-  -MAY 02-</v>
      </c>
    </row>
    <row r="105" spans="1:13">
      <c r="A105" s="216" t="str">
        <f>IF(C105&lt;&gt;"",SUBTOTAL(103,$C$12:C105),"")</f>
        <v/>
      </c>
      <c r="B105" s="226">
        <v>43222</v>
      </c>
      <c r="C105" s="216"/>
      <c r="D105" s="216" t="str">
        <f>IF(C105&lt;&gt;"",VLOOKUP(C105,[1]DSKH!B:E,2,0),"")</f>
        <v/>
      </c>
      <c r="E105" s="215"/>
      <c r="F105" s="216"/>
      <c r="G105" s="216" t="str">
        <f>IF(C105&lt;&gt;"",VLOOKUP(C105,DSKH!B:E,3,0),"")</f>
        <v/>
      </c>
      <c r="H105" s="222"/>
      <c r="I105" s="217"/>
      <c r="J105" s="224"/>
      <c r="K105" s="216" t="str">
        <f>IF(C105&lt;&gt;"",VLOOKUP(C105,[1]DSKH!B:E,4,0),"")</f>
        <v/>
      </c>
      <c r="L105" s="216"/>
      <c r="M105" s="216" t="str">
        <f t="shared" si="2"/>
        <v>-  -MAY 02-</v>
      </c>
    </row>
    <row r="106" spans="1:13">
      <c r="A106" s="216" t="str">
        <f>IF(C106&lt;&gt;"",SUBTOTAL(103,$C$12:C106),"")</f>
        <v/>
      </c>
      <c r="B106" s="226">
        <v>43222</v>
      </c>
      <c r="C106" s="216"/>
      <c r="D106" s="216" t="str">
        <f>IF(C106&lt;&gt;"",VLOOKUP(C106,[1]DSKH!B:E,2,0),"")</f>
        <v/>
      </c>
      <c r="E106" s="215"/>
      <c r="F106" s="216"/>
      <c r="G106" s="216" t="str">
        <f>IF(C106&lt;&gt;"",VLOOKUP(C106,DSKH!B:E,3,0),"")</f>
        <v/>
      </c>
      <c r="H106" s="222"/>
      <c r="I106" s="217"/>
      <c r="J106" s="224"/>
      <c r="K106" s="216" t="str">
        <f>IF(C106&lt;&gt;"",VLOOKUP(C106,[1]DSKH!B:E,4,0),"")</f>
        <v/>
      </c>
      <c r="L106" s="216"/>
      <c r="M106" s="216" t="str">
        <f t="shared" si="2"/>
        <v>-  -MAY 02-</v>
      </c>
    </row>
    <row r="107" spans="1:13">
      <c r="A107" s="216" t="str">
        <f>IF(C107&lt;&gt;"",SUBTOTAL(103,$C$12:C107),"")</f>
        <v/>
      </c>
      <c r="B107" s="226">
        <v>43222</v>
      </c>
      <c r="C107" s="216"/>
      <c r="D107" s="216" t="str">
        <f>IF(C107&lt;&gt;"",VLOOKUP(C107,[1]DSKH!B:E,2,0),"")</f>
        <v/>
      </c>
      <c r="E107" s="215"/>
      <c r="F107" s="216"/>
      <c r="G107" s="216" t="str">
        <f>IF(C107&lt;&gt;"",VLOOKUP(C107,DSKH!B:E,3,0),"")</f>
        <v/>
      </c>
      <c r="H107" s="222"/>
      <c r="I107" s="217"/>
      <c r="J107" s="224"/>
      <c r="K107" s="216" t="str">
        <f>IF(C107&lt;&gt;"",VLOOKUP(C107,[1]DSKH!B:E,4,0),"")</f>
        <v/>
      </c>
      <c r="L107" s="216"/>
      <c r="M107" s="216" t="str">
        <f t="shared" si="2"/>
        <v>-  -MAY 02-</v>
      </c>
    </row>
    <row r="108" spans="1:13">
      <c r="A108" s="216" t="str">
        <f>IF(C108&lt;&gt;"",SUBTOTAL(103,$C$12:C108),"")</f>
        <v/>
      </c>
      <c r="B108" s="226">
        <v>43222</v>
      </c>
      <c r="C108" s="216"/>
      <c r="D108" s="216" t="str">
        <f>IF(C108&lt;&gt;"",VLOOKUP(C108,[1]DSKH!B:E,2,0),"")</f>
        <v/>
      </c>
      <c r="E108" s="215"/>
      <c r="F108" s="216"/>
      <c r="G108" s="216" t="str">
        <f>IF(C108&lt;&gt;"",VLOOKUP(C108,DSKH!B:E,3,0),"")</f>
        <v/>
      </c>
      <c r="H108" s="222"/>
      <c r="I108" s="217"/>
      <c r="J108" s="224"/>
      <c r="K108" s="216" t="str">
        <f>IF(C108&lt;&gt;"",VLOOKUP(C108,[1]DSKH!B:E,4,0),"")</f>
        <v/>
      </c>
      <c r="L108" s="216"/>
      <c r="M108" s="216" t="str">
        <f t="shared" si="2"/>
        <v>-  -MAY 02-</v>
      </c>
    </row>
    <row r="109" spans="1:13">
      <c r="A109" s="216" t="str">
        <f>IF(C109&lt;&gt;"",SUBTOTAL(103,$C$12:C109),"")</f>
        <v/>
      </c>
      <c r="B109" s="226">
        <v>43222</v>
      </c>
      <c r="C109" s="216"/>
      <c r="D109" s="216" t="str">
        <f>IF(C109&lt;&gt;"",VLOOKUP(C109,[1]DSKH!B:E,2,0),"")</f>
        <v/>
      </c>
      <c r="E109" s="215"/>
      <c r="F109" s="216"/>
      <c r="G109" s="216" t="str">
        <f>IF(C109&lt;&gt;"",VLOOKUP(C109,DSKH!B:E,3,0),"")</f>
        <v/>
      </c>
      <c r="H109" s="222"/>
      <c r="I109" s="217"/>
      <c r="J109" s="224"/>
      <c r="K109" s="216" t="str">
        <f>IF(C109&lt;&gt;"",VLOOKUP(C109,[1]DSKH!B:E,4,0),"")</f>
        <v/>
      </c>
      <c r="L109" s="216"/>
      <c r="M109" s="216" t="str">
        <f t="shared" si="2"/>
        <v>-  -MAY 02-</v>
      </c>
    </row>
    <row r="110" spans="1:13">
      <c r="A110" s="216" t="str">
        <f>IF(C110&lt;&gt;"",SUBTOTAL(103,$C$12:C110),"")</f>
        <v/>
      </c>
      <c r="B110" s="226">
        <v>43222</v>
      </c>
      <c r="C110" s="216"/>
      <c r="D110" s="216" t="str">
        <f>IF(C110&lt;&gt;"",VLOOKUP(C110,[1]DSKH!B:E,2,0),"")</f>
        <v/>
      </c>
      <c r="E110" s="215"/>
      <c r="F110" s="216"/>
      <c r="G110" s="216" t="str">
        <f>IF(C110&lt;&gt;"",VLOOKUP(C110,DSKH!B:E,3,0),"")</f>
        <v/>
      </c>
      <c r="H110" s="222"/>
      <c r="I110" s="217"/>
      <c r="J110" s="224"/>
      <c r="K110" s="216" t="str">
        <f>IF(C110&lt;&gt;"",VLOOKUP(C110,[1]DSKH!B:E,4,0),"")</f>
        <v/>
      </c>
      <c r="L110" s="216"/>
      <c r="M110" s="216" t="str">
        <f t="shared" si="2"/>
        <v>-  -MAY 02-</v>
      </c>
    </row>
    <row r="111" spans="1:13">
      <c r="A111" s="216" t="str">
        <f>IF(C111&lt;&gt;"",SUBTOTAL(103,$C$12:C111),"")</f>
        <v/>
      </c>
      <c r="B111" s="226">
        <v>43222</v>
      </c>
      <c r="C111" s="216"/>
      <c r="D111" s="216" t="str">
        <f>IF(C111&lt;&gt;"",VLOOKUP(C111,[1]DSKH!B:E,2,0),"")</f>
        <v/>
      </c>
      <c r="E111" s="215"/>
      <c r="F111" s="216"/>
      <c r="G111" s="216" t="str">
        <f>IF(C111&lt;&gt;"",VLOOKUP(C111,DSKH!B:E,3,0),"")</f>
        <v/>
      </c>
      <c r="H111" s="222"/>
      <c r="I111" s="217"/>
      <c r="J111" s="224"/>
      <c r="K111" s="216" t="str">
        <f>IF(C111&lt;&gt;"",VLOOKUP(C111,[1]DSKH!B:E,4,0),"")</f>
        <v/>
      </c>
      <c r="L111" s="216"/>
      <c r="M111" s="216" t="str">
        <f t="shared" si="2"/>
        <v>-  -MAY 02-</v>
      </c>
    </row>
    <row r="112" spans="1:13">
      <c r="A112" s="216" t="str">
        <f>IF(C112&lt;&gt;"",SUBTOTAL(103,$C$12:C112),"")</f>
        <v/>
      </c>
      <c r="B112" s="226">
        <v>43222</v>
      </c>
      <c r="C112" s="216"/>
      <c r="D112" s="216" t="str">
        <f>IF(C112&lt;&gt;"",VLOOKUP(C112,[1]DSKH!B:E,2,0),"")</f>
        <v/>
      </c>
      <c r="E112" s="215"/>
      <c r="F112" s="216"/>
      <c r="G112" s="216" t="str">
        <f>IF(C112&lt;&gt;"",VLOOKUP(C112,DSKH!B:E,3,0),"")</f>
        <v/>
      </c>
      <c r="H112" s="222"/>
      <c r="I112" s="217"/>
      <c r="J112" s="224"/>
      <c r="K112" s="216" t="str">
        <f>IF(C112&lt;&gt;"",VLOOKUP(C112,[1]DSKH!B:E,4,0),"")</f>
        <v/>
      </c>
      <c r="L112" s="216"/>
      <c r="M112" s="216" t="str">
        <f t="shared" si="2"/>
        <v>-  -MAY 02-</v>
      </c>
    </row>
    <row r="113" spans="1:13">
      <c r="A113" s="216" t="str">
        <f>IF(C113&lt;&gt;"",SUBTOTAL(103,$C$12:C113),"")</f>
        <v/>
      </c>
      <c r="B113" s="226">
        <v>43222</v>
      </c>
      <c r="C113" s="216"/>
      <c r="D113" s="216" t="str">
        <f>IF(C113&lt;&gt;"",VLOOKUP(C113,[1]DSKH!B:E,2,0),"")</f>
        <v/>
      </c>
      <c r="E113" s="215"/>
      <c r="F113" s="216"/>
      <c r="G113" s="216" t="str">
        <f>IF(C113&lt;&gt;"",VLOOKUP(C113,DSKH!B:E,3,0),"")</f>
        <v/>
      </c>
      <c r="H113" s="222"/>
      <c r="I113" s="217"/>
      <c r="J113" s="224"/>
      <c r="K113" s="216" t="str">
        <f>IF(C113&lt;&gt;"",VLOOKUP(C113,[1]DSKH!B:E,4,0),"")</f>
        <v/>
      </c>
      <c r="L113" s="216"/>
      <c r="M113" s="216" t="str">
        <f t="shared" si="2"/>
        <v>-  -MAY 02-</v>
      </c>
    </row>
    <row r="114" spans="1:13">
      <c r="A114" s="216" t="str">
        <f>IF(C114&lt;&gt;"",SUBTOTAL(103,$C$12:C114),"")</f>
        <v/>
      </c>
      <c r="B114" s="226">
        <v>43222</v>
      </c>
      <c r="C114" s="216"/>
      <c r="D114" s="216" t="str">
        <f>IF(C114&lt;&gt;"",VLOOKUP(C114,[1]DSKH!B:E,2,0),"")</f>
        <v/>
      </c>
      <c r="E114" s="215"/>
      <c r="F114" s="216"/>
      <c r="G114" s="216" t="str">
        <f>IF(C114&lt;&gt;"",VLOOKUP(C114,DSKH!B:E,3,0),"")</f>
        <v/>
      </c>
      <c r="H114" s="222"/>
      <c r="I114" s="217"/>
      <c r="J114" s="224"/>
      <c r="K114" s="216" t="str">
        <f>IF(C114&lt;&gt;"",VLOOKUP(C114,[1]DSKH!B:E,4,0),"")</f>
        <v/>
      </c>
      <c r="L114" s="216"/>
      <c r="M114" s="216" t="str">
        <f t="shared" si="2"/>
        <v>-  -MAY 02-</v>
      </c>
    </row>
    <row r="115" spans="1:13">
      <c r="A115" s="216" t="str">
        <f>IF(C115&lt;&gt;"",SUBTOTAL(103,$C$12:C115),"")</f>
        <v/>
      </c>
      <c r="B115" s="226">
        <v>43222</v>
      </c>
      <c r="C115" s="216"/>
      <c r="D115" s="216" t="str">
        <f>IF(C115&lt;&gt;"",VLOOKUP(C115,[1]DSKH!B:E,2,0),"")</f>
        <v/>
      </c>
      <c r="E115" s="215"/>
      <c r="F115" s="216"/>
      <c r="G115" s="216" t="str">
        <f>IF(C115&lt;&gt;"",VLOOKUP(C115,DSKH!B:E,3,0),"")</f>
        <v/>
      </c>
      <c r="H115" s="222"/>
      <c r="I115" s="217"/>
      <c r="J115" s="224"/>
      <c r="K115" s="216" t="str">
        <f>IF(C115&lt;&gt;"",VLOOKUP(C115,[1]DSKH!B:E,4,0),"")</f>
        <v/>
      </c>
      <c r="L115" s="216"/>
      <c r="M115" s="216" t="str">
        <f t="shared" si="2"/>
        <v>-  -MAY 02-</v>
      </c>
    </row>
    <row r="116" spans="1:13">
      <c r="A116" s="216" t="str">
        <f>IF(C116&lt;&gt;"",SUBTOTAL(103,$C$12:C116),"")</f>
        <v/>
      </c>
      <c r="B116" s="226">
        <v>43222</v>
      </c>
      <c r="C116" s="216"/>
      <c r="D116" s="216" t="str">
        <f>IF(C116&lt;&gt;"",VLOOKUP(C116,[1]DSKH!B:E,2,0),"")</f>
        <v/>
      </c>
      <c r="E116" s="215"/>
      <c r="F116" s="216"/>
      <c r="G116" s="216" t="str">
        <f>IF(C116&lt;&gt;"",VLOOKUP(C116,DSKH!B:E,3,0),"")</f>
        <v/>
      </c>
      <c r="H116" s="222"/>
      <c r="I116" s="217"/>
      <c r="J116" s="224"/>
      <c r="K116" s="216" t="str">
        <f>IF(C116&lt;&gt;"",VLOOKUP(C116,[1]DSKH!B:E,4,0),"")</f>
        <v/>
      </c>
      <c r="L116" s="216"/>
      <c r="M116" s="216" t="str">
        <f t="shared" si="2"/>
        <v>-  -MAY 02-</v>
      </c>
    </row>
    <row r="117" spans="1:13">
      <c r="A117" s="216" t="str">
        <f>IF(C117&lt;&gt;"",SUBTOTAL(103,$C$12:C117),"")</f>
        <v/>
      </c>
      <c r="B117" s="226">
        <v>43222</v>
      </c>
      <c r="C117" s="216"/>
      <c r="D117" s="216" t="str">
        <f>IF(C117&lt;&gt;"",VLOOKUP(C117,[1]DSKH!B:E,2,0),"")</f>
        <v/>
      </c>
      <c r="E117" s="215"/>
      <c r="F117" s="216"/>
      <c r="G117" s="216" t="str">
        <f>IF(C117&lt;&gt;"",VLOOKUP(C117,DSKH!B:E,3,0),"")</f>
        <v/>
      </c>
      <c r="H117" s="222"/>
      <c r="I117" s="217"/>
      <c r="J117" s="224"/>
      <c r="K117" s="216" t="str">
        <f>IF(C117&lt;&gt;"",VLOOKUP(C117,[1]DSKH!B:E,4,0),"")</f>
        <v/>
      </c>
      <c r="L117" s="216"/>
      <c r="M117" s="216" t="str">
        <f t="shared" si="2"/>
        <v>-  -MAY 02-</v>
      </c>
    </row>
    <row r="118" spans="1:13">
      <c r="A118" s="216" t="str">
        <f>IF(C118&lt;&gt;"",SUBTOTAL(103,$C$12:C118),"")</f>
        <v/>
      </c>
      <c r="B118" s="226">
        <v>43222</v>
      </c>
      <c r="C118" s="216"/>
      <c r="D118" s="216" t="str">
        <f>IF(C118&lt;&gt;"",VLOOKUP(C118,[1]DSKH!B:E,2,0),"")</f>
        <v/>
      </c>
      <c r="E118" s="215"/>
      <c r="F118" s="216"/>
      <c r="G118" s="216" t="str">
        <f>IF(C118&lt;&gt;"",VLOOKUP(C118,DSKH!B:E,3,0),"")</f>
        <v/>
      </c>
      <c r="H118" s="222"/>
      <c r="I118" s="217"/>
      <c r="J118" s="224"/>
      <c r="K118" s="216" t="str">
        <f>IF(C118&lt;&gt;"",VLOOKUP(C118,[1]DSKH!B:E,4,0),"")</f>
        <v/>
      </c>
      <c r="L118" s="216"/>
      <c r="M118" s="216" t="str">
        <f t="shared" si="2"/>
        <v>-  -MAY 02-</v>
      </c>
    </row>
    <row r="119" spans="1:13">
      <c r="A119" s="216" t="str">
        <f>IF(C119&lt;&gt;"",SUBTOTAL(103,$C$12:C119),"")</f>
        <v/>
      </c>
      <c r="B119" s="226">
        <v>43222</v>
      </c>
      <c r="C119" s="216"/>
      <c r="D119" s="216" t="str">
        <f>IF(C119&lt;&gt;"",VLOOKUP(C119,[1]DSKH!B:E,2,0),"")</f>
        <v/>
      </c>
      <c r="E119" s="215"/>
      <c r="F119" s="216"/>
      <c r="G119" s="216" t="str">
        <f>IF(C119&lt;&gt;"",VLOOKUP(C119,DSKH!B:E,3,0),"")</f>
        <v/>
      </c>
      <c r="H119" s="222"/>
      <c r="I119" s="217"/>
      <c r="J119" s="224"/>
      <c r="K119" s="216" t="str">
        <f>IF(C119&lt;&gt;"",VLOOKUP(C119,[1]DSKH!B:E,4,0),"")</f>
        <v/>
      </c>
      <c r="L119" s="216"/>
      <c r="M119" s="216" t="str">
        <f t="shared" si="2"/>
        <v>-  -MAY 02-</v>
      </c>
    </row>
    <row r="120" spans="1:13">
      <c r="A120" s="216" t="str">
        <f>IF(C120&lt;&gt;"",SUBTOTAL(103,$C$12:C120),"")</f>
        <v/>
      </c>
      <c r="B120" s="226">
        <v>43222</v>
      </c>
      <c r="C120" s="216"/>
      <c r="D120" s="216" t="str">
        <f>IF(C120&lt;&gt;"",VLOOKUP(C120,[1]DSKH!B:E,2,0),"")</f>
        <v/>
      </c>
      <c r="E120" s="215"/>
      <c r="F120" s="216"/>
      <c r="G120" s="216" t="str">
        <f>IF(C120&lt;&gt;"",VLOOKUP(C120,DSKH!B:E,3,0),"")</f>
        <v/>
      </c>
      <c r="H120" s="222"/>
      <c r="I120" s="217"/>
      <c r="J120" s="224"/>
      <c r="K120" s="216" t="str">
        <f>IF(C120&lt;&gt;"",VLOOKUP(C120,[1]DSKH!B:E,4,0),"")</f>
        <v/>
      </c>
      <c r="L120" s="216"/>
      <c r="M120" s="216" t="str">
        <f t="shared" si="2"/>
        <v>-  -MAY 02-</v>
      </c>
    </row>
    <row r="121" spans="1:13">
      <c r="A121" s="216" t="str">
        <f>IF(C121&lt;&gt;"",SUBTOTAL(103,$C$12:C121),"")</f>
        <v/>
      </c>
      <c r="B121" s="226">
        <v>43222</v>
      </c>
      <c r="C121" s="216"/>
      <c r="D121" s="216" t="str">
        <f>IF(C121&lt;&gt;"",VLOOKUP(C121,[1]DSKH!B:E,2,0),"")</f>
        <v/>
      </c>
      <c r="E121" s="215"/>
      <c r="F121" s="216"/>
      <c r="G121" s="216" t="str">
        <f>IF(C121&lt;&gt;"",VLOOKUP(C121,DSKH!B:E,3,0),"")</f>
        <v/>
      </c>
      <c r="H121" s="222"/>
      <c r="I121" s="217"/>
      <c r="J121" s="224"/>
      <c r="K121" s="216" t="str">
        <f>IF(C121&lt;&gt;"",VLOOKUP(C121,[1]DSKH!B:E,4,0),"")</f>
        <v/>
      </c>
      <c r="L121" s="216"/>
      <c r="M121" s="216" t="str">
        <f t="shared" si="2"/>
        <v>-  -MAY 02-</v>
      </c>
    </row>
    <row r="122" spans="1:13">
      <c r="A122" s="216" t="str">
        <f>IF(C122&lt;&gt;"",SUBTOTAL(103,$C$12:C122),"")</f>
        <v/>
      </c>
      <c r="B122" s="226">
        <v>43222</v>
      </c>
      <c r="C122" s="216"/>
      <c r="D122" s="216" t="str">
        <f>IF(C122&lt;&gt;"",VLOOKUP(C122,[1]DSKH!B:E,2,0),"")</f>
        <v/>
      </c>
      <c r="E122" s="215"/>
      <c r="F122" s="216"/>
      <c r="G122" s="216" t="str">
        <f>IF(C122&lt;&gt;"",VLOOKUP(C122,DSKH!B:E,3,0),"")</f>
        <v/>
      </c>
      <c r="H122" s="222"/>
      <c r="I122" s="217"/>
      <c r="J122" s="224"/>
      <c r="K122" s="216" t="str">
        <f>IF(C122&lt;&gt;"",VLOOKUP(C122,[1]DSKH!B:E,4,0),"")</f>
        <v/>
      </c>
      <c r="L122" s="216"/>
      <c r="M122" s="216" t="str">
        <f t="shared" si="2"/>
        <v>-  -MAY 02-</v>
      </c>
    </row>
    <row r="123" spans="1:13">
      <c r="A123" s="216" t="str">
        <f>IF(C123&lt;&gt;"",SUBTOTAL(103,$C$12:C123),"")</f>
        <v/>
      </c>
      <c r="B123" s="226">
        <v>43222</v>
      </c>
      <c r="C123" s="216"/>
      <c r="D123" s="216" t="str">
        <f>IF(C123&lt;&gt;"",VLOOKUP(C123,[1]DSKH!B:E,2,0),"")</f>
        <v/>
      </c>
      <c r="E123" s="215"/>
      <c r="F123" s="216"/>
      <c r="G123" s="216" t="str">
        <f>IF(C123&lt;&gt;"",VLOOKUP(C123,DSKH!B:E,3,0),"")</f>
        <v/>
      </c>
      <c r="H123" s="222"/>
      <c r="I123" s="217"/>
      <c r="J123" s="224"/>
      <c r="K123" s="216" t="str">
        <f>IF(C123&lt;&gt;"",VLOOKUP(C123,[1]DSKH!B:E,4,0),"")</f>
        <v/>
      </c>
      <c r="L123" s="216"/>
      <c r="M123" s="216" t="str">
        <f t="shared" si="2"/>
        <v>-  -MAY 02-</v>
      </c>
    </row>
    <row r="124" spans="1:13">
      <c r="A124" s="216" t="str">
        <f>IF(C124&lt;&gt;"",SUBTOTAL(103,$C$12:C124),"")</f>
        <v/>
      </c>
      <c r="B124" s="226">
        <v>43222</v>
      </c>
      <c r="C124" s="216"/>
      <c r="D124" s="216" t="str">
        <f>IF(C124&lt;&gt;"",VLOOKUP(C124,[1]DSKH!B:E,2,0),"")</f>
        <v/>
      </c>
      <c r="E124" s="215"/>
      <c r="F124" s="216"/>
      <c r="G124" s="216" t="str">
        <f>IF(C124&lt;&gt;"",VLOOKUP(C124,DSKH!B:E,3,0),"")</f>
        <v/>
      </c>
      <c r="H124" s="222"/>
      <c r="I124" s="217"/>
      <c r="J124" s="224"/>
      <c r="K124" s="216" t="str">
        <f>IF(C124&lt;&gt;"",VLOOKUP(C124,[1]DSKH!B:E,4,0),"")</f>
        <v/>
      </c>
      <c r="L124" s="216"/>
      <c r="M124" s="216" t="str">
        <f t="shared" si="2"/>
        <v>-  -MAY 02-</v>
      </c>
    </row>
    <row r="125" spans="1:13">
      <c r="A125" s="216" t="str">
        <f>IF(C125&lt;&gt;"",SUBTOTAL(103,$C$12:C125),"")</f>
        <v/>
      </c>
      <c r="B125" s="226">
        <v>43222</v>
      </c>
      <c r="C125" s="216"/>
      <c r="D125" s="216" t="str">
        <f>IF(C125&lt;&gt;"",VLOOKUP(C125,[1]DSKH!B:E,2,0),"")</f>
        <v/>
      </c>
      <c r="E125" s="215"/>
      <c r="F125" s="216"/>
      <c r="G125" s="216" t="str">
        <f>IF(C125&lt;&gt;"",VLOOKUP(C125,DSKH!B:E,3,0),"")</f>
        <v/>
      </c>
      <c r="H125" s="222"/>
      <c r="I125" s="217"/>
      <c r="J125" s="224"/>
      <c r="K125" s="216" t="str">
        <f>IF(C125&lt;&gt;"",VLOOKUP(C125,[1]DSKH!B:E,4,0),"")</f>
        <v/>
      </c>
      <c r="L125" s="216"/>
      <c r="M125" s="216" t="str">
        <f t="shared" si="2"/>
        <v>-  -MAY 02-</v>
      </c>
    </row>
    <row r="126" spans="1:13">
      <c r="A126" s="216" t="str">
        <f>IF(C126&lt;&gt;"",SUBTOTAL(103,$C$12:C126),"")</f>
        <v/>
      </c>
      <c r="B126" s="226">
        <v>43222</v>
      </c>
      <c r="C126" s="216"/>
      <c r="D126" s="216" t="str">
        <f>IF(C126&lt;&gt;"",VLOOKUP(C126,[1]DSKH!B:E,2,0),"")</f>
        <v/>
      </c>
      <c r="E126" s="215"/>
      <c r="F126" s="216"/>
      <c r="G126" s="216" t="str">
        <f>IF(C126&lt;&gt;"",VLOOKUP(C126,DSKH!B:E,3,0),"")</f>
        <v/>
      </c>
      <c r="H126" s="222"/>
      <c r="I126" s="217"/>
      <c r="J126" s="224"/>
      <c r="K126" s="216" t="str">
        <f>IF(C126&lt;&gt;"",VLOOKUP(C126,[1]DSKH!B:E,4,0),"")</f>
        <v/>
      </c>
      <c r="L126" s="216"/>
      <c r="M126" s="216" t="str">
        <f t="shared" si="2"/>
        <v>-  -MAY 02-</v>
      </c>
    </row>
    <row r="127" spans="1:13">
      <c r="A127" s="216" t="str">
        <f>IF(C127&lt;&gt;"",SUBTOTAL(103,$C$12:C127),"")</f>
        <v/>
      </c>
      <c r="B127" s="226">
        <v>43222</v>
      </c>
      <c r="C127" s="216"/>
      <c r="D127" s="216" t="str">
        <f>IF(C127&lt;&gt;"",VLOOKUP(C127,[1]DSKH!B:E,2,0),"")</f>
        <v/>
      </c>
      <c r="E127" s="215"/>
      <c r="F127" s="216"/>
      <c r="G127" s="216" t="str">
        <f>IF(C127&lt;&gt;"",VLOOKUP(C127,DSKH!B:E,3,0),"")</f>
        <v/>
      </c>
      <c r="H127" s="222"/>
      <c r="I127" s="217"/>
      <c r="J127" s="224"/>
      <c r="K127" s="216" t="str">
        <f>IF(C127&lt;&gt;"",VLOOKUP(C127,[1]DSKH!B:E,4,0),"")</f>
        <v/>
      </c>
      <c r="L127" s="216"/>
      <c r="M127" s="216" t="str">
        <f t="shared" si="2"/>
        <v>-  -MAY 02-</v>
      </c>
    </row>
    <row r="128" spans="1:13">
      <c r="A128" s="216" t="str">
        <f>IF(C128&lt;&gt;"",SUBTOTAL(103,$C$12:C128),"")</f>
        <v/>
      </c>
      <c r="B128" s="226">
        <v>43222</v>
      </c>
      <c r="C128" s="216"/>
      <c r="D128" s="216" t="str">
        <f>IF(C128&lt;&gt;"",VLOOKUP(C128,[1]DSKH!B:E,2,0),"")</f>
        <v/>
      </c>
      <c r="E128" s="215"/>
      <c r="F128" s="216"/>
      <c r="G128" s="216" t="str">
        <f>IF(C128&lt;&gt;"",VLOOKUP(C128,DSKH!B:E,3,0),"")</f>
        <v/>
      </c>
      <c r="H128" s="222"/>
      <c r="I128" s="217"/>
      <c r="J128" s="224"/>
      <c r="K128" s="216" t="str">
        <f>IF(C128&lt;&gt;"",VLOOKUP(C128,[1]DSKH!B:E,4,0),"")</f>
        <v/>
      </c>
      <c r="L128" s="216"/>
      <c r="M128" s="216" t="str">
        <f t="shared" si="2"/>
        <v>-  -MAY 02-</v>
      </c>
    </row>
    <row r="129" spans="1:13">
      <c r="A129" s="216" t="str">
        <f>IF(C129&lt;&gt;"",SUBTOTAL(103,$C$12:C129),"")</f>
        <v/>
      </c>
      <c r="B129" s="226">
        <v>43222</v>
      </c>
      <c r="C129" s="216"/>
      <c r="D129" s="216" t="str">
        <f>IF(C129&lt;&gt;"",VLOOKUP(C129,[1]DSKH!B:E,2,0),"")</f>
        <v/>
      </c>
      <c r="E129" s="215"/>
      <c r="F129" s="216"/>
      <c r="G129" s="216" t="str">
        <f>IF(C129&lt;&gt;"",VLOOKUP(C129,DSKH!B:E,3,0),"")</f>
        <v/>
      </c>
      <c r="H129" s="222"/>
      <c r="I129" s="217"/>
      <c r="J129" s="224"/>
      <c r="K129" s="216" t="str">
        <f>IF(C129&lt;&gt;"",VLOOKUP(C129,[1]DSKH!B:E,4,0),"")</f>
        <v/>
      </c>
      <c r="L129" s="216"/>
      <c r="M129" s="216" t="str">
        <f t="shared" si="2"/>
        <v>-  -MAY 02-</v>
      </c>
    </row>
    <row r="130" spans="1:13">
      <c r="A130" s="216" t="str">
        <f>IF(C130&lt;&gt;"",SUBTOTAL(103,$C$12:C130),"")</f>
        <v/>
      </c>
      <c r="B130" s="226">
        <v>43222</v>
      </c>
      <c r="C130" s="216"/>
      <c r="D130" s="216" t="str">
        <f>IF(C130&lt;&gt;"",VLOOKUP(C130,[1]DSKH!B:E,2,0),"")</f>
        <v/>
      </c>
      <c r="E130" s="215"/>
      <c r="F130" s="216"/>
      <c r="G130" s="216" t="str">
        <f>IF(C130&lt;&gt;"",VLOOKUP(C130,DSKH!B:E,3,0),"")</f>
        <v/>
      </c>
      <c r="H130" s="222"/>
      <c r="I130" s="217"/>
      <c r="J130" s="224"/>
      <c r="K130" s="216" t="str">
        <f>IF(C130&lt;&gt;"",VLOOKUP(C130,[1]DSKH!B:E,4,0),"")</f>
        <v/>
      </c>
      <c r="L130" s="216"/>
      <c r="M130" s="216" t="str">
        <f t="shared" si="2"/>
        <v>-  -MAY 02-</v>
      </c>
    </row>
    <row r="131" spans="1:13">
      <c r="A131" s="216" t="str">
        <f>IF(C131&lt;&gt;"",SUBTOTAL(103,$C$12:C131),"")</f>
        <v/>
      </c>
      <c r="B131" s="226">
        <v>43222</v>
      </c>
      <c r="C131" s="216"/>
      <c r="D131" s="216" t="str">
        <f>IF(C131&lt;&gt;"",VLOOKUP(C131,[1]DSKH!B:E,2,0),"")</f>
        <v/>
      </c>
      <c r="E131" s="215"/>
      <c r="F131" s="216"/>
      <c r="G131" s="216" t="str">
        <f>IF(C131&lt;&gt;"",VLOOKUP(C131,DSKH!B:E,3,0),"")</f>
        <v/>
      </c>
      <c r="H131" s="222"/>
      <c r="I131" s="217"/>
      <c r="J131" s="224"/>
      <c r="K131" s="216" t="str">
        <f>IF(C131&lt;&gt;"",VLOOKUP(C131,[1]DSKH!B:E,4,0),"")</f>
        <v/>
      </c>
      <c r="L131" s="216"/>
      <c r="M131" s="216" t="str">
        <f t="shared" si="2"/>
        <v>-  -MAY 02-</v>
      </c>
    </row>
    <row r="132" spans="1:13">
      <c r="A132" s="216" t="str">
        <f>IF(C132&lt;&gt;"",SUBTOTAL(103,$C$12:C132),"")</f>
        <v/>
      </c>
      <c r="B132" s="226">
        <v>43222</v>
      </c>
      <c r="C132" s="216"/>
      <c r="D132" s="216" t="str">
        <f>IF(C132&lt;&gt;"",VLOOKUP(C132,[1]DSKH!B:E,2,0),"")</f>
        <v/>
      </c>
      <c r="E132" s="215"/>
      <c r="F132" s="216"/>
      <c r="G132" s="216" t="str">
        <f>IF(C132&lt;&gt;"",VLOOKUP(C132,DSKH!B:E,3,0),"")</f>
        <v/>
      </c>
      <c r="H132" s="222"/>
      <c r="I132" s="217"/>
      <c r="J132" s="224"/>
      <c r="K132" s="216" t="str">
        <f>IF(C132&lt;&gt;"",VLOOKUP(C132,[1]DSKH!B:E,4,0),"")</f>
        <v/>
      </c>
      <c r="L132" s="216"/>
      <c r="M132" s="216" t="str">
        <f t="shared" si="2"/>
        <v>-  -MAY 02-</v>
      </c>
    </row>
    <row r="133" spans="1:13">
      <c r="A133" s="216" t="str">
        <f>IF(C133&lt;&gt;"",SUBTOTAL(103,$C$12:C133),"")</f>
        <v/>
      </c>
      <c r="B133" s="226">
        <v>43222</v>
      </c>
      <c r="C133" s="216"/>
      <c r="D133" s="216" t="str">
        <f>IF(C133&lt;&gt;"",VLOOKUP(C133,[1]DSKH!B:E,2,0),"")</f>
        <v/>
      </c>
      <c r="E133" s="215"/>
      <c r="F133" s="216"/>
      <c r="G133" s="216" t="str">
        <f>IF(C133&lt;&gt;"",VLOOKUP(C133,DSKH!B:E,3,0),"")</f>
        <v/>
      </c>
      <c r="H133" s="222"/>
      <c r="I133" s="217"/>
      <c r="J133" s="224"/>
      <c r="K133" s="216" t="str">
        <f>IF(C133&lt;&gt;"",VLOOKUP(C133,[1]DSKH!B:E,4,0),"")</f>
        <v/>
      </c>
      <c r="L133" s="216"/>
      <c r="M133" s="216" t="str">
        <f t="shared" si="2"/>
        <v>-  -MAY 02-</v>
      </c>
    </row>
    <row r="134" spans="1:13">
      <c r="A134" s="216" t="str">
        <f>IF(C134&lt;&gt;"",SUBTOTAL(103,$C$12:C134),"")</f>
        <v/>
      </c>
      <c r="B134" s="226">
        <v>43222</v>
      </c>
      <c r="C134" s="216"/>
      <c r="D134" s="216" t="str">
        <f>IF(C134&lt;&gt;"",VLOOKUP(C134,[1]DSKH!B:E,2,0),"")</f>
        <v/>
      </c>
      <c r="E134" s="215"/>
      <c r="F134" s="216"/>
      <c r="G134" s="216" t="str">
        <f>IF(C134&lt;&gt;"",VLOOKUP(C134,DSKH!B:E,3,0),"")</f>
        <v/>
      </c>
      <c r="H134" s="222"/>
      <c r="I134" s="217"/>
      <c r="J134" s="224"/>
      <c r="K134" s="216" t="str">
        <f>IF(C134&lt;&gt;"",VLOOKUP(C134,[1]DSKH!B:E,4,0),"")</f>
        <v/>
      </c>
      <c r="L134" s="216"/>
      <c r="M134" s="216" t="str">
        <f t="shared" si="2"/>
        <v>-  -MAY 02-</v>
      </c>
    </row>
    <row r="135" spans="1:13">
      <c r="A135" s="216" t="str">
        <f>IF(C135&lt;&gt;"",SUBTOTAL(103,$C$12:C135),"")</f>
        <v/>
      </c>
      <c r="B135" s="226">
        <v>43222</v>
      </c>
      <c r="C135" s="216"/>
      <c r="D135" s="216" t="str">
        <f>IF(C135&lt;&gt;"",VLOOKUP(C135,[1]DSKH!B:E,2,0),"")</f>
        <v/>
      </c>
      <c r="E135" s="215"/>
      <c r="F135" s="216"/>
      <c r="G135" s="216" t="str">
        <f>IF(C135&lt;&gt;"",VLOOKUP(C135,DSKH!B:E,3,0),"")</f>
        <v/>
      </c>
      <c r="H135" s="222"/>
      <c r="I135" s="217"/>
      <c r="J135" s="224"/>
      <c r="K135" s="216" t="str">
        <f>IF(C135&lt;&gt;"",VLOOKUP(C135,[1]DSKH!B:E,4,0),"")</f>
        <v/>
      </c>
      <c r="L135" s="216"/>
      <c r="M135" s="216" t="str">
        <f t="shared" si="2"/>
        <v>-  -MAY 02-</v>
      </c>
    </row>
    <row r="136" spans="1:13">
      <c r="A136" s="216" t="str">
        <f>IF(C136&lt;&gt;"",SUBTOTAL(103,$C$12:C136),"")</f>
        <v/>
      </c>
      <c r="B136" s="226">
        <v>43222</v>
      </c>
      <c r="C136" s="216"/>
      <c r="D136" s="216" t="str">
        <f>IF(C136&lt;&gt;"",VLOOKUP(C136,[1]DSKH!B:E,2,0),"")</f>
        <v/>
      </c>
      <c r="E136" s="215"/>
      <c r="F136" s="216"/>
      <c r="G136" s="216" t="str">
        <f>IF(C136&lt;&gt;"",VLOOKUP(C136,DSKH!B:E,3,0),"")</f>
        <v/>
      </c>
      <c r="H136" s="222"/>
      <c r="I136" s="217"/>
      <c r="J136" s="224"/>
      <c r="K136" s="216" t="str">
        <f>IF(C136&lt;&gt;"",VLOOKUP(C136,[1]DSKH!B:E,4,0),"")</f>
        <v/>
      </c>
      <c r="L136" s="216"/>
      <c r="M136" s="216" t="str">
        <f t="shared" si="2"/>
        <v>-  -MAY 02-</v>
      </c>
    </row>
    <row r="137" spans="1:13">
      <c r="A137" s="216" t="str">
        <f>IF(C137&lt;&gt;"",SUBTOTAL(103,$C$12:C137),"")</f>
        <v/>
      </c>
      <c r="B137" s="226">
        <v>43222</v>
      </c>
      <c r="C137" s="216"/>
      <c r="D137" s="216" t="str">
        <f>IF(C137&lt;&gt;"",VLOOKUP(C137,[1]DSKH!B:E,2,0),"")</f>
        <v/>
      </c>
      <c r="E137" s="215"/>
      <c r="F137" s="216"/>
      <c r="G137" s="216" t="str">
        <f>IF(C137&lt;&gt;"",VLOOKUP(C137,DSKH!B:E,3,0),"")</f>
        <v/>
      </c>
      <c r="H137" s="222"/>
      <c r="I137" s="217"/>
      <c r="J137" s="224"/>
      <c r="K137" s="216" t="str">
        <f>IF(C137&lt;&gt;"",VLOOKUP(C137,[1]DSKH!B:E,4,0),"")</f>
        <v/>
      </c>
      <c r="L137" s="216"/>
      <c r="M137" s="216" t="str">
        <f t="shared" si="2"/>
        <v>-  -MAY 02-</v>
      </c>
    </row>
    <row r="138" spans="1:13">
      <c r="A138" s="216" t="str">
        <f>IF(C138&lt;&gt;"",SUBTOTAL(103,$C$12:C138),"")</f>
        <v/>
      </c>
      <c r="B138" s="226">
        <v>43222</v>
      </c>
      <c r="C138" s="216"/>
      <c r="D138" s="216" t="str">
        <f>IF(C138&lt;&gt;"",VLOOKUP(C138,[1]DSKH!B:E,2,0),"")</f>
        <v/>
      </c>
      <c r="E138" s="215"/>
      <c r="F138" s="216"/>
      <c r="G138" s="216" t="str">
        <f>IF(C138&lt;&gt;"",VLOOKUP(C138,DSKH!B:E,3,0),"")</f>
        <v/>
      </c>
      <c r="H138" s="222"/>
      <c r="I138" s="217"/>
      <c r="J138" s="224"/>
      <c r="K138" s="216" t="str">
        <f>IF(C138&lt;&gt;"",VLOOKUP(C138,[1]DSKH!B:E,4,0),"")</f>
        <v/>
      </c>
      <c r="L138" s="216"/>
      <c r="M138" s="216" t="str">
        <f t="shared" si="2"/>
        <v>-  -MAY 02-</v>
      </c>
    </row>
    <row r="139" spans="1:13">
      <c r="A139" s="216" t="str">
        <f>IF(C139&lt;&gt;"",SUBTOTAL(103,$C$12:C139),"")</f>
        <v/>
      </c>
      <c r="B139" s="226">
        <v>43222</v>
      </c>
      <c r="C139" s="216"/>
      <c r="D139" s="216" t="str">
        <f>IF(C139&lt;&gt;"",VLOOKUP(C139,[1]DSKH!B:E,2,0),"")</f>
        <v/>
      </c>
      <c r="E139" s="215"/>
      <c r="F139" s="216"/>
      <c r="G139" s="216" t="str">
        <f>IF(C139&lt;&gt;"",VLOOKUP(C139,DSKH!B:E,3,0),"")</f>
        <v/>
      </c>
      <c r="H139" s="222"/>
      <c r="I139" s="217"/>
      <c r="J139" s="224"/>
      <c r="K139" s="216" t="str">
        <f>IF(C139&lt;&gt;"",VLOOKUP(C139,[1]DSKH!B:E,4,0),"")</f>
        <v/>
      </c>
      <c r="L139" s="216"/>
      <c r="M139" s="216" t="str">
        <f t="shared" si="2"/>
        <v>-  -MAY 02-</v>
      </c>
    </row>
    <row r="140" spans="1:13">
      <c r="A140" s="216" t="str">
        <f>IF(C140&lt;&gt;"",SUBTOTAL(103,$C$12:C140),"")</f>
        <v/>
      </c>
      <c r="B140" s="226">
        <v>43222</v>
      </c>
      <c r="C140" s="216"/>
      <c r="D140" s="216" t="str">
        <f>IF(C140&lt;&gt;"",VLOOKUP(C140,[1]DSKH!B:E,2,0),"")</f>
        <v/>
      </c>
      <c r="E140" s="215"/>
      <c r="F140" s="216"/>
      <c r="G140" s="216" t="str">
        <f>IF(C140&lt;&gt;"",VLOOKUP(C140,DSKH!B:E,3,0),"")</f>
        <v/>
      </c>
      <c r="H140" s="222"/>
      <c r="I140" s="217"/>
      <c r="J140" s="224"/>
      <c r="K140" s="216" t="str">
        <f>IF(C140&lt;&gt;"",VLOOKUP(C140,[1]DSKH!B:E,4,0),"")</f>
        <v/>
      </c>
      <c r="L140" s="216"/>
      <c r="M140" s="216" t="str">
        <f t="shared" ref="M140:M203" si="3">C140&amp;"-"&amp;" "&amp;H140&amp;" "&amp;"-"&amp;"MAY"&amp;" "&amp;"02"&amp;"-"&amp;J140</f>
        <v>-  -MAY 02-</v>
      </c>
    </row>
    <row r="141" spans="1:13">
      <c r="A141" s="216" t="str">
        <f>IF(C141&lt;&gt;"",SUBTOTAL(103,$C$12:C141),"")</f>
        <v/>
      </c>
      <c r="B141" s="226">
        <v>43222</v>
      </c>
      <c r="C141" s="216"/>
      <c r="D141" s="216" t="str">
        <f>IF(C141&lt;&gt;"",VLOOKUP(C141,[1]DSKH!B:E,2,0),"")</f>
        <v/>
      </c>
      <c r="E141" s="215"/>
      <c r="F141" s="216"/>
      <c r="G141" s="216" t="str">
        <f>IF(C141&lt;&gt;"",VLOOKUP(C141,DSKH!B:E,3,0),"")</f>
        <v/>
      </c>
      <c r="H141" s="222"/>
      <c r="I141" s="217"/>
      <c r="J141" s="224"/>
      <c r="K141" s="216" t="str">
        <f>IF(C141&lt;&gt;"",VLOOKUP(C141,[1]DSKH!B:E,4,0),"")</f>
        <v/>
      </c>
      <c r="L141" s="216"/>
      <c r="M141" s="216" t="str">
        <f t="shared" si="3"/>
        <v>-  -MAY 02-</v>
      </c>
    </row>
    <row r="142" spans="1:13">
      <c r="A142" s="216" t="str">
        <f>IF(C142&lt;&gt;"",SUBTOTAL(103,$C$12:C142),"")</f>
        <v/>
      </c>
      <c r="B142" s="226">
        <v>43222</v>
      </c>
      <c r="C142" s="216"/>
      <c r="D142" s="216" t="str">
        <f>IF(C142&lt;&gt;"",VLOOKUP(C142,[1]DSKH!B:E,2,0),"")</f>
        <v/>
      </c>
      <c r="E142" s="215"/>
      <c r="F142" s="216"/>
      <c r="G142" s="216" t="str">
        <f>IF(C142&lt;&gt;"",VLOOKUP(C142,DSKH!B:E,3,0),"")</f>
        <v/>
      </c>
      <c r="H142" s="222"/>
      <c r="I142" s="217"/>
      <c r="J142" s="224"/>
      <c r="K142" s="216" t="str">
        <f>IF(C142&lt;&gt;"",VLOOKUP(C142,[1]DSKH!B:E,4,0),"")</f>
        <v/>
      </c>
      <c r="L142" s="216"/>
      <c r="M142" s="216" t="str">
        <f t="shared" si="3"/>
        <v>-  -MAY 02-</v>
      </c>
    </row>
    <row r="143" spans="1:13">
      <c r="A143" s="216" t="str">
        <f>IF(C143&lt;&gt;"",SUBTOTAL(103,$C$12:C143),"")</f>
        <v/>
      </c>
      <c r="B143" s="226">
        <v>43222</v>
      </c>
      <c r="C143" s="216"/>
      <c r="D143" s="216" t="str">
        <f>IF(C143&lt;&gt;"",VLOOKUP(C143,[1]DSKH!B:E,2,0),"")</f>
        <v/>
      </c>
      <c r="E143" s="215"/>
      <c r="F143" s="216"/>
      <c r="G143" s="216" t="str">
        <f>IF(C143&lt;&gt;"",VLOOKUP(C143,DSKH!B:E,3,0),"")</f>
        <v/>
      </c>
      <c r="H143" s="222"/>
      <c r="I143" s="217"/>
      <c r="J143" s="224"/>
      <c r="K143" s="216" t="str">
        <f>IF(C143&lt;&gt;"",VLOOKUP(C143,[1]DSKH!B:E,4,0),"")</f>
        <v/>
      </c>
      <c r="L143" s="216"/>
      <c r="M143" s="216" t="str">
        <f t="shared" si="3"/>
        <v>-  -MAY 02-</v>
      </c>
    </row>
    <row r="144" spans="1:13">
      <c r="A144" s="216" t="str">
        <f>IF(C144&lt;&gt;"",SUBTOTAL(103,$C$12:C144),"")</f>
        <v/>
      </c>
      <c r="B144" s="226">
        <v>43222</v>
      </c>
      <c r="C144" s="216"/>
      <c r="D144" s="216" t="str">
        <f>IF(C144&lt;&gt;"",VLOOKUP(C144,[1]DSKH!B:E,2,0),"")</f>
        <v/>
      </c>
      <c r="E144" s="215"/>
      <c r="F144" s="216"/>
      <c r="G144" s="216" t="str">
        <f>IF(C144&lt;&gt;"",VLOOKUP(C144,DSKH!B:E,3,0),"")</f>
        <v/>
      </c>
      <c r="H144" s="222"/>
      <c r="I144" s="217"/>
      <c r="J144" s="224"/>
      <c r="K144" s="216" t="str">
        <f>IF(C144&lt;&gt;"",VLOOKUP(C144,[1]DSKH!B:E,4,0),"")</f>
        <v/>
      </c>
      <c r="L144" s="216"/>
      <c r="M144" s="216" t="str">
        <f t="shared" si="3"/>
        <v>-  -MAY 02-</v>
      </c>
    </row>
    <row r="145" spans="1:13">
      <c r="A145" s="216" t="str">
        <f>IF(C145&lt;&gt;"",SUBTOTAL(103,$C$12:C145),"")</f>
        <v/>
      </c>
      <c r="B145" s="226">
        <v>43222</v>
      </c>
      <c r="C145" s="216"/>
      <c r="D145" s="216" t="str">
        <f>IF(C145&lt;&gt;"",VLOOKUP(C145,[1]DSKH!B:E,2,0),"")</f>
        <v/>
      </c>
      <c r="E145" s="215"/>
      <c r="F145" s="216"/>
      <c r="G145" s="216" t="str">
        <f>IF(C145&lt;&gt;"",VLOOKUP(C145,DSKH!B:E,3,0),"")</f>
        <v/>
      </c>
      <c r="H145" s="222"/>
      <c r="I145" s="217"/>
      <c r="J145" s="224"/>
      <c r="K145" s="216" t="str">
        <f>IF(C145&lt;&gt;"",VLOOKUP(C145,[1]DSKH!B:E,4,0),"")</f>
        <v/>
      </c>
      <c r="L145" s="216"/>
      <c r="M145" s="216" t="str">
        <f t="shared" si="3"/>
        <v>-  -MAY 02-</v>
      </c>
    </row>
    <row r="146" spans="1:13">
      <c r="A146" s="216" t="str">
        <f>IF(C146&lt;&gt;"",SUBTOTAL(103,$C$12:C146),"")</f>
        <v/>
      </c>
      <c r="B146" s="226">
        <v>43222</v>
      </c>
      <c r="C146" s="216"/>
      <c r="D146" s="216" t="str">
        <f>IF(C146&lt;&gt;"",VLOOKUP(C146,[1]DSKH!B:E,2,0),"")</f>
        <v/>
      </c>
      <c r="E146" s="215"/>
      <c r="F146" s="216"/>
      <c r="G146" s="216" t="str">
        <f>IF(C146&lt;&gt;"",VLOOKUP(C146,DSKH!B:E,3,0),"")</f>
        <v/>
      </c>
      <c r="H146" s="222"/>
      <c r="I146" s="217"/>
      <c r="J146" s="224"/>
      <c r="K146" s="216" t="str">
        <f>IF(C146&lt;&gt;"",VLOOKUP(C146,[1]DSKH!B:E,4,0),"")</f>
        <v/>
      </c>
      <c r="L146" s="216"/>
      <c r="M146" s="216" t="str">
        <f t="shared" si="3"/>
        <v>-  -MAY 02-</v>
      </c>
    </row>
    <row r="147" spans="1:13">
      <c r="A147" s="216" t="str">
        <f>IF(C147&lt;&gt;"",SUBTOTAL(103,$C$12:C147),"")</f>
        <v/>
      </c>
      <c r="B147" s="226">
        <v>43222</v>
      </c>
      <c r="C147" s="216"/>
      <c r="D147" s="216" t="str">
        <f>IF(C147&lt;&gt;"",VLOOKUP(C147,[1]DSKH!B:E,2,0),"")</f>
        <v/>
      </c>
      <c r="E147" s="215"/>
      <c r="F147" s="216"/>
      <c r="G147" s="216" t="str">
        <f>IF(C147&lt;&gt;"",VLOOKUP(C147,DSKH!B:E,3,0),"")</f>
        <v/>
      </c>
      <c r="H147" s="222"/>
      <c r="I147" s="217"/>
      <c r="J147" s="224"/>
      <c r="K147" s="216" t="str">
        <f>IF(C147&lt;&gt;"",VLOOKUP(C147,[1]DSKH!B:E,4,0),"")</f>
        <v/>
      </c>
      <c r="L147" s="216"/>
      <c r="M147" s="216" t="str">
        <f t="shared" si="3"/>
        <v>-  -MAY 02-</v>
      </c>
    </row>
    <row r="148" spans="1:13">
      <c r="A148" s="216" t="str">
        <f>IF(C148&lt;&gt;"",SUBTOTAL(103,$C$12:C148),"")</f>
        <v/>
      </c>
      <c r="B148" s="226">
        <v>43222</v>
      </c>
      <c r="C148" s="216"/>
      <c r="D148" s="216" t="str">
        <f>IF(C148&lt;&gt;"",VLOOKUP(C148,[1]DSKH!B:E,2,0),"")</f>
        <v/>
      </c>
      <c r="E148" s="215"/>
      <c r="F148" s="216"/>
      <c r="G148" s="216" t="str">
        <f>IF(C148&lt;&gt;"",VLOOKUP(C148,DSKH!B:E,3,0),"")</f>
        <v/>
      </c>
      <c r="H148" s="222"/>
      <c r="I148" s="217"/>
      <c r="J148" s="224"/>
      <c r="K148" s="216" t="str">
        <f>IF(C148&lt;&gt;"",VLOOKUP(C148,[1]DSKH!B:E,4,0),"")</f>
        <v/>
      </c>
      <c r="L148" s="216"/>
      <c r="M148" s="216" t="str">
        <f t="shared" si="3"/>
        <v>-  -MAY 02-</v>
      </c>
    </row>
    <row r="149" spans="1:13">
      <c r="A149" s="216" t="str">
        <f>IF(C149&lt;&gt;"",SUBTOTAL(103,$C$12:C149),"")</f>
        <v/>
      </c>
      <c r="B149" s="226">
        <v>43222</v>
      </c>
      <c r="C149" s="216"/>
      <c r="D149" s="216" t="str">
        <f>IF(C149&lt;&gt;"",VLOOKUP(C149,[1]DSKH!B:E,2,0),"")</f>
        <v/>
      </c>
      <c r="E149" s="215"/>
      <c r="F149" s="216"/>
      <c r="G149" s="216" t="str">
        <f>IF(C149&lt;&gt;"",VLOOKUP(C149,DSKH!B:E,3,0),"")</f>
        <v/>
      </c>
      <c r="H149" s="222"/>
      <c r="I149" s="217"/>
      <c r="J149" s="224"/>
      <c r="K149" s="216" t="str">
        <f>IF(C149&lt;&gt;"",VLOOKUP(C149,[1]DSKH!B:E,4,0),"")</f>
        <v/>
      </c>
      <c r="L149" s="216"/>
      <c r="M149" s="216" t="str">
        <f t="shared" si="3"/>
        <v>-  -MAY 02-</v>
      </c>
    </row>
    <row r="150" spans="1:13">
      <c r="A150" s="216" t="str">
        <f>IF(C150&lt;&gt;"",SUBTOTAL(103,$C$12:C150),"")</f>
        <v/>
      </c>
      <c r="B150" s="226">
        <v>43222</v>
      </c>
      <c r="C150" s="216"/>
      <c r="D150" s="216" t="str">
        <f>IF(C150&lt;&gt;"",VLOOKUP(C150,[1]DSKH!B:E,2,0),"")</f>
        <v/>
      </c>
      <c r="E150" s="215"/>
      <c r="F150" s="216"/>
      <c r="G150" s="216" t="str">
        <f>IF(C150&lt;&gt;"",VLOOKUP(C150,DSKH!B:E,3,0),"")</f>
        <v/>
      </c>
      <c r="H150" s="222"/>
      <c r="I150" s="217"/>
      <c r="J150" s="224"/>
      <c r="K150" s="216" t="str">
        <f>IF(C150&lt;&gt;"",VLOOKUP(C150,[1]DSKH!B:E,4,0),"")</f>
        <v/>
      </c>
      <c r="L150" s="216"/>
      <c r="M150" s="216" t="str">
        <f t="shared" si="3"/>
        <v>-  -MAY 02-</v>
      </c>
    </row>
    <row r="151" spans="1:13">
      <c r="A151" s="216" t="str">
        <f>IF(C151&lt;&gt;"",SUBTOTAL(103,$C$12:C151),"")</f>
        <v/>
      </c>
      <c r="B151" s="226">
        <v>43222</v>
      </c>
      <c r="C151" s="216"/>
      <c r="D151" s="216" t="str">
        <f>IF(C151&lt;&gt;"",VLOOKUP(C151,[1]DSKH!B:E,2,0),"")</f>
        <v/>
      </c>
      <c r="E151" s="215"/>
      <c r="F151" s="216"/>
      <c r="G151" s="216" t="str">
        <f>IF(C151&lt;&gt;"",VLOOKUP(C151,DSKH!B:E,3,0),"")</f>
        <v/>
      </c>
      <c r="H151" s="222"/>
      <c r="I151" s="217"/>
      <c r="J151" s="224"/>
      <c r="K151" s="216" t="str">
        <f>IF(C151&lt;&gt;"",VLOOKUP(C151,[1]DSKH!B:E,4,0),"")</f>
        <v/>
      </c>
      <c r="L151" s="216"/>
      <c r="M151" s="216" t="str">
        <f t="shared" si="3"/>
        <v>-  -MAY 02-</v>
      </c>
    </row>
    <row r="152" spans="1:13">
      <c r="A152" s="216" t="str">
        <f>IF(C152&lt;&gt;"",SUBTOTAL(103,$C$12:C152),"")</f>
        <v/>
      </c>
      <c r="B152" s="226">
        <v>43222</v>
      </c>
      <c r="C152" s="216"/>
      <c r="D152" s="216" t="str">
        <f>IF(C152&lt;&gt;"",VLOOKUP(C152,[1]DSKH!B:E,2,0),"")</f>
        <v/>
      </c>
      <c r="E152" s="215"/>
      <c r="F152" s="216"/>
      <c r="G152" s="216" t="str">
        <f>IF(C152&lt;&gt;"",VLOOKUP(C152,DSKH!B:E,3,0),"")</f>
        <v/>
      </c>
      <c r="H152" s="222"/>
      <c r="I152" s="217"/>
      <c r="J152" s="224"/>
      <c r="K152" s="216" t="str">
        <f>IF(C152&lt;&gt;"",VLOOKUP(C152,[1]DSKH!B:E,4,0),"")</f>
        <v/>
      </c>
      <c r="L152" s="216"/>
      <c r="M152" s="216" t="str">
        <f t="shared" si="3"/>
        <v>-  -MAY 02-</v>
      </c>
    </row>
    <row r="153" spans="1:13">
      <c r="A153" s="216" t="str">
        <f>IF(C153&lt;&gt;"",SUBTOTAL(103,$C$12:C153),"")</f>
        <v/>
      </c>
      <c r="B153" s="226">
        <v>43222</v>
      </c>
      <c r="C153" s="216"/>
      <c r="D153" s="216" t="str">
        <f>IF(C153&lt;&gt;"",VLOOKUP(C153,[1]DSKH!B:E,2,0),"")</f>
        <v/>
      </c>
      <c r="E153" s="215"/>
      <c r="F153" s="216"/>
      <c r="G153" s="216" t="str">
        <f>IF(C153&lt;&gt;"",VLOOKUP(C153,DSKH!B:E,3,0),"")</f>
        <v/>
      </c>
      <c r="H153" s="222"/>
      <c r="I153" s="217"/>
      <c r="J153" s="224"/>
      <c r="K153" s="216" t="str">
        <f>IF(C153&lt;&gt;"",VLOOKUP(C153,[1]DSKH!B:E,4,0),"")</f>
        <v/>
      </c>
      <c r="L153" s="216"/>
      <c r="M153" s="216" t="str">
        <f t="shared" si="3"/>
        <v>-  -MAY 02-</v>
      </c>
    </row>
    <row r="154" spans="1:13">
      <c r="A154" s="216" t="str">
        <f>IF(C154&lt;&gt;"",SUBTOTAL(103,$C$12:C154),"")</f>
        <v/>
      </c>
      <c r="B154" s="226">
        <v>43222</v>
      </c>
      <c r="C154" s="216"/>
      <c r="D154" s="216" t="str">
        <f>IF(C154&lt;&gt;"",VLOOKUP(C154,[1]DSKH!B:E,2,0),"")</f>
        <v/>
      </c>
      <c r="E154" s="215"/>
      <c r="F154" s="216"/>
      <c r="G154" s="216" t="str">
        <f>IF(C154&lt;&gt;"",VLOOKUP(C154,DSKH!B:E,3,0),"")</f>
        <v/>
      </c>
      <c r="H154" s="222"/>
      <c r="I154" s="217"/>
      <c r="J154" s="224"/>
      <c r="K154" s="216" t="str">
        <f>IF(C154&lt;&gt;"",VLOOKUP(C154,[1]DSKH!B:E,4,0),"")</f>
        <v/>
      </c>
      <c r="L154" s="216"/>
      <c r="M154" s="216" t="str">
        <f t="shared" si="3"/>
        <v>-  -MAY 02-</v>
      </c>
    </row>
    <row r="155" spans="1:13">
      <c r="A155" s="216" t="str">
        <f>IF(C155&lt;&gt;"",SUBTOTAL(103,$C$12:C155),"")</f>
        <v/>
      </c>
      <c r="B155" s="226">
        <v>43222</v>
      </c>
      <c r="C155" s="216"/>
      <c r="D155" s="216" t="str">
        <f>IF(C155&lt;&gt;"",VLOOKUP(C155,[1]DSKH!B:E,2,0),"")</f>
        <v/>
      </c>
      <c r="E155" s="215"/>
      <c r="F155" s="216"/>
      <c r="G155" s="216" t="str">
        <f>IF(C155&lt;&gt;"",VLOOKUP(C155,DSKH!B:E,3,0),"")</f>
        <v/>
      </c>
      <c r="H155" s="222"/>
      <c r="I155" s="217"/>
      <c r="J155" s="224"/>
      <c r="K155" s="216" t="str">
        <f>IF(C155&lt;&gt;"",VLOOKUP(C155,[1]DSKH!B:E,4,0),"")</f>
        <v/>
      </c>
      <c r="L155" s="216"/>
      <c r="M155" s="216" t="str">
        <f t="shared" si="3"/>
        <v>-  -MAY 02-</v>
      </c>
    </row>
    <row r="156" spans="1:13">
      <c r="A156" s="216" t="str">
        <f>IF(C156&lt;&gt;"",SUBTOTAL(103,$C$12:C156),"")</f>
        <v/>
      </c>
      <c r="B156" s="226">
        <v>43222</v>
      </c>
      <c r="C156" s="216"/>
      <c r="D156" s="216" t="str">
        <f>IF(C156&lt;&gt;"",VLOOKUP(C156,[1]DSKH!B:E,2,0),"")</f>
        <v/>
      </c>
      <c r="E156" s="215"/>
      <c r="F156" s="216"/>
      <c r="G156" s="216" t="str">
        <f>IF(C156&lt;&gt;"",VLOOKUP(C156,DSKH!B:E,3,0),"")</f>
        <v/>
      </c>
      <c r="H156" s="222"/>
      <c r="I156" s="217"/>
      <c r="J156" s="224"/>
      <c r="K156" s="216" t="str">
        <f>IF(C156&lt;&gt;"",VLOOKUP(C156,[1]DSKH!B:E,4,0),"")</f>
        <v/>
      </c>
      <c r="L156" s="216"/>
      <c r="M156" s="216" t="str">
        <f t="shared" si="3"/>
        <v>-  -MAY 02-</v>
      </c>
    </row>
    <row r="157" spans="1:13">
      <c r="A157" s="216" t="str">
        <f>IF(C157&lt;&gt;"",SUBTOTAL(103,$C$12:C157),"")</f>
        <v/>
      </c>
      <c r="B157" s="226">
        <v>43222</v>
      </c>
      <c r="C157" s="216"/>
      <c r="D157" s="216" t="str">
        <f>IF(C157&lt;&gt;"",VLOOKUP(C157,[1]DSKH!B:E,2,0),"")</f>
        <v/>
      </c>
      <c r="E157" s="215"/>
      <c r="F157" s="216"/>
      <c r="G157" s="216" t="str">
        <f>IF(C157&lt;&gt;"",VLOOKUP(C157,DSKH!B:E,3,0),"")</f>
        <v/>
      </c>
      <c r="H157" s="222"/>
      <c r="I157" s="217"/>
      <c r="J157" s="224"/>
      <c r="K157" s="216" t="str">
        <f>IF(C157&lt;&gt;"",VLOOKUP(C157,[1]DSKH!B:E,4,0),"")</f>
        <v/>
      </c>
      <c r="L157" s="216"/>
      <c r="M157" s="216" t="str">
        <f t="shared" si="3"/>
        <v>-  -MAY 02-</v>
      </c>
    </row>
    <row r="158" spans="1:13">
      <c r="A158" s="216" t="str">
        <f>IF(C158&lt;&gt;"",SUBTOTAL(103,$C$12:C158),"")</f>
        <v/>
      </c>
      <c r="B158" s="226">
        <v>43222</v>
      </c>
      <c r="C158" s="216"/>
      <c r="D158" s="216" t="str">
        <f>IF(C158&lt;&gt;"",VLOOKUP(C158,[1]DSKH!B:E,2,0),"")</f>
        <v/>
      </c>
      <c r="E158" s="215"/>
      <c r="F158" s="216"/>
      <c r="G158" s="216" t="str">
        <f>IF(C158&lt;&gt;"",VLOOKUP(C158,DSKH!B:E,3,0),"")</f>
        <v/>
      </c>
      <c r="H158" s="222"/>
      <c r="I158" s="217"/>
      <c r="J158" s="224"/>
      <c r="K158" s="216" t="str">
        <f>IF(C158&lt;&gt;"",VLOOKUP(C158,[1]DSKH!B:E,4,0),"")</f>
        <v/>
      </c>
      <c r="L158" s="216"/>
      <c r="M158" s="216" t="str">
        <f t="shared" si="3"/>
        <v>-  -MAY 02-</v>
      </c>
    </row>
    <row r="159" spans="1:13">
      <c r="A159" s="216" t="str">
        <f>IF(C159&lt;&gt;"",SUBTOTAL(103,$C$12:C159),"")</f>
        <v/>
      </c>
      <c r="B159" s="226">
        <v>43222</v>
      </c>
      <c r="C159" s="216"/>
      <c r="D159" s="216" t="str">
        <f>IF(C159&lt;&gt;"",VLOOKUP(C159,[1]DSKH!B:E,2,0),"")</f>
        <v/>
      </c>
      <c r="E159" s="215"/>
      <c r="F159" s="216"/>
      <c r="G159" s="216" t="str">
        <f>IF(C159&lt;&gt;"",VLOOKUP(C159,DSKH!B:E,3,0),"")</f>
        <v/>
      </c>
      <c r="H159" s="222"/>
      <c r="I159" s="217"/>
      <c r="J159" s="224"/>
      <c r="K159" s="216" t="str">
        <f>IF(C159&lt;&gt;"",VLOOKUP(C159,[1]DSKH!B:E,4,0),"")</f>
        <v/>
      </c>
      <c r="L159" s="216"/>
      <c r="M159" s="216" t="str">
        <f t="shared" si="3"/>
        <v>-  -MAY 02-</v>
      </c>
    </row>
    <row r="160" spans="1:13">
      <c r="A160" s="216" t="str">
        <f>IF(C160&lt;&gt;"",SUBTOTAL(103,$C$12:C160),"")</f>
        <v/>
      </c>
      <c r="B160" s="226">
        <v>43222</v>
      </c>
      <c r="C160" s="216"/>
      <c r="D160" s="216" t="str">
        <f>IF(C160&lt;&gt;"",VLOOKUP(C160,[1]DSKH!B:E,2,0),"")</f>
        <v/>
      </c>
      <c r="E160" s="215"/>
      <c r="F160" s="216"/>
      <c r="G160" s="216" t="str">
        <f>IF(C160&lt;&gt;"",VLOOKUP(C160,DSKH!B:E,3,0),"")</f>
        <v/>
      </c>
      <c r="H160" s="222"/>
      <c r="I160" s="217"/>
      <c r="J160" s="224"/>
      <c r="K160" s="216" t="str">
        <f>IF(C160&lt;&gt;"",VLOOKUP(C160,[1]DSKH!B:E,4,0),"")</f>
        <v/>
      </c>
      <c r="L160" s="216"/>
      <c r="M160" s="216" t="str">
        <f t="shared" si="3"/>
        <v>-  -MAY 02-</v>
      </c>
    </row>
    <row r="161" spans="1:13">
      <c r="A161" s="216" t="str">
        <f>IF(C161&lt;&gt;"",SUBTOTAL(103,$C$12:C161),"")</f>
        <v/>
      </c>
      <c r="B161" s="226">
        <v>43222</v>
      </c>
      <c r="C161" s="216"/>
      <c r="D161" s="216" t="str">
        <f>IF(C161&lt;&gt;"",VLOOKUP(C161,[1]DSKH!B:E,2,0),"")</f>
        <v/>
      </c>
      <c r="E161" s="215"/>
      <c r="F161" s="216"/>
      <c r="G161" s="216" t="str">
        <f>IF(C161&lt;&gt;"",VLOOKUP(C161,DSKH!B:E,3,0),"")</f>
        <v/>
      </c>
      <c r="H161" s="222"/>
      <c r="I161" s="217"/>
      <c r="J161" s="224"/>
      <c r="K161" s="216" t="str">
        <f>IF(C161&lt;&gt;"",VLOOKUP(C161,[1]DSKH!B:E,4,0),"")</f>
        <v/>
      </c>
      <c r="L161" s="216"/>
      <c r="M161" s="216" t="str">
        <f t="shared" si="3"/>
        <v>-  -MAY 02-</v>
      </c>
    </row>
    <row r="162" spans="1:13">
      <c r="A162" s="216" t="str">
        <f>IF(C162&lt;&gt;"",SUBTOTAL(103,$C$12:C162),"")</f>
        <v/>
      </c>
      <c r="B162" s="226">
        <v>43222</v>
      </c>
      <c r="C162" s="216"/>
      <c r="D162" s="216" t="str">
        <f>IF(C162&lt;&gt;"",VLOOKUP(C162,[1]DSKH!B:E,2,0),"")</f>
        <v/>
      </c>
      <c r="E162" s="215"/>
      <c r="F162" s="216"/>
      <c r="G162" s="216" t="str">
        <f>IF(C162&lt;&gt;"",VLOOKUP(C162,DSKH!B:E,3,0),"")</f>
        <v/>
      </c>
      <c r="H162" s="222"/>
      <c r="I162" s="217"/>
      <c r="J162" s="224"/>
      <c r="K162" s="216" t="str">
        <f>IF(C162&lt;&gt;"",VLOOKUP(C162,[1]DSKH!B:E,4,0),"")</f>
        <v/>
      </c>
      <c r="L162" s="216"/>
      <c r="M162" s="216" t="str">
        <f t="shared" si="3"/>
        <v>-  -MAY 02-</v>
      </c>
    </row>
    <row r="163" spans="1:13">
      <c r="A163" s="216" t="str">
        <f>IF(C163&lt;&gt;"",SUBTOTAL(103,$C$12:C163),"")</f>
        <v/>
      </c>
      <c r="B163" s="226">
        <v>43222</v>
      </c>
      <c r="C163" s="216"/>
      <c r="D163" s="216" t="str">
        <f>IF(C163&lt;&gt;"",VLOOKUP(C163,[1]DSKH!B:E,2,0),"")</f>
        <v/>
      </c>
      <c r="E163" s="215"/>
      <c r="F163" s="216"/>
      <c r="G163" s="216" t="str">
        <f>IF(C163&lt;&gt;"",VLOOKUP(C163,DSKH!B:E,3,0),"")</f>
        <v/>
      </c>
      <c r="H163" s="222"/>
      <c r="I163" s="217"/>
      <c r="J163" s="224"/>
      <c r="K163" s="216" t="str">
        <f>IF(C163&lt;&gt;"",VLOOKUP(C163,[1]DSKH!B:E,4,0),"")</f>
        <v/>
      </c>
      <c r="L163" s="216"/>
      <c r="M163" s="216" t="str">
        <f t="shared" si="3"/>
        <v>-  -MAY 02-</v>
      </c>
    </row>
    <row r="164" spans="1:13">
      <c r="A164" s="216" t="str">
        <f>IF(C164&lt;&gt;"",SUBTOTAL(103,$C$12:C164),"")</f>
        <v/>
      </c>
      <c r="B164" s="226">
        <v>43222</v>
      </c>
      <c r="C164" s="216"/>
      <c r="D164" s="216" t="str">
        <f>IF(C164&lt;&gt;"",VLOOKUP(C164,[1]DSKH!B:E,2,0),"")</f>
        <v/>
      </c>
      <c r="E164" s="215"/>
      <c r="F164" s="216"/>
      <c r="G164" s="216" t="str">
        <f>IF(C164&lt;&gt;"",VLOOKUP(C164,DSKH!B:E,3,0),"")</f>
        <v/>
      </c>
      <c r="H164" s="222"/>
      <c r="I164" s="217"/>
      <c r="J164" s="224"/>
      <c r="K164" s="216" t="str">
        <f>IF(C164&lt;&gt;"",VLOOKUP(C164,[1]DSKH!B:E,4,0),"")</f>
        <v/>
      </c>
      <c r="L164" s="216"/>
      <c r="M164" s="216" t="str">
        <f t="shared" si="3"/>
        <v>-  -MAY 02-</v>
      </c>
    </row>
    <row r="165" spans="1:13">
      <c r="A165" s="216" t="str">
        <f>IF(C165&lt;&gt;"",SUBTOTAL(103,$C$12:C165),"")</f>
        <v/>
      </c>
      <c r="B165" s="226">
        <v>43222</v>
      </c>
      <c r="C165" s="216"/>
      <c r="D165" s="216" t="str">
        <f>IF(C165&lt;&gt;"",VLOOKUP(C165,[1]DSKH!B:E,2,0),"")</f>
        <v/>
      </c>
      <c r="E165" s="215"/>
      <c r="F165" s="216"/>
      <c r="G165" s="216" t="str">
        <f>IF(C165&lt;&gt;"",VLOOKUP(C165,DSKH!B:E,3,0),"")</f>
        <v/>
      </c>
      <c r="H165" s="222"/>
      <c r="I165" s="217"/>
      <c r="J165" s="224"/>
      <c r="K165" s="216" t="str">
        <f>IF(C165&lt;&gt;"",VLOOKUP(C165,[1]DSKH!B:E,4,0),"")</f>
        <v/>
      </c>
      <c r="L165" s="216"/>
      <c r="M165" s="216" t="str">
        <f t="shared" si="3"/>
        <v>-  -MAY 02-</v>
      </c>
    </row>
    <row r="166" spans="1:13">
      <c r="A166" s="216" t="str">
        <f>IF(C166&lt;&gt;"",SUBTOTAL(103,$C$12:C166),"")</f>
        <v/>
      </c>
      <c r="B166" s="226">
        <v>43222</v>
      </c>
      <c r="C166" s="216"/>
      <c r="D166" s="216" t="str">
        <f>IF(C166&lt;&gt;"",VLOOKUP(C166,[1]DSKH!B:E,2,0),"")</f>
        <v/>
      </c>
      <c r="E166" s="215"/>
      <c r="F166" s="216"/>
      <c r="G166" s="216" t="str">
        <f>IF(C166&lt;&gt;"",VLOOKUP(C166,DSKH!B:E,3,0),"")</f>
        <v/>
      </c>
      <c r="H166" s="222"/>
      <c r="I166" s="217"/>
      <c r="J166" s="224"/>
      <c r="K166" s="216" t="str">
        <f>IF(C166&lt;&gt;"",VLOOKUP(C166,[1]DSKH!B:E,4,0),"")</f>
        <v/>
      </c>
      <c r="L166" s="216"/>
      <c r="M166" s="216" t="str">
        <f t="shared" si="3"/>
        <v>-  -MAY 02-</v>
      </c>
    </row>
    <row r="167" spans="1:13">
      <c r="A167" s="216" t="str">
        <f>IF(C167&lt;&gt;"",SUBTOTAL(103,$C$12:C167),"")</f>
        <v/>
      </c>
      <c r="B167" s="226">
        <v>43222</v>
      </c>
      <c r="C167" s="216"/>
      <c r="D167" s="216" t="str">
        <f>IF(C167&lt;&gt;"",VLOOKUP(C167,[1]DSKH!B:E,2,0),"")</f>
        <v/>
      </c>
      <c r="E167" s="215"/>
      <c r="F167" s="216"/>
      <c r="G167" s="216" t="str">
        <f>IF(C167&lt;&gt;"",VLOOKUP(C167,DSKH!B:E,3,0),"")</f>
        <v/>
      </c>
      <c r="H167" s="222"/>
      <c r="I167" s="217"/>
      <c r="J167" s="224"/>
      <c r="K167" s="216" t="str">
        <f>IF(C167&lt;&gt;"",VLOOKUP(C167,[1]DSKH!B:E,4,0),"")</f>
        <v/>
      </c>
      <c r="L167" s="216"/>
      <c r="M167" s="216" t="str">
        <f t="shared" si="3"/>
        <v>-  -MAY 02-</v>
      </c>
    </row>
    <row r="168" spans="1:13">
      <c r="A168" s="216" t="str">
        <f>IF(C168&lt;&gt;"",SUBTOTAL(103,$C$12:C168),"")</f>
        <v/>
      </c>
      <c r="B168" s="226">
        <v>43222</v>
      </c>
      <c r="C168" s="216"/>
      <c r="D168" s="216" t="str">
        <f>IF(C168&lt;&gt;"",VLOOKUP(C168,[1]DSKH!B:E,2,0),"")</f>
        <v/>
      </c>
      <c r="E168" s="215"/>
      <c r="F168" s="216"/>
      <c r="G168" s="216" t="str">
        <f>IF(C168&lt;&gt;"",VLOOKUP(C168,DSKH!B:E,3,0),"")</f>
        <v/>
      </c>
      <c r="H168" s="222"/>
      <c r="I168" s="217"/>
      <c r="J168" s="224"/>
      <c r="K168" s="216" t="str">
        <f>IF(C168&lt;&gt;"",VLOOKUP(C168,[1]DSKH!B:E,4,0),"")</f>
        <v/>
      </c>
      <c r="L168" s="216"/>
      <c r="M168" s="216" t="str">
        <f t="shared" si="3"/>
        <v>-  -MAY 02-</v>
      </c>
    </row>
    <row r="169" spans="1:13">
      <c r="A169" s="216" t="str">
        <f>IF(C169&lt;&gt;"",SUBTOTAL(103,$C$12:C169),"")</f>
        <v/>
      </c>
      <c r="B169" s="226">
        <v>43222</v>
      </c>
      <c r="C169" s="216"/>
      <c r="D169" s="216" t="str">
        <f>IF(C169&lt;&gt;"",VLOOKUP(C169,[1]DSKH!B:E,2,0),"")</f>
        <v/>
      </c>
      <c r="E169" s="215"/>
      <c r="F169" s="216"/>
      <c r="G169" s="216" t="str">
        <f>IF(C169&lt;&gt;"",VLOOKUP(C169,DSKH!B:E,3,0),"")</f>
        <v/>
      </c>
      <c r="H169" s="222"/>
      <c r="I169" s="217"/>
      <c r="J169" s="224"/>
      <c r="K169" s="216" t="str">
        <f>IF(C169&lt;&gt;"",VLOOKUP(C169,[1]DSKH!B:E,4,0),"")</f>
        <v/>
      </c>
      <c r="L169" s="216"/>
      <c r="M169" s="216" t="str">
        <f t="shared" si="3"/>
        <v>-  -MAY 02-</v>
      </c>
    </row>
    <row r="170" spans="1:13">
      <c r="A170" s="216" t="str">
        <f>IF(C170&lt;&gt;"",SUBTOTAL(103,$C$12:C170),"")</f>
        <v/>
      </c>
      <c r="B170" s="226">
        <v>43222</v>
      </c>
      <c r="C170" s="216"/>
      <c r="D170" s="216" t="str">
        <f>IF(C170&lt;&gt;"",VLOOKUP(C170,[1]DSKH!B:E,2,0),"")</f>
        <v/>
      </c>
      <c r="E170" s="215"/>
      <c r="F170" s="216"/>
      <c r="G170" s="216" t="str">
        <f>IF(C170&lt;&gt;"",VLOOKUP(C170,DSKH!B:E,3,0),"")</f>
        <v/>
      </c>
      <c r="H170" s="222"/>
      <c r="I170" s="217"/>
      <c r="J170" s="224"/>
      <c r="K170" s="216" t="str">
        <f>IF(C170&lt;&gt;"",VLOOKUP(C170,[1]DSKH!B:E,4,0),"")</f>
        <v/>
      </c>
      <c r="L170" s="216"/>
      <c r="M170" s="216" t="str">
        <f t="shared" si="3"/>
        <v>-  -MAY 02-</v>
      </c>
    </row>
    <row r="171" spans="1:13">
      <c r="A171" s="216" t="str">
        <f>IF(C171&lt;&gt;"",SUBTOTAL(103,$C$12:C171),"")</f>
        <v/>
      </c>
      <c r="B171" s="226">
        <v>43222</v>
      </c>
      <c r="C171" s="216"/>
      <c r="D171" s="216" t="str">
        <f>IF(C171&lt;&gt;"",VLOOKUP(C171,[1]DSKH!B:E,2,0),"")</f>
        <v/>
      </c>
      <c r="E171" s="215"/>
      <c r="F171" s="216"/>
      <c r="G171" s="216" t="str">
        <f>IF(C171&lt;&gt;"",VLOOKUP(C171,DSKH!B:E,3,0),"")</f>
        <v/>
      </c>
      <c r="H171" s="222"/>
      <c r="I171" s="217"/>
      <c r="J171" s="224"/>
      <c r="K171" s="216" t="str">
        <f>IF(C171&lt;&gt;"",VLOOKUP(C171,[1]DSKH!B:E,4,0),"")</f>
        <v/>
      </c>
      <c r="L171" s="216"/>
      <c r="M171" s="216" t="str">
        <f t="shared" si="3"/>
        <v>-  -MAY 02-</v>
      </c>
    </row>
    <row r="172" spans="1:13">
      <c r="A172" s="216" t="str">
        <f>IF(C172&lt;&gt;"",SUBTOTAL(103,$C$12:C172),"")</f>
        <v/>
      </c>
      <c r="B172" s="226">
        <v>43222</v>
      </c>
      <c r="C172" s="216"/>
      <c r="D172" s="216" t="str">
        <f>IF(C172&lt;&gt;"",VLOOKUP(C172,[1]DSKH!B:E,2,0),"")</f>
        <v/>
      </c>
      <c r="E172" s="215"/>
      <c r="F172" s="216"/>
      <c r="G172" s="216" t="str">
        <f>IF(C172&lt;&gt;"",VLOOKUP(C172,DSKH!B:E,3,0),"")</f>
        <v/>
      </c>
      <c r="H172" s="222"/>
      <c r="I172" s="217"/>
      <c r="J172" s="224"/>
      <c r="K172" s="216" t="str">
        <f>IF(C172&lt;&gt;"",VLOOKUP(C172,[1]DSKH!B:E,4,0),"")</f>
        <v/>
      </c>
      <c r="L172" s="216"/>
      <c r="M172" s="216" t="str">
        <f t="shared" si="3"/>
        <v>-  -MAY 02-</v>
      </c>
    </row>
    <row r="173" spans="1:13">
      <c r="A173" s="216" t="str">
        <f>IF(C173&lt;&gt;"",SUBTOTAL(103,$C$12:C173),"")</f>
        <v/>
      </c>
      <c r="B173" s="226">
        <v>43222</v>
      </c>
      <c r="C173" s="216"/>
      <c r="D173" s="216" t="str">
        <f>IF(C173&lt;&gt;"",VLOOKUP(C173,[1]DSKH!B:E,2,0),"")</f>
        <v/>
      </c>
      <c r="E173" s="215"/>
      <c r="F173" s="216"/>
      <c r="G173" s="216" t="str">
        <f>IF(C173&lt;&gt;"",VLOOKUP(C173,DSKH!B:E,3,0),"")</f>
        <v/>
      </c>
      <c r="H173" s="222"/>
      <c r="I173" s="217"/>
      <c r="J173" s="224"/>
      <c r="K173" s="216" t="str">
        <f>IF(C173&lt;&gt;"",VLOOKUP(C173,[1]DSKH!B:E,4,0),"")</f>
        <v/>
      </c>
      <c r="L173" s="216"/>
      <c r="M173" s="216" t="str">
        <f t="shared" si="3"/>
        <v>-  -MAY 02-</v>
      </c>
    </row>
    <row r="174" spans="1:13">
      <c r="A174" s="216" t="str">
        <f>IF(C174&lt;&gt;"",SUBTOTAL(103,$C$12:C174),"")</f>
        <v/>
      </c>
      <c r="B174" s="226">
        <v>43222</v>
      </c>
      <c r="C174" s="216"/>
      <c r="D174" s="216" t="str">
        <f>IF(C174&lt;&gt;"",VLOOKUP(C174,[1]DSKH!B:E,2,0),"")</f>
        <v/>
      </c>
      <c r="E174" s="215"/>
      <c r="F174" s="216"/>
      <c r="G174" s="216" t="str">
        <f>IF(C174&lt;&gt;"",VLOOKUP(C174,DSKH!B:E,3,0),"")</f>
        <v/>
      </c>
      <c r="H174" s="222"/>
      <c r="I174" s="217"/>
      <c r="J174" s="224"/>
      <c r="K174" s="216" t="str">
        <f>IF(C174&lt;&gt;"",VLOOKUP(C174,[1]DSKH!B:E,4,0),"")</f>
        <v/>
      </c>
      <c r="L174" s="216"/>
      <c r="M174" s="216" t="str">
        <f t="shared" si="3"/>
        <v>-  -MAY 02-</v>
      </c>
    </row>
    <row r="175" spans="1:13">
      <c r="A175" s="216" t="str">
        <f>IF(C175&lt;&gt;"",SUBTOTAL(103,$C$12:C175),"")</f>
        <v/>
      </c>
      <c r="B175" s="226">
        <v>43222</v>
      </c>
      <c r="C175" s="216"/>
      <c r="D175" s="216" t="str">
        <f>IF(C175&lt;&gt;"",VLOOKUP(C175,[1]DSKH!B:E,2,0),"")</f>
        <v/>
      </c>
      <c r="E175" s="215"/>
      <c r="F175" s="216"/>
      <c r="G175" s="216" t="str">
        <f>IF(C175&lt;&gt;"",VLOOKUP(C175,DSKH!B:E,3,0),"")</f>
        <v/>
      </c>
      <c r="H175" s="222"/>
      <c r="I175" s="217"/>
      <c r="J175" s="224"/>
      <c r="K175" s="216" t="str">
        <f>IF(C175&lt;&gt;"",VLOOKUP(C175,[1]DSKH!B:E,4,0),"")</f>
        <v/>
      </c>
      <c r="L175" s="216"/>
      <c r="M175" s="216" t="str">
        <f t="shared" si="3"/>
        <v>-  -MAY 02-</v>
      </c>
    </row>
    <row r="176" spans="1:13">
      <c r="A176" s="216" t="str">
        <f>IF(C176&lt;&gt;"",SUBTOTAL(103,$C$12:C176),"")</f>
        <v/>
      </c>
      <c r="B176" s="226">
        <v>43222</v>
      </c>
      <c r="C176" s="216"/>
      <c r="D176" s="216" t="str">
        <f>IF(C176&lt;&gt;"",VLOOKUP(C176,[1]DSKH!B:E,2,0),"")</f>
        <v/>
      </c>
      <c r="E176" s="215"/>
      <c r="F176" s="216"/>
      <c r="G176" s="216" t="str">
        <f>IF(C176&lt;&gt;"",VLOOKUP(C176,DSKH!B:E,3,0),"")</f>
        <v/>
      </c>
      <c r="H176" s="222"/>
      <c r="I176" s="217"/>
      <c r="J176" s="224"/>
      <c r="K176" s="216" t="str">
        <f>IF(C176&lt;&gt;"",VLOOKUP(C176,[1]DSKH!B:E,4,0),"")</f>
        <v/>
      </c>
      <c r="L176" s="216"/>
      <c r="M176" s="216" t="str">
        <f t="shared" si="3"/>
        <v>-  -MAY 02-</v>
      </c>
    </row>
    <row r="177" spans="1:13">
      <c r="A177" s="216" t="str">
        <f>IF(C177&lt;&gt;"",SUBTOTAL(103,$C$12:C177),"")</f>
        <v/>
      </c>
      <c r="B177" s="226">
        <v>43222</v>
      </c>
      <c r="C177" s="216"/>
      <c r="D177" s="216" t="str">
        <f>IF(C177&lt;&gt;"",VLOOKUP(C177,[1]DSKH!B:E,2,0),"")</f>
        <v/>
      </c>
      <c r="E177" s="215"/>
      <c r="F177" s="216"/>
      <c r="G177" s="216" t="str">
        <f>IF(C177&lt;&gt;"",VLOOKUP(C177,DSKH!B:E,3,0),"")</f>
        <v/>
      </c>
      <c r="H177" s="222"/>
      <c r="I177" s="217"/>
      <c r="J177" s="224"/>
      <c r="K177" s="216" t="str">
        <f>IF(C177&lt;&gt;"",VLOOKUP(C177,[1]DSKH!B:E,4,0),"")</f>
        <v/>
      </c>
      <c r="L177" s="216"/>
      <c r="M177" s="216" t="str">
        <f t="shared" si="3"/>
        <v>-  -MAY 02-</v>
      </c>
    </row>
    <row r="178" spans="1:13">
      <c r="A178" s="216" t="str">
        <f>IF(C178&lt;&gt;"",SUBTOTAL(103,$C$12:C178),"")</f>
        <v/>
      </c>
      <c r="B178" s="226">
        <v>43222</v>
      </c>
      <c r="C178" s="216"/>
      <c r="D178" s="216" t="str">
        <f>IF(C178&lt;&gt;"",VLOOKUP(C178,[1]DSKH!B:E,2,0),"")</f>
        <v/>
      </c>
      <c r="E178" s="215"/>
      <c r="F178" s="216"/>
      <c r="G178" s="216" t="str">
        <f>IF(C178&lt;&gt;"",VLOOKUP(C178,DSKH!B:E,3,0),"")</f>
        <v/>
      </c>
      <c r="H178" s="222"/>
      <c r="I178" s="217"/>
      <c r="J178" s="224"/>
      <c r="K178" s="216" t="str">
        <f>IF(C178&lt;&gt;"",VLOOKUP(C178,[1]DSKH!B:E,4,0),"")</f>
        <v/>
      </c>
      <c r="L178" s="216"/>
      <c r="M178" s="216" t="str">
        <f t="shared" si="3"/>
        <v>-  -MAY 02-</v>
      </c>
    </row>
    <row r="179" spans="1:13">
      <c r="A179" s="216" t="str">
        <f>IF(C179&lt;&gt;"",SUBTOTAL(103,$C$12:C179),"")</f>
        <v/>
      </c>
      <c r="B179" s="226">
        <v>43222</v>
      </c>
      <c r="C179" s="216"/>
      <c r="D179" s="216" t="str">
        <f>IF(C179&lt;&gt;"",VLOOKUP(C179,[1]DSKH!B:E,2,0),"")</f>
        <v/>
      </c>
      <c r="E179" s="215"/>
      <c r="F179" s="216"/>
      <c r="G179" s="216" t="str">
        <f>IF(C179&lt;&gt;"",VLOOKUP(C179,DSKH!B:E,3,0),"")</f>
        <v/>
      </c>
      <c r="H179" s="222"/>
      <c r="I179" s="217"/>
      <c r="J179" s="224"/>
      <c r="K179" s="216" t="str">
        <f>IF(C179&lt;&gt;"",VLOOKUP(C179,[1]DSKH!B:E,4,0),"")</f>
        <v/>
      </c>
      <c r="L179" s="216"/>
      <c r="M179" s="216" t="str">
        <f t="shared" si="3"/>
        <v>-  -MAY 02-</v>
      </c>
    </row>
    <row r="180" spans="1:13">
      <c r="A180" s="216" t="str">
        <f>IF(C180&lt;&gt;"",SUBTOTAL(103,$C$12:C180),"")</f>
        <v/>
      </c>
      <c r="B180" s="226">
        <v>43222</v>
      </c>
      <c r="C180" s="216"/>
      <c r="D180" s="216" t="str">
        <f>IF(C180&lt;&gt;"",VLOOKUP(C180,[1]DSKH!B:E,2,0),"")</f>
        <v/>
      </c>
      <c r="E180" s="215"/>
      <c r="F180" s="216"/>
      <c r="G180" s="216" t="str">
        <f>IF(C180&lt;&gt;"",VLOOKUP(C180,DSKH!B:E,3,0),"")</f>
        <v/>
      </c>
      <c r="H180" s="222"/>
      <c r="I180" s="217"/>
      <c r="J180" s="224"/>
      <c r="K180" s="216" t="str">
        <f>IF(C180&lt;&gt;"",VLOOKUP(C180,[1]DSKH!B:E,4,0),"")</f>
        <v/>
      </c>
      <c r="L180" s="216"/>
      <c r="M180" s="216" t="str">
        <f t="shared" si="3"/>
        <v>-  -MAY 02-</v>
      </c>
    </row>
    <row r="181" spans="1:13">
      <c r="A181" s="216" t="str">
        <f>IF(C181&lt;&gt;"",SUBTOTAL(103,$C$12:C181),"")</f>
        <v/>
      </c>
      <c r="B181" s="226">
        <v>43222</v>
      </c>
      <c r="C181" s="216"/>
      <c r="D181" s="216" t="str">
        <f>IF(C181&lt;&gt;"",VLOOKUP(C181,[1]DSKH!B:E,2,0),"")</f>
        <v/>
      </c>
      <c r="E181" s="215"/>
      <c r="F181" s="216"/>
      <c r="G181" s="216" t="str">
        <f>IF(C181&lt;&gt;"",VLOOKUP(C181,DSKH!B:E,3,0),"")</f>
        <v/>
      </c>
      <c r="H181" s="222"/>
      <c r="I181" s="217"/>
      <c r="J181" s="224"/>
      <c r="K181" s="216" t="str">
        <f>IF(C181&lt;&gt;"",VLOOKUP(C181,[1]DSKH!B:E,4,0),"")</f>
        <v/>
      </c>
      <c r="L181" s="216"/>
      <c r="M181" s="216" t="str">
        <f t="shared" si="3"/>
        <v>-  -MAY 02-</v>
      </c>
    </row>
    <row r="182" spans="1:13">
      <c r="A182" s="216" t="str">
        <f>IF(C182&lt;&gt;"",SUBTOTAL(103,$C$12:C182),"")</f>
        <v/>
      </c>
      <c r="B182" s="226">
        <v>43222</v>
      </c>
      <c r="C182" s="216"/>
      <c r="D182" s="216" t="str">
        <f>IF(C182&lt;&gt;"",VLOOKUP(C182,[1]DSKH!B:E,2,0),"")</f>
        <v/>
      </c>
      <c r="E182" s="215"/>
      <c r="F182" s="216"/>
      <c r="G182" s="216" t="str">
        <f>IF(C182&lt;&gt;"",VLOOKUP(C182,DSKH!B:E,3,0),"")</f>
        <v/>
      </c>
      <c r="H182" s="222"/>
      <c r="I182" s="217"/>
      <c r="J182" s="224"/>
      <c r="K182" s="216" t="str">
        <f>IF(C182&lt;&gt;"",VLOOKUP(C182,[1]DSKH!B:E,4,0),"")</f>
        <v/>
      </c>
      <c r="L182" s="216"/>
      <c r="M182" s="216" t="str">
        <f t="shared" si="3"/>
        <v>-  -MAY 02-</v>
      </c>
    </row>
    <row r="183" spans="1:13">
      <c r="A183" s="216" t="str">
        <f>IF(C183&lt;&gt;"",SUBTOTAL(103,$C$12:C183),"")</f>
        <v/>
      </c>
      <c r="B183" s="226">
        <v>43222</v>
      </c>
      <c r="C183" s="216"/>
      <c r="D183" s="216" t="str">
        <f>IF(C183&lt;&gt;"",VLOOKUP(C183,[1]DSKH!B:E,2,0),"")</f>
        <v/>
      </c>
      <c r="E183" s="215"/>
      <c r="F183" s="216"/>
      <c r="G183" s="216" t="str">
        <f>IF(C183&lt;&gt;"",VLOOKUP(C183,DSKH!B:E,3,0),"")</f>
        <v/>
      </c>
      <c r="H183" s="222"/>
      <c r="I183" s="217"/>
      <c r="J183" s="224"/>
      <c r="K183" s="216" t="str">
        <f>IF(C183&lt;&gt;"",VLOOKUP(C183,[1]DSKH!B:E,4,0),"")</f>
        <v/>
      </c>
      <c r="L183" s="216"/>
      <c r="M183" s="216" t="str">
        <f t="shared" si="3"/>
        <v>-  -MAY 02-</v>
      </c>
    </row>
    <row r="184" spans="1:13">
      <c r="A184" s="216" t="str">
        <f>IF(C184&lt;&gt;"",SUBTOTAL(103,$C$12:C184),"")</f>
        <v/>
      </c>
      <c r="B184" s="226">
        <v>43222</v>
      </c>
      <c r="C184" s="216"/>
      <c r="D184" s="216" t="str">
        <f>IF(C184&lt;&gt;"",VLOOKUP(C184,[1]DSKH!B:E,2,0),"")</f>
        <v/>
      </c>
      <c r="E184" s="215"/>
      <c r="F184" s="216"/>
      <c r="G184" s="216" t="str">
        <f>IF(C184&lt;&gt;"",VLOOKUP(C184,DSKH!B:E,3,0),"")</f>
        <v/>
      </c>
      <c r="H184" s="222"/>
      <c r="I184" s="217"/>
      <c r="J184" s="224"/>
      <c r="K184" s="216" t="str">
        <f>IF(C184&lt;&gt;"",VLOOKUP(C184,[1]DSKH!B:E,4,0),"")</f>
        <v/>
      </c>
      <c r="L184" s="216"/>
      <c r="M184" s="216" t="str">
        <f t="shared" si="3"/>
        <v>-  -MAY 02-</v>
      </c>
    </row>
    <row r="185" spans="1:13">
      <c r="A185" s="216" t="str">
        <f>IF(C185&lt;&gt;"",SUBTOTAL(103,$C$12:C185),"")</f>
        <v/>
      </c>
      <c r="B185" s="226">
        <v>43222</v>
      </c>
      <c r="C185" s="216"/>
      <c r="D185" s="216" t="str">
        <f>IF(C185&lt;&gt;"",VLOOKUP(C185,[1]DSKH!B:E,2,0),"")</f>
        <v/>
      </c>
      <c r="E185" s="215"/>
      <c r="F185" s="216"/>
      <c r="G185" s="216" t="str">
        <f>IF(C185&lt;&gt;"",VLOOKUP(C185,DSKH!B:E,3,0),"")</f>
        <v/>
      </c>
      <c r="H185" s="222"/>
      <c r="I185" s="217"/>
      <c r="J185" s="224"/>
      <c r="K185" s="216" t="str">
        <f>IF(C185&lt;&gt;"",VLOOKUP(C185,[1]DSKH!B:E,4,0),"")</f>
        <v/>
      </c>
      <c r="L185" s="216"/>
      <c r="M185" s="216" t="str">
        <f t="shared" si="3"/>
        <v>-  -MAY 02-</v>
      </c>
    </row>
    <row r="186" spans="1:13">
      <c r="A186" s="216" t="str">
        <f>IF(C186&lt;&gt;"",SUBTOTAL(103,$C$12:C186),"")</f>
        <v/>
      </c>
      <c r="B186" s="226">
        <v>43222</v>
      </c>
      <c r="C186" s="216"/>
      <c r="D186" s="216" t="str">
        <f>IF(C186&lt;&gt;"",VLOOKUP(C186,[1]DSKH!B:E,2,0),"")</f>
        <v/>
      </c>
      <c r="E186" s="215"/>
      <c r="F186" s="216"/>
      <c r="G186" s="216" t="str">
        <f>IF(C186&lt;&gt;"",VLOOKUP(C186,DSKH!B:E,3,0),"")</f>
        <v/>
      </c>
      <c r="H186" s="222"/>
      <c r="I186" s="217"/>
      <c r="J186" s="224"/>
      <c r="K186" s="216" t="str">
        <f>IF(C186&lt;&gt;"",VLOOKUP(C186,[1]DSKH!B:E,4,0),"")</f>
        <v/>
      </c>
      <c r="L186" s="216"/>
      <c r="M186" s="216" t="str">
        <f t="shared" si="3"/>
        <v>-  -MAY 02-</v>
      </c>
    </row>
    <row r="187" spans="1:13">
      <c r="A187" s="216" t="str">
        <f>IF(C187&lt;&gt;"",SUBTOTAL(103,$C$12:C187),"")</f>
        <v/>
      </c>
      <c r="B187" s="226">
        <v>43222</v>
      </c>
      <c r="C187" s="216"/>
      <c r="D187" s="216" t="str">
        <f>IF(C187&lt;&gt;"",VLOOKUP(C187,[1]DSKH!B:E,2,0),"")</f>
        <v/>
      </c>
      <c r="E187" s="215"/>
      <c r="F187" s="216"/>
      <c r="G187" s="216" t="str">
        <f>IF(C187&lt;&gt;"",VLOOKUP(C187,DSKH!B:E,3,0),"")</f>
        <v/>
      </c>
      <c r="H187" s="222"/>
      <c r="I187" s="217"/>
      <c r="J187" s="224"/>
      <c r="K187" s="216" t="str">
        <f>IF(C187&lt;&gt;"",VLOOKUP(C187,[1]DSKH!B:E,4,0),"")</f>
        <v/>
      </c>
      <c r="L187" s="216"/>
      <c r="M187" s="216" t="str">
        <f t="shared" si="3"/>
        <v>-  -MAY 02-</v>
      </c>
    </row>
    <row r="188" spans="1:13">
      <c r="A188" s="216" t="str">
        <f>IF(C188&lt;&gt;"",SUBTOTAL(103,$C$12:C188),"")</f>
        <v/>
      </c>
      <c r="B188" s="226">
        <v>43222</v>
      </c>
      <c r="C188" s="216"/>
      <c r="D188" s="216" t="str">
        <f>IF(C188&lt;&gt;"",VLOOKUP(C188,[1]DSKH!B:E,2,0),"")</f>
        <v/>
      </c>
      <c r="E188" s="215"/>
      <c r="F188" s="216"/>
      <c r="G188" s="216" t="str">
        <f>IF(C188&lt;&gt;"",VLOOKUP(C188,DSKH!B:E,3,0),"")</f>
        <v/>
      </c>
      <c r="H188" s="222"/>
      <c r="I188" s="217"/>
      <c r="J188" s="224"/>
      <c r="K188" s="216" t="str">
        <f>IF(C188&lt;&gt;"",VLOOKUP(C188,[1]DSKH!B:E,4,0),"")</f>
        <v/>
      </c>
      <c r="L188" s="216"/>
      <c r="M188" s="216" t="str">
        <f t="shared" si="3"/>
        <v>-  -MAY 02-</v>
      </c>
    </row>
    <row r="189" spans="1:13">
      <c r="A189" s="216" t="str">
        <f>IF(C189&lt;&gt;"",SUBTOTAL(103,$C$12:C189),"")</f>
        <v/>
      </c>
      <c r="B189" s="226">
        <v>43222</v>
      </c>
      <c r="C189" s="216"/>
      <c r="D189" s="216" t="str">
        <f>IF(C189&lt;&gt;"",VLOOKUP(C189,[1]DSKH!B:E,2,0),"")</f>
        <v/>
      </c>
      <c r="E189" s="215"/>
      <c r="F189" s="216"/>
      <c r="G189" s="216" t="str">
        <f>IF(C189&lt;&gt;"",VLOOKUP(C189,DSKH!B:E,3,0),"")</f>
        <v/>
      </c>
      <c r="H189" s="222"/>
      <c r="I189" s="217"/>
      <c r="J189" s="224"/>
      <c r="K189" s="216" t="str">
        <f>IF(C189&lt;&gt;"",VLOOKUP(C189,[1]DSKH!B:E,4,0),"")</f>
        <v/>
      </c>
      <c r="L189" s="216"/>
      <c r="M189" s="216" t="str">
        <f t="shared" si="3"/>
        <v>-  -MAY 02-</v>
      </c>
    </row>
    <row r="190" spans="1:13">
      <c r="A190" s="216" t="str">
        <f>IF(C190&lt;&gt;"",SUBTOTAL(103,$C$12:C190),"")</f>
        <v/>
      </c>
      <c r="B190" s="226">
        <v>43222</v>
      </c>
      <c r="C190" s="216"/>
      <c r="D190" s="216" t="str">
        <f>IF(C190&lt;&gt;"",VLOOKUP(C190,[1]DSKH!B:E,2,0),"")</f>
        <v/>
      </c>
      <c r="E190" s="215"/>
      <c r="F190" s="216"/>
      <c r="G190" s="216" t="str">
        <f>IF(C190&lt;&gt;"",VLOOKUP(C190,DSKH!B:E,3,0),"")</f>
        <v/>
      </c>
      <c r="H190" s="222"/>
      <c r="I190" s="217"/>
      <c r="J190" s="224"/>
      <c r="K190" s="216" t="str">
        <f>IF(C190&lt;&gt;"",VLOOKUP(C190,[1]DSKH!B:E,4,0),"")</f>
        <v/>
      </c>
      <c r="L190" s="216"/>
      <c r="M190" s="216" t="str">
        <f t="shared" si="3"/>
        <v>-  -MAY 02-</v>
      </c>
    </row>
    <row r="191" spans="1:13">
      <c r="A191" s="216" t="str">
        <f>IF(C191&lt;&gt;"",SUBTOTAL(103,$C$12:C191),"")</f>
        <v/>
      </c>
      <c r="B191" s="226">
        <v>43222</v>
      </c>
      <c r="C191" s="216"/>
      <c r="D191" s="216" t="str">
        <f>IF(C191&lt;&gt;"",VLOOKUP(C191,[1]DSKH!B:E,2,0),"")</f>
        <v/>
      </c>
      <c r="E191" s="215"/>
      <c r="F191" s="216"/>
      <c r="G191" s="216" t="str">
        <f>IF(C191&lt;&gt;"",VLOOKUP(C191,DSKH!B:E,3,0),"")</f>
        <v/>
      </c>
      <c r="H191" s="222"/>
      <c r="I191" s="217"/>
      <c r="J191" s="224"/>
      <c r="K191" s="216" t="str">
        <f>IF(C191&lt;&gt;"",VLOOKUP(C191,[1]DSKH!B:E,4,0),"")</f>
        <v/>
      </c>
      <c r="L191" s="216"/>
      <c r="M191" s="216" t="str">
        <f t="shared" si="3"/>
        <v>-  -MAY 02-</v>
      </c>
    </row>
    <row r="192" spans="1:13">
      <c r="A192" s="216" t="str">
        <f>IF(C192&lt;&gt;"",SUBTOTAL(103,$C$12:C192),"")</f>
        <v/>
      </c>
      <c r="B192" s="226">
        <v>43222</v>
      </c>
      <c r="C192" s="216"/>
      <c r="D192" s="216" t="str">
        <f>IF(C192&lt;&gt;"",VLOOKUP(C192,[1]DSKH!B:E,2,0),"")</f>
        <v/>
      </c>
      <c r="E192" s="215"/>
      <c r="F192" s="216"/>
      <c r="G192" s="216" t="str">
        <f>IF(C192&lt;&gt;"",VLOOKUP(C192,DSKH!B:E,3,0),"")</f>
        <v/>
      </c>
      <c r="H192" s="222"/>
      <c r="I192" s="217"/>
      <c r="J192" s="224"/>
      <c r="K192" s="216" t="str">
        <f>IF(C192&lt;&gt;"",VLOOKUP(C192,[1]DSKH!B:E,4,0),"")</f>
        <v/>
      </c>
      <c r="L192" s="216"/>
      <c r="M192" s="216" t="str">
        <f t="shared" si="3"/>
        <v>-  -MAY 02-</v>
      </c>
    </row>
    <row r="193" spans="1:13">
      <c r="A193" s="216" t="str">
        <f>IF(C193&lt;&gt;"",SUBTOTAL(103,$C$12:C193),"")</f>
        <v/>
      </c>
      <c r="B193" s="226">
        <v>43222</v>
      </c>
      <c r="C193" s="216"/>
      <c r="D193" s="216" t="str">
        <f>IF(C193&lt;&gt;"",VLOOKUP(C193,[1]DSKH!B:E,2,0),"")</f>
        <v/>
      </c>
      <c r="E193" s="215"/>
      <c r="F193" s="216"/>
      <c r="G193" s="216" t="str">
        <f>IF(C193&lt;&gt;"",VLOOKUP(C193,DSKH!B:E,3,0),"")</f>
        <v/>
      </c>
      <c r="H193" s="222"/>
      <c r="I193" s="217"/>
      <c r="J193" s="224"/>
      <c r="K193" s="216" t="str">
        <f>IF(C193&lt;&gt;"",VLOOKUP(C193,[1]DSKH!B:E,4,0),"")</f>
        <v/>
      </c>
      <c r="L193" s="216"/>
      <c r="M193" s="216" t="str">
        <f t="shared" si="3"/>
        <v>-  -MAY 02-</v>
      </c>
    </row>
    <row r="194" spans="1:13">
      <c r="A194" s="216" t="str">
        <f>IF(C194&lt;&gt;"",SUBTOTAL(103,$C$12:C194),"")</f>
        <v/>
      </c>
      <c r="B194" s="226">
        <v>43222</v>
      </c>
      <c r="C194" s="216"/>
      <c r="D194" s="216" t="str">
        <f>IF(C194&lt;&gt;"",VLOOKUP(C194,[1]DSKH!B:E,2,0),"")</f>
        <v/>
      </c>
      <c r="E194" s="215"/>
      <c r="F194" s="216"/>
      <c r="G194" s="216" t="str">
        <f>IF(C194&lt;&gt;"",VLOOKUP(C194,DSKH!B:E,3,0),"")</f>
        <v/>
      </c>
      <c r="H194" s="222"/>
      <c r="I194" s="217"/>
      <c r="J194" s="224"/>
      <c r="K194" s="216" t="str">
        <f>IF(C194&lt;&gt;"",VLOOKUP(C194,[1]DSKH!B:E,4,0),"")</f>
        <v/>
      </c>
      <c r="L194" s="216"/>
      <c r="M194" s="216" t="str">
        <f t="shared" si="3"/>
        <v>-  -MAY 02-</v>
      </c>
    </row>
    <row r="195" spans="1:13">
      <c r="A195" s="216" t="str">
        <f>IF(C195&lt;&gt;"",SUBTOTAL(103,$C$12:C195),"")</f>
        <v/>
      </c>
      <c r="B195" s="226">
        <v>43222</v>
      </c>
      <c r="C195" s="216"/>
      <c r="D195" s="216" t="str">
        <f>IF(C195&lt;&gt;"",VLOOKUP(C195,[1]DSKH!B:E,2,0),"")</f>
        <v/>
      </c>
      <c r="E195" s="215"/>
      <c r="F195" s="216"/>
      <c r="G195" s="216" t="str">
        <f>IF(C195&lt;&gt;"",VLOOKUP(C195,DSKH!B:E,3,0),"")</f>
        <v/>
      </c>
      <c r="H195" s="222"/>
      <c r="I195" s="217"/>
      <c r="J195" s="224"/>
      <c r="K195" s="216" t="str">
        <f>IF(C195&lt;&gt;"",VLOOKUP(C195,[1]DSKH!B:E,4,0),"")</f>
        <v/>
      </c>
      <c r="L195" s="216"/>
      <c r="M195" s="216" t="str">
        <f t="shared" si="3"/>
        <v>-  -MAY 02-</v>
      </c>
    </row>
    <row r="196" spans="1:13">
      <c r="A196" s="216" t="str">
        <f>IF(C196&lt;&gt;"",SUBTOTAL(103,$C$12:C196),"")</f>
        <v/>
      </c>
      <c r="B196" s="226">
        <v>43222</v>
      </c>
      <c r="C196" s="216"/>
      <c r="D196" s="216" t="str">
        <f>IF(C196&lt;&gt;"",VLOOKUP(C196,[1]DSKH!B:E,2,0),"")</f>
        <v/>
      </c>
      <c r="E196" s="215"/>
      <c r="F196" s="216"/>
      <c r="G196" s="216" t="str">
        <f>IF(C196&lt;&gt;"",VLOOKUP(C196,DSKH!B:E,3,0),"")</f>
        <v/>
      </c>
      <c r="H196" s="222"/>
      <c r="I196" s="217"/>
      <c r="J196" s="224"/>
      <c r="K196" s="216" t="str">
        <f>IF(C196&lt;&gt;"",VLOOKUP(C196,[1]DSKH!B:E,4,0),"")</f>
        <v/>
      </c>
      <c r="L196" s="216"/>
      <c r="M196" s="216" t="str">
        <f t="shared" si="3"/>
        <v>-  -MAY 02-</v>
      </c>
    </row>
    <row r="197" spans="1:13">
      <c r="A197" s="216" t="str">
        <f>IF(C197&lt;&gt;"",SUBTOTAL(103,$C$12:C197),"")</f>
        <v/>
      </c>
      <c r="B197" s="226">
        <v>43222</v>
      </c>
      <c r="C197" s="216"/>
      <c r="D197" s="216" t="str">
        <f>IF(C197&lt;&gt;"",VLOOKUP(C197,[1]DSKH!B:E,2,0),"")</f>
        <v/>
      </c>
      <c r="E197" s="215"/>
      <c r="F197" s="216"/>
      <c r="G197" s="216" t="str">
        <f>IF(C197&lt;&gt;"",VLOOKUP(C197,DSKH!B:E,3,0),"")</f>
        <v/>
      </c>
      <c r="H197" s="222"/>
      <c r="I197" s="217"/>
      <c r="J197" s="224"/>
      <c r="K197" s="216" t="str">
        <f>IF(C197&lt;&gt;"",VLOOKUP(C197,[1]DSKH!B:E,4,0),"")</f>
        <v/>
      </c>
      <c r="L197" s="216"/>
      <c r="M197" s="216" t="str">
        <f t="shared" si="3"/>
        <v>-  -MAY 02-</v>
      </c>
    </row>
    <row r="198" spans="1:13">
      <c r="A198" s="216" t="str">
        <f>IF(C198&lt;&gt;"",SUBTOTAL(103,$C$12:C198),"")</f>
        <v/>
      </c>
      <c r="B198" s="226">
        <v>43222</v>
      </c>
      <c r="C198" s="216"/>
      <c r="D198" s="216" t="str">
        <f>IF(C198&lt;&gt;"",VLOOKUP(C198,[1]DSKH!B:E,2,0),"")</f>
        <v/>
      </c>
      <c r="E198" s="215"/>
      <c r="F198" s="216"/>
      <c r="G198" s="216" t="str">
        <f>IF(C198&lt;&gt;"",VLOOKUP(C198,DSKH!B:E,3,0),"")</f>
        <v/>
      </c>
      <c r="H198" s="222"/>
      <c r="I198" s="217"/>
      <c r="J198" s="224"/>
      <c r="K198" s="216" t="str">
        <f>IF(C198&lt;&gt;"",VLOOKUP(C198,[1]DSKH!B:E,4,0),"")</f>
        <v/>
      </c>
      <c r="L198" s="216"/>
      <c r="M198" s="216" t="str">
        <f t="shared" si="3"/>
        <v>-  -MAY 02-</v>
      </c>
    </row>
    <row r="199" spans="1:13">
      <c r="A199" s="216" t="str">
        <f>IF(C199&lt;&gt;"",SUBTOTAL(103,$C$12:C199),"")</f>
        <v/>
      </c>
      <c r="B199" s="226">
        <v>43222</v>
      </c>
      <c r="C199" s="216"/>
      <c r="D199" s="216" t="str">
        <f>IF(C199&lt;&gt;"",VLOOKUP(C199,[1]DSKH!B:E,2,0),"")</f>
        <v/>
      </c>
      <c r="E199" s="215"/>
      <c r="F199" s="216"/>
      <c r="G199" s="216" t="str">
        <f>IF(C199&lt;&gt;"",VLOOKUP(C199,DSKH!B:E,3,0),"")</f>
        <v/>
      </c>
      <c r="H199" s="222"/>
      <c r="I199" s="217"/>
      <c r="J199" s="224"/>
      <c r="K199" s="216" t="str">
        <f>IF(C199&lt;&gt;"",VLOOKUP(C199,[1]DSKH!B:E,4,0),"")</f>
        <v/>
      </c>
      <c r="L199" s="216"/>
      <c r="M199" s="216" t="str">
        <f t="shared" si="3"/>
        <v>-  -MAY 02-</v>
      </c>
    </row>
    <row r="200" spans="1:13">
      <c r="A200" s="216" t="str">
        <f>IF(C200&lt;&gt;"",SUBTOTAL(103,$C$12:C200),"")</f>
        <v/>
      </c>
      <c r="B200" s="226">
        <v>43222</v>
      </c>
      <c r="C200" s="216"/>
      <c r="D200" s="216" t="str">
        <f>IF(C200&lt;&gt;"",VLOOKUP(C200,[1]DSKH!B:E,2,0),"")</f>
        <v/>
      </c>
      <c r="E200" s="215"/>
      <c r="F200" s="216"/>
      <c r="G200" s="216" t="str">
        <f>IF(C200&lt;&gt;"",VLOOKUP(C200,DSKH!B:E,3,0),"")</f>
        <v/>
      </c>
      <c r="H200" s="222"/>
      <c r="I200" s="217"/>
      <c r="J200" s="224"/>
      <c r="K200" s="216" t="str">
        <f>IF(C200&lt;&gt;"",VLOOKUP(C200,[1]DSKH!B:E,4,0),"")</f>
        <v/>
      </c>
      <c r="L200" s="216"/>
      <c r="M200" s="216" t="str">
        <f t="shared" si="3"/>
        <v>-  -MAY 02-</v>
      </c>
    </row>
    <row r="201" spans="1:13">
      <c r="A201" s="216" t="str">
        <f>IF(C201&lt;&gt;"",SUBTOTAL(103,$C$12:C201),"")</f>
        <v/>
      </c>
      <c r="B201" s="226">
        <v>43222</v>
      </c>
      <c r="C201" s="216"/>
      <c r="D201" s="216" t="str">
        <f>IF(C201&lt;&gt;"",VLOOKUP(C201,[1]DSKH!B:E,2,0),"")</f>
        <v/>
      </c>
      <c r="E201" s="215"/>
      <c r="F201" s="216"/>
      <c r="G201" s="216" t="str">
        <f>IF(C201&lt;&gt;"",VLOOKUP(C201,DSKH!B:E,3,0),"")</f>
        <v/>
      </c>
      <c r="H201" s="222"/>
      <c r="I201" s="217"/>
      <c r="J201" s="224"/>
      <c r="K201" s="216" t="str">
        <f>IF(C201&lt;&gt;"",VLOOKUP(C201,[1]DSKH!B:E,4,0),"")</f>
        <v/>
      </c>
      <c r="L201" s="216"/>
      <c r="M201" s="216" t="str">
        <f t="shared" si="3"/>
        <v>-  -MAY 02-</v>
      </c>
    </row>
    <row r="202" spans="1:13">
      <c r="A202" s="216" t="str">
        <f>IF(C202&lt;&gt;"",SUBTOTAL(103,$C$12:C202),"")</f>
        <v/>
      </c>
      <c r="B202" s="226">
        <v>43222</v>
      </c>
      <c r="C202" s="216"/>
      <c r="D202" s="216" t="str">
        <f>IF(C202&lt;&gt;"",VLOOKUP(C202,[1]DSKH!B:E,2,0),"")</f>
        <v/>
      </c>
      <c r="E202" s="215"/>
      <c r="F202" s="216"/>
      <c r="G202" s="216" t="str">
        <f>IF(C202&lt;&gt;"",VLOOKUP(C202,DSKH!B:E,3,0),"")</f>
        <v/>
      </c>
      <c r="H202" s="222"/>
      <c r="I202" s="217"/>
      <c r="J202" s="224"/>
      <c r="K202" s="216" t="str">
        <f>IF(C202&lt;&gt;"",VLOOKUP(C202,[1]DSKH!B:E,4,0),"")</f>
        <v/>
      </c>
      <c r="L202" s="216"/>
      <c r="M202" s="216" t="str">
        <f t="shared" si="3"/>
        <v>-  -MAY 02-</v>
      </c>
    </row>
    <row r="203" spans="1:13">
      <c r="A203" s="216" t="str">
        <f>IF(C203&lt;&gt;"",SUBTOTAL(103,$C$12:C203),"")</f>
        <v/>
      </c>
      <c r="B203" s="226">
        <v>43222</v>
      </c>
      <c r="C203" s="216"/>
      <c r="D203" s="216" t="str">
        <f>IF(C203&lt;&gt;"",VLOOKUP(C203,[1]DSKH!B:E,2,0),"")</f>
        <v/>
      </c>
      <c r="E203" s="215"/>
      <c r="F203" s="216"/>
      <c r="G203" s="216" t="str">
        <f>IF(C203&lt;&gt;"",VLOOKUP(C203,DSKH!B:E,3,0),"")</f>
        <v/>
      </c>
      <c r="H203" s="222"/>
      <c r="I203" s="217"/>
      <c r="J203" s="224"/>
      <c r="K203" s="216" t="str">
        <f>IF(C203&lt;&gt;"",VLOOKUP(C203,[1]DSKH!B:E,4,0),"")</f>
        <v/>
      </c>
      <c r="L203" s="216"/>
      <c r="M203" s="216" t="str">
        <f t="shared" si="3"/>
        <v>-  -MAY 02-</v>
      </c>
    </row>
    <row r="204" spans="1:13">
      <c r="A204" s="216" t="str">
        <f>IF(C204&lt;&gt;"",SUBTOTAL(103,$C$12:C204),"")</f>
        <v/>
      </c>
      <c r="B204" s="226">
        <v>43222</v>
      </c>
      <c r="C204" s="216"/>
      <c r="D204" s="216" t="str">
        <f>IF(C204&lt;&gt;"",VLOOKUP(C204,[1]DSKH!B:E,2,0),"")</f>
        <v/>
      </c>
      <c r="E204" s="215"/>
      <c r="F204" s="216"/>
      <c r="G204" s="216" t="str">
        <f>IF(C204&lt;&gt;"",VLOOKUP(C204,DSKH!B:E,3,0),"")</f>
        <v/>
      </c>
      <c r="H204" s="222"/>
      <c r="I204" s="217"/>
      <c r="J204" s="224"/>
      <c r="K204" s="216" t="str">
        <f>IF(C204&lt;&gt;"",VLOOKUP(C204,[1]DSKH!B:E,4,0),"")</f>
        <v/>
      </c>
      <c r="L204" s="216"/>
      <c r="M204" s="216" t="str">
        <f t="shared" ref="M204:M267" si="4">C204&amp;"-"&amp;" "&amp;H204&amp;" "&amp;"-"&amp;"MAY"&amp;" "&amp;"02"&amp;"-"&amp;J204</f>
        <v>-  -MAY 02-</v>
      </c>
    </row>
    <row r="205" spans="1:13">
      <c r="A205" s="216" t="str">
        <f>IF(C205&lt;&gt;"",SUBTOTAL(103,$C$12:C205),"")</f>
        <v/>
      </c>
      <c r="B205" s="226">
        <v>43222</v>
      </c>
      <c r="C205" s="216"/>
      <c r="D205" s="216" t="str">
        <f>IF(C205&lt;&gt;"",VLOOKUP(C205,[1]DSKH!B:E,2,0),"")</f>
        <v/>
      </c>
      <c r="E205" s="215"/>
      <c r="F205" s="216"/>
      <c r="G205" s="216" t="str">
        <f>IF(C205&lt;&gt;"",VLOOKUP(C205,DSKH!B:E,3,0),"")</f>
        <v/>
      </c>
      <c r="H205" s="222"/>
      <c r="I205" s="217"/>
      <c r="J205" s="224"/>
      <c r="K205" s="216" t="str">
        <f>IF(C205&lt;&gt;"",VLOOKUP(C205,[1]DSKH!B:E,4,0),"")</f>
        <v/>
      </c>
      <c r="L205" s="216"/>
      <c r="M205" s="216" t="str">
        <f t="shared" si="4"/>
        <v>-  -MAY 02-</v>
      </c>
    </row>
    <row r="206" spans="1:13">
      <c r="A206" s="216" t="str">
        <f>IF(C206&lt;&gt;"",SUBTOTAL(103,$C$12:C206),"")</f>
        <v/>
      </c>
      <c r="B206" s="226">
        <v>43222</v>
      </c>
      <c r="C206" s="216"/>
      <c r="D206" s="216" t="str">
        <f>IF(C206&lt;&gt;"",VLOOKUP(C206,[1]DSKH!B:E,2,0),"")</f>
        <v/>
      </c>
      <c r="E206" s="215"/>
      <c r="F206" s="216"/>
      <c r="G206" s="216" t="str">
        <f>IF(C206&lt;&gt;"",VLOOKUP(C206,DSKH!B:E,3,0),"")</f>
        <v/>
      </c>
      <c r="H206" s="222"/>
      <c r="I206" s="217"/>
      <c r="J206" s="224"/>
      <c r="K206" s="216" t="str">
        <f>IF(C206&lt;&gt;"",VLOOKUP(C206,[1]DSKH!B:E,4,0),"")</f>
        <v/>
      </c>
      <c r="L206" s="216"/>
      <c r="M206" s="216" t="str">
        <f t="shared" si="4"/>
        <v>-  -MAY 02-</v>
      </c>
    </row>
    <row r="207" spans="1:13">
      <c r="A207" s="216" t="str">
        <f>IF(C207&lt;&gt;"",SUBTOTAL(103,$C$12:C207),"")</f>
        <v/>
      </c>
      <c r="B207" s="226">
        <v>43222</v>
      </c>
      <c r="C207" s="216"/>
      <c r="D207" s="216" t="str">
        <f>IF(C207&lt;&gt;"",VLOOKUP(C207,[1]DSKH!B:E,2,0),"")</f>
        <v/>
      </c>
      <c r="E207" s="215"/>
      <c r="F207" s="216"/>
      <c r="G207" s="216" t="str">
        <f>IF(C207&lt;&gt;"",VLOOKUP(C207,DSKH!B:E,3,0),"")</f>
        <v/>
      </c>
      <c r="H207" s="222"/>
      <c r="I207" s="217"/>
      <c r="J207" s="224"/>
      <c r="K207" s="216" t="str">
        <f>IF(C207&lt;&gt;"",VLOOKUP(C207,[1]DSKH!B:E,4,0),"")</f>
        <v/>
      </c>
      <c r="L207" s="216"/>
      <c r="M207" s="216" t="str">
        <f t="shared" si="4"/>
        <v>-  -MAY 02-</v>
      </c>
    </row>
    <row r="208" spans="1:13">
      <c r="A208" s="216" t="str">
        <f>IF(C208&lt;&gt;"",SUBTOTAL(103,$C$12:C208),"")</f>
        <v/>
      </c>
      <c r="B208" s="226">
        <v>43222</v>
      </c>
      <c r="C208" s="216"/>
      <c r="D208" s="216" t="str">
        <f>IF(C208&lt;&gt;"",VLOOKUP(C208,[1]DSKH!B:E,2,0),"")</f>
        <v/>
      </c>
      <c r="E208" s="215"/>
      <c r="F208" s="216"/>
      <c r="G208" s="216" t="str">
        <f>IF(C208&lt;&gt;"",VLOOKUP(C208,DSKH!B:E,3,0),"")</f>
        <v/>
      </c>
      <c r="H208" s="222"/>
      <c r="I208" s="217"/>
      <c r="J208" s="224"/>
      <c r="K208" s="216" t="str">
        <f>IF(C208&lt;&gt;"",VLOOKUP(C208,[1]DSKH!B:E,4,0),"")</f>
        <v/>
      </c>
      <c r="L208" s="216"/>
      <c r="M208" s="216" t="str">
        <f t="shared" si="4"/>
        <v>-  -MAY 02-</v>
      </c>
    </row>
    <row r="209" spans="1:13">
      <c r="A209" s="216" t="str">
        <f>IF(C209&lt;&gt;"",SUBTOTAL(103,$C$12:C209),"")</f>
        <v/>
      </c>
      <c r="B209" s="226">
        <v>43222</v>
      </c>
      <c r="C209" s="216"/>
      <c r="D209" s="216" t="str">
        <f>IF(C209&lt;&gt;"",VLOOKUP(C209,[1]DSKH!B:E,2,0),"")</f>
        <v/>
      </c>
      <c r="E209" s="215"/>
      <c r="F209" s="216"/>
      <c r="G209" s="216" t="str">
        <f>IF(C209&lt;&gt;"",VLOOKUP(C209,DSKH!B:E,3,0),"")</f>
        <v/>
      </c>
      <c r="H209" s="222"/>
      <c r="I209" s="217"/>
      <c r="J209" s="224"/>
      <c r="K209" s="216" t="str">
        <f>IF(C209&lt;&gt;"",VLOOKUP(C209,[1]DSKH!B:E,4,0),"")</f>
        <v/>
      </c>
      <c r="L209" s="216"/>
      <c r="M209" s="216" t="str">
        <f t="shared" si="4"/>
        <v>-  -MAY 02-</v>
      </c>
    </row>
    <row r="210" spans="1:13">
      <c r="A210" s="216" t="str">
        <f>IF(C210&lt;&gt;"",SUBTOTAL(103,$C$12:C210),"")</f>
        <v/>
      </c>
      <c r="B210" s="226">
        <v>43222</v>
      </c>
      <c r="C210" s="216"/>
      <c r="D210" s="216" t="str">
        <f>IF(C210&lt;&gt;"",VLOOKUP(C210,[1]DSKH!B:E,2,0),"")</f>
        <v/>
      </c>
      <c r="E210" s="215"/>
      <c r="F210" s="216"/>
      <c r="G210" s="216" t="str">
        <f>IF(C210&lt;&gt;"",VLOOKUP(C210,DSKH!B:E,3,0),"")</f>
        <v/>
      </c>
      <c r="H210" s="222"/>
      <c r="I210" s="217"/>
      <c r="J210" s="224"/>
      <c r="K210" s="216" t="str">
        <f>IF(C210&lt;&gt;"",VLOOKUP(C210,[1]DSKH!B:E,4,0),"")</f>
        <v/>
      </c>
      <c r="L210" s="216"/>
      <c r="M210" s="216" t="str">
        <f t="shared" si="4"/>
        <v>-  -MAY 02-</v>
      </c>
    </row>
    <row r="211" spans="1:13">
      <c r="A211" s="216" t="str">
        <f>IF(C211&lt;&gt;"",SUBTOTAL(103,$C$12:C211),"")</f>
        <v/>
      </c>
      <c r="B211" s="226">
        <v>43222</v>
      </c>
      <c r="C211" s="216"/>
      <c r="D211" s="216" t="str">
        <f>IF(C211&lt;&gt;"",VLOOKUP(C211,[1]DSKH!B:E,2,0),"")</f>
        <v/>
      </c>
      <c r="E211" s="215"/>
      <c r="F211" s="216"/>
      <c r="G211" s="216" t="str">
        <f>IF(C211&lt;&gt;"",VLOOKUP(C211,DSKH!B:E,3,0),"")</f>
        <v/>
      </c>
      <c r="H211" s="222"/>
      <c r="I211" s="217"/>
      <c r="J211" s="224"/>
      <c r="K211" s="216" t="str">
        <f>IF(C211&lt;&gt;"",VLOOKUP(C211,[1]DSKH!B:E,4,0),"")</f>
        <v/>
      </c>
      <c r="L211" s="216"/>
      <c r="M211" s="216" t="str">
        <f t="shared" si="4"/>
        <v>-  -MAY 02-</v>
      </c>
    </row>
    <row r="212" spans="1:13">
      <c r="A212" s="216" t="str">
        <f>IF(C212&lt;&gt;"",SUBTOTAL(103,$C$12:C212),"")</f>
        <v/>
      </c>
      <c r="B212" s="226">
        <v>43222</v>
      </c>
      <c r="C212" s="216"/>
      <c r="D212" s="216" t="str">
        <f>IF(C212&lt;&gt;"",VLOOKUP(C212,[1]DSKH!B:E,2,0),"")</f>
        <v/>
      </c>
      <c r="E212" s="215"/>
      <c r="F212" s="216"/>
      <c r="G212" s="216" t="str">
        <f>IF(C212&lt;&gt;"",VLOOKUP(C212,DSKH!B:E,3,0),"")</f>
        <v/>
      </c>
      <c r="H212" s="222"/>
      <c r="I212" s="217"/>
      <c r="J212" s="224"/>
      <c r="K212" s="216" t="str">
        <f>IF(C212&lt;&gt;"",VLOOKUP(C212,[1]DSKH!B:E,4,0),"")</f>
        <v/>
      </c>
      <c r="L212" s="216"/>
      <c r="M212" s="216" t="str">
        <f t="shared" si="4"/>
        <v>-  -MAY 02-</v>
      </c>
    </row>
    <row r="213" spans="1:13">
      <c r="A213" s="216" t="str">
        <f>IF(C213&lt;&gt;"",SUBTOTAL(103,$C$12:C213),"")</f>
        <v/>
      </c>
      <c r="B213" s="226">
        <v>43222</v>
      </c>
      <c r="C213" s="216"/>
      <c r="D213" s="216" t="str">
        <f>IF(C213&lt;&gt;"",VLOOKUP(C213,[1]DSKH!B:E,2,0),"")</f>
        <v/>
      </c>
      <c r="E213" s="215"/>
      <c r="F213" s="216"/>
      <c r="G213" s="216" t="str">
        <f>IF(C213&lt;&gt;"",VLOOKUP(C213,DSKH!B:E,3,0),"")</f>
        <v/>
      </c>
      <c r="H213" s="222"/>
      <c r="I213" s="217"/>
      <c r="J213" s="224"/>
      <c r="K213" s="216" t="str">
        <f>IF(C213&lt;&gt;"",VLOOKUP(C213,[1]DSKH!B:E,4,0),"")</f>
        <v/>
      </c>
      <c r="L213" s="216"/>
      <c r="M213" s="216" t="str">
        <f t="shared" si="4"/>
        <v>-  -MAY 02-</v>
      </c>
    </row>
    <row r="214" spans="1:13">
      <c r="A214" s="216" t="str">
        <f>IF(C214&lt;&gt;"",SUBTOTAL(103,$C$12:C214),"")</f>
        <v/>
      </c>
      <c r="B214" s="226">
        <v>43222</v>
      </c>
      <c r="C214" s="216"/>
      <c r="D214" s="216" t="str">
        <f>IF(C214&lt;&gt;"",VLOOKUP(C214,[1]DSKH!B:E,2,0),"")</f>
        <v/>
      </c>
      <c r="E214" s="215"/>
      <c r="F214" s="216"/>
      <c r="G214" s="216" t="str">
        <f>IF(C214&lt;&gt;"",VLOOKUP(C214,DSKH!B:E,3,0),"")</f>
        <v/>
      </c>
      <c r="H214" s="222"/>
      <c r="I214" s="217"/>
      <c r="J214" s="224"/>
      <c r="K214" s="216" t="str">
        <f>IF(C214&lt;&gt;"",VLOOKUP(C214,[1]DSKH!B:E,4,0),"")</f>
        <v/>
      </c>
      <c r="L214" s="216"/>
      <c r="M214" s="216" t="str">
        <f t="shared" si="4"/>
        <v>-  -MAY 02-</v>
      </c>
    </row>
    <row r="215" spans="1:13">
      <c r="A215" s="216" t="str">
        <f>IF(C215&lt;&gt;"",SUBTOTAL(103,$C$12:C215),"")</f>
        <v/>
      </c>
      <c r="B215" s="226">
        <v>43222</v>
      </c>
      <c r="C215" s="216"/>
      <c r="D215" s="216" t="str">
        <f>IF(C215&lt;&gt;"",VLOOKUP(C215,[1]DSKH!B:E,2,0),"")</f>
        <v/>
      </c>
      <c r="E215" s="215"/>
      <c r="F215" s="216"/>
      <c r="G215" s="216" t="str">
        <f>IF(C215&lt;&gt;"",VLOOKUP(C215,DSKH!B:E,3,0),"")</f>
        <v/>
      </c>
      <c r="H215" s="222"/>
      <c r="I215" s="217"/>
      <c r="J215" s="224"/>
      <c r="K215" s="216" t="str">
        <f>IF(C215&lt;&gt;"",VLOOKUP(C215,[1]DSKH!B:E,4,0),"")</f>
        <v/>
      </c>
      <c r="L215" s="216"/>
      <c r="M215" s="216" t="str">
        <f t="shared" si="4"/>
        <v>-  -MAY 02-</v>
      </c>
    </row>
    <row r="216" spans="1:13">
      <c r="A216" s="216" t="str">
        <f>IF(C216&lt;&gt;"",SUBTOTAL(103,$C$12:C216),"")</f>
        <v/>
      </c>
      <c r="B216" s="226">
        <v>43222</v>
      </c>
      <c r="C216" s="216"/>
      <c r="D216" s="216" t="str">
        <f>IF(C216&lt;&gt;"",VLOOKUP(C216,[1]DSKH!B:E,2,0),"")</f>
        <v/>
      </c>
      <c r="E216" s="215"/>
      <c r="F216" s="216"/>
      <c r="G216" s="216" t="str">
        <f>IF(C216&lt;&gt;"",VLOOKUP(C216,DSKH!B:E,3,0),"")</f>
        <v/>
      </c>
      <c r="H216" s="222"/>
      <c r="I216" s="217"/>
      <c r="J216" s="224"/>
      <c r="K216" s="216" t="str">
        <f>IF(C216&lt;&gt;"",VLOOKUP(C216,[1]DSKH!B:E,4,0),"")</f>
        <v/>
      </c>
      <c r="L216" s="216"/>
      <c r="M216" s="216" t="str">
        <f t="shared" si="4"/>
        <v>-  -MAY 02-</v>
      </c>
    </row>
    <row r="217" spans="1:13">
      <c r="A217" s="216" t="str">
        <f>IF(C217&lt;&gt;"",SUBTOTAL(103,$C$12:C217),"")</f>
        <v/>
      </c>
      <c r="B217" s="226">
        <v>43222</v>
      </c>
      <c r="C217" s="216"/>
      <c r="D217" s="216" t="str">
        <f>IF(C217&lt;&gt;"",VLOOKUP(C217,[1]DSKH!B:E,2,0),"")</f>
        <v/>
      </c>
      <c r="E217" s="215"/>
      <c r="F217" s="216"/>
      <c r="G217" s="216" t="str">
        <f>IF(C217&lt;&gt;"",VLOOKUP(C217,DSKH!B:E,3,0),"")</f>
        <v/>
      </c>
      <c r="H217" s="222"/>
      <c r="I217" s="217"/>
      <c r="J217" s="224"/>
      <c r="K217" s="216" t="str">
        <f>IF(C217&lt;&gt;"",VLOOKUP(C217,[1]DSKH!B:E,4,0),"")</f>
        <v/>
      </c>
      <c r="L217" s="216"/>
      <c r="M217" s="216" t="str">
        <f t="shared" si="4"/>
        <v>-  -MAY 02-</v>
      </c>
    </row>
    <row r="218" spans="1:13">
      <c r="A218" s="216" t="str">
        <f>IF(C218&lt;&gt;"",SUBTOTAL(103,$C$12:C218),"")</f>
        <v/>
      </c>
      <c r="B218" s="226">
        <v>43222</v>
      </c>
      <c r="C218" s="216"/>
      <c r="D218" s="216" t="str">
        <f>IF(C218&lt;&gt;"",VLOOKUP(C218,[1]DSKH!B:E,2,0),"")</f>
        <v/>
      </c>
      <c r="E218" s="215"/>
      <c r="F218" s="216"/>
      <c r="G218" s="216" t="str">
        <f>IF(C218&lt;&gt;"",VLOOKUP(C218,DSKH!B:E,3,0),"")</f>
        <v/>
      </c>
      <c r="H218" s="222"/>
      <c r="I218" s="217"/>
      <c r="J218" s="224"/>
      <c r="K218" s="216" t="str">
        <f>IF(C218&lt;&gt;"",VLOOKUP(C218,[1]DSKH!B:E,4,0),"")</f>
        <v/>
      </c>
      <c r="L218" s="216"/>
      <c r="M218" s="216" t="str">
        <f t="shared" si="4"/>
        <v>-  -MAY 02-</v>
      </c>
    </row>
    <row r="219" spans="1:13">
      <c r="A219" s="216" t="str">
        <f>IF(C219&lt;&gt;"",SUBTOTAL(103,$C$12:C219),"")</f>
        <v/>
      </c>
      <c r="B219" s="226">
        <v>43222</v>
      </c>
      <c r="C219" s="216"/>
      <c r="D219" s="216" t="str">
        <f>IF(C219&lt;&gt;"",VLOOKUP(C219,[1]DSKH!B:E,2,0),"")</f>
        <v/>
      </c>
      <c r="E219" s="215"/>
      <c r="F219" s="216"/>
      <c r="G219" s="216" t="str">
        <f>IF(C219&lt;&gt;"",VLOOKUP(C219,DSKH!B:E,3,0),"")</f>
        <v/>
      </c>
      <c r="H219" s="222"/>
      <c r="I219" s="217"/>
      <c r="J219" s="224"/>
      <c r="K219" s="216" t="str">
        <f>IF(C219&lt;&gt;"",VLOOKUP(C219,[1]DSKH!B:E,4,0),"")</f>
        <v/>
      </c>
      <c r="L219" s="216"/>
      <c r="M219" s="216" t="str">
        <f t="shared" si="4"/>
        <v>-  -MAY 02-</v>
      </c>
    </row>
    <row r="220" spans="1:13">
      <c r="A220" s="216" t="str">
        <f>IF(C220&lt;&gt;"",SUBTOTAL(103,$C$12:C220),"")</f>
        <v/>
      </c>
      <c r="B220" s="226">
        <v>43222</v>
      </c>
      <c r="C220" s="216"/>
      <c r="D220" s="216" t="str">
        <f>IF(C220&lt;&gt;"",VLOOKUP(C220,[1]DSKH!B:E,2,0),"")</f>
        <v/>
      </c>
      <c r="E220" s="215"/>
      <c r="F220" s="216"/>
      <c r="G220" s="216" t="str">
        <f>IF(C220&lt;&gt;"",VLOOKUP(C220,DSKH!B:E,3,0),"")</f>
        <v/>
      </c>
      <c r="H220" s="222"/>
      <c r="I220" s="217"/>
      <c r="J220" s="224"/>
      <c r="K220" s="216" t="str">
        <f>IF(C220&lt;&gt;"",VLOOKUP(C220,[1]DSKH!B:E,4,0),"")</f>
        <v/>
      </c>
      <c r="L220" s="216"/>
      <c r="M220" s="216" t="str">
        <f t="shared" si="4"/>
        <v>-  -MAY 02-</v>
      </c>
    </row>
    <row r="221" spans="1:13">
      <c r="A221" s="216" t="str">
        <f>IF(C221&lt;&gt;"",SUBTOTAL(103,$C$12:C221),"")</f>
        <v/>
      </c>
      <c r="B221" s="226">
        <v>43222</v>
      </c>
      <c r="C221" s="216"/>
      <c r="D221" s="216" t="str">
        <f>IF(C221&lt;&gt;"",VLOOKUP(C221,[1]DSKH!B:E,2,0),"")</f>
        <v/>
      </c>
      <c r="E221" s="215"/>
      <c r="F221" s="216"/>
      <c r="G221" s="216" t="str">
        <f>IF(C221&lt;&gt;"",VLOOKUP(C221,DSKH!B:E,3,0),"")</f>
        <v/>
      </c>
      <c r="H221" s="222"/>
      <c r="I221" s="217"/>
      <c r="J221" s="224"/>
      <c r="K221" s="216" t="str">
        <f>IF(C221&lt;&gt;"",VLOOKUP(C221,[1]DSKH!B:E,4,0),"")</f>
        <v/>
      </c>
      <c r="L221" s="216"/>
      <c r="M221" s="216" t="str">
        <f t="shared" si="4"/>
        <v>-  -MAY 02-</v>
      </c>
    </row>
    <row r="222" spans="1:13">
      <c r="A222" s="216" t="str">
        <f>IF(C222&lt;&gt;"",SUBTOTAL(103,$C$12:C222),"")</f>
        <v/>
      </c>
      <c r="B222" s="226">
        <v>43222</v>
      </c>
      <c r="C222" s="216"/>
      <c r="D222" s="216" t="str">
        <f>IF(C222&lt;&gt;"",VLOOKUP(C222,[1]DSKH!B:E,2,0),"")</f>
        <v/>
      </c>
      <c r="E222" s="215"/>
      <c r="F222" s="216"/>
      <c r="G222" s="216" t="str">
        <f>IF(C222&lt;&gt;"",VLOOKUP(C222,DSKH!B:E,3,0),"")</f>
        <v/>
      </c>
      <c r="H222" s="222"/>
      <c r="I222" s="217"/>
      <c r="J222" s="224"/>
      <c r="K222" s="216" t="str">
        <f>IF(C222&lt;&gt;"",VLOOKUP(C222,[1]DSKH!B:E,4,0),"")</f>
        <v/>
      </c>
      <c r="L222" s="216"/>
      <c r="M222" s="216" t="str">
        <f t="shared" si="4"/>
        <v>-  -MAY 02-</v>
      </c>
    </row>
    <row r="223" spans="1:13">
      <c r="A223" s="216" t="str">
        <f>IF(C223&lt;&gt;"",SUBTOTAL(103,$C$12:C223),"")</f>
        <v/>
      </c>
      <c r="B223" s="226">
        <v>43222</v>
      </c>
      <c r="C223" s="216"/>
      <c r="D223" s="216" t="str">
        <f>IF(C223&lt;&gt;"",VLOOKUP(C223,[1]DSKH!B:E,2,0),"")</f>
        <v/>
      </c>
      <c r="E223" s="215"/>
      <c r="F223" s="216"/>
      <c r="G223" s="216" t="str">
        <f>IF(C223&lt;&gt;"",VLOOKUP(C223,DSKH!B:E,3,0),"")</f>
        <v/>
      </c>
      <c r="H223" s="222"/>
      <c r="I223" s="217"/>
      <c r="J223" s="224"/>
      <c r="K223" s="216" t="str">
        <f>IF(C223&lt;&gt;"",VLOOKUP(C223,[1]DSKH!B:E,4,0),"")</f>
        <v/>
      </c>
      <c r="L223" s="216"/>
      <c r="M223" s="216" t="str">
        <f t="shared" si="4"/>
        <v>-  -MAY 02-</v>
      </c>
    </row>
    <row r="224" spans="1:13">
      <c r="A224" s="216" t="str">
        <f>IF(C224&lt;&gt;"",SUBTOTAL(103,$C$12:C224),"")</f>
        <v/>
      </c>
      <c r="B224" s="226">
        <v>43222</v>
      </c>
      <c r="C224" s="216"/>
      <c r="D224" s="216" t="str">
        <f>IF(C224&lt;&gt;"",VLOOKUP(C224,[1]DSKH!B:E,2,0),"")</f>
        <v/>
      </c>
      <c r="E224" s="215"/>
      <c r="F224" s="216"/>
      <c r="G224" s="216" t="str">
        <f>IF(C224&lt;&gt;"",VLOOKUP(C224,DSKH!B:E,3,0),"")</f>
        <v/>
      </c>
      <c r="H224" s="222"/>
      <c r="I224" s="217"/>
      <c r="J224" s="224"/>
      <c r="K224" s="216" t="str">
        <f>IF(C224&lt;&gt;"",VLOOKUP(C224,[1]DSKH!B:E,4,0),"")</f>
        <v/>
      </c>
      <c r="L224" s="216"/>
      <c r="M224" s="216" t="str">
        <f t="shared" si="4"/>
        <v>-  -MAY 02-</v>
      </c>
    </row>
    <row r="225" spans="1:13">
      <c r="A225" s="216" t="str">
        <f>IF(C225&lt;&gt;"",SUBTOTAL(103,$C$12:C225),"")</f>
        <v/>
      </c>
      <c r="B225" s="226">
        <v>43222</v>
      </c>
      <c r="C225" s="216"/>
      <c r="D225" s="216" t="str">
        <f>IF(C225&lt;&gt;"",VLOOKUP(C225,[1]DSKH!B:E,2,0),"")</f>
        <v/>
      </c>
      <c r="E225" s="215"/>
      <c r="F225" s="216"/>
      <c r="G225" s="216" t="str">
        <f>IF(C225&lt;&gt;"",VLOOKUP(C225,DSKH!B:E,3,0),"")</f>
        <v/>
      </c>
      <c r="H225" s="222"/>
      <c r="I225" s="217"/>
      <c r="J225" s="224"/>
      <c r="K225" s="216" t="str">
        <f>IF(C225&lt;&gt;"",VLOOKUP(C225,[1]DSKH!B:E,4,0),"")</f>
        <v/>
      </c>
      <c r="L225" s="216"/>
      <c r="M225" s="216" t="str">
        <f t="shared" si="4"/>
        <v>-  -MAY 02-</v>
      </c>
    </row>
    <row r="226" spans="1:13">
      <c r="A226" s="216" t="str">
        <f>IF(C226&lt;&gt;"",SUBTOTAL(103,$C$12:C226),"")</f>
        <v/>
      </c>
      <c r="B226" s="226">
        <v>43222</v>
      </c>
      <c r="C226" s="216"/>
      <c r="D226" s="216" t="str">
        <f>IF(C226&lt;&gt;"",VLOOKUP(C226,[1]DSKH!B:E,2,0),"")</f>
        <v/>
      </c>
      <c r="E226" s="215"/>
      <c r="F226" s="216"/>
      <c r="G226" s="216" t="str">
        <f>IF(C226&lt;&gt;"",VLOOKUP(C226,DSKH!B:E,3,0),"")</f>
        <v/>
      </c>
      <c r="H226" s="222"/>
      <c r="I226" s="217"/>
      <c r="J226" s="224"/>
      <c r="K226" s="216" t="str">
        <f>IF(C226&lt;&gt;"",VLOOKUP(C226,[1]DSKH!B:E,4,0),"")</f>
        <v/>
      </c>
      <c r="L226" s="216"/>
      <c r="M226" s="216" t="str">
        <f t="shared" si="4"/>
        <v>-  -MAY 02-</v>
      </c>
    </row>
    <row r="227" spans="1:13">
      <c r="A227" s="216" t="str">
        <f>IF(C227&lt;&gt;"",SUBTOTAL(103,$C$12:C227),"")</f>
        <v/>
      </c>
      <c r="B227" s="226">
        <v>43222</v>
      </c>
      <c r="C227" s="216"/>
      <c r="D227" s="216" t="str">
        <f>IF(C227&lt;&gt;"",VLOOKUP(C227,[1]DSKH!B:E,2,0),"")</f>
        <v/>
      </c>
      <c r="E227" s="215"/>
      <c r="F227" s="216"/>
      <c r="G227" s="216" t="str">
        <f>IF(C227&lt;&gt;"",VLOOKUP(C227,DSKH!B:E,3,0),"")</f>
        <v/>
      </c>
      <c r="H227" s="222"/>
      <c r="I227" s="217"/>
      <c r="J227" s="224"/>
      <c r="K227" s="216" t="str">
        <f>IF(C227&lt;&gt;"",VLOOKUP(C227,[1]DSKH!B:E,4,0),"")</f>
        <v/>
      </c>
      <c r="L227" s="216"/>
      <c r="M227" s="216" t="str">
        <f t="shared" si="4"/>
        <v>-  -MAY 02-</v>
      </c>
    </row>
    <row r="228" spans="1:13">
      <c r="A228" s="216" t="str">
        <f>IF(C228&lt;&gt;"",SUBTOTAL(103,$C$12:C228),"")</f>
        <v/>
      </c>
      <c r="B228" s="226">
        <v>43222</v>
      </c>
      <c r="C228" s="216"/>
      <c r="D228" s="216" t="str">
        <f>IF(C228&lt;&gt;"",VLOOKUP(C228,[1]DSKH!B:E,2,0),"")</f>
        <v/>
      </c>
      <c r="E228" s="215"/>
      <c r="F228" s="216"/>
      <c r="G228" s="216" t="str">
        <f>IF(C228&lt;&gt;"",VLOOKUP(C228,DSKH!B:E,3,0),"")</f>
        <v/>
      </c>
      <c r="H228" s="222"/>
      <c r="I228" s="217"/>
      <c r="J228" s="224"/>
      <c r="K228" s="216" t="str">
        <f>IF(C228&lt;&gt;"",VLOOKUP(C228,[1]DSKH!B:E,4,0),"")</f>
        <v/>
      </c>
      <c r="L228" s="216"/>
      <c r="M228" s="216" t="str">
        <f t="shared" si="4"/>
        <v>-  -MAY 02-</v>
      </c>
    </row>
    <row r="229" spans="1:13">
      <c r="A229" s="216" t="str">
        <f>IF(C229&lt;&gt;"",SUBTOTAL(103,$C$12:C229),"")</f>
        <v/>
      </c>
      <c r="B229" s="226">
        <v>43222</v>
      </c>
      <c r="C229" s="216"/>
      <c r="D229" s="216" t="str">
        <f>IF(C229&lt;&gt;"",VLOOKUP(C229,[1]DSKH!B:E,2,0),"")</f>
        <v/>
      </c>
      <c r="E229" s="215"/>
      <c r="F229" s="216"/>
      <c r="G229" s="216" t="str">
        <f>IF(C229&lt;&gt;"",VLOOKUP(C229,DSKH!B:E,3,0),"")</f>
        <v/>
      </c>
      <c r="H229" s="222"/>
      <c r="I229" s="217"/>
      <c r="J229" s="224"/>
      <c r="K229" s="216" t="str">
        <f>IF(C229&lt;&gt;"",VLOOKUP(C229,[1]DSKH!B:E,4,0),"")</f>
        <v/>
      </c>
      <c r="L229" s="216"/>
      <c r="M229" s="216" t="str">
        <f t="shared" si="4"/>
        <v>-  -MAY 02-</v>
      </c>
    </row>
    <row r="230" spans="1:13">
      <c r="A230" s="216" t="str">
        <f>IF(C230&lt;&gt;"",SUBTOTAL(103,$C$12:C230),"")</f>
        <v/>
      </c>
      <c r="B230" s="226">
        <v>43222</v>
      </c>
      <c r="C230" s="216"/>
      <c r="D230" s="216" t="str">
        <f>IF(C230&lt;&gt;"",VLOOKUP(C230,[1]DSKH!B:E,2,0),"")</f>
        <v/>
      </c>
      <c r="E230" s="215"/>
      <c r="F230" s="216"/>
      <c r="G230" s="216" t="str">
        <f>IF(C230&lt;&gt;"",VLOOKUP(C230,DSKH!B:E,3,0),"")</f>
        <v/>
      </c>
      <c r="H230" s="222"/>
      <c r="I230" s="217"/>
      <c r="J230" s="224"/>
      <c r="K230" s="216" t="str">
        <f>IF(C230&lt;&gt;"",VLOOKUP(C230,[1]DSKH!B:E,4,0),"")</f>
        <v/>
      </c>
      <c r="L230" s="216"/>
      <c r="M230" s="216" t="str">
        <f t="shared" si="4"/>
        <v>-  -MAY 02-</v>
      </c>
    </row>
    <row r="231" spans="1:13">
      <c r="A231" s="216" t="str">
        <f>IF(C231&lt;&gt;"",SUBTOTAL(103,$C$12:C231),"")</f>
        <v/>
      </c>
      <c r="B231" s="226">
        <v>43222</v>
      </c>
      <c r="C231" s="216"/>
      <c r="D231" s="216" t="str">
        <f>IF(C231&lt;&gt;"",VLOOKUP(C231,[1]DSKH!B:E,2,0),"")</f>
        <v/>
      </c>
      <c r="E231" s="215"/>
      <c r="F231" s="216"/>
      <c r="G231" s="216" t="str">
        <f>IF(C231&lt;&gt;"",VLOOKUP(C231,DSKH!B:E,3,0),"")</f>
        <v/>
      </c>
      <c r="H231" s="222"/>
      <c r="I231" s="217"/>
      <c r="J231" s="224"/>
      <c r="K231" s="216" t="str">
        <f>IF(C231&lt;&gt;"",VLOOKUP(C231,[1]DSKH!B:E,4,0),"")</f>
        <v/>
      </c>
      <c r="L231" s="216"/>
      <c r="M231" s="216" t="str">
        <f t="shared" si="4"/>
        <v>-  -MAY 02-</v>
      </c>
    </row>
    <row r="232" spans="1:13">
      <c r="A232" s="216" t="str">
        <f>IF(C232&lt;&gt;"",SUBTOTAL(103,$C$12:C232),"")</f>
        <v/>
      </c>
      <c r="B232" s="226">
        <v>43222</v>
      </c>
      <c r="C232" s="216"/>
      <c r="D232" s="216" t="str">
        <f>IF(C232&lt;&gt;"",VLOOKUP(C232,[1]DSKH!B:E,2,0),"")</f>
        <v/>
      </c>
      <c r="E232" s="215"/>
      <c r="F232" s="216"/>
      <c r="G232" s="216" t="str">
        <f>IF(C232&lt;&gt;"",VLOOKUP(C232,DSKH!B:E,3,0),"")</f>
        <v/>
      </c>
      <c r="H232" s="222"/>
      <c r="I232" s="217"/>
      <c r="J232" s="224"/>
      <c r="K232" s="216" t="str">
        <f>IF(C232&lt;&gt;"",VLOOKUP(C232,[1]DSKH!B:E,4,0),"")</f>
        <v/>
      </c>
      <c r="L232" s="216"/>
      <c r="M232" s="216" t="str">
        <f t="shared" si="4"/>
        <v>-  -MAY 02-</v>
      </c>
    </row>
    <row r="233" spans="1:13">
      <c r="A233" s="216" t="str">
        <f>IF(C233&lt;&gt;"",SUBTOTAL(103,$C$12:C233),"")</f>
        <v/>
      </c>
      <c r="B233" s="226">
        <v>43222</v>
      </c>
      <c r="C233" s="216"/>
      <c r="D233" s="216" t="str">
        <f>IF(C233&lt;&gt;"",VLOOKUP(C233,[1]DSKH!B:E,2,0),"")</f>
        <v/>
      </c>
      <c r="E233" s="215"/>
      <c r="F233" s="216"/>
      <c r="G233" s="216" t="str">
        <f>IF(C233&lt;&gt;"",VLOOKUP(C233,DSKH!B:E,3,0),"")</f>
        <v/>
      </c>
      <c r="H233" s="222"/>
      <c r="I233" s="217"/>
      <c r="J233" s="224"/>
      <c r="K233" s="216" t="str">
        <f>IF(C233&lt;&gt;"",VLOOKUP(C233,[1]DSKH!B:E,4,0),"")</f>
        <v/>
      </c>
      <c r="L233" s="216"/>
      <c r="M233" s="216" t="str">
        <f t="shared" si="4"/>
        <v>-  -MAY 02-</v>
      </c>
    </row>
    <row r="234" spans="1:13">
      <c r="A234" s="216" t="str">
        <f>IF(C234&lt;&gt;"",SUBTOTAL(103,$C$12:C234),"")</f>
        <v/>
      </c>
      <c r="B234" s="226">
        <v>43222</v>
      </c>
      <c r="C234" s="216"/>
      <c r="D234" s="216" t="str">
        <f>IF(C234&lt;&gt;"",VLOOKUP(C234,[1]DSKH!B:E,2,0),"")</f>
        <v/>
      </c>
      <c r="E234" s="215"/>
      <c r="F234" s="216"/>
      <c r="G234" s="216" t="str">
        <f>IF(C234&lt;&gt;"",VLOOKUP(C234,DSKH!B:E,3,0),"")</f>
        <v/>
      </c>
      <c r="H234" s="222"/>
      <c r="I234" s="217"/>
      <c r="J234" s="224"/>
      <c r="K234" s="216" t="str">
        <f>IF(C234&lt;&gt;"",VLOOKUP(C234,[1]DSKH!B:E,4,0),"")</f>
        <v/>
      </c>
      <c r="L234" s="216"/>
      <c r="M234" s="216" t="str">
        <f t="shared" si="4"/>
        <v>-  -MAY 02-</v>
      </c>
    </row>
    <row r="235" spans="1:13">
      <c r="A235" s="216" t="str">
        <f>IF(C235&lt;&gt;"",SUBTOTAL(103,$C$12:C235),"")</f>
        <v/>
      </c>
      <c r="B235" s="226">
        <v>43222</v>
      </c>
      <c r="C235" s="216"/>
      <c r="D235" s="216" t="str">
        <f>IF(C235&lt;&gt;"",VLOOKUP(C235,[1]DSKH!B:E,2,0),"")</f>
        <v/>
      </c>
      <c r="E235" s="215"/>
      <c r="F235" s="216"/>
      <c r="G235" s="216" t="str">
        <f>IF(C235&lt;&gt;"",VLOOKUP(C235,DSKH!B:E,3,0),"")</f>
        <v/>
      </c>
      <c r="H235" s="222"/>
      <c r="I235" s="217"/>
      <c r="J235" s="224"/>
      <c r="K235" s="216" t="str">
        <f>IF(C235&lt;&gt;"",VLOOKUP(C235,[1]DSKH!B:E,4,0),"")</f>
        <v/>
      </c>
      <c r="L235" s="216"/>
      <c r="M235" s="216" t="str">
        <f t="shared" si="4"/>
        <v>-  -MAY 02-</v>
      </c>
    </row>
    <row r="236" spans="1:13">
      <c r="A236" s="216" t="str">
        <f>IF(C236&lt;&gt;"",SUBTOTAL(103,$C$12:C236),"")</f>
        <v/>
      </c>
      <c r="B236" s="226">
        <v>43222</v>
      </c>
      <c r="C236" s="216"/>
      <c r="D236" s="216" t="str">
        <f>IF(C236&lt;&gt;"",VLOOKUP(C236,[1]DSKH!B:E,2,0),"")</f>
        <v/>
      </c>
      <c r="E236" s="215"/>
      <c r="F236" s="216"/>
      <c r="G236" s="216" t="str">
        <f>IF(C236&lt;&gt;"",VLOOKUP(C236,DSKH!B:E,3,0),"")</f>
        <v/>
      </c>
      <c r="H236" s="222"/>
      <c r="I236" s="217"/>
      <c r="J236" s="224"/>
      <c r="K236" s="216" t="str">
        <f>IF(C236&lt;&gt;"",VLOOKUP(C236,[1]DSKH!B:E,4,0),"")</f>
        <v/>
      </c>
      <c r="L236" s="216"/>
      <c r="M236" s="216" t="str">
        <f t="shared" si="4"/>
        <v>-  -MAY 02-</v>
      </c>
    </row>
    <row r="237" spans="1:13">
      <c r="A237" s="216" t="str">
        <f>IF(C237&lt;&gt;"",SUBTOTAL(103,$C$12:C237),"")</f>
        <v/>
      </c>
      <c r="B237" s="226">
        <v>43222</v>
      </c>
      <c r="C237" s="216"/>
      <c r="D237" s="216" t="str">
        <f>IF(C237&lt;&gt;"",VLOOKUP(C237,[1]DSKH!B:E,2,0),"")</f>
        <v/>
      </c>
      <c r="E237" s="215"/>
      <c r="F237" s="216"/>
      <c r="G237" s="216" t="str">
        <f>IF(C237&lt;&gt;"",VLOOKUP(C237,DSKH!B:E,3,0),"")</f>
        <v/>
      </c>
      <c r="H237" s="222"/>
      <c r="I237" s="217"/>
      <c r="J237" s="224"/>
      <c r="K237" s="216" t="str">
        <f>IF(C237&lt;&gt;"",VLOOKUP(C237,[1]DSKH!B:E,4,0),"")</f>
        <v/>
      </c>
      <c r="L237" s="216"/>
      <c r="M237" s="216" t="str">
        <f t="shared" si="4"/>
        <v>-  -MAY 02-</v>
      </c>
    </row>
    <row r="238" spans="1:13">
      <c r="A238" s="216" t="str">
        <f>IF(C238&lt;&gt;"",SUBTOTAL(103,$C$12:C238),"")</f>
        <v/>
      </c>
      <c r="B238" s="226">
        <v>43222</v>
      </c>
      <c r="C238" s="216"/>
      <c r="D238" s="216" t="str">
        <f>IF(C238&lt;&gt;"",VLOOKUP(C238,[1]DSKH!B:E,2,0),"")</f>
        <v/>
      </c>
      <c r="E238" s="215"/>
      <c r="F238" s="216"/>
      <c r="G238" s="216" t="str">
        <f>IF(C238&lt;&gt;"",VLOOKUP(C238,DSKH!B:E,3,0),"")</f>
        <v/>
      </c>
      <c r="H238" s="222"/>
      <c r="I238" s="217"/>
      <c r="J238" s="224"/>
      <c r="K238" s="216" t="str">
        <f>IF(C238&lt;&gt;"",VLOOKUP(C238,[1]DSKH!B:E,4,0),"")</f>
        <v/>
      </c>
      <c r="L238" s="216"/>
      <c r="M238" s="216" t="str">
        <f t="shared" si="4"/>
        <v>-  -MAY 02-</v>
      </c>
    </row>
    <row r="239" spans="1:13">
      <c r="A239" s="216" t="str">
        <f>IF(C239&lt;&gt;"",SUBTOTAL(103,$C$12:C239),"")</f>
        <v/>
      </c>
      <c r="B239" s="226">
        <v>43222</v>
      </c>
      <c r="C239" s="216"/>
      <c r="D239" s="216" t="str">
        <f>IF(C239&lt;&gt;"",VLOOKUP(C239,[1]DSKH!B:E,2,0),"")</f>
        <v/>
      </c>
      <c r="E239" s="215"/>
      <c r="F239" s="216"/>
      <c r="G239" s="216" t="str">
        <f>IF(C239&lt;&gt;"",VLOOKUP(C239,DSKH!B:E,3,0),"")</f>
        <v/>
      </c>
      <c r="H239" s="222"/>
      <c r="I239" s="217"/>
      <c r="J239" s="224"/>
      <c r="K239" s="216" t="str">
        <f>IF(C239&lt;&gt;"",VLOOKUP(C239,[1]DSKH!B:E,4,0),"")</f>
        <v/>
      </c>
      <c r="L239" s="216"/>
      <c r="M239" s="216" t="str">
        <f t="shared" si="4"/>
        <v>-  -MAY 02-</v>
      </c>
    </row>
    <row r="240" spans="1:13">
      <c r="A240" s="216" t="str">
        <f>IF(C240&lt;&gt;"",SUBTOTAL(103,$C$12:C240),"")</f>
        <v/>
      </c>
      <c r="B240" s="226">
        <v>43222</v>
      </c>
      <c r="C240" s="216"/>
      <c r="D240" s="216" t="str">
        <f>IF(C240&lt;&gt;"",VLOOKUP(C240,[1]DSKH!B:E,2,0),"")</f>
        <v/>
      </c>
      <c r="E240" s="215"/>
      <c r="F240" s="216"/>
      <c r="G240" s="216" t="str">
        <f>IF(C240&lt;&gt;"",VLOOKUP(C240,DSKH!B:E,3,0),"")</f>
        <v/>
      </c>
      <c r="H240" s="222"/>
      <c r="I240" s="217"/>
      <c r="J240" s="224"/>
      <c r="K240" s="216" t="str">
        <f>IF(C240&lt;&gt;"",VLOOKUP(C240,[1]DSKH!B:E,4,0),"")</f>
        <v/>
      </c>
      <c r="L240" s="216"/>
      <c r="M240" s="216" t="str">
        <f t="shared" si="4"/>
        <v>-  -MAY 02-</v>
      </c>
    </row>
    <row r="241" spans="1:13">
      <c r="A241" s="216" t="str">
        <f>IF(C241&lt;&gt;"",SUBTOTAL(103,$C$12:C241),"")</f>
        <v/>
      </c>
      <c r="B241" s="226">
        <v>43222</v>
      </c>
      <c r="C241" s="216"/>
      <c r="D241" s="216" t="str">
        <f>IF(C241&lt;&gt;"",VLOOKUP(C241,[1]DSKH!B:E,2,0),"")</f>
        <v/>
      </c>
      <c r="E241" s="215"/>
      <c r="F241" s="216"/>
      <c r="G241" s="216" t="str">
        <f>IF(C241&lt;&gt;"",VLOOKUP(C241,DSKH!B:E,3,0),"")</f>
        <v/>
      </c>
      <c r="H241" s="222"/>
      <c r="I241" s="217"/>
      <c r="J241" s="224"/>
      <c r="K241" s="216" t="str">
        <f>IF(C241&lt;&gt;"",VLOOKUP(C241,[1]DSKH!B:E,4,0),"")</f>
        <v/>
      </c>
      <c r="L241" s="216"/>
      <c r="M241" s="216" t="str">
        <f t="shared" si="4"/>
        <v>-  -MAY 02-</v>
      </c>
    </row>
    <row r="242" spans="1:13">
      <c r="A242" s="216" t="str">
        <f>IF(C242&lt;&gt;"",SUBTOTAL(103,$C$12:C242),"")</f>
        <v/>
      </c>
      <c r="B242" s="226">
        <v>43222</v>
      </c>
      <c r="C242" s="216"/>
      <c r="D242" s="216" t="str">
        <f>IF(C242&lt;&gt;"",VLOOKUP(C242,[1]DSKH!B:E,2,0),"")</f>
        <v/>
      </c>
      <c r="E242" s="215"/>
      <c r="F242" s="216"/>
      <c r="G242" s="216" t="str">
        <f>IF(C242&lt;&gt;"",VLOOKUP(C242,DSKH!B:E,3,0),"")</f>
        <v/>
      </c>
      <c r="H242" s="222"/>
      <c r="I242" s="217"/>
      <c r="J242" s="224"/>
      <c r="K242" s="216" t="str">
        <f>IF(C242&lt;&gt;"",VLOOKUP(C242,[1]DSKH!B:E,4,0),"")</f>
        <v/>
      </c>
      <c r="L242" s="216"/>
      <c r="M242" s="216" t="str">
        <f t="shared" si="4"/>
        <v>-  -MAY 02-</v>
      </c>
    </row>
    <row r="243" spans="1:13">
      <c r="A243" s="216" t="str">
        <f>IF(C243&lt;&gt;"",SUBTOTAL(103,$C$12:C243),"")</f>
        <v/>
      </c>
      <c r="B243" s="226">
        <v>43222</v>
      </c>
      <c r="C243" s="216"/>
      <c r="D243" s="216" t="str">
        <f>IF(C243&lt;&gt;"",VLOOKUP(C243,[1]DSKH!B:E,2,0),"")</f>
        <v/>
      </c>
      <c r="E243" s="215"/>
      <c r="F243" s="216"/>
      <c r="G243" s="216" t="str">
        <f>IF(C243&lt;&gt;"",VLOOKUP(C243,DSKH!B:E,3,0),"")</f>
        <v/>
      </c>
      <c r="H243" s="222"/>
      <c r="I243" s="217"/>
      <c r="J243" s="224"/>
      <c r="K243" s="216" t="str">
        <f>IF(C243&lt;&gt;"",VLOOKUP(C243,[1]DSKH!B:E,4,0),"")</f>
        <v/>
      </c>
      <c r="L243" s="216"/>
      <c r="M243" s="216" t="str">
        <f t="shared" si="4"/>
        <v>-  -MAY 02-</v>
      </c>
    </row>
    <row r="244" spans="1:13">
      <c r="A244" s="216" t="str">
        <f>IF(C244&lt;&gt;"",SUBTOTAL(103,$C$12:C244),"")</f>
        <v/>
      </c>
      <c r="B244" s="226">
        <v>43222</v>
      </c>
      <c r="C244" s="216"/>
      <c r="D244" s="216" t="str">
        <f>IF(C244&lt;&gt;"",VLOOKUP(C244,[1]DSKH!B:E,2,0),"")</f>
        <v/>
      </c>
      <c r="E244" s="215"/>
      <c r="F244" s="216"/>
      <c r="G244" s="216" t="str">
        <f>IF(C244&lt;&gt;"",VLOOKUP(C244,DSKH!B:E,3,0),"")</f>
        <v/>
      </c>
      <c r="H244" s="222"/>
      <c r="I244" s="217"/>
      <c r="J244" s="224"/>
      <c r="K244" s="216" t="str">
        <f>IF(C244&lt;&gt;"",VLOOKUP(C244,[1]DSKH!B:E,4,0),"")</f>
        <v/>
      </c>
      <c r="L244" s="216"/>
      <c r="M244" s="216" t="str">
        <f t="shared" si="4"/>
        <v>-  -MAY 02-</v>
      </c>
    </row>
    <row r="245" spans="1:13">
      <c r="A245" s="216" t="str">
        <f>IF(C245&lt;&gt;"",SUBTOTAL(103,$C$12:C245),"")</f>
        <v/>
      </c>
      <c r="B245" s="226">
        <v>43222</v>
      </c>
      <c r="C245" s="216"/>
      <c r="D245" s="216" t="str">
        <f>IF(C245&lt;&gt;"",VLOOKUP(C245,[1]DSKH!B:E,2,0),"")</f>
        <v/>
      </c>
      <c r="E245" s="215"/>
      <c r="F245" s="216"/>
      <c r="G245" s="216" t="str">
        <f>IF(C245&lt;&gt;"",VLOOKUP(C245,DSKH!B:E,3,0),"")</f>
        <v/>
      </c>
      <c r="H245" s="222"/>
      <c r="I245" s="217"/>
      <c r="J245" s="224"/>
      <c r="K245" s="216" t="str">
        <f>IF(C245&lt;&gt;"",VLOOKUP(C245,[1]DSKH!B:E,4,0),"")</f>
        <v/>
      </c>
      <c r="L245" s="216"/>
      <c r="M245" s="216" t="str">
        <f t="shared" si="4"/>
        <v>-  -MAY 02-</v>
      </c>
    </row>
    <row r="246" spans="1:13">
      <c r="A246" s="216" t="str">
        <f>IF(C246&lt;&gt;"",SUBTOTAL(103,$C$12:C246),"")</f>
        <v/>
      </c>
      <c r="B246" s="226">
        <v>43222</v>
      </c>
      <c r="C246" s="216"/>
      <c r="D246" s="216" t="str">
        <f>IF(C246&lt;&gt;"",VLOOKUP(C246,[1]DSKH!B:E,2,0),"")</f>
        <v/>
      </c>
      <c r="E246" s="215"/>
      <c r="F246" s="216"/>
      <c r="G246" s="216" t="str">
        <f>IF(C246&lt;&gt;"",VLOOKUP(C246,DSKH!B:E,3,0),"")</f>
        <v/>
      </c>
      <c r="H246" s="222"/>
      <c r="I246" s="217"/>
      <c r="J246" s="224"/>
      <c r="K246" s="216" t="str">
        <f>IF(C246&lt;&gt;"",VLOOKUP(C246,[1]DSKH!B:E,4,0),"")</f>
        <v/>
      </c>
      <c r="L246" s="216"/>
      <c r="M246" s="216" t="str">
        <f t="shared" si="4"/>
        <v>-  -MAY 02-</v>
      </c>
    </row>
    <row r="247" spans="1:13">
      <c r="A247" s="216" t="str">
        <f>IF(C247&lt;&gt;"",SUBTOTAL(103,$C$12:C247),"")</f>
        <v/>
      </c>
      <c r="B247" s="226">
        <v>43222</v>
      </c>
      <c r="C247" s="216"/>
      <c r="D247" s="216" t="str">
        <f>IF(C247&lt;&gt;"",VLOOKUP(C247,[1]DSKH!B:E,2,0),"")</f>
        <v/>
      </c>
      <c r="E247" s="215"/>
      <c r="F247" s="216"/>
      <c r="G247" s="216" t="str">
        <f>IF(C247&lt;&gt;"",VLOOKUP(C247,DSKH!B:E,3,0),"")</f>
        <v/>
      </c>
      <c r="H247" s="222"/>
      <c r="I247" s="217"/>
      <c r="J247" s="224"/>
      <c r="K247" s="216" t="str">
        <f>IF(C247&lt;&gt;"",VLOOKUP(C247,[1]DSKH!B:E,4,0),"")</f>
        <v/>
      </c>
      <c r="L247" s="216"/>
      <c r="M247" s="216" t="str">
        <f t="shared" si="4"/>
        <v>-  -MAY 02-</v>
      </c>
    </row>
    <row r="248" spans="1:13">
      <c r="A248" s="216" t="str">
        <f>IF(C248&lt;&gt;"",SUBTOTAL(103,$C$12:C248),"")</f>
        <v/>
      </c>
      <c r="B248" s="226">
        <v>43222</v>
      </c>
      <c r="C248" s="216"/>
      <c r="D248" s="216" t="str">
        <f>IF(C248&lt;&gt;"",VLOOKUP(C248,[1]DSKH!B:E,2,0),"")</f>
        <v/>
      </c>
      <c r="E248" s="215"/>
      <c r="F248" s="216"/>
      <c r="G248" s="216" t="str">
        <f>IF(C248&lt;&gt;"",VLOOKUP(C248,DSKH!B:E,3,0),"")</f>
        <v/>
      </c>
      <c r="H248" s="222"/>
      <c r="I248" s="217"/>
      <c r="J248" s="224"/>
      <c r="K248" s="216" t="str">
        <f>IF(C248&lt;&gt;"",VLOOKUP(C248,[1]DSKH!B:E,4,0),"")</f>
        <v/>
      </c>
      <c r="L248" s="216"/>
      <c r="M248" s="216" t="str">
        <f t="shared" si="4"/>
        <v>-  -MAY 02-</v>
      </c>
    </row>
    <row r="249" spans="1:13">
      <c r="A249" s="216" t="str">
        <f>IF(C249&lt;&gt;"",SUBTOTAL(103,$C$12:C249),"")</f>
        <v/>
      </c>
      <c r="B249" s="226">
        <v>43222</v>
      </c>
      <c r="C249" s="216"/>
      <c r="D249" s="216" t="str">
        <f>IF(C249&lt;&gt;"",VLOOKUP(C249,[1]DSKH!B:E,2,0),"")</f>
        <v/>
      </c>
      <c r="E249" s="215"/>
      <c r="F249" s="216"/>
      <c r="G249" s="216" t="str">
        <f>IF(C249&lt;&gt;"",VLOOKUP(C249,DSKH!B:E,3,0),"")</f>
        <v/>
      </c>
      <c r="H249" s="222"/>
      <c r="I249" s="217"/>
      <c r="J249" s="224"/>
      <c r="K249" s="216" t="str">
        <f>IF(C249&lt;&gt;"",VLOOKUP(C249,[1]DSKH!B:E,4,0),"")</f>
        <v/>
      </c>
      <c r="L249" s="216"/>
      <c r="M249" s="216" t="str">
        <f t="shared" si="4"/>
        <v>-  -MAY 02-</v>
      </c>
    </row>
    <row r="250" spans="1:13">
      <c r="A250" s="216" t="str">
        <f>IF(C250&lt;&gt;"",SUBTOTAL(103,$C$12:C250),"")</f>
        <v/>
      </c>
      <c r="B250" s="226">
        <v>43222</v>
      </c>
      <c r="C250" s="216"/>
      <c r="D250" s="216" t="str">
        <f>IF(C250&lt;&gt;"",VLOOKUP(C250,[1]DSKH!B:E,2,0),"")</f>
        <v/>
      </c>
      <c r="E250" s="215"/>
      <c r="F250" s="216"/>
      <c r="G250" s="216" t="str">
        <f>IF(C250&lt;&gt;"",VLOOKUP(C250,DSKH!B:E,3,0),"")</f>
        <v/>
      </c>
      <c r="H250" s="222"/>
      <c r="I250" s="217"/>
      <c r="J250" s="224"/>
      <c r="K250" s="216" t="str">
        <f>IF(C250&lt;&gt;"",VLOOKUP(C250,[1]DSKH!B:E,4,0),"")</f>
        <v/>
      </c>
      <c r="L250" s="216"/>
      <c r="M250" s="216" t="str">
        <f t="shared" si="4"/>
        <v>-  -MAY 02-</v>
      </c>
    </row>
    <row r="251" spans="1:13">
      <c r="A251" s="216" t="str">
        <f>IF(C251&lt;&gt;"",SUBTOTAL(103,$C$12:C251),"")</f>
        <v/>
      </c>
      <c r="B251" s="226">
        <v>43222</v>
      </c>
      <c r="C251" s="216"/>
      <c r="D251" s="216" t="str">
        <f>IF(C251&lt;&gt;"",VLOOKUP(C251,[1]DSKH!B:E,2,0),"")</f>
        <v/>
      </c>
      <c r="E251" s="215"/>
      <c r="F251" s="216"/>
      <c r="G251" s="216" t="str">
        <f>IF(C251&lt;&gt;"",VLOOKUP(C251,DSKH!B:E,3,0),"")</f>
        <v/>
      </c>
      <c r="H251" s="222"/>
      <c r="I251" s="217"/>
      <c r="J251" s="224"/>
      <c r="K251" s="216" t="str">
        <f>IF(C251&lt;&gt;"",VLOOKUP(C251,[1]DSKH!B:E,4,0),"")</f>
        <v/>
      </c>
      <c r="L251" s="216"/>
      <c r="M251" s="216" t="str">
        <f t="shared" si="4"/>
        <v>-  -MAY 02-</v>
      </c>
    </row>
    <row r="252" spans="1:13">
      <c r="A252" s="216" t="str">
        <f>IF(C252&lt;&gt;"",SUBTOTAL(103,$C$12:C252),"")</f>
        <v/>
      </c>
      <c r="B252" s="226">
        <v>43222</v>
      </c>
      <c r="C252" s="216"/>
      <c r="D252" s="216" t="str">
        <f>IF(C252&lt;&gt;"",VLOOKUP(C252,[1]DSKH!B:E,2,0),"")</f>
        <v/>
      </c>
      <c r="E252" s="215"/>
      <c r="F252" s="216"/>
      <c r="G252" s="216" t="str">
        <f>IF(C252&lt;&gt;"",VLOOKUP(C252,DSKH!B:E,3,0),"")</f>
        <v/>
      </c>
      <c r="H252" s="222"/>
      <c r="I252" s="217"/>
      <c r="J252" s="224"/>
      <c r="K252" s="216" t="str">
        <f>IF(C252&lt;&gt;"",VLOOKUP(C252,[1]DSKH!B:E,4,0),"")</f>
        <v/>
      </c>
      <c r="L252" s="216"/>
      <c r="M252" s="216" t="str">
        <f t="shared" si="4"/>
        <v>-  -MAY 02-</v>
      </c>
    </row>
    <row r="253" spans="1:13">
      <c r="A253" s="216" t="str">
        <f>IF(C253&lt;&gt;"",SUBTOTAL(103,$C$12:C253),"")</f>
        <v/>
      </c>
      <c r="B253" s="226">
        <v>43222</v>
      </c>
      <c r="C253" s="216"/>
      <c r="D253" s="216" t="str">
        <f>IF(C253&lt;&gt;"",VLOOKUP(C253,[1]DSKH!B:E,2,0),"")</f>
        <v/>
      </c>
      <c r="E253" s="215"/>
      <c r="F253" s="216"/>
      <c r="G253" s="216" t="str">
        <f>IF(C253&lt;&gt;"",VLOOKUP(C253,DSKH!B:E,3,0),"")</f>
        <v/>
      </c>
      <c r="H253" s="222"/>
      <c r="I253" s="217"/>
      <c r="J253" s="224"/>
      <c r="K253" s="216" t="str">
        <f>IF(C253&lt;&gt;"",VLOOKUP(C253,[1]DSKH!B:E,4,0),"")</f>
        <v/>
      </c>
      <c r="L253" s="216"/>
      <c r="M253" s="216" t="str">
        <f t="shared" si="4"/>
        <v>-  -MAY 02-</v>
      </c>
    </row>
    <row r="254" spans="1:13">
      <c r="A254" s="216" t="str">
        <f>IF(C254&lt;&gt;"",SUBTOTAL(103,$C$12:C254),"")</f>
        <v/>
      </c>
      <c r="B254" s="226">
        <v>43222</v>
      </c>
      <c r="C254" s="216"/>
      <c r="D254" s="216" t="str">
        <f>IF(C254&lt;&gt;"",VLOOKUP(C254,[1]DSKH!B:E,2,0),"")</f>
        <v/>
      </c>
      <c r="E254" s="215"/>
      <c r="F254" s="216"/>
      <c r="G254" s="216" t="str">
        <f>IF(C254&lt;&gt;"",VLOOKUP(C254,DSKH!B:E,3,0),"")</f>
        <v/>
      </c>
      <c r="H254" s="222"/>
      <c r="I254" s="217"/>
      <c r="J254" s="224"/>
      <c r="K254" s="216" t="str">
        <f>IF(C254&lt;&gt;"",VLOOKUP(C254,[1]DSKH!B:E,4,0),"")</f>
        <v/>
      </c>
      <c r="L254" s="216"/>
      <c r="M254" s="216" t="str">
        <f t="shared" si="4"/>
        <v>-  -MAY 02-</v>
      </c>
    </row>
    <row r="255" spans="1:13">
      <c r="A255" s="216" t="str">
        <f>IF(C255&lt;&gt;"",SUBTOTAL(103,$C$12:C255),"")</f>
        <v/>
      </c>
      <c r="B255" s="226">
        <v>43222</v>
      </c>
      <c r="C255" s="216"/>
      <c r="D255" s="216" t="str">
        <f>IF(C255&lt;&gt;"",VLOOKUP(C255,[1]DSKH!B:E,2,0),"")</f>
        <v/>
      </c>
      <c r="E255" s="215"/>
      <c r="F255" s="216"/>
      <c r="G255" s="216" t="str">
        <f>IF(C255&lt;&gt;"",VLOOKUP(C255,DSKH!B:E,3,0),"")</f>
        <v/>
      </c>
      <c r="H255" s="222"/>
      <c r="I255" s="217"/>
      <c r="J255" s="224"/>
      <c r="K255" s="216" t="str">
        <f>IF(C255&lt;&gt;"",VLOOKUP(C255,[1]DSKH!B:E,4,0),"")</f>
        <v/>
      </c>
      <c r="L255" s="216"/>
      <c r="M255" s="216" t="str">
        <f t="shared" si="4"/>
        <v>-  -MAY 02-</v>
      </c>
    </row>
    <row r="256" spans="1:13">
      <c r="A256" s="216" t="str">
        <f>IF(C256&lt;&gt;"",SUBTOTAL(103,$C$12:C256),"")</f>
        <v/>
      </c>
      <c r="B256" s="226">
        <v>43222</v>
      </c>
      <c r="C256" s="216"/>
      <c r="D256" s="216" t="str">
        <f>IF(C256&lt;&gt;"",VLOOKUP(C256,[1]DSKH!B:E,2,0),"")</f>
        <v/>
      </c>
      <c r="E256" s="215"/>
      <c r="F256" s="216"/>
      <c r="G256" s="216" t="str">
        <f>IF(C256&lt;&gt;"",VLOOKUP(C256,DSKH!B:E,3,0),"")</f>
        <v/>
      </c>
      <c r="H256" s="222"/>
      <c r="I256" s="217"/>
      <c r="J256" s="224"/>
      <c r="K256" s="216" t="str">
        <f>IF(C256&lt;&gt;"",VLOOKUP(C256,[1]DSKH!B:E,4,0),"")</f>
        <v/>
      </c>
      <c r="L256" s="216"/>
      <c r="M256" s="216" t="str">
        <f t="shared" si="4"/>
        <v>-  -MAY 02-</v>
      </c>
    </row>
    <row r="257" spans="1:13">
      <c r="A257" s="216" t="str">
        <f>IF(C257&lt;&gt;"",SUBTOTAL(103,$C$12:C257),"")</f>
        <v/>
      </c>
      <c r="B257" s="226">
        <v>43222</v>
      </c>
      <c r="C257" s="216"/>
      <c r="D257" s="216" t="str">
        <f>IF(C257&lt;&gt;"",VLOOKUP(C257,[1]DSKH!B:E,2,0),"")</f>
        <v/>
      </c>
      <c r="E257" s="215"/>
      <c r="F257" s="216"/>
      <c r="G257" s="216" t="str">
        <f>IF(C257&lt;&gt;"",VLOOKUP(C257,DSKH!B:E,3,0),"")</f>
        <v/>
      </c>
      <c r="H257" s="222"/>
      <c r="I257" s="217"/>
      <c r="J257" s="224"/>
      <c r="K257" s="216" t="str">
        <f>IF(C257&lt;&gt;"",VLOOKUP(C257,[1]DSKH!B:E,4,0),"")</f>
        <v/>
      </c>
      <c r="L257" s="216"/>
      <c r="M257" s="216" t="str">
        <f t="shared" si="4"/>
        <v>-  -MAY 02-</v>
      </c>
    </row>
    <row r="258" spans="1:13">
      <c r="A258" s="216" t="str">
        <f>IF(C258&lt;&gt;"",SUBTOTAL(103,$C$12:C258),"")</f>
        <v/>
      </c>
      <c r="B258" s="226">
        <v>43222</v>
      </c>
      <c r="C258" s="216"/>
      <c r="D258" s="216" t="str">
        <f>IF(C258&lt;&gt;"",VLOOKUP(C258,[1]DSKH!B:E,2,0),"")</f>
        <v/>
      </c>
      <c r="E258" s="215"/>
      <c r="F258" s="216"/>
      <c r="G258" s="216" t="str">
        <f>IF(C258&lt;&gt;"",VLOOKUP(C258,DSKH!B:E,3,0),"")</f>
        <v/>
      </c>
      <c r="H258" s="222"/>
      <c r="I258" s="217"/>
      <c r="J258" s="224"/>
      <c r="K258" s="216" t="str">
        <f>IF(C258&lt;&gt;"",VLOOKUP(C258,[1]DSKH!B:E,4,0),"")</f>
        <v/>
      </c>
      <c r="L258" s="216"/>
      <c r="M258" s="216" t="str">
        <f t="shared" si="4"/>
        <v>-  -MAY 02-</v>
      </c>
    </row>
    <row r="259" spans="1:13">
      <c r="A259" s="216" t="str">
        <f>IF(C259&lt;&gt;"",SUBTOTAL(103,$C$12:C259),"")</f>
        <v/>
      </c>
      <c r="B259" s="226">
        <v>43222</v>
      </c>
      <c r="C259" s="216"/>
      <c r="D259" s="216" t="str">
        <f>IF(C259&lt;&gt;"",VLOOKUP(C259,[1]DSKH!B:E,2,0),"")</f>
        <v/>
      </c>
      <c r="E259" s="215"/>
      <c r="F259" s="216"/>
      <c r="G259" s="216" t="str">
        <f>IF(C259&lt;&gt;"",VLOOKUP(C259,DSKH!B:E,3,0),"")</f>
        <v/>
      </c>
      <c r="H259" s="222"/>
      <c r="I259" s="217"/>
      <c r="J259" s="224"/>
      <c r="K259" s="216" t="str">
        <f>IF(C259&lt;&gt;"",VLOOKUP(C259,[1]DSKH!B:E,4,0),"")</f>
        <v/>
      </c>
      <c r="L259" s="216"/>
      <c r="M259" s="216" t="str">
        <f t="shared" si="4"/>
        <v>-  -MAY 02-</v>
      </c>
    </row>
    <row r="260" spans="1:13">
      <c r="A260" s="216" t="str">
        <f>IF(C260&lt;&gt;"",SUBTOTAL(103,$C$12:C260),"")</f>
        <v/>
      </c>
      <c r="B260" s="226">
        <v>43222</v>
      </c>
      <c r="C260" s="216"/>
      <c r="D260" s="216" t="str">
        <f>IF(C260&lt;&gt;"",VLOOKUP(C260,[1]DSKH!B:E,2,0),"")</f>
        <v/>
      </c>
      <c r="E260" s="215"/>
      <c r="F260" s="216"/>
      <c r="G260" s="216" t="str">
        <f>IF(C260&lt;&gt;"",VLOOKUP(C260,DSKH!B:E,3,0),"")</f>
        <v/>
      </c>
      <c r="H260" s="222"/>
      <c r="I260" s="217"/>
      <c r="J260" s="224"/>
      <c r="K260" s="216" t="str">
        <f>IF(C260&lt;&gt;"",VLOOKUP(C260,[1]DSKH!B:E,4,0),"")</f>
        <v/>
      </c>
      <c r="L260" s="216"/>
      <c r="M260" s="216" t="str">
        <f t="shared" si="4"/>
        <v>-  -MAY 02-</v>
      </c>
    </row>
    <row r="261" spans="1:13">
      <c r="A261" s="216" t="str">
        <f>IF(C261&lt;&gt;"",SUBTOTAL(103,$C$12:C261),"")</f>
        <v/>
      </c>
      <c r="B261" s="226">
        <v>43222</v>
      </c>
      <c r="C261" s="216"/>
      <c r="D261" s="216" t="str">
        <f>IF(C261&lt;&gt;"",VLOOKUP(C261,[1]DSKH!B:E,2,0),"")</f>
        <v/>
      </c>
      <c r="E261" s="215"/>
      <c r="F261" s="216"/>
      <c r="G261" s="216" t="str">
        <f>IF(C261&lt;&gt;"",VLOOKUP(C261,DSKH!B:E,3,0),"")</f>
        <v/>
      </c>
      <c r="H261" s="222"/>
      <c r="I261" s="217"/>
      <c r="J261" s="224"/>
      <c r="K261" s="216" t="str">
        <f>IF(C261&lt;&gt;"",VLOOKUP(C261,[1]DSKH!B:E,4,0),"")</f>
        <v/>
      </c>
      <c r="L261" s="216"/>
      <c r="M261" s="216" t="str">
        <f t="shared" si="4"/>
        <v>-  -MAY 02-</v>
      </c>
    </row>
    <row r="262" spans="1:13">
      <c r="A262" s="216" t="str">
        <f>IF(C262&lt;&gt;"",SUBTOTAL(103,$C$12:C262),"")</f>
        <v/>
      </c>
      <c r="B262" s="226">
        <v>43222</v>
      </c>
      <c r="C262" s="216"/>
      <c r="D262" s="216" t="str">
        <f>IF(C262&lt;&gt;"",VLOOKUP(C262,[1]DSKH!B:E,2,0),"")</f>
        <v/>
      </c>
      <c r="E262" s="215"/>
      <c r="F262" s="216"/>
      <c r="G262" s="216" t="str">
        <f>IF(C262&lt;&gt;"",VLOOKUP(C262,DSKH!B:E,3,0),"")</f>
        <v/>
      </c>
      <c r="H262" s="222"/>
      <c r="I262" s="217"/>
      <c r="J262" s="224"/>
      <c r="K262" s="216" t="str">
        <f>IF(C262&lt;&gt;"",VLOOKUP(C262,[1]DSKH!B:E,4,0),"")</f>
        <v/>
      </c>
      <c r="L262" s="216"/>
      <c r="M262" s="216" t="str">
        <f t="shared" si="4"/>
        <v>-  -MAY 02-</v>
      </c>
    </row>
    <row r="263" spans="1:13">
      <c r="A263" s="216" t="str">
        <f>IF(C263&lt;&gt;"",SUBTOTAL(103,$C$12:C263),"")</f>
        <v/>
      </c>
      <c r="B263" s="226">
        <v>43222</v>
      </c>
      <c r="C263" s="216"/>
      <c r="D263" s="216" t="str">
        <f>IF(C263&lt;&gt;"",VLOOKUP(C263,[1]DSKH!B:E,2,0),"")</f>
        <v/>
      </c>
      <c r="E263" s="215"/>
      <c r="F263" s="216"/>
      <c r="G263" s="216" t="str">
        <f>IF(C263&lt;&gt;"",VLOOKUP(C263,DSKH!B:E,3,0),"")</f>
        <v/>
      </c>
      <c r="H263" s="222"/>
      <c r="I263" s="217"/>
      <c r="J263" s="224"/>
      <c r="K263" s="216" t="str">
        <f>IF(C263&lt;&gt;"",VLOOKUP(C263,[1]DSKH!B:E,4,0),"")</f>
        <v/>
      </c>
      <c r="L263" s="216"/>
      <c r="M263" s="216" t="str">
        <f t="shared" si="4"/>
        <v>-  -MAY 02-</v>
      </c>
    </row>
    <row r="264" spans="1:13">
      <c r="A264" s="216" t="str">
        <f>IF(C264&lt;&gt;"",SUBTOTAL(103,$C$12:C264),"")</f>
        <v/>
      </c>
      <c r="B264" s="226">
        <v>43222</v>
      </c>
      <c r="C264" s="216"/>
      <c r="D264" s="216" t="str">
        <f>IF(C264&lt;&gt;"",VLOOKUP(C264,[1]DSKH!B:E,2,0),"")</f>
        <v/>
      </c>
      <c r="E264" s="215"/>
      <c r="F264" s="216"/>
      <c r="G264" s="216" t="str">
        <f>IF(C264&lt;&gt;"",VLOOKUP(C264,DSKH!B:E,3,0),"")</f>
        <v/>
      </c>
      <c r="H264" s="222"/>
      <c r="I264" s="217"/>
      <c r="J264" s="224"/>
      <c r="K264" s="216" t="str">
        <f>IF(C264&lt;&gt;"",VLOOKUP(C264,[1]DSKH!B:E,4,0),"")</f>
        <v/>
      </c>
      <c r="L264" s="216"/>
      <c r="M264" s="216" t="str">
        <f t="shared" si="4"/>
        <v>-  -MAY 02-</v>
      </c>
    </row>
    <row r="265" spans="1:13">
      <c r="A265" s="216" t="str">
        <f>IF(C265&lt;&gt;"",SUBTOTAL(103,$C$12:C265),"")</f>
        <v/>
      </c>
      <c r="B265" s="226">
        <v>43222</v>
      </c>
      <c r="C265" s="216"/>
      <c r="D265" s="216" t="str">
        <f>IF(C265&lt;&gt;"",VLOOKUP(C265,[1]DSKH!B:E,2,0),"")</f>
        <v/>
      </c>
      <c r="E265" s="215"/>
      <c r="F265" s="216"/>
      <c r="G265" s="216" t="str">
        <f>IF(C265&lt;&gt;"",VLOOKUP(C265,DSKH!B:E,3,0),"")</f>
        <v/>
      </c>
      <c r="H265" s="222"/>
      <c r="I265" s="217"/>
      <c r="J265" s="224"/>
      <c r="K265" s="216" t="str">
        <f>IF(C265&lt;&gt;"",VLOOKUP(C265,[1]DSKH!B:E,4,0),"")</f>
        <v/>
      </c>
      <c r="L265" s="216"/>
      <c r="M265" s="216" t="str">
        <f t="shared" si="4"/>
        <v>-  -MAY 02-</v>
      </c>
    </row>
    <row r="266" spans="1:13">
      <c r="A266" s="216" t="str">
        <f>IF(C266&lt;&gt;"",SUBTOTAL(103,$C$12:C266),"")</f>
        <v/>
      </c>
      <c r="B266" s="226">
        <v>43222</v>
      </c>
      <c r="C266" s="216"/>
      <c r="D266" s="216" t="str">
        <f>IF(C266&lt;&gt;"",VLOOKUP(C266,[1]DSKH!B:E,2,0),"")</f>
        <v/>
      </c>
      <c r="E266" s="215"/>
      <c r="F266" s="216"/>
      <c r="G266" s="216" t="str">
        <f>IF(C266&lt;&gt;"",VLOOKUP(C266,DSKH!B:E,3,0),"")</f>
        <v/>
      </c>
      <c r="H266" s="222"/>
      <c r="I266" s="217"/>
      <c r="J266" s="224"/>
      <c r="K266" s="216" t="str">
        <f>IF(C266&lt;&gt;"",VLOOKUP(C266,[1]DSKH!B:E,4,0),"")</f>
        <v/>
      </c>
      <c r="L266" s="216"/>
      <c r="M266" s="216" t="str">
        <f t="shared" si="4"/>
        <v>-  -MAY 02-</v>
      </c>
    </row>
    <row r="267" spans="1:13">
      <c r="A267" s="216" t="str">
        <f>IF(C267&lt;&gt;"",SUBTOTAL(103,$C$12:C267),"")</f>
        <v/>
      </c>
      <c r="B267" s="226">
        <v>43222</v>
      </c>
      <c r="C267" s="216"/>
      <c r="D267" s="216" t="str">
        <f>IF(C267&lt;&gt;"",VLOOKUP(C267,[1]DSKH!B:E,2,0),"")</f>
        <v/>
      </c>
      <c r="E267" s="215"/>
      <c r="F267" s="216"/>
      <c r="G267" s="216" t="str">
        <f>IF(C267&lt;&gt;"",VLOOKUP(C267,DSKH!B:E,3,0),"")</f>
        <v/>
      </c>
      <c r="H267" s="222"/>
      <c r="I267" s="217"/>
      <c r="J267" s="224"/>
      <c r="K267" s="216" t="str">
        <f>IF(C267&lt;&gt;"",VLOOKUP(C267,[1]DSKH!B:E,4,0),"")</f>
        <v/>
      </c>
      <c r="L267" s="216"/>
      <c r="M267" s="216" t="str">
        <f t="shared" si="4"/>
        <v>-  -MAY 02-</v>
      </c>
    </row>
    <row r="268" spans="1:13">
      <c r="A268" s="216" t="str">
        <f>IF(C268&lt;&gt;"",SUBTOTAL(103,$C$12:C268),"")</f>
        <v/>
      </c>
      <c r="B268" s="226">
        <v>43222</v>
      </c>
      <c r="C268" s="216"/>
      <c r="D268" s="216" t="str">
        <f>IF(C268&lt;&gt;"",VLOOKUP(C268,[1]DSKH!B:E,2,0),"")</f>
        <v/>
      </c>
      <c r="E268" s="215"/>
      <c r="F268" s="216"/>
      <c r="G268" s="216" t="str">
        <f>IF(C268&lt;&gt;"",VLOOKUP(C268,DSKH!B:E,3,0),"")</f>
        <v/>
      </c>
      <c r="H268" s="222"/>
      <c r="I268" s="217"/>
      <c r="J268" s="224"/>
      <c r="K268" s="216" t="str">
        <f>IF(C268&lt;&gt;"",VLOOKUP(C268,[1]DSKH!B:E,4,0),"")</f>
        <v/>
      </c>
      <c r="L268" s="216"/>
      <c r="M268" s="216" t="str">
        <f t="shared" ref="M268:M331" si="5">C268&amp;"-"&amp;" "&amp;H268&amp;" "&amp;"-"&amp;"MAY"&amp;" "&amp;"02"&amp;"-"&amp;J268</f>
        <v>-  -MAY 02-</v>
      </c>
    </row>
    <row r="269" spans="1:13">
      <c r="A269" s="216" t="str">
        <f>IF(C269&lt;&gt;"",SUBTOTAL(103,$C$12:C269),"")</f>
        <v/>
      </c>
      <c r="B269" s="226">
        <v>43222</v>
      </c>
      <c r="C269" s="216"/>
      <c r="D269" s="216" t="str">
        <f>IF(C269&lt;&gt;"",VLOOKUP(C269,[1]DSKH!B:E,2,0),"")</f>
        <v/>
      </c>
      <c r="E269" s="215"/>
      <c r="F269" s="216"/>
      <c r="G269" s="216" t="str">
        <f>IF(C269&lt;&gt;"",VLOOKUP(C269,DSKH!B:E,3,0),"")</f>
        <v/>
      </c>
      <c r="H269" s="222"/>
      <c r="I269" s="217"/>
      <c r="J269" s="224"/>
      <c r="K269" s="216" t="str">
        <f>IF(C269&lt;&gt;"",VLOOKUP(C269,[1]DSKH!B:E,4,0),"")</f>
        <v/>
      </c>
      <c r="L269" s="216"/>
      <c r="M269" s="216" t="str">
        <f t="shared" si="5"/>
        <v>-  -MAY 02-</v>
      </c>
    </row>
    <row r="270" spans="1:13">
      <c r="A270" s="216" t="str">
        <f>IF(C270&lt;&gt;"",SUBTOTAL(103,$C$12:C270),"")</f>
        <v/>
      </c>
      <c r="B270" s="226">
        <v>43222</v>
      </c>
      <c r="C270" s="216"/>
      <c r="D270" s="216" t="str">
        <f>IF(C270&lt;&gt;"",VLOOKUP(C270,[1]DSKH!B:E,2,0),"")</f>
        <v/>
      </c>
      <c r="E270" s="215"/>
      <c r="F270" s="216"/>
      <c r="G270" s="216" t="str">
        <f>IF(C270&lt;&gt;"",VLOOKUP(C270,DSKH!B:E,3,0),"")</f>
        <v/>
      </c>
      <c r="H270" s="222"/>
      <c r="I270" s="217"/>
      <c r="J270" s="224"/>
      <c r="K270" s="216" t="str">
        <f>IF(C270&lt;&gt;"",VLOOKUP(C270,[1]DSKH!B:E,4,0),"")</f>
        <v/>
      </c>
      <c r="L270" s="216"/>
      <c r="M270" s="216" t="str">
        <f t="shared" si="5"/>
        <v>-  -MAY 02-</v>
      </c>
    </row>
    <row r="271" spans="1:13">
      <c r="A271" s="216" t="str">
        <f>IF(C271&lt;&gt;"",SUBTOTAL(103,$C$12:C271),"")</f>
        <v/>
      </c>
      <c r="B271" s="226">
        <v>43222</v>
      </c>
      <c r="C271" s="216"/>
      <c r="D271" s="216" t="str">
        <f>IF(C271&lt;&gt;"",VLOOKUP(C271,[1]DSKH!B:E,2,0),"")</f>
        <v/>
      </c>
      <c r="E271" s="215"/>
      <c r="F271" s="216"/>
      <c r="G271" s="216" t="str">
        <f>IF(C271&lt;&gt;"",VLOOKUP(C271,DSKH!B:E,3,0),"")</f>
        <v/>
      </c>
      <c r="H271" s="222"/>
      <c r="I271" s="217"/>
      <c r="J271" s="224"/>
      <c r="K271" s="216" t="str">
        <f>IF(C271&lt;&gt;"",VLOOKUP(C271,[1]DSKH!B:E,4,0),"")</f>
        <v/>
      </c>
      <c r="L271" s="216"/>
      <c r="M271" s="216" t="str">
        <f t="shared" si="5"/>
        <v>-  -MAY 02-</v>
      </c>
    </row>
    <row r="272" spans="1:13">
      <c r="A272" s="216" t="str">
        <f>IF(C272&lt;&gt;"",SUBTOTAL(103,$C$12:C272),"")</f>
        <v/>
      </c>
      <c r="B272" s="226">
        <v>43222</v>
      </c>
      <c r="C272" s="216"/>
      <c r="D272" s="216" t="str">
        <f>IF(C272&lt;&gt;"",VLOOKUP(C272,[1]DSKH!B:E,2,0),"")</f>
        <v/>
      </c>
      <c r="E272" s="215"/>
      <c r="F272" s="216"/>
      <c r="G272" s="216" t="str">
        <f>IF(C272&lt;&gt;"",VLOOKUP(C272,DSKH!B:E,3,0),"")</f>
        <v/>
      </c>
      <c r="H272" s="222"/>
      <c r="I272" s="217"/>
      <c r="J272" s="224"/>
      <c r="K272" s="216" t="str">
        <f>IF(C272&lt;&gt;"",VLOOKUP(C272,[1]DSKH!B:E,4,0),"")</f>
        <v/>
      </c>
      <c r="L272" s="216"/>
      <c r="M272" s="216" t="str">
        <f t="shared" si="5"/>
        <v>-  -MAY 02-</v>
      </c>
    </row>
    <row r="273" spans="1:13">
      <c r="A273" s="216" t="str">
        <f>IF(C273&lt;&gt;"",SUBTOTAL(103,$C$12:C273),"")</f>
        <v/>
      </c>
      <c r="B273" s="226">
        <v>43222</v>
      </c>
      <c r="C273" s="216"/>
      <c r="D273" s="216" t="str">
        <f>IF(C273&lt;&gt;"",VLOOKUP(C273,[1]DSKH!B:E,2,0),"")</f>
        <v/>
      </c>
      <c r="E273" s="215"/>
      <c r="F273" s="216"/>
      <c r="G273" s="216" t="str">
        <f>IF(C273&lt;&gt;"",VLOOKUP(C273,DSKH!B:E,3,0),"")</f>
        <v/>
      </c>
      <c r="H273" s="222"/>
      <c r="I273" s="217"/>
      <c r="J273" s="224"/>
      <c r="K273" s="216" t="str">
        <f>IF(C273&lt;&gt;"",VLOOKUP(C273,[1]DSKH!B:E,4,0),"")</f>
        <v/>
      </c>
      <c r="L273" s="216"/>
      <c r="M273" s="216" t="str">
        <f t="shared" si="5"/>
        <v>-  -MAY 02-</v>
      </c>
    </row>
    <row r="274" spans="1:13">
      <c r="A274" s="216" t="str">
        <f>IF(C274&lt;&gt;"",SUBTOTAL(103,$C$12:C274),"")</f>
        <v/>
      </c>
      <c r="B274" s="226">
        <v>43222</v>
      </c>
      <c r="C274" s="216"/>
      <c r="D274" s="216" t="str">
        <f>IF(C274&lt;&gt;"",VLOOKUP(C274,[1]DSKH!B:E,2,0),"")</f>
        <v/>
      </c>
      <c r="E274" s="215"/>
      <c r="F274" s="216"/>
      <c r="G274" s="216" t="str">
        <f>IF(C274&lt;&gt;"",VLOOKUP(C274,DSKH!B:E,3,0),"")</f>
        <v/>
      </c>
      <c r="H274" s="222"/>
      <c r="I274" s="217"/>
      <c r="J274" s="224"/>
      <c r="K274" s="216" t="str">
        <f>IF(C274&lt;&gt;"",VLOOKUP(C274,[1]DSKH!B:E,4,0),"")</f>
        <v/>
      </c>
      <c r="L274" s="216"/>
      <c r="M274" s="216" t="str">
        <f t="shared" si="5"/>
        <v>-  -MAY 02-</v>
      </c>
    </row>
    <row r="275" spans="1:13">
      <c r="A275" s="216" t="str">
        <f>IF(C275&lt;&gt;"",SUBTOTAL(103,$C$12:C275),"")</f>
        <v/>
      </c>
      <c r="B275" s="226">
        <v>43222</v>
      </c>
      <c r="C275" s="216"/>
      <c r="D275" s="216" t="str">
        <f>IF(C275&lt;&gt;"",VLOOKUP(C275,[1]DSKH!B:E,2,0),"")</f>
        <v/>
      </c>
      <c r="E275" s="215"/>
      <c r="F275" s="216"/>
      <c r="G275" s="216" t="str">
        <f>IF(C275&lt;&gt;"",VLOOKUP(C275,DSKH!B:E,3,0),"")</f>
        <v/>
      </c>
      <c r="H275" s="222"/>
      <c r="I275" s="217"/>
      <c r="J275" s="224"/>
      <c r="K275" s="216" t="str">
        <f>IF(C275&lt;&gt;"",VLOOKUP(C275,[1]DSKH!B:E,4,0),"")</f>
        <v/>
      </c>
      <c r="L275" s="216"/>
      <c r="M275" s="216" t="str">
        <f t="shared" si="5"/>
        <v>-  -MAY 02-</v>
      </c>
    </row>
    <row r="276" spans="1:13">
      <c r="A276" s="216" t="str">
        <f>IF(C276&lt;&gt;"",SUBTOTAL(103,$C$12:C276),"")</f>
        <v/>
      </c>
      <c r="B276" s="226">
        <v>43222</v>
      </c>
      <c r="C276" s="216"/>
      <c r="D276" s="216" t="str">
        <f>IF(C276&lt;&gt;"",VLOOKUP(C276,[1]DSKH!B:E,2,0),"")</f>
        <v/>
      </c>
      <c r="E276" s="215"/>
      <c r="F276" s="216"/>
      <c r="G276" s="216" t="str">
        <f>IF(C276&lt;&gt;"",VLOOKUP(C276,DSKH!B:E,3,0),"")</f>
        <v/>
      </c>
      <c r="H276" s="222"/>
      <c r="I276" s="217"/>
      <c r="J276" s="224"/>
      <c r="K276" s="216" t="str">
        <f>IF(C276&lt;&gt;"",VLOOKUP(C276,[1]DSKH!B:E,4,0),"")</f>
        <v/>
      </c>
      <c r="L276" s="216"/>
      <c r="M276" s="216" t="str">
        <f t="shared" si="5"/>
        <v>-  -MAY 02-</v>
      </c>
    </row>
    <row r="277" spans="1:13">
      <c r="A277" s="216" t="str">
        <f>IF(C277&lt;&gt;"",SUBTOTAL(103,$C$12:C277),"")</f>
        <v/>
      </c>
      <c r="B277" s="226">
        <v>43222</v>
      </c>
      <c r="C277" s="216"/>
      <c r="D277" s="216" t="str">
        <f>IF(C277&lt;&gt;"",VLOOKUP(C277,[1]DSKH!B:E,2,0),"")</f>
        <v/>
      </c>
      <c r="E277" s="215"/>
      <c r="F277" s="216"/>
      <c r="G277" s="216" t="str">
        <f>IF(C277&lt;&gt;"",VLOOKUP(C277,DSKH!B:E,3,0),"")</f>
        <v/>
      </c>
      <c r="H277" s="222"/>
      <c r="I277" s="217"/>
      <c r="J277" s="224"/>
      <c r="K277" s="216" t="str">
        <f>IF(C277&lt;&gt;"",VLOOKUP(C277,[1]DSKH!B:E,4,0),"")</f>
        <v/>
      </c>
      <c r="L277" s="216"/>
      <c r="M277" s="216" t="str">
        <f t="shared" si="5"/>
        <v>-  -MAY 02-</v>
      </c>
    </row>
    <row r="278" spans="1:13">
      <c r="A278" s="216" t="str">
        <f>IF(C278&lt;&gt;"",SUBTOTAL(103,$C$12:C278),"")</f>
        <v/>
      </c>
      <c r="B278" s="226">
        <v>43222</v>
      </c>
      <c r="C278" s="216"/>
      <c r="D278" s="216" t="str">
        <f>IF(C278&lt;&gt;"",VLOOKUP(C278,[1]DSKH!B:E,2,0),"")</f>
        <v/>
      </c>
      <c r="E278" s="215"/>
      <c r="F278" s="216"/>
      <c r="G278" s="216" t="str">
        <f>IF(C278&lt;&gt;"",VLOOKUP(C278,DSKH!B:E,3,0),"")</f>
        <v/>
      </c>
      <c r="H278" s="222"/>
      <c r="I278" s="217"/>
      <c r="J278" s="224"/>
      <c r="K278" s="216" t="str">
        <f>IF(C278&lt;&gt;"",VLOOKUP(C278,[1]DSKH!B:E,4,0),"")</f>
        <v/>
      </c>
      <c r="L278" s="216"/>
      <c r="M278" s="216" t="str">
        <f t="shared" si="5"/>
        <v>-  -MAY 02-</v>
      </c>
    </row>
    <row r="279" spans="1:13">
      <c r="A279" s="216" t="str">
        <f>IF(C279&lt;&gt;"",SUBTOTAL(103,$C$12:C279),"")</f>
        <v/>
      </c>
      <c r="B279" s="226">
        <v>43222</v>
      </c>
      <c r="C279" s="216"/>
      <c r="D279" s="216" t="str">
        <f>IF(C279&lt;&gt;"",VLOOKUP(C279,[1]DSKH!B:E,2,0),"")</f>
        <v/>
      </c>
      <c r="E279" s="215"/>
      <c r="F279" s="216"/>
      <c r="G279" s="216" t="str">
        <f>IF(C279&lt;&gt;"",VLOOKUP(C279,DSKH!B:E,3,0),"")</f>
        <v/>
      </c>
      <c r="H279" s="222"/>
      <c r="I279" s="217"/>
      <c r="J279" s="224"/>
      <c r="K279" s="216" t="str">
        <f>IF(C279&lt;&gt;"",VLOOKUP(C279,[1]DSKH!B:E,4,0),"")</f>
        <v/>
      </c>
      <c r="L279" s="216"/>
      <c r="M279" s="216" t="str">
        <f t="shared" si="5"/>
        <v>-  -MAY 02-</v>
      </c>
    </row>
    <row r="280" spans="1:13">
      <c r="A280" s="216" t="str">
        <f>IF(C280&lt;&gt;"",SUBTOTAL(103,$C$12:C280),"")</f>
        <v/>
      </c>
      <c r="B280" s="226">
        <v>43222</v>
      </c>
      <c r="C280" s="216"/>
      <c r="D280" s="216" t="str">
        <f>IF(C280&lt;&gt;"",VLOOKUP(C280,[1]DSKH!B:E,2,0),"")</f>
        <v/>
      </c>
      <c r="E280" s="215"/>
      <c r="F280" s="216"/>
      <c r="G280" s="216" t="str">
        <f>IF(C280&lt;&gt;"",VLOOKUP(C280,DSKH!B:E,3,0),"")</f>
        <v/>
      </c>
      <c r="H280" s="222"/>
      <c r="I280" s="217"/>
      <c r="J280" s="224"/>
      <c r="K280" s="216" t="str">
        <f>IF(C280&lt;&gt;"",VLOOKUP(C280,[1]DSKH!B:E,4,0),"")</f>
        <v/>
      </c>
      <c r="L280" s="216"/>
      <c r="M280" s="216" t="str">
        <f t="shared" si="5"/>
        <v>-  -MAY 02-</v>
      </c>
    </row>
    <row r="281" spans="1:13">
      <c r="A281" s="216" t="str">
        <f>IF(C281&lt;&gt;"",SUBTOTAL(103,$C$12:C281),"")</f>
        <v/>
      </c>
      <c r="B281" s="226">
        <v>43222</v>
      </c>
      <c r="C281" s="216"/>
      <c r="D281" s="216" t="str">
        <f>IF(C281&lt;&gt;"",VLOOKUP(C281,[1]DSKH!B:E,2,0),"")</f>
        <v/>
      </c>
      <c r="E281" s="215"/>
      <c r="F281" s="216"/>
      <c r="G281" s="216" t="str">
        <f>IF(C281&lt;&gt;"",VLOOKUP(C281,DSKH!B:E,3,0),"")</f>
        <v/>
      </c>
      <c r="H281" s="222"/>
      <c r="I281" s="217"/>
      <c r="J281" s="224"/>
      <c r="K281" s="216" t="str">
        <f>IF(C281&lt;&gt;"",VLOOKUP(C281,[1]DSKH!B:E,4,0),"")</f>
        <v/>
      </c>
      <c r="L281" s="216"/>
      <c r="M281" s="216" t="str">
        <f t="shared" si="5"/>
        <v>-  -MAY 02-</v>
      </c>
    </row>
    <row r="282" spans="1:13">
      <c r="A282" s="216" t="str">
        <f>IF(C282&lt;&gt;"",SUBTOTAL(103,$C$12:C282),"")</f>
        <v/>
      </c>
      <c r="B282" s="226">
        <v>43222</v>
      </c>
      <c r="C282" s="216"/>
      <c r="D282" s="216" t="str">
        <f>IF(C282&lt;&gt;"",VLOOKUP(C282,[1]DSKH!B:E,2,0),"")</f>
        <v/>
      </c>
      <c r="E282" s="215"/>
      <c r="F282" s="216"/>
      <c r="G282" s="216" t="str">
        <f>IF(C282&lt;&gt;"",VLOOKUP(C282,DSKH!B:E,3,0),"")</f>
        <v/>
      </c>
      <c r="H282" s="222"/>
      <c r="I282" s="217"/>
      <c r="J282" s="224"/>
      <c r="K282" s="216" t="str">
        <f>IF(C282&lt;&gt;"",VLOOKUP(C282,[1]DSKH!B:E,4,0),"")</f>
        <v/>
      </c>
      <c r="L282" s="216"/>
      <c r="M282" s="216" t="str">
        <f t="shared" si="5"/>
        <v>-  -MAY 02-</v>
      </c>
    </row>
    <row r="283" spans="1:13">
      <c r="A283" s="216" t="str">
        <f>IF(C283&lt;&gt;"",SUBTOTAL(103,$C$12:C283),"")</f>
        <v/>
      </c>
      <c r="B283" s="226">
        <v>43222</v>
      </c>
      <c r="C283" s="216"/>
      <c r="D283" s="216" t="str">
        <f>IF(C283&lt;&gt;"",VLOOKUP(C283,[1]DSKH!B:E,2,0),"")</f>
        <v/>
      </c>
      <c r="E283" s="215"/>
      <c r="F283" s="216"/>
      <c r="G283" s="216" t="str">
        <f>IF(C283&lt;&gt;"",VLOOKUP(C283,DSKH!B:E,3,0),"")</f>
        <v/>
      </c>
      <c r="H283" s="222"/>
      <c r="I283" s="217"/>
      <c r="J283" s="224"/>
      <c r="K283" s="216" t="str">
        <f>IF(C283&lt;&gt;"",VLOOKUP(C283,[1]DSKH!B:E,4,0),"")</f>
        <v/>
      </c>
      <c r="L283" s="216"/>
      <c r="M283" s="216" t="str">
        <f t="shared" si="5"/>
        <v>-  -MAY 02-</v>
      </c>
    </row>
    <row r="284" spans="1:13">
      <c r="A284" s="216" t="str">
        <f>IF(C284&lt;&gt;"",SUBTOTAL(103,$C$12:C284),"")</f>
        <v/>
      </c>
      <c r="B284" s="226">
        <v>43222</v>
      </c>
      <c r="C284" s="216"/>
      <c r="D284" s="216" t="str">
        <f>IF(C284&lt;&gt;"",VLOOKUP(C284,[1]DSKH!B:E,2,0),"")</f>
        <v/>
      </c>
      <c r="E284" s="215"/>
      <c r="F284" s="216"/>
      <c r="G284" s="216" t="str">
        <f>IF(C284&lt;&gt;"",VLOOKUP(C284,DSKH!B:E,3,0),"")</f>
        <v/>
      </c>
      <c r="H284" s="222"/>
      <c r="I284" s="217"/>
      <c r="J284" s="224"/>
      <c r="K284" s="216" t="str">
        <f>IF(C284&lt;&gt;"",VLOOKUP(C284,[1]DSKH!B:E,4,0),"")</f>
        <v/>
      </c>
      <c r="L284" s="216"/>
      <c r="M284" s="216" t="str">
        <f t="shared" si="5"/>
        <v>-  -MAY 02-</v>
      </c>
    </row>
    <row r="285" spans="1:13">
      <c r="A285" s="216" t="str">
        <f>IF(C285&lt;&gt;"",SUBTOTAL(103,$C$12:C285),"")</f>
        <v/>
      </c>
      <c r="B285" s="226">
        <v>43222</v>
      </c>
      <c r="C285" s="216"/>
      <c r="D285" s="216" t="str">
        <f>IF(C285&lt;&gt;"",VLOOKUP(C285,[1]DSKH!B:E,2,0),"")</f>
        <v/>
      </c>
      <c r="E285" s="215"/>
      <c r="F285" s="216"/>
      <c r="G285" s="216" t="str">
        <f>IF(C285&lt;&gt;"",VLOOKUP(C285,DSKH!B:E,3,0),"")</f>
        <v/>
      </c>
      <c r="H285" s="222"/>
      <c r="I285" s="217"/>
      <c r="J285" s="224"/>
      <c r="K285" s="216" t="str">
        <f>IF(C285&lt;&gt;"",VLOOKUP(C285,[1]DSKH!B:E,4,0),"")</f>
        <v/>
      </c>
      <c r="L285" s="216"/>
      <c r="M285" s="216" t="str">
        <f t="shared" si="5"/>
        <v>-  -MAY 02-</v>
      </c>
    </row>
    <row r="286" spans="1:13">
      <c r="A286" s="216" t="str">
        <f>IF(C286&lt;&gt;"",SUBTOTAL(103,$C$12:C286),"")</f>
        <v/>
      </c>
      <c r="B286" s="226">
        <v>43222</v>
      </c>
      <c r="C286" s="216"/>
      <c r="D286" s="216" t="str">
        <f>IF(C286&lt;&gt;"",VLOOKUP(C286,[1]DSKH!B:E,2,0),"")</f>
        <v/>
      </c>
      <c r="E286" s="215"/>
      <c r="F286" s="216"/>
      <c r="G286" s="216" t="str">
        <f>IF(C286&lt;&gt;"",VLOOKUP(C286,DSKH!B:E,3,0),"")</f>
        <v/>
      </c>
      <c r="H286" s="222"/>
      <c r="I286" s="217"/>
      <c r="J286" s="224"/>
      <c r="K286" s="216" t="str">
        <f>IF(C286&lt;&gt;"",VLOOKUP(C286,[1]DSKH!B:E,4,0),"")</f>
        <v/>
      </c>
      <c r="L286" s="216"/>
      <c r="M286" s="216" t="str">
        <f t="shared" si="5"/>
        <v>-  -MAY 02-</v>
      </c>
    </row>
    <row r="287" spans="1:13">
      <c r="A287" s="216" t="str">
        <f>IF(C287&lt;&gt;"",SUBTOTAL(103,$C$12:C287),"")</f>
        <v/>
      </c>
      <c r="B287" s="226">
        <v>43222</v>
      </c>
      <c r="C287" s="216"/>
      <c r="D287" s="216" t="str">
        <f>IF(C287&lt;&gt;"",VLOOKUP(C287,[1]DSKH!B:E,2,0),"")</f>
        <v/>
      </c>
      <c r="E287" s="215"/>
      <c r="F287" s="216"/>
      <c r="G287" s="216" t="str">
        <f>IF(C287&lt;&gt;"",VLOOKUP(C287,DSKH!B:E,3,0),"")</f>
        <v/>
      </c>
      <c r="H287" s="222"/>
      <c r="I287" s="217"/>
      <c r="J287" s="224"/>
      <c r="K287" s="216" t="str">
        <f>IF(C287&lt;&gt;"",VLOOKUP(C287,[1]DSKH!B:E,4,0),"")</f>
        <v/>
      </c>
      <c r="L287" s="216"/>
      <c r="M287" s="216" t="str">
        <f t="shared" si="5"/>
        <v>-  -MAY 02-</v>
      </c>
    </row>
    <row r="288" spans="1:13">
      <c r="A288" s="216" t="str">
        <f>IF(C288&lt;&gt;"",SUBTOTAL(103,$C$12:C288),"")</f>
        <v/>
      </c>
      <c r="B288" s="226">
        <v>43222</v>
      </c>
      <c r="C288" s="216"/>
      <c r="D288" s="216" t="str">
        <f>IF(C288&lt;&gt;"",VLOOKUP(C288,[1]DSKH!B:E,2,0),"")</f>
        <v/>
      </c>
      <c r="E288" s="215"/>
      <c r="F288" s="216"/>
      <c r="G288" s="216" t="str">
        <f>IF(C288&lt;&gt;"",VLOOKUP(C288,DSKH!B:E,3,0),"")</f>
        <v/>
      </c>
      <c r="H288" s="222"/>
      <c r="I288" s="217"/>
      <c r="J288" s="224"/>
      <c r="K288" s="216" t="str">
        <f>IF(C288&lt;&gt;"",VLOOKUP(C288,[1]DSKH!B:E,4,0),"")</f>
        <v/>
      </c>
      <c r="L288" s="216"/>
      <c r="M288" s="216" t="str">
        <f t="shared" si="5"/>
        <v>-  -MAY 02-</v>
      </c>
    </row>
    <row r="289" spans="1:13">
      <c r="A289" s="216" t="str">
        <f>IF(C289&lt;&gt;"",SUBTOTAL(103,$C$12:C289),"")</f>
        <v/>
      </c>
      <c r="B289" s="226">
        <v>43222</v>
      </c>
      <c r="C289" s="216"/>
      <c r="D289" s="216" t="str">
        <f>IF(C289&lt;&gt;"",VLOOKUP(C289,[1]DSKH!B:E,2,0),"")</f>
        <v/>
      </c>
      <c r="E289" s="215"/>
      <c r="F289" s="216"/>
      <c r="G289" s="216" t="str">
        <f>IF(C289&lt;&gt;"",VLOOKUP(C289,DSKH!B:E,3,0),"")</f>
        <v/>
      </c>
      <c r="H289" s="222"/>
      <c r="I289" s="217"/>
      <c r="J289" s="224"/>
      <c r="K289" s="216" t="str">
        <f>IF(C289&lt;&gt;"",VLOOKUP(C289,[1]DSKH!B:E,4,0),"")</f>
        <v/>
      </c>
      <c r="L289" s="216"/>
      <c r="M289" s="216" t="str">
        <f t="shared" si="5"/>
        <v>-  -MAY 02-</v>
      </c>
    </row>
    <row r="290" spans="1:13">
      <c r="A290" s="216" t="str">
        <f>IF(C290&lt;&gt;"",SUBTOTAL(103,$C$12:C290),"")</f>
        <v/>
      </c>
      <c r="B290" s="226">
        <v>43222</v>
      </c>
      <c r="C290" s="216"/>
      <c r="D290" s="216" t="str">
        <f>IF(C290&lt;&gt;"",VLOOKUP(C290,[1]DSKH!B:E,2,0),"")</f>
        <v/>
      </c>
      <c r="E290" s="215"/>
      <c r="F290" s="216"/>
      <c r="G290" s="216" t="str">
        <f>IF(C290&lt;&gt;"",VLOOKUP(C290,DSKH!B:E,3,0),"")</f>
        <v/>
      </c>
      <c r="H290" s="222"/>
      <c r="I290" s="217"/>
      <c r="J290" s="224"/>
      <c r="K290" s="216" t="str">
        <f>IF(C290&lt;&gt;"",VLOOKUP(C290,[1]DSKH!B:E,4,0),"")</f>
        <v/>
      </c>
      <c r="L290" s="216"/>
      <c r="M290" s="216" t="str">
        <f t="shared" si="5"/>
        <v>-  -MAY 02-</v>
      </c>
    </row>
    <row r="291" spans="1:13">
      <c r="A291" s="216" t="str">
        <f>IF(C291&lt;&gt;"",SUBTOTAL(103,$C$12:C291),"")</f>
        <v/>
      </c>
      <c r="B291" s="226">
        <v>43222</v>
      </c>
      <c r="C291" s="216"/>
      <c r="D291" s="216" t="str">
        <f>IF(C291&lt;&gt;"",VLOOKUP(C291,[1]DSKH!B:E,2,0),"")</f>
        <v/>
      </c>
      <c r="E291" s="215"/>
      <c r="F291" s="216"/>
      <c r="G291" s="216" t="str">
        <f>IF(C291&lt;&gt;"",VLOOKUP(C291,DSKH!B:E,3,0),"")</f>
        <v/>
      </c>
      <c r="H291" s="222"/>
      <c r="I291" s="217"/>
      <c r="J291" s="224"/>
      <c r="K291" s="216" t="str">
        <f>IF(C291&lt;&gt;"",VLOOKUP(C291,[1]DSKH!B:E,4,0),"")</f>
        <v/>
      </c>
      <c r="L291" s="216"/>
      <c r="M291" s="216" t="str">
        <f t="shared" si="5"/>
        <v>-  -MAY 02-</v>
      </c>
    </row>
    <row r="292" spans="1:13">
      <c r="A292" s="216" t="str">
        <f>IF(C292&lt;&gt;"",SUBTOTAL(103,$C$12:C292),"")</f>
        <v/>
      </c>
      <c r="B292" s="226">
        <v>43222</v>
      </c>
      <c r="C292" s="216"/>
      <c r="D292" s="216" t="str">
        <f>IF(C292&lt;&gt;"",VLOOKUP(C292,[1]DSKH!B:E,2,0),"")</f>
        <v/>
      </c>
      <c r="E292" s="215"/>
      <c r="F292" s="216"/>
      <c r="G292" s="216" t="str">
        <f>IF(C292&lt;&gt;"",VLOOKUP(C292,DSKH!B:E,3,0),"")</f>
        <v/>
      </c>
      <c r="H292" s="222"/>
      <c r="I292" s="217"/>
      <c r="J292" s="224"/>
      <c r="K292" s="216" t="str">
        <f>IF(C292&lt;&gt;"",VLOOKUP(C292,[1]DSKH!B:E,4,0),"")</f>
        <v/>
      </c>
      <c r="L292" s="216"/>
      <c r="M292" s="216" t="str">
        <f t="shared" si="5"/>
        <v>-  -MAY 02-</v>
      </c>
    </row>
    <row r="293" spans="1:13">
      <c r="A293" s="216" t="str">
        <f>IF(C293&lt;&gt;"",SUBTOTAL(103,$C$12:C293),"")</f>
        <v/>
      </c>
      <c r="B293" s="226">
        <v>43222</v>
      </c>
      <c r="C293" s="216"/>
      <c r="D293" s="216" t="str">
        <f>IF(C293&lt;&gt;"",VLOOKUP(C293,[1]DSKH!B:E,2,0),"")</f>
        <v/>
      </c>
      <c r="E293" s="215"/>
      <c r="F293" s="216"/>
      <c r="G293" s="216" t="str">
        <f>IF(C293&lt;&gt;"",VLOOKUP(C293,DSKH!B:E,3,0),"")</f>
        <v/>
      </c>
      <c r="H293" s="222"/>
      <c r="I293" s="217"/>
      <c r="J293" s="224"/>
      <c r="K293" s="216" t="str">
        <f>IF(C293&lt;&gt;"",VLOOKUP(C293,[1]DSKH!B:E,4,0),"")</f>
        <v/>
      </c>
      <c r="L293" s="216"/>
      <c r="M293" s="216" t="str">
        <f t="shared" si="5"/>
        <v>-  -MAY 02-</v>
      </c>
    </row>
    <row r="294" spans="1:13">
      <c r="A294" s="216" t="str">
        <f>IF(C294&lt;&gt;"",SUBTOTAL(103,$C$12:C294),"")</f>
        <v/>
      </c>
      <c r="B294" s="226">
        <v>43222</v>
      </c>
      <c r="C294" s="216"/>
      <c r="D294" s="216" t="str">
        <f>IF(C294&lt;&gt;"",VLOOKUP(C294,[1]DSKH!B:E,2,0),"")</f>
        <v/>
      </c>
      <c r="E294" s="215"/>
      <c r="F294" s="216"/>
      <c r="G294" s="216" t="str">
        <f>IF(C294&lt;&gt;"",VLOOKUP(C294,DSKH!B:E,3,0),"")</f>
        <v/>
      </c>
      <c r="H294" s="222"/>
      <c r="I294" s="217"/>
      <c r="J294" s="224"/>
      <c r="K294" s="216" t="str">
        <f>IF(C294&lt;&gt;"",VLOOKUP(C294,[1]DSKH!B:E,4,0),"")</f>
        <v/>
      </c>
      <c r="L294" s="216"/>
      <c r="M294" s="216" t="str">
        <f t="shared" si="5"/>
        <v>-  -MAY 02-</v>
      </c>
    </row>
    <row r="295" spans="1:13">
      <c r="A295" s="216" t="str">
        <f>IF(C295&lt;&gt;"",SUBTOTAL(103,$C$12:C295),"")</f>
        <v/>
      </c>
      <c r="B295" s="226">
        <v>43222</v>
      </c>
      <c r="C295" s="216"/>
      <c r="D295" s="216" t="str">
        <f>IF(C295&lt;&gt;"",VLOOKUP(C295,[1]DSKH!B:E,2,0),"")</f>
        <v/>
      </c>
      <c r="E295" s="215"/>
      <c r="F295" s="216"/>
      <c r="G295" s="216" t="str">
        <f>IF(C295&lt;&gt;"",VLOOKUP(C295,DSKH!B:E,3,0),"")</f>
        <v/>
      </c>
      <c r="H295" s="222"/>
      <c r="I295" s="217"/>
      <c r="J295" s="224"/>
      <c r="K295" s="216" t="str">
        <f>IF(C295&lt;&gt;"",VLOOKUP(C295,[1]DSKH!B:E,4,0),"")</f>
        <v/>
      </c>
      <c r="L295" s="216"/>
      <c r="M295" s="216" t="str">
        <f t="shared" si="5"/>
        <v>-  -MAY 02-</v>
      </c>
    </row>
    <row r="296" spans="1:13">
      <c r="A296" s="216" t="str">
        <f>IF(C296&lt;&gt;"",SUBTOTAL(103,$C$12:C296),"")</f>
        <v/>
      </c>
      <c r="B296" s="226">
        <v>43222</v>
      </c>
      <c r="C296" s="216"/>
      <c r="D296" s="216" t="str">
        <f>IF(C296&lt;&gt;"",VLOOKUP(C296,[1]DSKH!B:E,2,0),"")</f>
        <v/>
      </c>
      <c r="E296" s="215"/>
      <c r="F296" s="216"/>
      <c r="G296" s="216" t="str">
        <f>IF(C296&lt;&gt;"",VLOOKUP(C296,DSKH!B:E,3,0),"")</f>
        <v/>
      </c>
      <c r="H296" s="222"/>
      <c r="I296" s="217"/>
      <c r="J296" s="224"/>
      <c r="K296" s="216" t="str">
        <f>IF(C296&lt;&gt;"",VLOOKUP(C296,[1]DSKH!B:E,4,0),"")</f>
        <v/>
      </c>
      <c r="L296" s="216"/>
      <c r="M296" s="216" t="str">
        <f t="shared" si="5"/>
        <v>-  -MAY 02-</v>
      </c>
    </row>
    <row r="297" spans="1:13">
      <c r="A297" s="216" t="str">
        <f>IF(C297&lt;&gt;"",SUBTOTAL(103,$C$12:C297),"")</f>
        <v/>
      </c>
      <c r="B297" s="226">
        <v>43222</v>
      </c>
      <c r="C297" s="216"/>
      <c r="D297" s="216" t="str">
        <f>IF(C297&lt;&gt;"",VLOOKUP(C297,[1]DSKH!B:E,2,0),"")</f>
        <v/>
      </c>
      <c r="E297" s="215"/>
      <c r="F297" s="216"/>
      <c r="G297" s="216" t="str">
        <f>IF(C297&lt;&gt;"",VLOOKUP(C297,DSKH!B:E,3,0),"")</f>
        <v/>
      </c>
      <c r="H297" s="222"/>
      <c r="I297" s="217"/>
      <c r="J297" s="224"/>
      <c r="K297" s="216" t="str">
        <f>IF(C297&lt;&gt;"",VLOOKUP(C297,[1]DSKH!B:E,4,0),"")</f>
        <v/>
      </c>
      <c r="L297" s="216"/>
      <c r="M297" s="216" t="str">
        <f t="shared" si="5"/>
        <v>-  -MAY 02-</v>
      </c>
    </row>
    <row r="298" spans="1:13">
      <c r="A298" s="216" t="str">
        <f>IF(C298&lt;&gt;"",SUBTOTAL(103,$C$12:C298),"")</f>
        <v/>
      </c>
      <c r="B298" s="226">
        <v>43222</v>
      </c>
      <c r="C298" s="216"/>
      <c r="D298" s="216" t="str">
        <f>IF(C298&lt;&gt;"",VLOOKUP(C298,[1]DSKH!B:E,2,0),"")</f>
        <v/>
      </c>
      <c r="E298" s="215"/>
      <c r="F298" s="216"/>
      <c r="G298" s="216" t="str">
        <f>IF(C298&lt;&gt;"",VLOOKUP(C298,DSKH!B:E,3,0),"")</f>
        <v/>
      </c>
      <c r="H298" s="222"/>
      <c r="I298" s="217"/>
      <c r="J298" s="224"/>
      <c r="K298" s="216" t="str">
        <f>IF(C298&lt;&gt;"",VLOOKUP(C298,[1]DSKH!B:E,4,0),"")</f>
        <v/>
      </c>
      <c r="L298" s="216"/>
      <c r="M298" s="216" t="str">
        <f t="shared" si="5"/>
        <v>-  -MAY 02-</v>
      </c>
    </row>
    <row r="299" spans="1:13">
      <c r="A299" s="216" t="str">
        <f>IF(C299&lt;&gt;"",SUBTOTAL(103,$C$12:C299),"")</f>
        <v/>
      </c>
      <c r="B299" s="226">
        <v>43222</v>
      </c>
      <c r="C299" s="216"/>
      <c r="D299" s="216" t="str">
        <f>IF(C299&lt;&gt;"",VLOOKUP(C299,[1]DSKH!B:E,2,0),"")</f>
        <v/>
      </c>
      <c r="E299" s="215"/>
      <c r="F299" s="216"/>
      <c r="G299" s="216" t="str">
        <f>IF(C299&lt;&gt;"",VLOOKUP(C299,DSKH!B:E,3,0),"")</f>
        <v/>
      </c>
      <c r="H299" s="222"/>
      <c r="I299" s="217"/>
      <c r="J299" s="224"/>
      <c r="K299" s="216" t="str">
        <f>IF(C299&lt;&gt;"",VLOOKUP(C299,[1]DSKH!B:E,4,0),"")</f>
        <v/>
      </c>
      <c r="L299" s="216"/>
      <c r="M299" s="216" t="str">
        <f t="shared" si="5"/>
        <v>-  -MAY 02-</v>
      </c>
    </row>
    <row r="300" spans="1:13">
      <c r="A300" s="216" t="str">
        <f>IF(C300&lt;&gt;"",SUBTOTAL(103,$C$12:C300),"")</f>
        <v/>
      </c>
      <c r="B300" s="226">
        <v>43222</v>
      </c>
      <c r="C300" s="216"/>
      <c r="D300" s="216" t="str">
        <f>IF(C300&lt;&gt;"",VLOOKUP(C300,[1]DSKH!B:E,2,0),"")</f>
        <v/>
      </c>
      <c r="E300" s="215"/>
      <c r="F300" s="216"/>
      <c r="G300" s="216" t="str">
        <f>IF(C300&lt;&gt;"",VLOOKUP(C300,DSKH!B:E,3,0),"")</f>
        <v/>
      </c>
      <c r="H300" s="222"/>
      <c r="I300" s="217"/>
      <c r="J300" s="224"/>
      <c r="K300" s="216" t="str">
        <f>IF(C300&lt;&gt;"",VLOOKUP(C300,[1]DSKH!B:E,4,0),"")</f>
        <v/>
      </c>
      <c r="L300" s="216"/>
      <c r="M300" s="216" t="str">
        <f t="shared" si="5"/>
        <v>-  -MAY 02-</v>
      </c>
    </row>
    <row r="301" spans="1:13">
      <c r="A301" s="216" t="str">
        <f>IF(C301&lt;&gt;"",SUBTOTAL(103,$C$12:C301),"")</f>
        <v/>
      </c>
      <c r="B301" s="226">
        <v>43222</v>
      </c>
      <c r="C301" s="216"/>
      <c r="D301" s="216" t="str">
        <f>IF(C301&lt;&gt;"",VLOOKUP(C301,[1]DSKH!B:E,2,0),"")</f>
        <v/>
      </c>
      <c r="E301" s="215"/>
      <c r="F301" s="216"/>
      <c r="G301" s="216" t="str">
        <f>IF(C301&lt;&gt;"",VLOOKUP(C301,DSKH!B:E,3,0),"")</f>
        <v/>
      </c>
      <c r="H301" s="222"/>
      <c r="I301" s="217"/>
      <c r="J301" s="224"/>
      <c r="K301" s="216" t="str">
        <f>IF(C301&lt;&gt;"",VLOOKUP(C301,[1]DSKH!B:E,4,0),"")</f>
        <v/>
      </c>
      <c r="L301" s="216"/>
      <c r="M301" s="216" t="str">
        <f t="shared" si="5"/>
        <v>-  -MAY 02-</v>
      </c>
    </row>
    <row r="302" spans="1:13">
      <c r="A302" s="216" t="str">
        <f>IF(C302&lt;&gt;"",SUBTOTAL(103,$C$12:C302),"")</f>
        <v/>
      </c>
      <c r="B302" s="226">
        <v>43222</v>
      </c>
      <c r="C302" s="216"/>
      <c r="D302" s="216" t="str">
        <f>IF(C302&lt;&gt;"",VLOOKUP(C302,[1]DSKH!B:E,2,0),"")</f>
        <v/>
      </c>
      <c r="E302" s="215"/>
      <c r="F302" s="216"/>
      <c r="G302" s="216" t="str">
        <f>IF(C302&lt;&gt;"",VLOOKUP(C302,DSKH!B:E,3,0),"")</f>
        <v/>
      </c>
      <c r="H302" s="222"/>
      <c r="I302" s="217"/>
      <c r="J302" s="224"/>
      <c r="K302" s="216" t="str">
        <f>IF(C302&lt;&gt;"",VLOOKUP(C302,[1]DSKH!B:E,4,0),"")</f>
        <v/>
      </c>
      <c r="L302" s="216"/>
      <c r="M302" s="216" t="str">
        <f t="shared" si="5"/>
        <v>-  -MAY 02-</v>
      </c>
    </row>
    <row r="303" spans="1:13">
      <c r="A303" s="216" t="str">
        <f>IF(C303&lt;&gt;"",SUBTOTAL(103,$C$12:C303),"")</f>
        <v/>
      </c>
      <c r="B303" s="226">
        <v>43222</v>
      </c>
      <c r="C303" s="216"/>
      <c r="D303" s="216" t="str">
        <f>IF(C303&lt;&gt;"",VLOOKUP(C303,[1]DSKH!B:E,2,0),"")</f>
        <v/>
      </c>
      <c r="E303" s="215"/>
      <c r="F303" s="216"/>
      <c r="G303" s="216" t="str">
        <f>IF(C303&lt;&gt;"",VLOOKUP(C303,DSKH!B:E,3,0),"")</f>
        <v/>
      </c>
      <c r="H303" s="222"/>
      <c r="I303" s="217"/>
      <c r="J303" s="224"/>
      <c r="K303" s="216" t="str">
        <f>IF(C303&lt;&gt;"",VLOOKUP(C303,[1]DSKH!B:E,4,0),"")</f>
        <v/>
      </c>
      <c r="L303" s="216"/>
      <c r="M303" s="216" t="str">
        <f t="shared" si="5"/>
        <v>-  -MAY 02-</v>
      </c>
    </row>
    <row r="304" spans="1:13">
      <c r="A304" s="216" t="str">
        <f>IF(C304&lt;&gt;"",SUBTOTAL(103,$C$12:C304),"")</f>
        <v/>
      </c>
      <c r="B304" s="226">
        <v>43222</v>
      </c>
      <c r="C304" s="216"/>
      <c r="D304" s="216" t="str">
        <f>IF(C304&lt;&gt;"",VLOOKUP(C304,[1]DSKH!B:E,2,0),"")</f>
        <v/>
      </c>
      <c r="E304" s="215"/>
      <c r="F304" s="216"/>
      <c r="G304" s="216" t="str">
        <f>IF(C304&lt;&gt;"",VLOOKUP(C304,DSKH!B:E,3,0),"")</f>
        <v/>
      </c>
      <c r="H304" s="222"/>
      <c r="I304" s="217"/>
      <c r="J304" s="224"/>
      <c r="K304" s="216" t="str">
        <f>IF(C304&lt;&gt;"",VLOOKUP(C304,[1]DSKH!B:E,4,0),"")</f>
        <v/>
      </c>
      <c r="L304" s="216"/>
      <c r="M304" s="216" t="str">
        <f t="shared" si="5"/>
        <v>-  -MAY 02-</v>
      </c>
    </row>
    <row r="305" spans="1:13">
      <c r="A305" s="216" t="str">
        <f>IF(C305&lt;&gt;"",SUBTOTAL(103,$C$12:C305),"")</f>
        <v/>
      </c>
      <c r="B305" s="226">
        <v>43222</v>
      </c>
      <c r="C305" s="216"/>
      <c r="D305" s="216" t="str">
        <f>IF(C305&lt;&gt;"",VLOOKUP(C305,[1]DSKH!B:E,2,0),"")</f>
        <v/>
      </c>
      <c r="E305" s="215"/>
      <c r="F305" s="216"/>
      <c r="G305" s="216" t="str">
        <f>IF(C305&lt;&gt;"",VLOOKUP(C305,DSKH!B:E,3,0),"")</f>
        <v/>
      </c>
      <c r="H305" s="222"/>
      <c r="I305" s="217"/>
      <c r="J305" s="224"/>
      <c r="K305" s="216" t="str">
        <f>IF(C305&lt;&gt;"",VLOOKUP(C305,[1]DSKH!B:E,4,0),"")</f>
        <v/>
      </c>
      <c r="L305" s="216"/>
      <c r="M305" s="216" t="str">
        <f t="shared" si="5"/>
        <v>-  -MAY 02-</v>
      </c>
    </row>
    <row r="306" spans="1:13">
      <c r="A306" s="216" t="str">
        <f>IF(C306&lt;&gt;"",SUBTOTAL(103,$C$12:C306),"")</f>
        <v/>
      </c>
      <c r="B306" s="226">
        <v>43222</v>
      </c>
      <c r="C306" s="216"/>
      <c r="D306" s="216" t="str">
        <f>IF(C306&lt;&gt;"",VLOOKUP(C306,[1]DSKH!B:E,2,0),"")</f>
        <v/>
      </c>
      <c r="E306" s="215"/>
      <c r="F306" s="216"/>
      <c r="G306" s="216" t="str">
        <f>IF(C306&lt;&gt;"",VLOOKUP(C306,DSKH!B:E,3,0),"")</f>
        <v/>
      </c>
      <c r="H306" s="222"/>
      <c r="I306" s="217"/>
      <c r="J306" s="224"/>
      <c r="K306" s="216" t="str">
        <f>IF(C306&lt;&gt;"",VLOOKUP(C306,[1]DSKH!B:E,4,0),"")</f>
        <v/>
      </c>
      <c r="L306" s="216"/>
      <c r="M306" s="216" t="str">
        <f t="shared" si="5"/>
        <v>-  -MAY 02-</v>
      </c>
    </row>
    <row r="307" spans="1:13">
      <c r="A307" s="216" t="str">
        <f>IF(C307&lt;&gt;"",SUBTOTAL(103,$C$12:C307),"")</f>
        <v/>
      </c>
      <c r="B307" s="226">
        <v>43222</v>
      </c>
      <c r="C307" s="216"/>
      <c r="D307" s="216" t="str">
        <f>IF(C307&lt;&gt;"",VLOOKUP(C307,[1]DSKH!B:E,2,0),"")</f>
        <v/>
      </c>
      <c r="E307" s="215"/>
      <c r="F307" s="216"/>
      <c r="G307" s="216" t="str">
        <f>IF(C307&lt;&gt;"",VLOOKUP(C307,DSKH!B:E,3,0),"")</f>
        <v/>
      </c>
      <c r="H307" s="222"/>
      <c r="I307" s="217"/>
      <c r="J307" s="224"/>
      <c r="K307" s="216" t="str">
        <f>IF(C307&lt;&gt;"",VLOOKUP(C307,[1]DSKH!B:E,4,0),"")</f>
        <v/>
      </c>
      <c r="L307" s="216"/>
      <c r="M307" s="216" t="str">
        <f t="shared" si="5"/>
        <v>-  -MAY 02-</v>
      </c>
    </row>
    <row r="308" spans="1:13">
      <c r="A308" s="216" t="str">
        <f>IF(C308&lt;&gt;"",SUBTOTAL(103,$C$12:C308),"")</f>
        <v/>
      </c>
      <c r="B308" s="226">
        <v>43222</v>
      </c>
      <c r="C308" s="216"/>
      <c r="D308" s="216" t="str">
        <f>IF(C308&lt;&gt;"",VLOOKUP(C308,[1]DSKH!B:E,2,0),"")</f>
        <v/>
      </c>
      <c r="E308" s="215"/>
      <c r="F308" s="216"/>
      <c r="G308" s="216" t="str">
        <f>IF(C308&lt;&gt;"",VLOOKUP(C308,DSKH!B:E,3,0),"")</f>
        <v/>
      </c>
      <c r="H308" s="222"/>
      <c r="I308" s="217"/>
      <c r="J308" s="224"/>
      <c r="K308" s="216" t="str">
        <f>IF(C308&lt;&gt;"",VLOOKUP(C308,[1]DSKH!B:E,4,0),"")</f>
        <v/>
      </c>
      <c r="L308" s="216"/>
      <c r="M308" s="216" t="str">
        <f t="shared" si="5"/>
        <v>-  -MAY 02-</v>
      </c>
    </row>
    <row r="309" spans="1:13">
      <c r="A309" s="216" t="str">
        <f>IF(C309&lt;&gt;"",SUBTOTAL(103,$C$12:C309),"")</f>
        <v/>
      </c>
      <c r="B309" s="226">
        <v>43222</v>
      </c>
      <c r="C309" s="216"/>
      <c r="D309" s="216" t="str">
        <f>IF(C309&lt;&gt;"",VLOOKUP(C309,[1]DSKH!B:E,2,0),"")</f>
        <v/>
      </c>
      <c r="E309" s="215"/>
      <c r="F309" s="216"/>
      <c r="G309" s="216" t="str">
        <f>IF(C309&lt;&gt;"",VLOOKUP(C309,DSKH!B:E,3,0),"")</f>
        <v/>
      </c>
      <c r="H309" s="222"/>
      <c r="I309" s="217"/>
      <c r="J309" s="224"/>
      <c r="K309" s="216" t="str">
        <f>IF(C309&lt;&gt;"",VLOOKUP(C309,[1]DSKH!B:E,4,0),"")</f>
        <v/>
      </c>
      <c r="L309" s="216"/>
      <c r="M309" s="216" t="str">
        <f t="shared" si="5"/>
        <v>-  -MAY 02-</v>
      </c>
    </row>
    <row r="310" spans="1:13">
      <c r="A310" s="216" t="str">
        <f>IF(C310&lt;&gt;"",SUBTOTAL(103,$C$12:C310),"")</f>
        <v/>
      </c>
      <c r="B310" s="226">
        <v>43222</v>
      </c>
      <c r="C310" s="216"/>
      <c r="D310" s="216" t="str">
        <f>IF(C310&lt;&gt;"",VLOOKUP(C310,[1]DSKH!B:E,2,0),"")</f>
        <v/>
      </c>
      <c r="E310" s="215"/>
      <c r="F310" s="216"/>
      <c r="G310" s="216" t="str">
        <f>IF(C310&lt;&gt;"",VLOOKUP(C310,DSKH!B:E,3,0),"")</f>
        <v/>
      </c>
      <c r="H310" s="222"/>
      <c r="I310" s="217"/>
      <c r="J310" s="224"/>
      <c r="K310" s="216" t="str">
        <f>IF(C310&lt;&gt;"",VLOOKUP(C310,[1]DSKH!B:E,4,0),"")</f>
        <v/>
      </c>
      <c r="L310" s="216"/>
      <c r="M310" s="216" t="str">
        <f t="shared" si="5"/>
        <v>-  -MAY 02-</v>
      </c>
    </row>
    <row r="311" spans="1:13">
      <c r="A311" s="216" t="str">
        <f>IF(C311&lt;&gt;"",SUBTOTAL(103,$C$12:C311),"")</f>
        <v/>
      </c>
      <c r="B311" s="226">
        <v>43222</v>
      </c>
      <c r="C311" s="216"/>
      <c r="D311" s="216" t="str">
        <f>IF(C311&lt;&gt;"",VLOOKUP(C311,[1]DSKH!B:E,2,0),"")</f>
        <v/>
      </c>
      <c r="E311" s="215"/>
      <c r="F311" s="216"/>
      <c r="G311" s="216" t="str">
        <f>IF(C311&lt;&gt;"",VLOOKUP(C311,DSKH!B:E,3,0),"")</f>
        <v/>
      </c>
      <c r="H311" s="222"/>
      <c r="I311" s="217"/>
      <c r="J311" s="224"/>
      <c r="K311" s="216" t="str">
        <f>IF(C311&lt;&gt;"",VLOOKUP(C311,[1]DSKH!B:E,4,0),"")</f>
        <v/>
      </c>
      <c r="L311" s="216"/>
      <c r="M311" s="216" t="str">
        <f t="shared" si="5"/>
        <v>-  -MAY 02-</v>
      </c>
    </row>
    <row r="312" spans="1:13">
      <c r="A312" s="216" t="str">
        <f>IF(C312&lt;&gt;"",SUBTOTAL(103,$C$12:C312),"")</f>
        <v/>
      </c>
      <c r="B312" s="226">
        <v>43222</v>
      </c>
      <c r="C312" s="216"/>
      <c r="D312" s="216" t="str">
        <f>IF(C312&lt;&gt;"",VLOOKUP(C312,[1]DSKH!B:E,2,0),"")</f>
        <v/>
      </c>
      <c r="E312" s="215"/>
      <c r="F312" s="216"/>
      <c r="G312" s="216" t="str">
        <f>IF(C312&lt;&gt;"",VLOOKUP(C312,DSKH!B:E,3,0),"")</f>
        <v/>
      </c>
      <c r="H312" s="222"/>
      <c r="I312" s="217"/>
      <c r="J312" s="224"/>
      <c r="K312" s="216" t="str">
        <f>IF(C312&lt;&gt;"",VLOOKUP(C312,[1]DSKH!B:E,4,0),"")</f>
        <v/>
      </c>
      <c r="L312" s="216"/>
      <c r="M312" s="216" t="str">
        <f t="shared" si="5"/>
        <v>-  -MAY 02-</v>
      </c>
    </row>
    <row r="313" spans="1:13">
      <c r="A313" s="216" t="str">
        <f>IF(C313&lt;&gt;"",SUBTOTAL(103,$C$12:C313),"")</f>
        <v/>
      </c>
      <c r="B313" s="226">
        <v>43222</v>
      </c>
      <c r="C313" s="216"/>
      <c r="D313" s="216" t="str">
        <f>IF(C313&lt;&gt;"",VLOOKUP(C313,[1]DSKH!B:E,2,0),"")</f>
        <v/>
      </c>
      <c r="E313" s="215"/>
      <c r="F313" s="216"/>
      <c r="G313" s="216" t="str">
        <f>IF(C313&lt;&gt;"",VLOOKUP(C313,DSKH!B:E,3,0),"")</f>
        <v/>
      </c>
      <c r="H313" s="222"/>
      <c r="I313" s="217"/>
      <c r="J313" s="224"/>
      <c r="K313" s="216" t="str">
        <f>IF(C313&lt;&gt;"",VLOOKUP(C313,[1]DSKH!B:E,4,0),"")</f>
        <v/>
      </c>
      <c r="L313" s="216"/>
      <c r="M313" s="216" t="str">
        <f t="shared" si="5"/>
        <v>-  -MAY 02-</v>
      </c>
    </row>
    <row r="314" spans="1:13">
      <c r="A314" s="216" t="str">
        <f>IF(C314&lt;&gt;"",SUBTOTAL(103,$C$12:C314),"")</f>
        <v/>
      </c>
      <c r="B314" s="226">
        <v>43222</v>
      </c>
      <c r="C314" s="216"/>
      <c r="D314" s="216" t="str">
        <f>IF(C314&lt;&gt;"",VLOOKUP(C314,[1]DSKH!B:E,2,0),"")</f>
        <v/>
      </c>
      <c r="E314" s="215"/>
      <c r="F314" s="216"/>
      <c r="G314" s="216" t="str">
        <f>IF(C314&lt;&gt;"",VLOOKUP(C314,DSKH!B:E,3,0),"")</f>
        <v/>
      </c>
      <c r="H314" s="222"/>
      <c r="I314" s="217"/>
      <c r="J314" s="224"/>
      <c r="K314" s="216" t="str">
        <f>IF(C314&lt;&gt;"",VLOOKUP(C314,[1]DSKH!B:E,4,0),"")</f>
        <v/>
      </c>
      <c r="L314" s="216"/>
      <c r="M314" s="216" t="str">
        <f t="shared" si="5"/>
        <v>-  -MAY 02-</v>
      </c>
    </row>
    <row r="315" spans="1:13">
      <c r="A315" s="216" t="str">
        <f>IF(C315&lt;&gt;"",SUBTOTAL(103,$C$12:C315),"")</f>
        <v/>
      </c>
      <c r="B315" s="226">
        <v>43222</v>
      </c>
      <c r="C315" s="216"/>
      <c r="D315" s="216" t="str">
        <f>IF(C315&lt;&gt;"",VLOOKUP(C315,[1]DSKH!B:E,2,0),"")</f>
        <v/>
      </c>
      <c r="E315" s="215"/>
      <c r="F315" s="216"/>
      <c r="G315" s="216" t="str">
        <f>IF(C315&lt;&gt;"",VLOOKUP(C315,DSKH!B:E,3,0),"")</f>
        <v/>
      </c>
      <c r="H315" s="222"/>
      <c r="I315" s="217"/>
      <c r="J315" s="224"/>
      <c r="K315" s="216" t="str">
        <f>IF(C315&lt;&gt;"",VLOOKUP(C315,[1]DSKH!B:E,4,0),"")</f>
        <v/>
      </c>
      <c r="L315" s="216"/>
      <c r="M315" s="216" t="str">
        <f t="shared" si="5"/>
        <v>-  -MAY 02-</v>
      </c>
    </row>
    <row r="316" spans="1:13">
      <c r="A316" s="216" t="str">
        <f>IF(C316&lt;&gt;"",SUBTOTAL(103,$C$12:C316),"")</f>
        <v/>
      </c>
      <c r="B316" s="226">
        <v>43222</v>
      </c>
      <c r="C316" s="216"/>
      <c r="D316" s="216" t="str">
        <f>IF(C316&lt;&gt;"",VLOOKUP(C316,[1]DSKH!B:E,2,0),"")</f>
        <v/>
      </c>
      <c r="E316" s="215"/>
      <c r="F316" s="216"/>
      <c r="G316" s="216" t="str">
        <f>IF(C316&lt;&gt;"",VLOOKUP(C316,DSKH!B:E,3,0),"")</f>
        <v/>
      </c>
      <c r="H316" s="222"/>
      <c r="I316" s="217"/>
      <c r="J316" s="224"/>
      <c r="K316" s="216" t="str">
        <f>IF(C316&lt;&gt;"",VLOOKUP(C316,[1]DSKH!B:E,4,0),"")</f>
        <v/>
      </c>
      <c r="L316" s="216"/>
      <c r="M316" s="216" t="str">
        <f t="shared" si="5"/>
        <v>-  -MAY 02-</v>
      </c>
    </row>
    <row r="317" spans="1:13">
      <c r="A317" s="216" t="str">
        <f>IF(C317&lt;&gt;"",SUBTOTAL(103,$C$12:C317),"")</f>
        <v/>
      </c>
      <c r="B317" s="226">
        <v>43222</v>
      </c>
      <c r="C317" s="216"/>
      <c r="D317" s="216" t="str">
        <f>IF(C317&lt;&gt;"",VLOOKUP(C317,[1]DSKH!B:E,2,0),"")</f>
        <v/>
      </c>
      <c r="E317" s="215"/>
      <c r="F317" s="216"/>
      <c r="G317" s="216" t="str">
        <f>IF(C317&lt;&gt;"",VLOOKUP(C317,DSKH!B:E,3,0),"")</f>
        <v/>
      </c>
      <c r="H317" s="222"/>
      <c r="I317" s="217"/>
      <c r="J317" s="224"/>
      <c r="K317" s="216" t="str">
        <f>IF(C317&lt;&gt;"",VLOOKUP(C317,[1]DSKH!B:E,4,0),"")</f>
        <v/>
      </c>
      <c r="L317" s="216"/>
      <c r="M317" s="216" t="str">
        <f t="shared" si="5"/>
        <v>-  -MAY 02-</v>
      </c>
    </row>
    <row r="318" spans="1:13">
      <c r="A318" s="216" t="str">
        <f>IF(C318&lt;&gt;"",SUBTOTAL(103,$C$12:C318),"")</f>
        <v/>
      </c>
      <c r="B318" s="226">
        <v>43222</v>
      </c>
      <c r="C318" s="216"/>
      <c r="D318" s="216" t="str">
        <f>IF(C318&lt;&gt;"",VLOOKUP(C318,[1]DSKH!B:E,2,0),"")</f>
        <v/>
      </c>
      <c r="E318" s="215"/>
      <c r="F318" s="216"/>
      <c r="G318" s="216" t="str">
        <f>IF(C318&lt;&gt;"",VLOOKUP(C318,DSKH!B:E,3,0),"")</f>
        <v/>
      </c>
      <c r="H318" s="222"/>
      <c r="I318" s="217"/>
      <c r="J318" s="224"/>
      <c r="K318" s="216" t="str">
        <f>IF(C318&lt;&gt;"",VLOOKUP(C318,[1]DSKH!B:E,4,0),"")</f>
        <v/>
      </c>
      <c r="L318" s="216"/>
      <c r="M318" s="216" t="str">
        <f t="shared" si="5"/>
        <v>-  -MAY 02-</v>
      </c>
    </row>
    <row r="319" spans="1:13">
      <c r="A319" s="216" t="str">
        <f>IF(C319&lt;&gt;"",SUBTOTAL(103,$C$12:C319),"")</f>
        <v/>
      </c>
      <c r="B319" s="226">
        <v>43222</v>
      </c>
      <c r="C319" s="216"/>
      <c r="D319" s="216" t="str">
        <f>IF(C319&lt;&gt;"",VLOOKUP(C319,[1]DSKH!B:E,2,0),"")</f>
        <v/>
      </c>
      <c r="E319" s="215"/>
      <c r="F319" s="216"/>
      <c r="G319" s="216" t="str">
        <f>IF(C319&lt;&gt;"",VLOOKUP(C319,DSKH!B:E,3,0),"")</f>
        <v/>
      </c>
      <c r="H319" s="222"/>
      <c r="I319" s="217"/>
      <c r="J319" s="224"/>
      <c r="K319" s="216" t="str">
        <f>IF(C319&lt;&gt;"",VLOOKUP(C319,[1]DSKH!B:E,4,0),"")</f>
        <v/>
      </c>
      <c r="L319" s="216"/>
      <c r="M319" s="216" t="str">
        <f t="shared" si="5"/>
        <v>-  -MAY 02-</v>
      </c>
    </row>
    <row r="320" spans="1:13">
      <c r="A320" s="216" t="str">
        <f>IF(C320&lt;&gt;"",SUBTOTAL(103,$C$12:C320),"")</f>
        <v/>
      </c>
      <c r="B320" s="226">
        <v>43222</v>
      </c>
      <c r="C320" s="216"/>
      <c r="D320" s="216" t="str">
        <f>IF(C320&lt;&gt;"",VLOOKUP(C320,[1]DSKH!B:E,2,0),"")</f>
        <v/>
      </c>
      <c r="E320" s="215"/>
      <c r="F320" s="216"/>
      <c r="G320" s="216" t="str">
        <f>IF(C320&lt;&gt;"",VLOOKUP(C320,DSKH!B:E,3,0),"")</f>
        <v/>
      </c>
      <c r="H320" s="222"/>
      <c r="I320" s="217"/>
      <c r="J320" s="224"/>
      <c r="K320" s="216" t="str">
        <f>IF(C320&lt;&gt;"",VLOOKUP(C320,[1]DSKH!B:E,4,0),"")</f>
        <v/>
      </c>
      <c r="L320" s="216"/>
      <c r="M320" s="216" t="str">
        <f t="shared" si="5"/>
        <v>-  -MAY 02-</v>
      </c>
    </row>
    <row r="321" spans="1:13">
      <c r="A321" s="216" t="str">
        <f>IF(C321&lt;&gt;"",SUBTOTAL(103,$C$12:C321),"")</f>
        <v/>
      </c>
      <c r="B321" s="226">
        <v>43222</v>
      </c>
      <c r="C321" s="216"/>
      <c r="D321" s="216" t="str">
        <f>IF(C321&lt;&gt;"",VLOOKUP(C321,[1]DSKH!B:E,2,0),"")</f>
        <v/>
      </c>
      <c r="E321" s="215"/>
      <c r="F321" s="216"/>
      <c r="G321" s="216" t="str">
        <f>IF(C321&lt;&gt;"",VLOOKUP(C321,DSKH!B:E,3,0),"")</f>
        <v/>
      </c>
      <c r="H321" s="222"/>
      <c r="I321" s="217"/>
      <c r="J321" s="224"/>
      <c r="K321" s="216" t="str">
        <f>IF(C321&lt;&gt;"",VLOOKUP(C321,[1]DSKH!B:E,4,0),"")</f>
        <v/>
      </c>
      <c r="L321" s="216"/>
      <c r="M321" s="216" t="str">
        <f t="shared" si="5"/>
        <v>-  -MAY 02-</v>
      </c>
    </row>
    <row r="322" spans="1:13">
      <c r="A322" s="216" t="str">
        <f>IF(C322&lt;&gt;"",SUBTOTAL(103,$C$12:C322),"")</f>
        <v/>
      </c>
      <c r="B322" s="226">
        <v>43222</v>
      </c>
      <c r="C322" s="216"/>
      <c r="D322" s="216" t="str">
        <f>IF(C322&lt;&gt;"",VLOOKUP(C322,[1]DSKH!B:E,2,0),"")</f>
        <v/>
      </c>
      <c r="E322" s="215"/>
      <c r="F322" s="216"/>
      <c r="G322" s="216" t="str">
        <f>IF(C322&lt;&gt;"",VLOOKUP(C322,DSKH!B:E,3,0),"")</f>
        <v/>
      </c>
      <c r="H322" s="222"/>
      <c r="I322" s="217"/>
      <c r="J322" s="224"/>
      <c r="K322" s="216" t="str">
        <f>IF(C322&lt;&gt;"",VLOOKUP(C322,[1]DSKH!B:E,4,0),"")</f>
        <v/>
      </c>
      <c r="L322" s="216"/>
      <c r="M322" s="216" t="str">
        <f t="shared" si="5"/>
        <v>-  -MAY 02-</v>
      </c>
    </row>
    <row r="323" spans="1:13">
      <c r="A323" s="216" t="str">
        <f>IF(C323&lt;&gt;"",SUBTOTAL(103,$C$12:C323),"")</f>
        <v/>
      </c>
      <c r="B323" s="226">
        <v>43222</v>
      </c>
      <c r="C323" s="216"/>
      <c r="D323" s="216" t="str">
        <f>IF(C323&lt;&gt;"",VLOOKUP(C323,[1]DSKH!B:E,2,0),"")</f>
        <v/>
      </c>
      <c r="E323" s="215"/>
      <c r="F323" s="216"/>
      <c r="G323" s="216" t="str">
        <f>IF(C323&lt;&gt;"",VLOOKUP(C323,DSKH!B:E,3,0),"")</f>
        <v/>
      </c>
      <c r="H323" s="222"/>
      <c r="I323" s="217"/>
      <c r="J323" s="224"/>
      <c r="K323" s="216" t="str">
        <f>IF(C323&lt;&gt;"",VLOOKUP(C323,[1]DSKH!B:E,4,0),"")</f>
        <v/>
      </c>
      <c r="L323" s="216"/>
      <c r="M323" s="216" t="str">
        <f t="shared" si="5"/>
        <v>-  -MAY 02-</v>
      </c>
    </row>
    <row r="324" spans="1:13">
      <c r="A324" s="216" t="str">
        <f>IF(C324&lt;&gt;"",SUBTOTAL(103,$C$12:C324),"")</f>
        <v/>
      </c>
      <c r="B324" s="226">
        <v>43222</v>
      </c>
      <c r="C324" s="216"/>
      <c r="D324" s="216" t="str">
        <f>IF(C324&lt;&gt;"",VLOOKUP(C324,[1]DSKH!B:E,2,0),"")</f>
        <v/>
      </c>
      <c r="E324" s="215"/>
      <c r="F324" s="216"/>
      <c r="G324" s="216" t="str">
        <f>IF(C324&lt;&gt;"",VLOOKUP(C324,DSKH!B:E,3,0),"")</f>
        <v/>
      </c>
      <c r="H324" s="222"/>
      <c r="I324" s="217"/>
      <c r="J324" s="224"/>
      <c r="K324" s="216" t="str">
        <f>IF(C324&lt;&gt;"",VLOOKUP(C324,[1]DSKH!B:E,4,0),"")</f>
        <v/>
      </c>
      <c r="L324" s="216"/>
      <c r="M324" s="216" t="str">
        <f t="shared" si="5"/>
        <v>-  -MAY 02-</v>
      </c>
    </row>
    <row r="325" spans="1:13">
      <c r="A325" s="216" t="str">
        <f>IF(C325&lt;&gt;"",SUBTOTAL(103,$C$12:C325),"")</f>
        <v/>
      </c>
      <c r="B325" s="226">
        <v>43222</v>
      </c>
      <c r="C325" s="216"/>
      <c r="D325" s="216" t="str">
        <f>IF(C325&lt;&gt;"",VLOOKUP(C325,[1]DSKH!B:E,2,0),"")</f>
        <v/>
      </c>
      <c r="E325" s="215"/>
      <c r="F325" s="216"/>
      <c r="G325" s="216" t="str">
        <f>IF(C325&lt;&gt;"",VLOOKUP(C325,DSKH!B:E,3,0),"")</f>
        <v/>
      </c>
      <c r="H325" s="222"/>
      <c r="I325" s="217"/>
      <c r="J325" s="224"/>
      <c r="K325" s="216" t="str">
        <f>IF(C325&lt;&gt;"",VLOOKUP(C325,[1]DSKH!B:E,4,0),"")</f>
        <v/>
      </c>
      <c r="L325" s="216"/>
      <c r="M325" s="216" t="str">
        <f t="shared" si="5"/>
        <v>-  -MAY 02-</v>
      </c>
    </row>
    <row r="326" spans="1:13">
      <c r="A326" s="216" t="str">
        <f>IF(C326&lt;&gt;"",SUBTOTAL(103,$C$12:C326),"")</f>
        <v/>
      </c>
      <c r="B326" s="226">
        <v>43222</v>
      </c>
      <c r="C326" s="216"/>
      <c r="D326" s="216" t="str">
        <f>IF(C326&lt;&gt;"",VLOOKUP(C326,[1]DSKH!B:E,2,0),"")</f>
        <v/>
      </c>
      <c r="E326" s="215"/>
      <c r="F326" s="216"/>
      <c r="G326" s="216" t="str">
        <f>IF(C326&lt;&gt;"",VLOOKUP(C326,DSKH!B:E,3,0),"")</f>
        <v/>
      </c>
      <c r="H326" s="222"/>
      <c r="I326" s="217"/>
      <c r="J326" s="224"/>
      <c r="K326" s="216" t="str">
        <f>IF(C326&lt;&gt;"",VLOOKUP(C326,[1]DSKH!B:E,4,0),"")</f>
        <v/>
      </c>
      <c r="L326" s="216"/>
      <c r="M326" s="216" t="str">
        <f t="shared" si="5"/>
        <v>-  -MAY 02-</v>
      </c>
    </row>
    <row r="327" spans="1:13">
      <c r="A327" s="216" t="str">
        <f>IF(C327&lt;&gt;"",SUBTOTAL(103,$C$12:C327),"")</f>
        <v/>
      </c>
      <c r="B327" s="226">
        <v>43222</v>
      </c>
      <c r="C327" s="216"/>
      <c r="D327" s="216" t="str">
        <f>IF(C327&lt;&gt;"",VLOOKUP(C327,[1]DSKH!B:E,2,0),"")</f>
        <v/>
      </c>
      <c r="E327" s="215"/>
      <c r="F327" s="216"/>
      <c r="G327" s="216" t="str">
        <f>IF(C327&lt;&gt;"",VLOOKUP(C327,DSKH!B:E,3,0),"")</f>
        <v/>
      </c>
      <c r="H327" s="222"/>
      <c r="I327" s="217"/>
      <c r="J327" s="224"/>
      <c r="K327" s="216" t="str">
        <f>IF(C327&lt;&gt;"",VLOOKUP(C327,[1]DSKH!B:E,4,0),"")</f>
        <v/>
      </c>
      <c r="L327" s="216"/>
      <c r="M327" s="216" t="str">
        <f t="shared" si="5"/>
        <v>-  -MAY 02-</v>
      </c>
    </row>
    <row r="328" spans="1:13">
      <c r="A328" s="216" t="str">
        <f>IF(C328&lt;&gt;"",SUBTOTAL(103,$C$12:C328),"")</f>
        <v/>
      </c>
      <c r="B328" s="226">
        <v>43222</v>
      </c>
      <c r="C328" s="216"/>
      <c r="D328" s="216" t="str">
        <f>IF(C328&lt;&gt;"",VLOOKUP(C328,[1]DSKH!B:E,2,0),"")</f>
        <v/>
      </c>
      <c r="E328" s="215"/>
      <c r="F328" s="216"/>
      <c r="G328" s="216" t="str">
        <f>IF(C328&lt;&gt;"",VLOOKUP(C328,DSKH!B:E,3,0),"")</f>
        <v/>
      </c>
      <c r="H328" s="222"/>
      <c r="I328" s="217"/>
      <c r="J328" s="224"/>
      <c r="K328" s="216" t="str">
        <f>IF(C328&lt;&gt;"",VLOOKUP(C328,[1]DSKH!B:E,4,0),"")</f>
        <v/>
      </c>
      <c r="L328" s="216"/>
      <c r="M328" s="216" t="str">
        <f t="shared" si="5"/>
        <v>-  -MAY 02-</v>
      </c>
    </row>
    <row r="329" spans="1:13">
      <c r="A329" s="216" t="str">
        <f>IF(C329&lt;&gt;"",SUBTOTAL(103,$C$12:C329),"")</f>
        <v/>
      </c>
      <c r="B329" s="226">
        <v>43222</v>
      </c>
      <c r="C329" s="216"/>
      <c r="D329" s="216" t="str">
        <f>IF(C329&lt;&gt;"",VLOOKUP(C329,[1]DSKH!B:E,2,0),"")</f>
        <v/>
      </c>
      <c r="E329" s="215"/>
      <c r="F329" s="216"/>
      <c r="G329" s="216" t="str">
        <f>IF(C329&lt;&gt;"",VLOOKUP(C329,DSKH!B:E,3,0),"")</f>
        <v/>
      </c>
      <c r="H329" s="222"/>
      <c r="I329" s="217"/>
      <c r="J329" s="224"/>
      <c r="K329" s="216" t="str">
        <f>IF(C329&lt;&gt;"",VLOOKUP(C329,[1]DSKH!B:E,4,0),"")</f>
        <v/>
      </c>
      <c r="L329" s="216"/>
      <c r="M329" s="216" t="str">
        <f t="shared" si="5"/>
        <v>-  -MAY 02-</v>
      </c>
    </row>
    <row r="330" spans="1:13">
      <c r="A330" s="216" t="str">
        <f>IF(C330&lt;&gt;"",SUBTOTAL(103,$C$12:C330),"")</f>
        <v/>
      </c>
      <c r="B330" s="226">
        <v>43222</v>
      </c>
      <c r="C330" s="216"/>
      <c r="D330" s="216" t="str">
        <f>IF(C330&lt;&gt;"",VLOOKUP(C330,[1]DSKH!B:E,2,0),"")</f>
        <v/>
      </c>
      <c r="E330" s="215"/>
      <c r="F330" s="216"/>
      <c r="G330" s="216" t="str">
        <f>IF(C330&lt;&gt;"",VLOOKUP(C330,DSKH!B:E,3,0),"")</f>
        <v/>
      </c>
      <c r="H330" s="222"/>
      <c r="I330" s="217"/>
      <c r="J330" s="224"/>
      <c r="K330" s="216" t="str">
        <f>IF(C330&lt;&gt;"",VLOOKUP(C330,[1]DSKH!B:E,4,0),"")</f>
        <v/>
      </c>
      <c r="L330" s="216"/>
      <c r="M330" s="216" t="str">
        <f t="shared" si="5"/>
        <v>-  -MAY 02-</v>
      </c>
    </row>
    <row r="331" spans="1:13">
      <c r="A331" s="216" t="str">
        <f>IF(C331&lt;&gt;"",SUBTOTAL(103,$C$12:C331),"")</f>
        <v/>
      </c>
      <c r="B331" s="226">
        <v>43222</v>
      </c>
      <c r="C331" s="216"/>
      <c r="D331" s="216" t="str">
        <f>IF(C331&lt;&gt;"",VLOOKUP(C331,[1]DSKH!B:E,2,0),"")</f>
        <v/>
      </c>
      <c r="E331" s="215"/>
      <c r="F331" s="216"/>
      <c r="G331" s="216" t="str">
        <f>IF(C331&lt;&gt;"",VLOOKUP(C331,DSKH!B:E,3,0),"")</f>
        <v/>
      </c>
      <c r="H331" s="222"/>
      <c r="I331" s="217"/>
      <c r="J331" s="224"/>
      <c r="K331" s="216" t="str">
        <f>IF(C331&lt;&gt;"",VLOOKUP(C331,[1]DSKH!B:E,4,0),"")</f>
        <v/>
      </c>
      <c r="L331" s="216"/>
      <c r="M331" s="216" t="str">
        <f t="shared" si="5"/>
        <v>-  -MAY 02-</v>
      </c>
    </row>
    <row r="332" spans="1:13">
      <c r="A332" s="216" t="str">
        <f>IF(C332&lt;&gt;"",SUBTOTAL(103,$C$12:C332),"")</f>
        <v/>
      </c>
      <c r="B332" s="226">
        <v>43222</v>
      </c>
      <c r="C332" s="216"/>
      <c r="D332" s="216" t="str">
        <f>IF(C332&lt;&gt;"",VLOOKUP(C332,[1]DSKH!B:E,2,0),"")</f>
        <v/>
      </c>
      <c r="E332" s="215"/>
      <c r="F332" s="216"/>
      <c r="G332" s="216" t="str">
        <f>IF(C332&lt;&gt;"",VLOOKUP(C332,DSKH!B:E,3,0),"")</f>
        <v/>
      </c>
      <c r="H332" s="222"/>
      <c r="I332" s="217"/>
      <c r="J332" s="224"/>
      <c r="K332" s="216" t="str">
        <f>IF(C332&lt;&gt;"",VLOOKUP(C332,[1]DSKH!B:E,4,0),"")</f>
        <v/>
      </c>
      <c r="L332" s="216"/>
      <c r="M332" s="216" t="str">
        <f t="shared" ref="M332:M395" si="6">C332&amp;"-"&amp;" "&amp;H332&amp;" "&amp;"-"&amp;"MAY"&amp;" "&amp;"02"&amp;"-"&amp;J332</f>
        <v>-  -MAY 02-</v>
      </c>
    </row>
    <row r="333" spans="1:13">
      <c r="A333" s="216" t="str">
        <f>IF(C333&lt;&gt;"",SUBTOTAL(103,$C$12:C333),"")</f>
        <v/>
      </c>
      <c r="B333" s="226">
        <v>43222</v>
      </c>
      <c r="C333" s="216"/>
      <c r="D333" s="216" t="str">
        <f>IF(C333&lt;&gt;"",VLOOKUP(C333,[1]DSKH!B:E,2,0),"")</f>
        <v/>
      </c>
      <c r="E333" s="215"/>
      <c r="F333" s="216"/>
      <c r="G333" s="216" t="str">
        <f>IF(C333&lt;&gt;"",VLOOKUP(C333,DSKH!B:E,3,0),"")</f>
        <v/>
      </c>
      <c r="H333" s="222"/>
      <c r="I333" s="217"/>
      <c r="J333" s="224"/>
      <c r="K333" s="216" t="str">
        <f>IF(C333&lt;&gt;"",VLOOKUP(C333,[1]DSKH!B:E,4,0),"")</f>
        <v/>
      </c>
      <c r="L333" s="216"/>
      <c r="M333" s="216" t="str">
        <f t="shared" si="6"/>
        <v>-  -MAY 02-</v>
      </c>
    </row>
    <row r="334" spans="1:13">
      <c r="A334" s="216" t="str">
        <f>IF(C334&lt;&gt;"",SUBTOTAL(103,$C$12:C334),"")</f>
        <v/>
      </c>
      <c r="B334" s="226">
        <v>43222</v>
      </c>
      <c r="C334" s="216"/>
      <c r="D334" s="216" t="str">
        <f>IF(C334&lt;&gt;"",VLOOKUP(C334,[1]DSKH!B:E,2,0),"")</f>
        <v/>
      </c>
      <c r="E334" s="215"/>
      <c r="F334" s="216"/>
      <c r="G334" s="216" t="str">
        <f>IF(C334&lt;&gt;"",VLOOKUP(C334,DSKH!B:E,3,0),"")</f>
        <v/>
      </c>
      <c r="H334" s="222"/>
      <c r="I334" s="217"/>
      <c r="J334" s="224"/>
      <c r="K334" s="216" t="str">
        <f>IF(C334&lt;&gt;"",VLOOKUP(C334,[1]DSKH!B:E,4,0),"")</f>
        <v/>
      </c>
      <c r="L334" s="216"/>
      <c r="M334" s="216" t="str">
        <f t="shared" si="6"/>
        <v>-  -MAY 02-</v>
      </c>
    </row>
    <row r="335" spans="1:13">
      <c r="A335" s="216" t="str">
        <f>IF(C335&lt;&gt;"",SUBTOTAL(103,$C$12:C335),"")</f>
        <v/>
      </c>
      <c r="B335" s="226">
        <v>43222</v>
      </c>
      <c r="C335" s="216"/>
      <c r="D335" s="216" t="str">
        <f>IF(C335&lt;&gt;"",VLOOKUP(C335,[1]DSKH!B:E,2,0),"")</f>
        <v/>
      </c>
      <c r="E335" s="215"/>
      <c r="F335" s="216"/>
      <c r="G335" s="216" t="str">
        <f>IF(C335&lt;&gt;"",VLOOKUP(C335,DSKH!B:E,3,0),"")</f>
        <v/>
      </c>
      <c r="H335" s="222"/>
      <c r="I335" s="217"/>
      <c r="J335" s="224"/>
      <c r="K335" s="216" t="str">
        <f>IF(C335&lt;&gt;"",VLOOKUP(C335,[1]DSKH!B:E,4,0),"")</f>
        <v/>
      </c>
      <c r="L335" s="216"/>
      <c r="M335" s="216" t="str">
        <f t="shared" si="6"/>
        <v>-  -MAY 02-</v>
      </c>
    </row>
    <row r="336" spans="1:13">
      <c r="A336" s="216" t="str">
        <f>IF(C336&lt;&gt;"",SUBTOTAL(103,$C$12:C336),"")</f>
        <v/>
      </c>
      <c r="B336" s="226">
        <v>43222</v>
      </c>
      <c r="C336" s="216"/>
      <c r="D336" s="216" t="str">
        <f>IF(C336&lt;&gt;"",VLOOKUP(C336,[1]DSKH!B:E,2,0),"")</f>
        <v/>
      </c>
      <c r="E336" s="215"/>
      <c r="F336" s="216"/>
      <c r="G336" s="216" t="str">
        <f>IF(C336&lt;&gt;"",VLOOKUP(C336,DSKH!B:E,3,0),"")</f>
        <v/>
      </c>
      <c r="H336" s="222"/>
      <c r="I336" s="217"/>
      <c r="J336" s="224"/>
      <c r="K336" s="216" t="str">
        <f>IF(C336&lt;&gt;"",VLOOKUP(C336,[1]DSKH!B:E,4,0),"")</f>
        <v/>
      </c>
      <c r="L336" s="216"/>
      <c r="M336" s="216" t="str">
        <f t="shared" si="6"/>
        <v>-  -MAY 02-</v>
      </c>
    </row>
    <row r="337" spans="1:13">
      <c r="A337" s="216" t="str">
        <f>IF(C337&lt;&gt;"",SUBTOTAL(103,$C$12:C337),"")</f>
        <v/>
      </c>
      <c r="B337" s="226">
        <v>43222</v>
      </c>
      <c r="C337" s="216"/>
      <c r="D337" s="216" t="str">
        <f>IF(C337&lt;&gt;"",VLOOKUP(C337,[1]DSKH!B:E,2,0),"")</f>
        <v/>
      </c>
      <c r="E337" s="215"/>
      <c r="F337" s="216"/>
      <c r="G337" s="216" t="str">
        <f>IF(C337&lt;&gt;"",VLOOKUP(C337,DSKH!B:E,3,0),"")</f>
        <v/>
      </c>
      <c r="H337" s="222"/>
      <c r="I337" s="217"/>
      <c r="J337" s="224"/>
      <c r="K337" s="216" t="str">
        <f>IF(C337&lt;&gt;"",VLOOKUP(C337,[1]DSKH!B:E,4,0),"")</f>
        <v/>
      </c>
      <c r="L337" s="216"/>
      <c r="M337" s="216" t="str">
        <f t="shared" si="6"/>
        <v>-  -MAY 02-</v>
      </c>
    </row>
    <row r="338" spans="1:13">
      <c r="A338" s="216" t="str">
        <f>IF(C338&lt;&gt;"",SUBTOTAL(103,$C$12:C338),"")</f>
        <v/>
      </c>
      <c r="B338" s="226">
        <v>43222</v>
      </c>
      <c r="C338" s="216"/>
      <c r="D338" s="216" t="str">
        <f>IF(C338&lt;&gt;"",VLOOKUP(C338,[1]DSKH!B:E,2,0),"")</f>
        <v/>
      </c>
      <c r="E338" s="215"/>
      <c r="F338" s="216"/>
      <c r="G338" s="216" t="str">
        <f>IF(C338&lt;&gt;"",VLOOKUP(C338,DSKH!B:E,3,0),"")</f>
        <v/>
      </c>
      <c r="H338" s="222"/>
      <c r="I338" s="217"/>
      <c r="J338" s="224"/>
      <c r="K338" s="216" t="str">
        <f>IF(C338&lt;&gt;"",VLOOKUP(C338,[1]DSKH!B:E,4,0),"")</f>
        <v/>
      </c>
      <c r="L338" s="216"/>
      <c r="M338" s="216" t="str">
        <f t="shared" si="6"/>
        <v>-  -MAY 02-</v>
      </c>
    </row>
    <row r="339" spans="1:13">
      <c r="A339" s="216" t="str">
        <f>IF(C339&lt;&gt;"",SUBTOTAL(103,$C$12:C339),"")</f>
        <v/>
      </c>
      <c r="B339" s="226">
        <v>43222</v>
      </c>
      <c r="C339" s="216"/>
      <c r="D339" s="216" t="str">
        <f>IF(C339&lt;&gt;"",VLOOKUP(C339,[1]DSKH!B:E,2,0),"")</f>
        <v/>
      </c>
      <c r="E339" s="215"/>
      <c r="F339" s="216"/>
      <c r="G339" s="216" t="str">
        <f>IF(C339&lt;&gt;"",VLOOKUP(C339,DSKH!B:E,3,0),"")</f>
        <v/>
      </c>
      <c r="H339" s="222"/>
      <c r="I339" s="217"/>
      <c r="J339" s="224"/>
      <c r="K339" s="216" t="str">
        <f>IF(C339&lt;&gt;"",VLOOKUP(C339,[1]DSKH!B:E,4,0),"")</f>
        <v/>
      </c>
      <c r="L339" s="216"/>
      <c r="M339" s="216" t="str">
        <f t="shared" si="6"/>
        <v>-  -MAY 02-</v>
      </c>
    </row>
    <row r="340" spans="1:13">
      <c r="A340" s="216" t="str">
        <f>IF(C340&lt;&gt;"",SUBTOTAL(103,$C$12:C340),"")</f>
        <v/>
      </c>
      <c r="B340" s="226">
        <v>43222</v>
      </c>
      <c r="C340" s="216"/>
      <c r="D340" s="216" t="str">
        <f>IF(C340&lt;&gt;"",VLOOKUP(C340,[1]DSKH!B:E,2,0),"")</f>
        <v/>
      </c>
      <c r="E340" s="215"/>
      <c r="F340" s="216"/>
      <c r="G340" s="216" t="str">
        <f>IF(C340&lt;&gt;"",VLOOKUP(C340,DSKH!B:E,3,0),"")</f>
        <v/>
      </c>
      <c r="H340" s="222"/>
      <c r="I340" s="217"/>
      <c r="J340" s="224"/>
      <c r="K340" s="216" t="str">
        <f>IF(C340&lt;&gt;"",VLOOKUP(C340,[1]DSKH!B:E,4,0),"")</f>
        <v/>
      </c>
      <c r="L340" s="216"/>
      <c r="M340" s="216" t="str">
        <f t="shared" si="6"/>
        <v>-  -MAY 02-</v>
      </c>
    </row>
    <row r="341" spans="1:13">
      <c r="A341" s="216" t="str">
        <f>IF(C341&lt;&gt;"",SUBTOTAL(103,$C$12:C341),"")</f>
        <v/>
      </c>
      <c r="B341" s="226">
        <v>43222</v>
      </c>
      <c r="C341" s="216"/>
      <c r="D341" s="216" t="str">
        <f>IF(C341&lt;&gt;"",VLOOKUP(C341,[1]DSKH!B:E,2,0),"")</f>
        <v/>
      </c>
      <c r="E341" s="215"/>
      <c r="F341" s="216"/>
      <c r="G341" s="216" t="str">
        <f>IF(C341&lt;&gt;"",VLOOKUP(C341,DSKH!B:E,3,0),"")</f>
        <v/>
      </c>
      <c r="H341" s="222"/>
      <c r="I341" s="217"/>
      <c r="J341" s="224"/>
      <c r="K341" s="216" t="str">
        <f>IF(C341&lt;&gt;"",VLOOKUP(C341,[1]DSKH!B:E,4,0),"")</f>
        <v/>
      </c>
      <c r="L341" s="216"/>
      <c r="M341" s="216" t="str">
        <f t="shared" si="6"/>
        <v>-  -MAY 02-</v>
      </c>
    </row>
    <row r="342" spans="1:13">
      <c r="A342" s="216" t="str">
        <f>IF(C342&lt;&gt;"",SUBTOTAL(103,$C$12:C342),"")</f>
        <v/>
      </c>
      <c r="B342" s="226">
        <v>43222</v>
      </c>
      <c r="C342" s="216"/>
      <c r="D342" s="216" t="str">
        <f>IF(C342&lt;&gt;"",VLOOKUP(C342,[1]DSKH!B:E,2,0),"")</f>
        <v/>
      </c>
      <c r="E342" s="215"/>
      <c r="F342" s="216"/>
      <c r="G342" s="216" t="str">
        <f>IF(C342&lt;&gt;"",VLOOKUP(C342,DSKH!B:E,3,0),"")</f>
        <v/>
      </c>
      <c r="H342" s="222"/>
      <c r="I342" s="217"/>
      <c r="J342" s="224"/>
      <c r="K342" s="216" t="str">
        <f>IF(C342&lt;&gt;"",VLOOKUP(C342,[1]DSKH!B:E,4,0),"")</f>
        <v/>
      </c>
      <c r="L342" s="216"/>
      <c r="M342" s="216" t="str">
        <f t="shared" si="6"/>
        <v>-  -MAY 02-</v>
      </c>
    </row>
    <row r="343" spans="1:13">
      <c r="A343" s="216" t="str">
        <f>IF(C343&lt;&gt;"",SUBTOTAL(103,$C$12:C343),"")</f>
        <v/>
      </c>
      <c r="B343" s="226">
        <v>43222</v>
      </c>
      <c r="C343" s="216"/>
      <c r="D343" s="216" t="str">
        <f>IF(C343&lt;&gt;"",VLOOKUP(C343,[1]DSKH!B:E,2,0),"")</f>
        <v/>
      </c>
      <c r="E343" s="215"/>
      <c r="F343" s="216"/>
      <c r="G343" s="216" t="str">
        <f>IF(C343&lt;&gt;"",VLOOKUP(C343,DSKH!B:E,3,0),"")</f>
        <v/>
      </c>
      <c r="H343" s="222"/>
      <c r="I343" s="217"/>
      <c r="J343" s="224"/>
      <c r="K343" s="216" t="str">
        <f>IF(C343&lt;&gt;"",VLOOKUP(C343,[1]DSKH!B:E,4,0),"")</f>
        <v/>
      </c>
      <c r="L343" s="216"/>
      <c r="M343" s="216" t="str">
        <f t="shared" si="6"/>
        <v>-  -MAY 02-</v>
      </c>
    </row>
    <row r="344" spans="1:13">
      <c r="A344" s="216" t="str">
        <f>IF(C344&lt;&gt;"",SUBTOTAL(103,$C$12:C344),"")</f>
        <v/>
      </c>
      <c r="B344" s="226">
        <v>43222</v>
      </c>
      <c r="C344" s="216"/>
      <c r="D344" s="216" t="str">
        <f>IF(C344&lt;&gt;"",VLOOKUP(C344,[1]DSKH!B:E,2,0),"")</f>
        <v/>
      </c>
      <c r="E344" s="215"/>
      <c r="F344" s="216"/>
      <c r="G344" s="216" t="str">
        <f>IF(C344&lt;&gt;"",VLOOKUP(C344,DSKH!B:E,3,0),"")</f>
        <v/>
      </c>
      <c r="H344" s="222"/>
      <c r="I344" s="217"/>
      <c r="J344" s="224"/>
      <c r="K344" s="216" t="str">
        <f>IF(C344&lt;&gt;"",VLOOKUP(C344,[1]DSKH!B:E,4,0),"")</f>
        <v/>
      </c>
      <c r="L344" s="216"/>
      <c r="M344" s="216" t="str">
        <f t="shared" si="6"/>
        <v>-  -MAY 02-</v>
      </c>
    </row>
    <row r="345" spans="1:13">
      <c r="A345" s="216" t="str">
        <f>IF(C345&lt;&gt;"",SUBTOTAL(103,$C$12:C345),"")</f>
        <v/>
      </c>
      <c r="B345" s="226">
        <v>43222</v>
      </c>
      <c r="C345" s="216"/>
      <c r="D345" s="216" t="str">
        <f>IF(C345&lt;&gt;"",VLOOKUP(C345,[1]DSKH!B:E,2,0),"")</f>
        <v/>
      </c>
      <c r="E345" s="215"/>
      <c r="F345" s="216"/>
      <c r="G345" s="216" t="str">
        <f>IF(C345&lt;&gt;"",VLOOKUP(C345,DSKH!B:E,3,0),"")</f>
        <v/>
      </c>
      <c r="H345" s="222"/>
      <c r="I345" s="217"/>
      <c r="J345" s="224"/>
      <c r="K345" s="216" t="str">
        <f>IF(C345&lt;&gt;"",VLOOKUP(C345,[1]DSKH!B:E,4,0),"")</f>
        <v/>
      </c>
      <c r="L345" s="216"/>
      <c r="M345" s="216" t="str">
        <f t="shared" si="6"/>
        <v>-  -MAY 02-</v>
      </c>
    </row>
    <row r="346" spans="1:13">
      <c r="A346" s="216" t="str">
        <f>IF(C346&lt;&gt;"",SUBTOTAL(103,$C$12:C346),"")</f>
        <v/>
      </c>
      <c r="B346" s="226">
        <v>43222</v>
      </c>
      <c r="C346" s="216"/>
      <c r="D346" s="216" t="str">
        <f>IF(C346&lt;&gt;"",VLOOKUP(C346,[1]DSKH!B:E,2,0),"")</f>
        <v/>
      </c>
      <c r="E346" s="215"/>
      <c r="F346" s="216"/>
      <c r="G346" s="216" t="str">
        <f>IF(C346&lt;&gt;"",VLOOKUP(C346,DSKH!B:E,3,0),"")</f>
        <v/>
      </c>
      <c r="H346" s="222"/>
      <c r="I346" s="217"/>
      <c r="J346" s="224"/>
      <c r="K346" s="216" t="str">
        <f>IF(C346&lt;&gt;"",VLOOKUP(C346,[1]DSKH!B:E,4,0),"")</f>
        <v/>
      </c>
      <c r="L346" s="216"/>
      <c r="M346" s="216" t="str">
        <f t="shared" si="6"/>
        <v>-  -MAY 02-</v>
      </c>
    </row>
    <row r="347" spans="1:13">
      <c r="A347" s="216" t="str">
        <f>IF(C347&lt;&gt;"",SUBTOTAL(103,$C$12:C347),"")</f>
        <v/>
      </c>
      <c r="B347" s="226">
        <v>43222</v>
      </c>
      <c r="C347" s="216"/>
      <c r="D347" s="216" t="str">
        <f>IF(C347&lt;&gt;"",VLOOKUP(C347,[1]DSKH!B:E,2,0),"")</f>
        <v/>
      </c>
      <c r="E347" s="215"/>
      <c r="F347" s="216"/>
      <c r="G347" s="216" t="str">
        <f>IF(C347&lt;&gt;"",VLOOKUP(C347,DSKH!B:E,3,0),"")</f>
        <v/>
      </c>
      <c r="H347" s="222"/>
      <c r="I347" s="217"/>
      <c r="J347" s="224"/>
      <c r="K347" s="216" t="str">
        <f>IF(C347&lt;&gt;"",VLOOKUP(C347,[1]DSKH!B:E,4,0),"")</f>
        <v/>
      </c>
      <c r="L347" s="216"/>
      <c r="M347" s="216" t="str">
        <f t="shared" si="6"/>
        <v>-  -MAY 02-</v>
      </c>
    </row>
    <row r="348" spans="1:13">
      <c r="A348" s="216" t="str">
        <f>IF(C348&lt;&gt;"",SUBTOTAL(103,$C$12:C348),"")</f>
        <v/>
      </c>
      <c r="B348" s="226">
        <v>43222</v>
      </c>
      <c r="C348" s="216"/>
      <c r="D348" s="216" t="str">
        <f>IF(C348&lt;&gt;"",VLOOKUP(C348,[1]DSKH!B:E,2,0),"")</f>
        <v/>
      </c>
      <c r="E348" s="215"/>
      <c r="F348" s="216"/>
      <c r="G348" s="216" t="str">
        <f>IF(C348&lt;&gt;"",VLOOKUP(C348,DSKH!B:E,3,0),"")</f>
        <v/>
      </c>
      <c r="H348" s="222"/>
      <c r="I348" s="217"/>
      <c r="J348" s="224"/>
      <c r="K348" s="216" t="str">
        <f>IF(C348&lt;&gt;"",VLOOKUP(C348,[1]DSKH!B:E,4,0),"")</f>
        <v/>
      </c>
      <c r="L348" s="216"/>
      <c r="M348" s="216" t="str">
        <f t="shared" si="6"/>
        <v>-  -MAY 02-</v>
      </c>
    </row>
    <row r="349" spans="1:13">
      <c r="A349" s="216" t="str">
        <f>IF(C349&lt;&gt;"",SUBTOTAL(103,$C$12:C349),"")</f>
        <v/>
      </c>
      <c r="B349" s="226">
        <v>43222</v>
      </c>
      <c r="C349" s="216"/>
      <c r="D349" s="216" t="str">
        <f>IF(C349&lt;&gt;"",VLOOKUP(C349,[1]DSKH!B:E,2,0),"")</f>
        <v/>
      </c>
      <c r="E349" s="215"/>
      <c r="F349" s="216"/>
      <c r="G349" s="216" t="str">
        <f>IF(C349&lt;&gt;"",VLOOKUP(C349,DSKH!B:E,3,0),"")</f>
        <v/>
      </c>
      <c r="H349" s="222"/>
      <c r="I349" s="217"/>
      <c r="J349" s="224"/>
      <c r="K349" s="216" t="str">
        <f>IF(C349&lt;&gt;"",VLOOKUP(C349,[1]DSKH!B:E,4,0),"")</f>
        <v/>
      </c>
      <c r="L349" s="216"/>
      <c r="M349" s="216" t="str">
        <f t="shared" si="6"/>
        <v>-  -MAY 02-</v>
      </c>
    </row>
    <row r="350" spans="1:13">
      <c r="A350" s="216" t="str">
        <f>IF(C350&lt;&gt;"",SUBTOTAL(103,$C$12:C350),"")</f>
        <v/>
      </c>
      <c r="B350" s="226">
        <v>43222</v>
      </c>
      <c r="C350" s="216"/>
      <c r="D350" s="216" t="str">
        <f>IF(C350&lt;&gt;"",VLOOKUP(C350,[1]DSKH!B:E,2,0),"")</f>
        <v/>
      </c>
      <c r="E350" s="215"/>
      <c r="F350" s="216"/>
      <c r="G350" s="216" t="str">
        <f>IF(C350&lt;&gt;"",VLOOKUP(C350,DSKH!B:E,3,0),"")</f>
        <v/>
      </c>
      <c r="H350" s="222"/>
      <c r="I350" s="217"/>
      <c r="J350" s="224"/>
      <c r="K350" s="216" t="str">
        <f>IF(C350&lt;&gt;"",VLOOKUP(C350,[1]DSKH!B:E,4,0),"")</f>
        <v/>
      </c>
      <c r="L350" s="216"/>
      <c r="M350" s="216" t="str">
        <f t="shared" si="6"/>
        <v>-  -MAY 02-</v>
      </c>
    </row>
    <row r="351" spans="1:13">
      <c r="A351" s="216" t="str">
        <f>IF(C351&lt;&gt;"",SUBTOTAL(103,$C$12:C351),"")</f>
        <v/>
      </c>
      <c r="B351" s="226">
        <v>43222</v>
      </c>
      <c r="C351" s="216"/>
      <c r="D351" s="216" t="str">
        <f>IF(C351&lt;&gt;"",VLOOKUP(C351,[1]DSKH!B:E,2,0),"")</f>
        <v/>
      </c>
      <c r="E351" s="215"/>
      <c r="F351" s="216"/>
      <c r="G351" s="216" t="str">
        <f>IF(C351&lt;&gt;"",VLOOKUP(C351,DSKH!B:E,3,0),"")</f>
        <v/>
      </c>
      <c r="H351" s="222"/>
      <c r="I351" s="217"/>
      <c r="J351" s="224"/>
      <c r="K351" s="216" t="str">
        <f>IF(C351&lt;&gt;"",VLOOKUP(C351,[1]DSKH!B:E,4,0),"")</f>
        <v/>
      </c>
      <c r="L351" s="216"/>
      <c r="M351" s="216" t="str">
        <f t="shared" si="6"/>
        <v>-  -MAY 02-</v>
      </c>
    </row>
    <row r="352" spans="1:13">
      <c r="A352" s="216" t="str">
        <f>IF(C352&lt;&gt;"",SUBTOTAL(103,$C$12:C352),"")</f>
        <v/>
      </c>
      <c r="B352" s="226">
        <v>43222</v>
      </c>
      <c r="C352" s="216"/>
      <c r="D352" s="216" t="str">
        <f>IF(C352&lt;&gt;"",VLOOKUP(C352,[1]DSKH!B:E,2,0),"")</f>
        <v/>
      </c>
      <c r="E352" s="215"/>
      <c r="F352" s="216"/>
      <c r="G352" s="216" t="str">
        <f>IF(C352&lt;&gt;"",VLOOKUP(C352,DSKH!B:E,3,0),"")</f>
        <v/>
      </c>
      <c r="H352" s="222"/>
      <c r="I352" s="217"/>
      <c r="J352" s="224"/>
      <c r="K352" s="216" t="str">
        <f>IF(C352&lt;&gt;"",VLOOKUP(C352,[1]DSKH!B:E,4,0),"")</f>
        <v/>
      </c>
      <c r="L352" s="216"/>
      <c r="M352" s="216" t="str">
        <f t="shared" si="6"/>
        <v>-  -MAY 02-</v>
      </c>
    </row>
    <row r="353" spans="1:13">
      <c r="A353" s="216" t="str">
        <f>IF(C353&lt;&gt;"",SUBTOTAL(103,$C$12:C353),"")</f>
        <v/>
      </c>
      <c r="B353" s="226">
        <v>43222</v>
      </c>
      <c r="C353" s="216"/>
      <c r="D353" s="216" t="str">
        <f>IF(C353&lt;&gt;"",VLOOKUP(C353,[1]DSKH!B:E,2,0),"")</f>
        <v/>
      </c>
      <c r="E353" s="215"/>
      <c r="F353" s="216"/>
      <c r="G353" s="216" t="str">
        <f>IF(C353&lt;&gt;"",VLOOKUP(C353,DSKH!B:E,3,0),"")</f>
        <v/>
      </c>
      <c r="H353" s="222"/>
      <c r="I353" s="217"/>
      <c r="J353" s="224"/>
      <c r="K353" s="216" t="str">
        <f>IF(C353&lt;&gt;"",VLOOKUP(C353,[1]DSKH!B:E,4,0),"")</f>
        <v/>
      </c>
      <c r="L353" s="216"/>
      <c r="M353" s="216" t="str">
        <f t="shared" si="6"/>
        <v>-  -MAY 02-</v>
      </c>
    </row>
    <row r="354" spans="1:13">
      <c r="A354" s="216" t="str">
        <f>IF(C354&lt;&gt;"",SUBTOTAL(103,$C$12:C354),"")</f>
        <v/>
      </c>
      <c r="B354" s="226">
        <v>43222</v>
      </c>
      <c r="C354" s="216"/>
      <c r="D354" s="216" t="str">
        <f>IF(C354&lt;&gt;"",VLOOKUP(C354,[1]DSKH!B:E,2,0),"")</f>
        <v/>
      </c>
      <c r="E354" s="215"/>
      <c r="F354" s="216"/>
      <c r="G354" s="216" t="str">
        <f>IF(C354&lt;&gt;"",VLOOKUP(C354,DSKH!B:E,3,0),"")</f>
        <v/>
      </c>
      <c r="H354" s="222"/>
      <c r="I354" s="217"/>
      <c r="J354" s="224"/>
      <c r="K354" s="216" t="str">
        <f>IF(C354&lt;&gt;"",VLOOKUP(C354,[1]DSKH!B:E,4,0),"")</f>
        <v/>
      </c>
      <c r="L354" s="216"/>
      <c r="M354" s="216" t="str">
        <f t="shared" si="6"/>
        <v>-  -MAY 02-</v>
      </c>
    </row>
    <row r="355" spans="1:13">
      <c r="A355" s="216" t="str">
        <f>IF(C355&lt;&gt;"",SUBTOTAL(103,$C$12:C355),"")</f>
        <v/>
      </c>
      <c r="B355" s="226">
        <v>43222</v>
      </c>
      <c r="C355" s="216"/>
      <c r="D355" s="216" t="str">
        <f>IF(C355&lt;&gt;"",VLOOKUP(C355,[1]DSKH!B:E,2,0),"")</f>
        <v/>
      </c>
      <c r="E355" s="215"/>
      <c r="F355" s="216"/>
      <c r="G355" s="216" t="str">
        <f>IF(C355&lt;&gt;"",VLOOKUP(C355,DSKH!B:E,3,0),"")</f>
        <v/>
      </c>
      <c r="H355" s="222"/>
      <c r="I355" s="217"/>
      <c r="J355" s="224"/>
      <c r="K355" s="216" t="str">
        <f>IF(C355&lt;&gt;"",VLOOKUP(C355,[1]DSKH!B:E,4,0),"")</f>
        <v/>
      </c>
      <c r="L355" s="216"/>
      <c r="M355" s="216" t="str">
        <f t="shared" si="6"/>
        <v>-  -MAY 02-</v>
      </c>
    </row>
    <row r="356" spans="1:13">
      <c r="A356" s="216" t="str">
        <f>IF(C356&lt;&gt;"",SUBTOTAL(103,$C$12:C356),"")</f>
        <v/>
      </c>
      <c r="B356" s="226">
        <v>43222</v>
      </c>
      <c r="C356" s="216"/>
      <c r="D356" s="216" t="str">
        <f>IF(C356&lt;&gt;"",VLOOKUP(C356,[1]DSKH!B:E,2,0),"")</f>
        <v/>
      </c>
      <c r="E356" s="215"/>
      <c r="F356" s="216"/>
      <c r="G356" s="216" t="str">
        <f>IF(C356&lt;&gt;"",VLOOKUP(C356,DSKH!B:E,3,0),"")</f>
        <v/>
      </c>
      <c r="H356" s="222"/>
      <c r="I356" s="217"/>
      <c r="J356" s="224"/>
      <c r="K356" s="216" t="str">
        <f>IF(C356&lt;&gt;"",VLOOKUP(C356,[1]DSKH!B:E,4,0),"")</f>
        <v/>
      </c>
      <c r="L356" s="216"/>
      <c r="M356" s="216" t="str">
        <f t="shared" si="6"/>
        <v>-  -MAY 02-</v>
      </c>
    </row>
    <row r="357" spans="1:13">
      <c r="A357" s="216" t="str">
        <f>IF(C357&lt;&gt;"",SUBTOTAL(103,$C$12:C357),"")</f>
        <v/>
      </c>
      <c r="B357" s="226">
        <v>43222</v>
      </c>
      <c r="C357" s="216"/>
      <c r="D357" s="216" t="str">
        <f>IF(C357&lt;&gt;"",VLOOKUP(C357,[1]DSKH!B:E,2,0),"")</f>
        <v/>
      </c>
      <c r="E357" s="215"/>
      <c r="F357" s="216"/>
      <c r="G357" s="216" t="str">
        <f>IF(C357&lt;&gt;"",VLOOKUP(C357,DSKH!B:E,3,0),"")</f>
        <v/>
      </c>
      <c r="H357" s="222"/>
      <c r="I357" s="217"/>
      <c r="J357" s="224"/>
      <c r="K357" s="216" t="str">
        <f>IF(C357&lt;&gt;"",VLOOKUP(C357,[1]DSKH!B:E,4,0),"")</f>
        <v/>
      </c>
      <c r="L357" s="216"/>
      <c r="M357" s="216" t="str">
        <f t="shared" si="6"/>
        <v>-  -MAY 02-</v>
      </c>
    </row>
    <row r="358" spans="1:13">
      <c r="A358" s="216" t="str">
        <f>IF(C358&lt;&gt;"",SUBTOTAL(103,$C$12:C358),"")</f>
        <v/>
      </c>
      <c r="B358" s="226">
        <v>43222</v>
      </c>
      <c r="C358" s="216"/>
      <c r="D358" s="216" t="str">
        <f>IF(C358&lt;&gt;"",VLOOKUP(C358,[1]DSKH!B:E,2,0),"")</f>
        <v/>
      </c>
      <c r="E358" s="215"/>
      <c r="F358" s="216"/>
      <c r="G358" s="216" t="str">
        <f>IF(C358&lt;&gt;"",VLOOKUP(C358,DSKH!B:E,3,0),"")</f>
        <v/>
      </c>
      <c r="H358" s="222"/>
      <c r="I358" s="217"/>
      <c r="J358" s="224"/>
      <c r="K358" s="216" t="str">
        <f>IF(C358&lt;&gt;"",VLOOKUP(C358,[1]DSKH!B:E,4,0),"")</f>
        <v/>
      </c>
      <c r="L358" s="216"/>
      <c r="M358" s="216" t="str">
        <f t="shared" si="6"/>
        <v>-  -MAY 02-</v>
      </c>
    </row>
    <row r="359" spans="1:13">
      <c r="A359" s="216" t="str">
        <f>IF(C359&lt;&gt;"",SUBTOTAL(103,$C$12:C359),"")</f>
        <v/>
      </c>
      <c r="B359" s="226">
        <v>43222</v>
      </c>
      <c r="C359" s="216"/>
      <c r="D359" s="216" t="str">
        <f>IF(C359&lt;&gt;"",VLOOKUP(C359,[1]DSKH!B:E,2,0),"")</f>
        <v/>
      </c>
      <c r="E359" s="215"/>
      <c r="F359" s="216"/>
      <c r="G359" s="216" t="str">
        <f>IF(C359&lt;&gt;"",VLOOKUP(C359,DSKH!B:E,3,0),"")</f>
        <v/>
      </c>
      <c r="H359" s="222"/>
      <c r="I359" s="217"/>
      <c r="J359" s="224"/>
      <c r="K359" s="216" t="str">
        <f>IF(C359&lt;&gt;"",VLOOKUP(C359,[1]DSKH!B:E,4,0),"")</f>
        <v/>
      </c>
      <c r="L359" s="216"/>
      <c r="M359" s="216" t="str">
        <f t="shared" si="6"/>
        <v>-  -MAY 02-</v>
      </c>
    </row>
    <row r="360" spans="1:13">
      <c r="A360" s="216" t="str">
        <f>IF(C360&lt;&gt;"",SUBTOTAL(103,$C$12:C360),"")</f>
        <v/>
      </c>
      <c r="B360" s="226">
        <v>43222</v>
      </c>
      <c r="C360" s="216"/>
      <c r="D360" s="216" t="str">
        <f>IF(C360&lt;&gt;"",VLOOKUP(C360,[1]DSKH!B:E,2,0),"")</f>
        <v/>
      </c>
      <c r="E360" s="215"/>
      <c r="F360" s="216"/>
      <c r="G360" s="216" t="str">
        <f>IF(C360&lt;&gt;"",VLOOKUP(C360,DSKH!B:E,3,0),"")</f>
        <v/>
      </c>
      <c r="H360" s="222"/>
      <c r="I360" s="217"/>
      <c r="J360" s="224"/>
      <c r="K360" s="216" t="str">
        <f>IF(C360&lt;&gt;"",VLOOKUP(C360,[1]DSKH!B:E,4,0),"")</f>
        <v/>
      </c>
      <c r="L360" s="216"/>
      <c r="M360" s="216" t="str">
        <f t="shared" si="6"/>
        <v>-  -MAY 02-</v>
      </c>
    </row>
    <row r="361" spans="1:13">
      <c r="A361" s="216" t="str">
        <f>IF(C361&lt;&gt;"",SUBTOTAL(103,$C$12:C361),"")</f>
        <v/>
      </c>
      <c r="B361" s="226">
        <v>43222</v>
      </c>
      <c r="C361" s="216"/>
      <c r="D361" s="216" t="str">
        <f>IF(C361&lt;&gt;"",VLOOKUP(C361,[1]DSKH!B:E,2,0),"")</f>
        <v/>
      </c>
      <c r="E361" s="215"/>
      <c r="F361" s="216"/>
      <c r="G361" s="216" t="str">
        <f>IF(C361&lt;&gt;"",VLOOKUP(C361,DSKH!B:E,3,0),"")</f>
        <v/>
      </c>
      <c r="H361" s="222"/>
      <c r="I361" s="217"/>
      <c r="J361" s="224"/>
      <c r="K361" s="216" t="str">
        <f>IF(C361&lt;&gt;"",VLOOKUP(C361,[1]DSKH!B:E,4,0),"")</f>
        <v/>
      </c>
      <c r="L361" s="216"/>
      <c r="M361" s="216" t="str">
        <f t="shared" si="6"/>
        <v>-  -MAY 02-</v>
      </c>
    </row>
    <row r="362" spans="1:13">
      <c r="A362" s="216" t="str">
        <f>IF(C362&lt;&gt;"",SUBTOTAL(103,$C$12:C362),"")</f>
        <v/>
      </c>
      <c r="B362" s="226">
        <v>43222</v>
      </c>
      <c r="C362" s="216"/>
      <c r="D362" s="216" t="str">
        <f>IF(C362&lt;&gt;"",VLOOKUP(C362,[1]DSKH!B:E,2,0),"")</f>
        <v/>
      </c>
      <c r="E362" s="215"/>
      <c r="F362" s="216"/>
      <c r="G362" s="216" t="str">
        <f>IF(C362&lt;&gt;"",VLOOKUP(C362,DSKH!B:E,3,0),"")</f>
        <v/>
      </c>
      <c r="H362" s="222"/>
      <c r="I362" s="217"/>
      <c r="J362" s="224"/>
      <c r="K362" s="216" t="str">
        <f>IF(C362&lt;&gt;"",VLOOKUP(C362,[1]DSKH!B:E,4,0),"")</f>
        <v/>
      </c>
      <c r="L362" s="216"/>
      <c r="M362" s="216" t="str">
        <f t="shared" si="6"/>
        <v>-  -MAY 02-</v>
      </c>
    </row>
    <row r="363" spans="1:13">
      <c r="A363" s="216" t="str">
        <f>IF(C363&lt;&gt;"",SUBTOTAL(103,$C$12:C363),"")</f>
        <v/>
      </c>
      <c r="B363" s="226">
        <v>43222</v>
      </c>
      <c r="C363" s="216"/>
      <c r="D363" s="216" t="str">
        <f>IF(C363&lt;&gt;"",VLOOKUP(C363,[1]DSKH!B:E,2,0),"")</f>
        <v/>
      </c>
      <c r="E363" s="215"/>
      <c r="F363" s="216"/>
      <c r="G363" s="216" t="str">
        <f>IF(C363&lt;&gt;"",VLOOKUP(C363,DSKH!B:E,3,0),"")</f>
        <v/>
      </c>
      <c r="H363" s="222"/>
      <c r="I363" s="217"/>
      <c r="J363" s="224"/>
      <c r="K363" s="216" t="str">
        <f>IF(C363&lt;&gt;"",VLOOKUP(C363,[1]DSKH!B:E,4,0),"")</f>
        <v/>
      </c>
      <c r="L363" s="216"/>
      <c r="M363" s="216" t="str">
        <f t="shared" si="6"/>
        <v>-  -MAY 02-</v>
      </c>
    </row>
    <row r="364" spans="1:13">
      <c r="A364" s="216" t="str">
        <f>IF(C364&lt;&gt;"",SUBTOTAL(103,$C$12:C364),"")</f>
        <v/>
      </c>
      <c r="B364" s="226">
        <v>43222</v>
      </c>
      <c r="C364" s="216"/>
      <c r="D364" s="216" t="str">
        <f>IF(C364&lt;&gt;"",VLOOKUP(C364,[1]DSKH!B:E,2,0),"")</f>
        <v/>
      </c>
      <c r="E364" s="215"/>
      <c r="F364" s="216"/>
      <c r="G364" s="216" t="str">
        <f>IF(C364&lt;&gt;"",VLOOKUP(C364,DSKH!B:E,3,0),"")</f>
        <v/>
      </c>
      <c r="H364" s="222"/>
      <c r="I364" s="217"/>
      <c r="J364" s="224"/>
      <c r="K364" s="216" t="str">
        <f>IF(C364&lt;&gt;"",VLOOKUP(C364,[1]DSKH!B:E,4,0),"")</f>
        <v/>
      </c>
      <c r="L364" s="216"/>
      <c r="M364" s="216" t="str">
        <f t="shared" si="6"/>
        <v>-  -MAY 02-</v>
      </c>
    </row>
    <row r="365" spans="1:13">
      <c r="A365" s="216" t="str">
        <f>IF(C365&lt;&gt;"",SUBTOTAL(103,$C$12:C365),"")</f>
        <v/>
      </c>
      <c r="B365" s="226">
        <v>43222</v>
      </c>
      <c r="C365" s="216"/>
      <c r="D365" s="216" t="str">
        <f>IF(C365&lt;&gt;"",VLOOKUP(C365,[1]DSKH!B:E,2,0),"")</f>
        <v/>
      </c>
      <c r="E365" s="215"/>
      <c r="F365" s="216"/>
      <c r="G365" s="216" t="str">
        <f>IF(C365&lt;&gt;"",VLOOKUP(C365,DSKH!B:E,3,0),"")</f>
        <v/>
      </c>
      <c r="H365" s="222"/>
      <c r="I365" s="217"/>
      <c r="J365" s="224"/>
      <c r="K365" s="216" t="str">
        <f>IF(C365&lt;&gt;"",VLOOKUP(C365,[1]DSKH!B:E,4,0),"")</f>
        <v/>
      </c>
      <c r="L365" s="216"/>
      <c r="M365" s="216" t="str">
        <f t="shared" si="6"/>
        <v>-  -MAY 02-</v>
      </c>
    </row>
    <row r="366" spans="1:13">
      <c r="A366" s="216" t="str">
        <f>IF(C366&lt;&gt;"",SUBTOTAL(103,$C$12:C366),"")</f>
        <v/>
      </c>
      <c r="B366" s="226">
        <v>43222</v>
      </c>
      <c r="C366" s="216"/>
      <c r="D366" s="216" t="str">
        <f>IF(C366&lt;&gt;"",VLOOKUP(C366,[1]DSKH!B:E,2,0),"")</f>
        <v/>
      </c>
      <c r="E366" s="215"/>
      <c r="F366" s="216"/>
      <c r="G366" s="216" t="str">
        <f>IF(C366&lt;&gt;"",VLOOKUP(C366,DSKH!B:E,3,0),"")</f>
        <v/>
      </c>
      <c r="H366" s="222"/>
      <c r="I366" s="217"/>
      <c r="J366" s="224"/>
      <c r="K366" s="216" t="str">
        <f>IF(C366&lt;&gt;"",VLOOKUP(C366,[1]DSKH!B:E,4,0),"")</f>
        <v/>
      </c>
      <c r="L366" s="216"/>
      <c r="M366" s="216" t="str">
        <f t="shared" si="6"/>
        <v>-  -MAY 02-</v>
      </c>
    </row>
    <row r="367" spans="1:13">
      <c r="A367" s="216" t="str">
        <f>IF(C367&lt;&gt;"",SUBTOTAL(103,$C$12:C367),"")</f>
        <v/>
      </c>
      <c r="B367" s="226">
        <v>43222</v>
      </c>
      <c r="C367" s="216"/>
      <c r="D367" s="216" t="str">
        <f>IF(C367&lt;&gt;"",VLOOKUP(C367,[1]DSKH!B:E,2,0),"")</f>
        <v/>
      </c>
      <c r="E367" s="215"/>
      <c r="F367" s="216"/>
      <c r="G367" s="216" t="str">
        <f>IF(C367&lt;&gt;"",VLOOKUP(C367,DSKH!B:E,3,0),"")</f>
        <v/>
      </c>
      <c r="H367" s="222"/>
      <c r="I367" s="217"/>
      <c r="J367" s="224"/>
      <c r="K367" s="216" t="str">
        <f>IF(C367&lt;&gt;"",VLOOKUP(C367,[1]DSKH!B:E,4,0),"")</f>
        <v/>
      </c>
      <c r="L367" s="216"/>
      <c r="M367" s="216" t="str">
        <f t="shared" si="6"/>
        <v>-  -MAY 02-</v>
      </c>
    </row>
    <row r="368" spans="1:13">
      <c r="A368" s="216" t="str">
        <f>IF(C368&lt;&gt;"",SUBTOTAL(103,$C$12:C368),"")</f>
        <v/>
      </c>
      <c r="B368" s="226">
        <v>43222</v>
      </c>
      <c r="C368" s="216"/>
      <c r="D368" s="216" t="str">
        <f>IF(C368&lt;&gt;"",VLOOKUP(C368,[1]DSKH!B:E,2,0),"")</f>
        <v/>
      </c>
      <c r="E368" s="215"/>
      <c r="F368" s="216"/>
      <c r="G368" s="216" t="str">
        <f>IF(C368&lt;&gt;"",VLOOKUP(C368,DSKH!B:E,3,0),"")</f>
        <v/>
      </c>
      <c r="H368" s="222"/>
      <c r="I368" s="217"/>
      <c r="J368" s="224"/>
      <c r="K368" s="216" t="str">
        <f>IF(C368&lt;&gt;"",VLOOKUP(C368,[1]DSKH!B:E,4,0),"")</f>
        <v/>
      </c>
      <c r="L368" s="216"/>
      <c r="M368" s="216" t="str">
        <f t="shared" si="6"/>
        <v>-  -MAY 02-</v>
      </c>
    </row>
    <row r="369" spans="1:13">
      <c r="A369" s="216" t="str">
        <f>IF(C369&lt;&gt;"",SUBTOTAL(103,$C$12:C369),"")</f>
        <v/>
      </c>
      <c r="B369" s="226">
        <v>43222</v>
      </c>
      <c r="C369" s="216"/>
      <c r="D369" s="216" t="str">
        <f>IF(C369&lt;&gt;"",VLOOKUP(C369,[1]DSKH!B:E,2,0),"")</f>
        <v/>
      </c>
      <c r="E369" s="215"/>
      <c r="F369" s="216"/>
      <c r="G369" s="216" t="str">
        <f>IF(C369&lt;&gt;"",VLOOKUP(C369,DSKH!B:E,3,0),"")</f>
        <v/>
      </c>
      <c r="H369" s="222"/>
      <c r="I369" s="217"/>
      <c r="J369" s="224"/>
      <c r="K369" s="216" t="str">
        <f>IF(C369&lt;&gt;"",VLOOKUP(C369,[1]DSKH!B:E,4,0),"")</f>
        <v/>
      </c>
      <c r="L369" s="216"/>
      <c r="M369" s="216" t="str">
        <f t="shared" si="6"/>
        <v>-  -MAY 02-</v>
      </c>
    </row>
    <row r="370" spans="1:13">
      <c r="A370" s="216" t="str">
        <f>IF(C370&lt;&gt;"",SUBTOTAL(103,$C$12:C370),"")</f>
        <v/>
      </c>
      <c r="B370" s="226">
        <v>43222</v>
      </c>
      <c r="C370" s="216"/>
      <c r="D370" s="216" t="str">
        <f>IF(C370&lt;&gt;"",VLOOKUP(C370,[1]DSKH!B:E,2,0),"")</f>
        <v/>
      </c>
      <c r="E370" s="215"/>
      <c r="F370" s="216"/>
      <c r="G370" s="216" t="str">
        <f>IF(C370&lt;&gt;"",VLOOKUP(C370,DSKH!B:E,3,0),"")</f>
        <v/>
      </c>
      <c r="H370" s="222"/>
      <c r="I370" s="217"/>
      <c r="J370" s="224"/>
      <c r="K370" s="216" t="str">
        <f>IF(C370&lt;&gt;"",VLOOKUP(C370,[1]DSKH!B:E,4,0),"")</f>
        <v/>
      </c>
      <c r="L370" s="216"/>
      <c r="M370" s="216" t="str">
        <f t="shared" si="6"/>
        <v>-  -MAY 02-</v>
      </c>
    </row>
    <row r="371" spans="1:13">
      <c r="A371" s="216" t="str">
        <f>IF(C371&lt;&gt;"",SUBTOTAL(103,$C$12:C371),"")</f>
        <v/>
      </c>
      <c r="B371" s="226">
        <v>43222</v>
      </c>
      <c r="C371" s="216"/>
      <c r="D371" s="216" t="str">
        <f>IF(C371&lt;&gt;"",VLOOKUP(C371,[1]DSKH!B:E,2,0),"")</f>
        <v/>
      </c>
      <c r="E371" s="215"/>
      <c r="F371" s="216"/>
      <c r="G371" s="216" t="str">
        <f>IF(C371&lt;&gt;"",VLOOKUP(C371,DSKH!B:E,3,0),"")</f>
        <v/>
      </c>
      <c r="H371" s="222"/>
      <c r="I371" s="217"/>
      <c r="J371" s="224"/>
      <c r="K371" s="216" t="str">
        <f>IF(C371&lt;&gt;"",VLOOKUP(C371,[1]DSKH!B:E,4,0),"")</f>
        <v/>
      </c>
      <c r="L371" s="216"/>
      <c r="M371" s="216" t="str">
        <f t="shared" si="6"/>
        <v>-  -MAY 02-</v>
      </c>
    </row>
    <row r="372" spans="1:13">
      <c r="A372" s="216" t="str">
        <f>IF(C372&lt;&gt;"",SUBTOTAL(103,$C$12:C372),"")</f>
        <v/>
      </c>
      <c r="B372" s="226">
        <v>43222</v>
      </c>
      <c r="C372" s="216"/>
      <c r="D372" s="216" t="str">
        <f>IF(C372&lt;&gt;"",VLOOKUP(C372,[1]DSKH!B:E,2,0),"")</f>
        <v/>
      </c>
      <c r="E372" s="215"/>
      <c r="F372" s="216"/>
      <c r="G372" s="216" t="str">
        <f>IF(C372&lt;&gt;"",VLOOKUP(C372,DSKH!B:E,3,0),"")</f>
        <v/>
      </c>
      <c r="H372" s="222"/>
      <c r="I372" s="217"/>
      <c r="J372" s="224"/>
      <c r="K372" s="216" t="str">
        <f>IF(C372&lt;&gt;"",VLOOKUP(C372,[1]DSKH!B:E,4,0),"")</f>
        <v/>
      </c>
      <c r="L372" s="216"/>
      <c r="M372" s="216" t="str">
        <f t="shared" si="6"/>
        <v>-  -MAY 02-</v>
      </c>
    </row>
    <row r="373" spans="1:13">
      <c r="A373" s="216" t="str">
        <f>IF(C373&lt;&gt;"",SUBTOTAL(103,$C$12:C373),"")</f>
        <v/>
      </c>
      <c r="B373" s="226">
        <v>43222</v>
      </c>
      <c r="C373" s="216"/>
      <c r="D373" s="216" t="str">
        <f>IF(C373&lt;&gt;"",VLOOKUP(C373,[1]DSKH!B:E,2,0),"")</f>
        <v/>
      </c>
      <c r="E373" s="215"/>
      <c r="F373" s="216"/>
      <c r="G373" s="216" t="str">
        <f>IF(C373&lt;&gt;"",VLOOKUP(C373,DSKH!B:E,3,0),"")</f>
        <v/>
      </c>
      <c r="H373" s="222"/>
      <c r="I373" s="217"/>
      <c r="J373" s="224"/>
      <c r="K373" s="216" t="str">
        <f>IF(C373&lt;&gt;"",VLOOKUP(C373,[1]DSKH!B:E,4,0),"")</f>
        <v/>
      </c>
      <c r="L373" s="216"/>
      <c r="M373" s="216" t="str">
        <f t="shared" si="6"/>
        <v>-  -MAY 02-</v>
      </c>
    </row>
    <row r="374" spans="1:13">
      <c r="A374" s="216" t="str">
        <f>IF(C374&lt;&gt;"",SUBTOTAL(103,$C$12:C374),"")</f>
        <v/>
      </c>
      <c r="B374" s="226">
        <v>43222</v>
      </c>
      <c r="C374" s="216"/>
      <c r="D374" s="216" t="str">
        <f>IF(C374&lt;&gt;"",VLOOKUP(C374,[1]DSKH!B:E,2,0),"")</f>
        <v/>
      </c>
      <c r="E374" s="215"/>
      <c r="F374" s="216"/>
      <c r="G374" s="216" t="str">
        <f>IF(C374&lt;&gt;"",VLOOKUP(C374,DSKH!B:E,3,0),"")</f>
        <v/>
      </c>
      <c r="H374" s="222"/>
      <c r="I374" s="217"/>
      <c r="J374" s="224"/>
      <c r="K374" s="216" t="str">
        <f>IF(C374&lt;&gt;"",VLOOKUP(C374,[1]DSKH!B:E,4,0),"")</f>
        <v/>
      </c>
      <c r="L374" s="216"/>
      <c r="M374" s="216" t="str">
        <f t="shared" si="6"/>
        <v>-  -MAY 02-</v>
      </c>
    </row>
    <row r="375" spans="1:13">
      <c r="A375" s="216" t="str">
        <f>IF(C375&lt;&gt;"",SUBTOTAL(103,$C$12:C375),"")</f>
        <v/>
      </c>
      <c r="B375" s="226">
        <v>43222</v>
      </c>
      <c r="C375" s="216"/>
      <c r="D375" s="216" t="str">
        <f>IF(C375&lt;&gt;"",VLOOKUP(C375,[1]DSKH!B:E,2,0),"")</f>
        <v/>
      </c>
      <c r="E375" s="215"/>
      <c r="F375" s="216"/>
      <c r="G375" s="216" t="str">
        <f>IF(C375&lt;&gt;"",VLOOKUP(C375,DSKH!B:E,3,0),"")</f>
        <v/>
      </c>
      <c r="H375" s="222"/>
      <c r="I375" s="217"/>
      <c r="J375" s="224"/>
      <c r="K375" s="216" t="str">
        <f>IF(C375&lt;&gt;"",VLOOKUP(C375,[1]DSKH!B:E,4,0),"")</f>
        <v/>
      </c>
      <c r="L375" s="216"/>
      <c r="M375" s="216" t="str">
        <f t="shared" si="6"/>
        <v>-  -MAY 02-</v>
      </c>
    </row>
    <row r="376" spans="1:13">
      <c r="A376" s="216" t="str">
        <f>IF(C376&lt;&gt;"",SUBTOTAL(103,$C$12:C376),"")</f>
        <v/>
      </c>
      <c r="B376" s="226">
        <v>43222</v>
      </c>
      <c r="C376" s="216"/>
      <c r="D376" s="216" t="str">
        <f>IF(C376&lt;&gt;"",VLOOKUP(C376,[1]DSKH!B:E,2,0),"")</f>
        <v/>
      </c>
      <c r="E376" s="215"/>
      <c r="F376" s="216"/>
      <c r="G376" s="216" t="str">
        <f>IF(C376&lt;&gt;"",VLOOKUP(C376,DSKH!B:E,3,0),"")</f>
        <v/>
      </c>
      <c r="H376" s="222"/>
      <c r="I376" s="217"/>
      <c r="J376" s="224"/>
      <c r="K376" s="216" t="str">
        <f>IF(C376&lt;&gt;"",VLOOKUP(C376,[1]DSKH!B:E,4,0),"")</f>
        <v/>
      </c>
      <c r="L376" s="216"/>
      <c r="M376" s="216" t="str">
        <f t="shared" si="6"/>
        <v>-  -MAY 02-</v>
      </c>
    </row>
    <row r="377" spans="1:13">
      <c r="A377" s="216" t="str">
        <f>IF(C377&lt;&gt;"",SUBTOTAL(103,$C$12:C377),"")</f>
        <v/>
      </c>
      <c r="B377" s="226">
        <v>43222</v>
      </c>
      <c r="C377" s="216"/>
      <c r="D377" s="216" t="str">
        <f>IF(C377&lt;&gt;"",VLOOKUP(C377,[1]DSKH!B:E,2,0),"")</f>
        <v/>
      </c>
      <c r="E377" s="215"/>
      <c r="F377" s="216"/>
      <c r="G377" s="216" t="str">
        <f>IF(C377&lt;&gt;"",VLOOKUP(C377,DSKH!B:E,3,0),"")</f>
        <v/>
      </c>
      <c r="H377" s="222"/>
      <c r="I377" s="217"/>
      <c r="J377" s="224"/>
      <c r="K377" s="216" t="str">
        <f>IF(C377&lt;&gt;"",VLOOKUP(C377,[1]DSKH!B:E,4,0),"")</f>
        <v/>
      </c>
      <c r="L377" s="216"/>
      <c r="M377" s="216" t="str">
        <f t="shared" si="6"/>
        <v>-  -MAY 02-</v>
      </c>
    </row>
    <row r="378" spans="1:13">
      <c r="A378" s="216" t="str">
        <f>IF(C378&lt;&gt;"",SUBTOTAL(103,$C$12:C378),"")</f>
        <v/>
      </c>
      <c r="B378" s="226">
        <v>43222</v>
      </c>
      <c r="C378" s="216"/>
      <c r="D378" s="216" t="str">
        <f>IF(C378&lt;&gt;"",VLOOKUP(C378,[1]DSKH!B:E,2,0),"")</f>
        <v/>
      </c>
      <c r="E378" s="215"/>
      <c r="F378" s="216"/>
      <c r="G378" s="216" t="str">
        <f>IF(C378&lt;&gt;"",VLOOKUP(C378,DSKH!B:E,3,0),"")</f>
        <v/>
      </c>
      <c r="H378" s="222"/>
      <c r="I378" s="217"/>
      <c r="J378" s="224"/>
      <c r="K378" s="216" t="str">
        <f>IF(C378&lt;&gt;"",VLOOKUP(C378,[1]DSKH!B:E,4,0),"")</f>
        <v/>
      </c>
      <c r="L378" s="216"/>
      <c r="M378" s="216" t="str">
        <f t="shared" si="6"/>
        <v>-  -MAY 02-</v>
      </c>
    </row>
    <row r="379" spans="1:13">
      <c r="A379" s="216" t="str">
        <f>IF(C379&lt;&gt;"",SUBTOTAL(103,$C$12:C379),"")</f>
        <v/>
      </c>
      <c r="B379" s="226">
        <v>43222</v>
      </c>
      <c r="C379" s="216"/>
      <c r="D379" s="216" t="str">
        <f>IF(C379&lt;&gt;"",VLOOKUP(C379,[1]DSKH!B:E,2,0),"")</f>
        <v/>
      </c>
      <c r="E379" s="215"/>
      <c r="F379" s="216"/>
      <c r="G379" s="216" t="str">
        <f>IF(C379&lt;&gt;"",VLOOKUP(C379,DSKH!B:E,3,0),"")</f>
        <v/>
      </c>
      <c r="H379" s="222"/>
      <c r="I379" s="217"/>
      <c r="J379" s="224"/>
      <c r="K379" s="216" t="str">
        <f>IF(C379&lt;&gt;"",VLOOKUP(C379,[1]DSKH!B:E,4,0),"")</f>
        <v/>
      </c>
      <c r="L379" s="216"/>
      <c r="M379" s="216" t="str">
        <f t="shared" si="6"/>
        <v>-  -MAY 02-</v>
      </c>
    </row>
    <row r="380" spans="1:13">
      <c r="A380" s="216" t="str">
        <f>IF(C380&lt;&gt;"",SUBTOTAL(103,$C$12:C380),"")</f>
        <v/>
      </c>
      <c r="B380" s="226">
        <v>43222</v>
      </c>
      <c r="C380" s="216"/>
      <c r="D380" s="216" t="str">
        <f>IF(C380&lt;&gt;"",VLOOKUP(C380,[1]DSKH!B:E,2,0),"")</f>
        <v/>
      </c>
      <c r="E380" s="215"/>
      <c r="F380" s="216"/>
      <c r="G380" s="216" t="str">
        <f>IF(C380&lt;&gt;"",VLOOKUP(C380,DSKH!B:E,3,0),"")</f>
        <v/>
      </c>
      <c r="H380" s="222"/>
      <c r="I380" s="217"/>
      <c r="J380" s="224"/>
      <c r="K380" s="216" t="str">
        <f>IF(C380&lt;&gt;"",VLOOKUP(C380,[1]DSKH!B:E,4,0),"")</f>
        <v/>
      </c>
      <c r="L380" s="216"/>
      <c r="M380" s="216" t="str">
        <f t="shared" si="6"/>
        <v>-  -MAY 02-</v>
      </c>
    </row>
    <row r="381" spans="1:13">
      <c r="A381" s="216" t="str">
        <f>IF(C381&lt;&gt;"",SUBTOTAL(103,$C$12:C381),"")</f>
        <v/>
      </c>
      <c r="B381" s="226">
        <v>43222</v>
      </c>
      <c r="C381" s="216"/>
      <c r="D381" s="216" t="str">
        <f>IF(C381&lt;&gt;"",VLOOKUP(C381,[1]DSKH!B:E,2,0),"")</f>
        <v/>
      </c>
      <c r="E381" s="215"/>
      <c r="F381" s="216"/>
      <c r="G381" s="216" t="str">
        <f>IF(C381&lt;&gt;"",VLOOKUP(C381,DSKH!B:E,3,0),"")</f>
        <v/>
      </c>
      <c r="H381" s="222"/>
      <c r="I381" s="217"/>
      <c r="J381" s="224"/>
      <c r="K381" s="216" t="str">
        <f>IF(C381&lt;&gt;"",VLOOKUP(C381,[1]DSKH!B:E,4,0),"")</f>
        <v/>
      </c>
      <c r="L381" s="216"/>
      <c r="M381" s="216" t="str">
        <f t="shared" si="6"/>
        <v>-  -MAY 02-</v>
      </c>
    </row>
    <row r="382" spans="1:13">
      <c r="A382" s="216" t="str">
        <f>IF(C382&lt;&gt;"",SUBTOTAL(103,$C$12:C382),"")</f>
        <v/>
      </c>
      <c r="B382" s="226">
        <v>43222</v>
      </c>
      <c r="C382" s="216"/>
      <c r="D382" s="216" t="str">
        <f>IF(C382&lt;&gt;"",VLOOKUP(C382,[1]DSKH!B:E,2,0),"")</f>
        <v/>
      </c>
      <c r="E382" s="215"/>
      <c r="F382" s="216"/>
      <c r="G382" s="216" t="str">
        <f>IF(C382&lt;&gt;"",VLOOKUP(C382,DSKH!B:E,3,0),"")</f>
        <v/>
      </c>
      <c r="H382" s="222"/>
      <c r="I382" s="217"/>
      <c r="J382" s="224"/>
      <c r="K382" s="216" t="str">
        <f>IF(C382&lt;&gt;"",VLOOKUP(C382,[1]DSKH!B:E,4,0),"")</f>
        <v/>
      </c>
      <c r="L382" s="216"/>
      <c r="M382" s="216" t="str">
        <f t="shared" si="6"/>
        <v>-  -MAY 02-</v>
      </c>
    </row>
    <row r="383" spans="1:13">
      <c r="A383" s="216" t="str">
        <f>IF(C383&lt;&gt;"",SUBTOTAL(103,$C$12:C383),"")</f>
        <v/>
      </c>
      <c r="B383" s="226">
        <v>43222</v>
      </c>
      <c r="C383" s="216"/>
      <c r="D383" s="216" t="str">
        <f>IF(C383&lt;&gt;"",VLOOKUP(C383,[1]DSKH!B:E,2,0),"")</f>
        <v/>
      </c>
      <c r="E383" s="215"/>
      <c r="F383" s="216"/>
      <c r="G383" s="216" t="str">
        <f>IF(C383&lt;&gt;"",VLOOKUP(C383,DSKH!B:E,3,0),"")</f>
        <v/>
      </c>
      <c r="H383" s="222"/>
      <c r="I383" s="217"/>
      <c r="J383" s="224"/>
      <c r="K383" s="216" t="str">
        <f>IF(C383&lt;&gt;"",VLOOKUP(C383,[1]DSKH!B:E,4,0),"")</f>
        <v/>
      </c>
      <c r="L383" s="216"/>
      <c r="M383" s="216" t="str">
        <f t="shared" si="6"/>
        <v>-  -MAY 02-</v>
      </c>
    </row>
    <row r="384" spans="1:13">
      <c r="A384" s="216" t="str">
        <f>IF(C384&lt;&gt;"",SUBTOTAL(103,$C$12:C384),"")</f>
        <v/>
      </c>
      <c r="B384" s="226">
        <v>43222</v>
      </c>
      <c r="C384" s="216"/>
      <c r="D384" s="216" t="str">
        <f>IF(C384&lt;&gt;"",VLOOKUP(C384,[1]DSKH!B:E,2,0),"")</f>
        <v/>
      </c>
      <c r="E384" s="215"/>
      <c r="F384" s="216"/>
      <c r="G384" s="216" t="str">
        <f>IF(C384&lt;&gt;"",VLOOKUP(C384,DSKH!B:E,3,0),"")</f>
        <v/>
      </c>
      <c r="H384" s="222"/>
      <c r="I384" s="217"/>
      <c r="J384" s="224"/>
      <c r="K384" s="216" t="str">
        <f>IF(C384&lt;&gt;"",VLOOKUP(C384,[1]DSKH!B:E,4,0),"")</f>
        <v/>
      </c>
      <c r="L384" s="216"/>
      <c r="M384" s="216" t="str">
        <f t="shared" si="6"/>
        <v>-  -MAY 02-</v>
      </c>
    </row>
    <row r="385" spans="1:13">
      <c r="A385" s="216" t="str">
        <f>IF(C385&lt;&gt;"",SUBTOTAL(103,$C$12:C385),"")</f>
        <v/>
      </c>
      <c r="B385" s="226">
        <v>43222</v>
      </c>
      <c r="C385" s="216"/>
      <c r="D385" s="216" t="str">
        <f>IF(C385&lt;&gt;"",VLOOKUP(C385,[1]DSKH!B:E,2,0),"")</f>
        <v/>
      </c>
      <c r="E385" s="215"/>
      <c r="F385" s="216"/>
      <c r="G385" s="216" t="str">
        <f>IF(C385&lt;&gt;"",VLOOKUP(C385,DSKH!B:E,3,0),"")</f>
        <v/>
      </c>
      <c r="H385" s="222"/>
      <c r="I385" s="217"/>
      <c r="J385" s="224"/>
      <c r="K385" s="216" t="str">
        <f>IF(C385&lt;&gt;"",VLOOKUP(C385,[1]DSKH!B:E,4,0),"")</f>
        <v/>
      </c>
      <c r="L385" s="216"/>
      <c r="M385" s="216" t="str">
        <f t="shared" si="6"/>
        <v>-  -MAY 02-</v>
      </c>
    </row>
    <row r="386" spans="1:13">
      <c r="A386" s="216" t="str">
        <f>IF(C386&lt;&gt;"",SUBTOTAL(103,$C$12:C386),"")</f>
        <v/>
      </c>
      <c r="B386" s="226">
        <v>43222</v>
      </c>
      <c r="C386" s="216"/>
      <c r="D386" s="216" t="str">
        <f>IF(C386&lt;&gt;"",VLOOKUP(C386,[1]DSKH!B:E,2,0),"")</f>
        <v/>
      </c>
      <c r="E386" s="215"/>
      <c r="F386" s="216"/>
      <c r="G386" s="216" t="str">
        <f>IF(C386&lt;&gt;"",VLOOKUP(C386,DSKH!B:E,3,0),"")</f>
        <v/>
      </c>
      <c r="H386" s="222"/>
      <c r="I386" s="217"/>
      <c r="J386" s="224"/>
      <c r="K386" s="216" t="str">
        <f>IF(C386&lt;&gt;"",VLOOKUP(C386,[1]DSKH!B:E,4,0),"")</f>
        <v/>
      </c>
      <c r="L386" s="216"/>
      <c r="M386" s="216" t="str">
        <f t="shared" si="6"/>
        <v>-  -MAY 02-</v>
      </c>
    </row>
    <row r="387" spans="1:13">
      <c r="A387" s="216" t="str">
        <f>IF(C387&lt;&gt;"",SUBTOTAL(103,$C$12:C387),"")</f>
        <v/>
      </c>
      <c r="B387" s="226">
        <v>43222</v>
      </c>
      <c r="C387" s="216"/>
      <c r="D387" s="216" t="str">
        <f>IF(C387&lt;&gt;"",VLOOKUP(C387,[1]DSKH!B:E,2,0),"")</f>
        <v/>
      </c>
      <c r="E387" s="215"/>
      <c r="F387" s="216"/>
      <c r="G387" s="216" t="str">
        <f>IF(C387&lt;&gt;"",VLOOKUP(C387,DSKH!B:E,3,0),"")</f>
        <v/>
      </c>
      <c r="H387" s="222"/>
      <c r="I387" s="217"/>
      <c r="J387" s="224"/>
      <c r="K387" s="216" t="str">
        <f>IF(C387&lt;&gt;"",VLOOKUP(C387,[1]DSKH!B:E,4,0),"")</f>
        <v/>
      </c>
      <c r="L387" s="216"/>
      <c r="M387" s="216" t="str">
        <f t="shared" si="6"/>
        <v>-  -MAY 02-</v>
      </c>
    </row>
    <row r="388" spans="1:13">
      <c r="A388" s="216" t="str">
        <f>IF(C388&lt;&gt;"",SUBTOTAL(103,$C$12:C388),"")</f>
        <v/>
      </c>
      <c r="B388" s="226">
        <v>43222</v>
      </c>
      <c r="C388" s="216"/>
      <c r="D388" s="216" t="str">
        <f>IF(C388&lt;&gt;"",VLOOKUP(C388,[1]DSKH!B:E,2,0),"")</f>
        <v/>
      </c>
      <c r="E388" s="215"/>
      <c r="F388" s="216"/>
      <c r="G388" s="216" t="str">
        <f>IF(C388&lt;&gt;"",VLOOKUP(C388,DSKH!B:E,3,0),"")</f>
        <v/>
      </c>
      <c r="H388" s="222"/>
      <c r="I388" s="217"/>
      <c r="J388" s="224"/>
      <c r="K388" s="216" t="str">
        <f>IF(C388&lt;&gt;"",VLOOKUP(C388,[1]DSKH!B:E,4,0),"")</f>
        <v/>
      </c>
      <c r="L388" s="216"/>
      <c r="M388" s="216" t="str">
        <f t="shared" si="6"/>
        <v>-  -MAY 02-</v>
      </c>
    </row>
    <row r="389" spans="1:13">
      <c r="A389" s="216" t="str">
        <f>IF(C389&lt;&gt;"",SUBTOTAL(103,$C$12:C389),"")</f>
        <v/>
      </c>
      <c r="B389" s="226">
        <v>43222</v>
      </c>
      <c r="C389" s="216"/>
      <c r="D389" s="216" t="str">
        <f>IF(C389&lt;&gt;"",VLOOKUP(C389,[1]DSKH!B:E,2,0),"")</f>
        <v/>
      </c>
      <c r="E389" s="215"/>
      <c r="F389" s="216"/>
      <c r="G389" s="216" t="str">
        <f>IF(C389&lt;&gt;"",VLOOKUP(C389,DSKH!B:E,3,0),"")</f>
        <v/>
      </c>
      <c r="H389" s="222"/>
      <c r="I389" s="217"/>
      <c r="J389" s="224"/>
      <c r="K389" s="216" t="str">
        <f>IF(C389&lt;&gt;"",VLOOKUP(C389,[1]DSKH!B:E,4,0),"")</f>
        <v/>
      </c>
      <c r="L389" s="216"/>
      <c r="M389" s="216" t="str">
        <f t="shared" si="6"/>
        <v>-  -MAY 02-</v>
      </c>
    </row>
    <row r="390" spans="1:13">
      <c r="A390" s="216" t="str">
        <f>IF(C390&lt;&gt;"",SUBTOTAL(103,$C$12:C390),"")</f>
        <v/>
      </c>
      <c r="B390" s="226">
        <v>43222</v>
      </c>
      <c r="C390" s="216"/>
      <c r="D390" s="216" t="str">
        <f>IF(C390&lt;&gt;"",VLOOKUP(C390,[1]DSKH!B:E,2,0),"")</f>
        <v/>
      </c>
      <c r="E390" s="215"/>
      <c r="F390" s="216"/>
      <c r="G390" s="216" t="str">
        <f>IF(C390&lt;&gt;"",VLOOKUP(C390,DSKH!B:E,3,0),"")</f>
        <v/>
      </c>
      <c r="H390" s="222"/>
      <c r="I390" s="217"/>
      <c r="J390" s="224"/>
      <c r="K390" s="216" t="str">
        <f>IF(C390&lt;&gt;"",VLOOKUP(C390,[1]DSKH!B:E,4,0),"")</f>
        <v/>
      </c>
      <c r="L390" s="216"/>
      <c r="M390" s="216" t="str">
        <f t="shared" si="6"/>
        <v>-  -MAY 02-</v>
      </c>
    </row>
    <row r="391" spans="1:13">
      <c r="A391" s="216" t="str">
        <f>IF(C391&lt;&gt;"",SUBTOTAL(103,$C$12:C391),"")</f>
        <v/>
      </c>
      <c r="B391" s="226">
        <v>43222</v>
      </c>
      <c r="C391" s="216"/>
      <c r="D391" s="216" t="str">
        <f>IF(C391&lt;&gt;"",VLOOKUP(C391,[1]DSKH!B:E,2,0),"")</f>
        <v/>
      </c>
      <c r="E391" s="215"/>
      <c r="F391" s="216"/>
      <c r="G391" s="216" t="str">
        <f>IF(C391&lt;&gt;"",VLOOKUP(C391,DSKH!B:E,3,0),"")</f>
        <v/>
      </c>
      <c r="H391" s="222"/>
      <c r="I391" s="217"/>
      <c r="J391" s="224"/>
      <c r="K391" s="216" t="str">
        <f>IF(C391&lt;&gt;"",VLOOKUP(C391,[1]DSKH!B:E,4,0),"")</f>
        <v/>
      </c>
      <c r="L391" s="216"/>
      <c r="M391" s="216" t="str">
        <f t="shared" si="6"/>
        <v>-  -MAY 02-</v>
      </c>
    </row>
    <row r="392" spans="1:13">
      <c r="A392" s="216" t="str">
        <f>IF(C392&lt;&gt;"",SUBTOTAL(103,$C$12:C392),"")</f>
        <v/>
      </c>
      <c r="B392" s="226">
        <v>43222</v>
      </c>
      <c r="C392" s="216"/>
      <c r="D392" s="216" t="str">
        <f>IF(C392&lt;&gt;"",VLOOKUP(C392,[1]DSKH!B:E,2,0),"")</f>
        <v/>
      </c>
      <c r="E392" s="215"/>
      <c r="F392" s="216"/>
      <c r="G392" s="216" t="str">
        <f>IF(C392&lt;&gt;"",VLOOKUP(C392,DSKH!B:E,3,0),"")</f>
        <v/>
      </c>
      <c r="H392" s="222"/>
      <c r="I392" s="217"/>
      <c r="J392" s="224"/>
      <c r="K392" s="216" t="str">
        <f>IF(C392&lt;&gt;"",VLOOKUP(C392,[1]DSKH!B:E,4,0),"")</f>
        <v/>
      </c>
      <c r="L392" s="216"/>
      <c r="M392" s="216" t="str">
        <f t="shared" si="6"/>
        <v>-  -MAY 02-</v>
      </c>
    </row>
    <row r="393" spans="1:13">
      <c r="A393" s="216" t="str">
        <f>IF(C393&lt;&gt;"",SUBTOTAL(103,$C$12:C393),"")</f>
        <v/>
      </c>
      <c r="B393" s="226">
        <v>43222</v>
      </c>
      <c r="C393" s="216"/>
      <c r="D393" s="216" t="str">
        <f>IF(C393&lt;&gt;"",VLOOKUP(C393,[1]DSKH!B:E,2,0),"")</f>
        <v/>
      </c>
      <c r="E393" s="215"/>
      <c r="F393" s="216"/>
      <c r="G393" s="216" t="str">
        <f>IF(C393&lt;&gt;"",VLOOKUP(C393,DSKH!B:E,3,0),"")</f>
        <v/>
      </c>
      <c r="H393" s="222"/>
      <c r="I393" s="217"/>
      <c r="J393" s="224"/>
      <c r="K393" s="216" t="str">
        <f>IF(C393&lt;&gt;"",VLOOKUP(C393,[1]DSKH!B:E,4,0),"")</f>
        <v/>
      </c>
      <c r="L393" s="216"/>
      <c r="M393" s="216" t="str">
        <f t="shared" si="6"/>
        <v>-  -MAY 02-</v>
      </c>
    </row>
    <row r="394" spans="1:13">
      <c r="A394" s="216" t="str">
        <f>IF(C394&lt;&gt;"",SUBTOTAL(103,$C$12:C394),"")</f>
        <v/>
      </c>
      <c r="B394" s="226">
        <v>43222</v>
      </c>
      <c r="C394" s="216"/>
      <c r="D394" s="216" t="str">
        <f>IF(C394&lt;&gt;"",VLOOKUP(C394,[1]DSKH!B:E,2,0),"")</f>
        <v/>
      </c>
      <c r="E394" s="215"/>
      <c r="F394" s="216"/>
      <c r="G394" s="216" t="str">
        <f>IF(C394&lt;&gt;"",VLOOKUP(C394,DSKH!B:E,3,0),"")</f>
        <v/>
      </c>
      <c r="H394" s="222"/>
      <c r="I394" s="217"/>
      <c r="J394" s="224"/>
      <c r="K394" s="216" t="str">
        <f>IF(C394&lt;&gt;"",VLOOKUP(C394,[1]DSKH!B:E,4,0),"")</f>
        <v/>
      </c>
      <c r="L394" s="216"/>
      <c r="M394" s="216" t="str">
        <f t="shared" si="6"/>
        <v>-  -MAY 02-</v>
      </c>
    </row>
    <row r="395" spans="1:13">
      <c r="A395" s="216" t="str">
        <f>IF(C395&lt;&gt;"",SUBTOTAL(103,$C$12:C395),"")</f>
        <v/>
      </c>
      <c r="B395" s="226">
        <v>43222</v>
      </c>
      <c r="C395" s="216"/>
      <c r="D395" s="216" t="str">
        <f>IF(C395&lt;&gt;"",VLOOKUP(C395,[1]DSKH!B:E,2,0),"")</f>
        <v/>
      </c>
      <c r="E395" s="215"/>
      <c r="F395" s="216"/>
      <c r="G395" s="216" t="str">
        <f>IF(C395&lt;&gt;"",VLOOKUP(C395,DSKH!B:E,3,0),"")</f>
        <v/>
      </c>
      <c r="H395" s="222"/>
      <c r="I395" s="217"/>
      <c r="J395" s="224"/>
      <c r="K395" s="216" t="str">
        <f>IF(C395&lt;&gt;"",VLOOKUP(C395,[1]DSKH!B:E,4,0),"")</f>
        <v/>
      </c>
      <c r="L395" s="216"/>
      <c r="M395" s="216" t="str">
        <f t="shared" si="6"/>
        <v>-  -MAY 02-</v>
      </c>
    </row>
    <row r="396" spans="1:13">
      <c r="A396" s="216" t="str">
        <f>IF(C396&lt;&gt;"",SUBTOTAL(103,$C$12:C396),"")</f>
        <v/>
      </c>
      <c r="B396" s="226">
        <v>43222</v>
      </c>
      <c r="C396" s="216"/>
      <c r="D396" s="216" t="str">
        <f>IF(C396&lt;&gt;"",VLOOKUP(C396,[1]DSKH!B:E,2,0),"")</f>
        <v/>
      </c>
      <c r="E396" s="215"/>
      <c r="F396" s="216"/>
      <c r="G396" s="216" t="str">
        <f>IF(C396&lt;&gt;"",VLOOKUP(C396,DSKH!B:E,3,0),"")</f>
        <v/>
      </c>
      <c r="H396" s="222"/>
      <c r="I396" s="217"/>
      <c r="J396" s="224"/>
      <c r="K396" s="216" t="str">
        <f>IF(C396&lt;&gt;"",VLOOKUP(C396,[1]DSKH!B:E,4,0),"")</f>
        <v/>
      </c>
      <c r="L396" s="216"/>
      <c r="M396" s="216" t="str">
        <f t="shared" ref="M396:M406" si="7">C396&amp;"-"&amp;" "&amp;H396&amp;" "&amp;"-"&amp;"MAY"&amp;" "&amp;"02"&amp;"-"&amp;J396</f>
        <v>-  -MAY 02-</v>
      </c>
    </row>
    <row r="397" spans="1:13">
      <c r="A397" s="216" t="str">
        <f>IF(C397&lt;&gt;"",SUBTOTAL(103,$C$12:C397),"")</f>
        <v/>
      </c>
      <c r="B397" s="226">
        <v>43222</v>
      </c>
      <c r="C397" s="216"/>
      <c r="D397" s="216" t="str">
        <f>IF(C397&lt;&gt;"",VLOOKUP(C397,[1]DSKH!B:E,2,0),"")</f>
        <v/>
      </c>
      <c r="E397" s="215"/>
      <c r="F397" s="216"/>
      <c r="G397" s="216" t="str">
        <f>IF(C397&lt;&gt;"",VLOOKUP(C397,DSKH!B:E,3,0),"")</f>
        <v/>
      </c>
      <c r="H397" s="222"/>
      <c r="I397" s="217"/>
      <c r="J397" s="224"/>
      <c r="K397" s="216" t="str">
        <f>IF(C397&lt;&gt;"",VLOOKUP(C397,[1]DSKH!B:E,4,0),"")</f>
        <v/>
      </c>
      <c r="L397" s="216"/>
      <c r="M397" s="216" t="str">
        <f t="shared" si="7"/>
        <v>-  -MAY 02-</v>
      </c>
    </row>
    <row r="398" spans="1:13">
      <c r="A398" s="216" t="str">
        <f>IF(C398&lt;&gt;"",SUBTOTAL(103,$C$12:C398),"")</f>
        <v/>
      </c>
      <c r="B398" s="226">
        <v>43222</v>
      </c>
      <c r="C398" s="216"/>
      <c r="D398" s="216" t="str">
        <f>IF(C398&lt;&gt;"",VLOOKUP(C398,[1]DSKH!B:E,2,0),"")</f>
        <v/>
      </c>
      <c r="E398" s="215"/>
      <c r="F398" s="216"/>
      <c r="G398" s="216" t="str">
        <f>IF(C398&lt;&gt;"",VLOOKUP(C398,DSKH!B:E,3,0),"")</f>
        <v/>
      </c>
      <c r="H398" s="222"/>
      <c r="I398" s="217"/>
      <c r="J398" s="224"/>
      <c r="K398" s="216" t="str">
        <f>IF(C398&lt;&gt;"",VLOOKUP(C398,[1]DSKH!B:E,4,0),"")</f>
        <v/>
      </c>
      <c r="L398" s="216"/>
      <c r="M398" s="216" t="str">
        <f t="shared" si="7"/>
        <v>-  -MAY 02-</v>
      </c>
    </row>
    <row r="399" spans="1:13">
      <c r="A399" s="216" t="str">
        <f>IF(C399&lt;&gt;"",SUBTOTAL(103,$C$12:C399),"")</f>
        <v/>
      </c>
      <c r="B399" s="226">
        <v>43222</v>
      </c>
      <c r="C399" s="216"/>
      <c r="D399" s="216" t="str">
        <f>IF(C399&lt;&gt;"",VLOOKUP(C399,[1]DSKH!B:E,2,0),"")</f>
        <v/>
      </c>
      <c r="E399" s="215"/>
      <c r="F399" s="216"/>
      <c r="G399" s="216" t="str">
        <f>IF(C399&lt;&gt;"",VLOOKUP(C399,DSKH!B:E,3,0),"")</f>
        <v/>
      </c>
      <c r="H399" s="222"/>
      <c r="I399" s="217"/>
      <c r="J399" s="224"/>
      <c r="K399" s="216" t="str">
        <f>IF(C399&lt;&gt;"",VLOOKUP(C399,[1]DSKH!B:E,4,0),"")</f>
        <v/>
      </c>
      <c r="L399" s="216"/>
      <c r="M399" s="216" t="str">
        <f t="shared" si="7"/>
        <v>-  -MAY 02-</v>
      </c>
    </row>
    <row r="400" spans="1:13">
      <c r="A400" s="216" t="str">
        <f>IF(C400&lt;&gt;"",SUBTOTAL(103,$C$12:C400),"")</f>
        <v/>
      </c>
      <c r="B400" s="226">
        <v>43222</v>
      </c>
      <c r="C400" s="216"/>
      <c r="D400" s="216" t="str">
        <f>IF(C400&lt;&gt;"",VLOOKUP(C400,[1]DSKH!B:E,2,0),"")</f>
        <v/>
      </c>
      <c r="E400" s="215"/>
      <c r="F400" s="216"/>
      <c r="G400" s="216" t="str">
        <f>IF(C400&lt;&gt;"",VLOOKUP(C400,DSKH!B:E,3,0),"")</f>
        <v/>
      </c>
      <c r="H400" s="222"/>
      <c r="I400" s="217"/>
      <c r="J400" s="224"/>
      <c r="K400" s="216" t="str">
        <f>IF(C400&lt;&gt;"",VLOOKUP(C400,[1]DSKH!B:E,4,0),"")</f>
        <v/>
      </c>
      <c r="L400" s="216"/>
      <c r="M400" s="216" t="str">
        <f t="shared" si="7"/>
        <v>-  -MAY 02-</v>
      </c>
    </row>
    <row r="401" spans="1:13">
      <c r="A401" s="216" t="str">
        <f>IF(C401&lt;&gt;"",SUBTOTAL(103,$C$12:C401),"")</f>
        <v/>
      </c>
      <c r="B401" s="226">
        <v>43222</v>
      </c>
      <c r="C401" s="216"/>
      <c r="D401" s="216" t="str">
        <f>IF(C401&lt;&gt;"",VLOOKUP(C401,[1]DSKH!B:E,2,0),"")</f>
        <v/>
      </c>
      <c r="E401" s="215"/>
      <c r="F401" s="216"/>
      <c r="G401" s="216" t="str">
        <f>IF(C401&lt;&gt;"",VLOOKUP(C401,DSKH!B:E,3,0),"")</f>
        <v/>
      </c>
      <c r="H401" s="222"/>
      <c r="I401" s="217"/>
      <c r="J401" s="224"/>
      <c r="K401" s="216" t="str">
        <f>IF(C401&lt;&gt;"",VLOOKUP(C401,[1]DSKH!B:E,4,0),"")</f>
        <v/>
      </c>
      <c r="L401" s="216"/>
      <c r="M401" s="216" t="str">
        <f t="shared" si="7"/>
        <v>-  -MAY 02-</v>
      </c>
    </row>
    <row r="402" spans="1:13">
      <c r="A402" s="216" t="str">
        <f>IF(C402&lt;&gt;"",SUBTOTAL(103,$C$12:C402),"")</f>
        <v/>
      </c>
      <c r="B402" s="226">
        <v>43222</v>
      </c>
      <c r="C402" s="216"/>
      <c r="D402" s="216" t="str">
        <f>IF(C402&lt;&gt;"",VLOOKUP(C402,[1]DSKH!B:E,2,0),"")</f>
        <v/>
      </c>
      <c r="E402" s="215"/>
      <c r="F402" s="216"/>
      <c r="G402" s="216" t="str">
        <f>IF(C402&lt;&gt;"",VLOOKUP(C402,DSKH!B:E,3,0),"")</f>
        <v/>
      </c>
      <c r="H402" s="222"/>
      <c r="I402" s="217"/>
      <c r="J402" s="224"/>
      <c r="K402" s="216" t="str">
        <f>IF(C402&lt;&gt;"",VLOOKUP(C402,[1]DSKH!B:E,4,0),"")</f>
        <v/>
      </c>
      <c r="L402" s="216"/>
      <c r="M402" s="216" t="str">
        <f t="shared" si="7"/>
        <v>-  -MAY 02-</v>
      </c>
    </row>
    <row r="403" spans="1:13">
      <c r="A403" s="216" t="str">
        <f>IF(C403&lt;&gt;"",SUBTOTAL(103,$C$12:C403),"")</f>
        <v/>
      </c>
      <c r="B403" s="226">
        <v>43222</v>
      </c>
      <c r="C403" s="216"/>
      <c r="D403" s="216" t="str">
        <f>IF(C403&lt;&gt;"",VLOOKUP(C403,[1]DSKH!B:E,2,0),"")</f>
        <v/>
      </c>
      <c r="E403" s="215"/>
      <c r="F403" s="216"/>
      <c r="G403" s="216" t="str">
        <f>IF(C403&lt;&gt;"",VLOOKUP(C403,DSKH!B:E,3,0),"")</f>
        <v/>
      </c>
      <c r="H403" s="222"/>
      <c r="I403" s="217"/>
      <c r="J403" s="224"/>
      <c r="K403" s="216" t="str">
        <f>IF(C403&lt;&gt;"",VLOOKUP(C403,[1]DSKH!B:E,4,0),"")</f>
        <v/>
      </c>
      <c r="L403" s="216"/>
      <c r="M403" s="216" t="str">
        <f t="shared" si="7"/>
        <v>-  -MAY 02-</v>
      </c>
    </row>
    <row r="404" spans="1:13">
      <c r="A404" s="216" t="str">
        <f>IF(C404&lt;&gt;"",SUBTOTAL(103,$C$12:C404),"")</f>
        <v/>
      </c>
      <c r="B404" s="226">
        <v>43222</v>
      </c>
      <c r="C404" s="216"/>
      <c r="D404" s="216" t="str">
        <f>IF(C404&lt;&gt;"",VLOOKUP(C404,[1]DSKH!B:E,2,0),"")</f>
        <v/>
      </c>
      <c r="E404" s="215"/>
      <c r="F404" s="216"/>
      <c r="G404" s="216" t="str">
        <f>IF(C404&lt;&gt;"",VLOOKUP(C404,DSKH!B:E,3,0),"")</f>
        <v/>
      </c>
      <c r="H404" s="222"/>
      <c r="I404" s="217"/>
      <c r="J404" s="224"/>
      <c r="K404" s="216" t="str">
        <f>IF(C404&lt;&gt;"",VLOOKUP(C404,[1]DSKH!B:E,4,0),"")</f>
        <v/>
      </c>
      <c r="L404" s="216"/>
      <c r="M404" s="216" t="str">
        <f t="shared" si="7"/>
        <v>-  -MAY 02-</v>
      </c>
    </row>
    <row r="405" spans="1:13">
      <c r="A405" s="216" t="str">
        <f>IF(C405&lt;&gt;"",SUBTOTAL(103,$C$12:C405),"")</f>
        <v/>
      </c>
      <c r="B405" s="226">
        <v>43222</v>
      </c>
      <c r="C405" s="216"/>
      <c r="D405" s="216" t="str">
        <f>IF(C405&lt;&gt;"",VLOOKUP(C405,[1]DSKH!B:E,2,0),"")</f>
        <v/>
      </c>
      <c r="E405" s="215"/>
      <c r="F405" s="216"/>
      <c r="G405" s="216" t="str">
        <f>IF(C405&lt;&gt;"",VLOOKUP(C405,DSKH!B:E,3,0),"")</f>
        <v/>
      </c>
      <c r="H405" s="222"/>
      <c r="I405" s="217"/>
      <c r="J405" s="224"/>
      <c r="K405" s="216" t="str">
        <f>IF(C405&lt;&gt;"",VLOOKUP(C405,[1]DSKH!B:E,4,0),"")</f>
        <v/>
      </c>
      <c r="L405" s="216"/>
      <c r="M405" s="216" t="str">
        <f t="shared" si="7"/>
        <v>-  -MAY 02-</v>
      </c>
    </row>
    <row r="406" spans="1:13">
      <c r="A406" s="216" t="str">
        <f>IF(C406&lt;&gt;"",SUBTOTAL(103,$C$12:C406),"")</f>
        <v/>
      </c>
      <c r="B406" s="226">
        <v>43222</v>
      </c>
      <c r="C406" s="216"/>
      <c r="D406" s="216" t="str">
        <f>IF(C406&lt;&gt;"",VLOOKUP(C406,[1]DSKH!B:E,2,0),"")</f>
        <v/>
      </c>
      <c r="E406" s="215"/>
      <c r="F406" s="216"/>
      <c r="G406" s="216" t="str">
        <f>IF(C406&lt;&gt;"",VLOOKUP(C406,DSKH!B:E,3,0),"")</f>
        <v/>
      </c>
      <c r="H406" s="222"/>
      <c r="I406" s="217"/>
      <c r="J406" s="224"/>
      <c r="K406" s="216" t="str">
        <f>IF(C406&lt;&gt;"",VLOOKUP(C406,[1]DSKH!B:E,4,0),"")</f>
        <v/>
      </c>
      <c r="L406" s="216"/>
      <c r="M406" s="216" t="str">
        <f t="shared" si="7"/>
        <v>-  -MAY 02-</v>
      </c>
    </row>
  </sheetData>
  <mergeCells count="1">
    <mergeCell ref="G2:J2"/>
  </mergeCells>
  <conditionalFormatting sqref="H407:H1048576">
    <cfRule type="duplicateValues" dxfId="5026" priority="36"/>
  </conditionalFormatting>
  <conditionalFormatting sqref="H12:H1048576">
    <cfRule type="duplicateValues" dxfId="5025" priority="37"/>
  </conditionalFormatting>
  <conditionalFormatting sqref="J12:J1048576">
    <cfRule type="duplicateValues" dxfId="5024" priority="38"/>
  </conditionalFormatting>
  <conditionalFormatting sqref="H12:H1048576 H1:H7">
    <cfRule type="duplicateValues" dxfId="5023" priority="35"/>
  </conditionalFormatting>
  <conditionalFormatting sqref="H9:H406">
    <cfRule type="expression" dxfId="5022" priority="34">
      <formula>LEN($H9)&lt;&gt;10</formula>
    </cfRule>
  </conditionalFormatting>
  <conditionalFormatting sqref="J9:J406">
    <cfRule type="expression" dxfId="5021" priority="33">
      <formula>LEN($J9)&lt;&gt;11</formula>
    </cfRule>
  </conditionalFormatting>
  <conditionalFormatting sqref="H12:H406">
    <cfRule type="duplicateValues" dxfId="5020" priority="39"/>
  </conditionalFormatting>
  <conditionalFormatting sqref="H7">
    <cfRule type="duplicateValues" dxfId="5019" priority="40"/>
  </conditionalFormatting>
  <conditionalFormatting sqref="H1:H7">
    <cfRule type="duplicateValues" dxfId="5018" priority="41"/>
  </conditionalFormatting>
  <conditionalFormatting sqref="J1:J7">
    <cfRule type="duplicateValues" dxfId="5017" priority="42"/>
  </conditionalFormatting>
  <conditionalFormatting sqref="H1:H7">
    <cfRule type="duplicateValues" dxfId="5016" priority="43"/>
  </conditionalFormatting>
  <conditionalFormatting sqref="J8">
    <cfRule type="duplicateValues" dxfId="5015" priority="31"/>
  </conditionalFormatting>
  <conditionalFormatting sqref="H8">
    <cfRule type="duplicateValues" dxfId="5014" priority="32"/>
  </conditionalFormatting>
  <conditionalFormatting sqref="H9:H11">
    <cfRule type="duplicateValues" dxfId="1" priority="10252"/>
  </conditionalFormatting>
  <conditionalFormatting sqref="J9:J11">
    <cfRule type="duplicateValues" dxfId="0" priority="10253"/>
  </conditionalFormatting>
  <pageMargins left="0.25" right="0.25" top="0.75" bottom="0.75" header="0.3" footer="0.3"/>
  <pageSetup paperSize="9" scale="3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933"/>
  <sheetViews>
    <sheetView view="pageBreakPreview" topLeftCell="A4" zoomScaleNormal="100" zoomScaleSheetLayoutView="100" workbookViewId="0">
      <pane xSplit="13" ySplit="4" topLeftCell="R8" activePane="bottomRight" state="frozen"/>
      <selection activeCell="A4" sqref="A4"/>
      <selection pane="topRight" activeCell="N4" sqref="N4"/>
      <selection pane="bottomLeft" activeCell="A8" sqref="A8"/>
      <selection pane="bottomRight" activeCell="R7" sqref="R7"/>
    </sheetView>
  </sheetViews>
  <sheetFormatPr defaultColWidth="9.109375" defaultRowHeight="13.8"/>
  <cols>
    <col min="1" max="1" width="5.88671875" style="212" customWidth="1"/>
    <col min="2" max="2" width="7.88671875" style="219" customWidth="1"/>
    <col min="3" max="3" width="19.5546875" style="212" customWidth="1"/>
    <col min="4" max="4" width="27.109375" style="212" customWidth="1"/>
    <col min="5" max="5" width="10.109375" style="211" customWidth="1"/>
    <col min="6" max="6" width="8.5546875" style="212" customWidth="1"/>
    <col min="7" max="7" width="18.109375" style="212" customWidth="1"/>
    <col min="8" max="8" width="24.44140625" style="225" customWidth="1"/>
    <col min="9" max="9" width="16.33203125" style="219" customWidth="1"/>
    <col min="10" max="10" width="16.6640625" style="223" customWidth="1"/>
    <col min="11" max="11" width="28.109375" style="212" customWidth="1"/>
    <col min="12" max="12" width="13.109375" style="212" bestFit="1" customWidth="1"/>
    <col min="13" max="13" width="30.44140625" style="212" customWidth="1"/>
    <col min="14" max="14" width="15" style="213" bestFit="1" customWidth="1"/>
    <col min="15" max="15" width="9.109375" style="213" customWidth="1"/>
    <col min="16" max="16384" width="9.109375" style="213"/>
  </cols>
  <sheetData>
    <row r="1" spans="1:14">
      <c r="D1" s="213"/>
      <c r="K1" s="211"/>
      <c r="N1" s="214"/>
    </row>
    <row r="2" spans="1:14" ht="37.200000000000003">
      <c r="D2" s="214"/>
      <c r="G2" s="275" t="s">
        <v>0</v>
      </c>
      <c r="H2" s="275"/>
      <c r="I2" s="275"/>
      <c r="J2" s="275"/>
      <c r="K2" s="211"/>
      <c r="N2" s="214"/>
    </row>
    <row r="3" spans="1:14">
      <c r="D3" s="214"/>
      <c r="K3" s="211"/>
      <c r="N3" s="214"/>
    </row>
    <row r="4" spans="1:14">
      <c r="D4" s="214"/>
      <c r="K4" s="211"/>
      <c r="N4" s="214"/>
    </row>
    <row r="5" spans="1:14">
      <c r="A5" s="211" t="s">
        <v>1</v>
      </c>
    </row>
    <row r="6" spans="1:14" ht="36" customHeight="1"/>
    <row r="7" spans="1:14" ht="27.6">
      <c r="A7" s="206" t="s">
        <v>2</v>
      </c>
      <c r="B7" s="207" t="s">
        <v>3</v>
      </c>
      <c r="C7" s="206" t="s">
        <v>2858</v>
      </c>
      <c r="D7" s="206" t="s">
        <v>5</v>
      </c>
      <c r="E7" s="206" t="s">
        <v>6</v>
      </c>
      <c r="F7" s="206" t="s">
        <v>7</v>
      </c>
      <c r="G7" s="206" t="s">
        <v>8</v>
      </c>
      <c r="H7" s="210" t="s">
        <v>9</v>
      </c>
      <c r="I7" s="208" t="s">
        <v>10</v>
      </c>
      <c r="J7" s="209" t="s">
        <v>11</v>
      </c>
      <c r="K7" s="206" t="s">
        <v>12</v>
      </c>
      <c r="L7" s="206" t="s">
        <v>13</v>
      </c>
      <c r="M7" s="206" t="s">
        <v>2859</v>
      </c>
    </row>
    <row r="8" spans="1:14" ht="55.2">
      <c r="A8" s="216">
        <f>IF(C8&lt;&gt;"",SUBTOTAL(103,$C$8:C8),"")</f>
        <v>1</v>
      </c>
      <c r="B8" s="226">
        <v>43222</v>
      </c>
      <c r="C8" s="216" t="s">
        <v>2523</v>
      </c>
      <c r="D8" s="216" t="str">
        <f>IF(C8&lt;&gt;"",VLOOKUP(C8,[1]DSKH!B:E,2,0),"")</f>
        <v>NO F5, F6, F7, F8, F9, F10 KCN BAC DONG PHU, TAN PHU, DONG PHU, BINH PHUOC</v>
      </c>
      <c r="E8" s="215">
        <v>3</v>
      </c>
      <c r="F8" s="216" t="s">
        <v>2861</v>
      </c>
      <c r="G8" s="216" t="str">
        <f>IF(C8&lt;&gt;"",VLOOKUP(C8,[1]DSKH!B:E,3,0),"")</f>
        <v>CTU</v>
      </c>
      <c r="H8" s="222">
        <v>1098141651</v>
      </c>
      <c r="I8" s="217"/>
      <c r="J8" s="224" t="s">
        <v>3020</v>
      </c>
      <c r="K8" s="216" t="str">
        <f>IF(C8&lt;&gt;"",VLOOKUP(C8,[1]DSKH!B:E,4,0),"")</f>
        <v>QUYNH ANH: 0935 471 807</v>
      </c>
      <c r="L8" s="216">
        <f>0.5+0.8+1.8</f>
        <v>3.1</v>
      </c>
      <c r="M8" s="216" t="str">
        <f>C8&amp;"-"&amp;" "&amp;H8&amp;" "&amp;"-"&amp;"MAY"&amp;" "&amp;"02"&amp;"-"&amp;J8</f>
        <v>YAKJIN SAIGON- 1098141651 -MAY 02-na001735491</v>
      </c>
    </row>
    <row r="9" spans="1:14">
      <c r="A9" s="216" t="str">
        <f>IF(C9&lt;&gt;"",SUBTOTAL(103,$C$8:C9),"")</f>
        <v/>
      </c>
      <c r="B9" s="226">
        <v>43222</v>
      </c>
      <c r="C9" s="216"/>
      <c r="D9" s="216" t="str">
        <f>IF(C9&lt;&gt;"",VLOOKUP(C9,[1]DSKH!B:E,2,0),"")</f>
        <v/>
      </c>
      <c r="E9" s="215"/>
      <c r="F9" s="216"/>
      <c r="G9" s="216" t="str">
        <f>IF(C9&lt;&gt;"",VLOOKUP(C9,DSKH!B:E,3,0),"")</f>
        <v/>
      </c>
      <c r="H9" s="222">
        <v>1098141308</v>
      </c>
      <c r="I9" s="217"/>
      <c r="J9" s="224"/>
      <c r="K9" s="216" t="str">
        <f>IF(C9&lt;&gt;"",VLOOKUP(C9,[1]DSKH!B:E,4,0),"")</f>
        <v/>
      </c>
      <c r="L9" s="216"/>
      <c r="M9" s="216" t="str">
        <f t="shared" ref="M9:M71" si="0">C9&amp;"-"&amp;" "&amp;H9&amp;" "&amp;"-"&amp;"MAY"&amp;" "&amp;"02"&amp;"-"&amp;J9</f>
        <v>- 1098141308 -MAY 02-</v>
      </c>
    </row>
    <row r="10" spans="1:14">
      <c r="A10" s="216" t="str">
        <f>IF(C10&lt;&gt;"",SUBTOTAL(103,$C$8:C10),"")</f>
        <v/>
      </c>
      <c r="B10" s="226">
        <v>43222</v>
      </c>
      <c r="C10" s="216"/>
      <c r="D10" s="216" t="str">
        <f>IF(C10&lt;&gt;"",VLOOKUP(C10,[1]DSKH!B:E,2,0),"")</f>
        <v/>
      </c>
      <c r="E10" s="215"/>
      <c r="F10" s="216"/>
      <c r="G10" s="216" t="str">
        <f>IF(C10&lt;&gt;"",VLOOKUP(C10,DSKH!B:E,3,0),"")</f>
        <v/>
      </c>
      <c r="H10" s="222">
        <v>1098141624</v>
      </c>
      <c r="I10" s="217"/>
      <c r="J10" s="224"/>
      <c r="K10" s="216" t="str">
        <f>IF(C10&lt;&gt;"",VLOOKUP(C10,[1]DSKH!B:E,4,0),"")</f>
        <v/>
      </c>
      <c r="L10" s="216"/>
      <c r="M10" s="216" t="str">
        <f t="shared" si="0"/>
        <v>- 1098141624 -MAY 02-</v>
      </c>
    </row>
    <row r="11" spans="1:14" ht="41.4">
      <c r="A11" s="216">
        <f>IF(C11&lt;&gt;"",SUBTOTAL(103,$C$8:C11),"")</f>
        <v>2</v>
      </c>
      <c r="B11" s="226">
        <v>43222</v>
      </c>
      <c r="C11" s="216" t="s">
        <v>2347</v>
      </c>
      <c r="D11" s="216" t="str">
        <f>IF(C11&lt;&gt;"",VLOOKUP(C11,[1]DSKH!B:E,2,0),"")</f>
        <v>khu 6, Đồn Tây, Xã Thanh Vinh, Thị Xã Phú Thọ, Phú Thọ</v>
      </c>
      <c r="E11" s="215">
        <v>4</v>
      </c>
      <c r="F11" s="216"/>
      <c r="G11" s="216" t="str">
        <f>IF(C11&lt;&gt;"",VLOOKUP(C11,DSKH!B:E,3,0),"")</f>
        <v>giao hang truoc-C.Trang -GIAO DAI SON</v>
      </c>
      <c r="H11" s="222">
        <v>1098153690</v>
      </c>
      <c r="I11" s="217"/>
      <c r="J11" s="224" t="s">
        <v>3021</v>
      </c>
      <c r="K11" s="216" t="str">
        <f>IF(C11&lt;&gt;"",VLOOKUP(C11,[1]DSKH!B:E,4,0),"")</f>
        <v>HA: 0982 063 216</v>
      </c>
      <c r="L11" s="216">
        <f>0.2+1.6+0.2+0.2</f>
        <v>2.2000000000000002</v>
      </c>
      <c r="M11" s="216" t="str">
        <f t="shared" si="0"/>
        <v>VINA KYUNG SEUNG- 1098153690 -MAY 02-na001735492</v>
      </c>
    </row>
    <row r="12" spans="1:14">
      <c r="A12" s="216" t="str">
        <f>IF(C12&lt;&gt;"",SUBTOTAL(103,$C$8:C12),"")</f>
        <v/>
      </c>
      <c r="B12" s="226">
        <v>43222</v>
      </c>
      <c r="C12" s="216"/>
      <c r="D12" s="216" t="str">
        <f>IF(C12&lt;&gt;"",VLOOKUP(C12,[1]DSKH!B:E,2,0),"")</f>
        <v/>
      </c>
      <c r="E12" s="215"/>
      <c r="F12" s="216"/>
      <c r="G12" s="216" t="str">
        <f>IF(C12&lt;&gt;"",VLOOKUP(C12,DSKH!B:E,3,0),"")</f>
        <v/>
      </c>
      <c r="H12" s="222">
        <v>1098143911</v>
      </c>
      <c r="I12" s="217"/>
      <c r="J12" s="224"/>
      <c r="K12" s="216" t="str">
        <f>IF(C12&lt;&gt;"",VLOOKUP(C12,[1]DSKH!B:E,4,0),"")</f>
        <v/>
      </c>
      <c r="L12" s="216"/>
      <c r="M12" s="216" t="str">
        <f t="shared" si="0"/>
        <v>- 1098143911 -MAY 02-</v>
      </c>
    </row>
    <row r="13" spans="1:14">
      <c r="A13" s="216" t="str">
        <f>IF(C13&lt;&gt;"",SUBTOTAL(103,$C$8:C13),"")</f>
        <v/>
      </c>
      <c r="B13" s="226">
        <v>43222</v>
      </c>
      <c r="C13" s="216"/>
      <c r="D13" s="216" t="str">
        <f>IF(C13&lt;&gt;"",VLOOKUP(C13,[1]DSKH!B:E,2,0),"")</f>
        <v/>
      </c>
      <c r="E13" s="215"/>
      <c r="F13" s="216"/>
      <c r="G13" s="216" t="str">
        <f>IF(C13&lt;&gt;"",VLOOKUP(C13,DSKH!B:E,3,0),"")</f>
        <v/>
      </c>
      <c r="H13" s="222">
        <v>1098158557</v>
      </c>
      <c r="I13" s="217"/>
      <c r="J13" s="224"/>
      <c r="K13" s="216" t="str">
        <f>IF(C13&lt;&gt;"",VLOOKUP(C13,[1]DSKH!B:E,4,0),"")</f>
        <v/>
      </c>
      <c r="L13" s="216"/>
      <c r="M13" s="216" t="str">
        <f t="shared" si="0"/>
        <v>- 1098158557 -MAY 02-</v>
      </c>
    </row>
    <row r="14" spans="1:14" ht="27.6">
      <c r="A14" s="216">
        <f>IF(C14&lt;&gt;"",SUBTOTAL(103,$C$8:C14),"")</f>
        <v>3</v>
      </c>
      <c r="B14" s="226">
        <v>43222</v>
      </c>
      <c r="C14" s="216" t="s">
        <v>2038</v>
      </c>
      <c r="D14" s="216" t="str">
        <f>IF(C14&lt;&gt;"",VLOOKUP(C14,[1]DSKH!B:E,2,0),"")</f>
        <v>THI TRAN VUONG, TIEN LU, HUNG YEN</v>
      </c>
      <c r="E14" s="215">
        <v>1</v>
      </c>
      <c r="F14" s="216"/>
      <c r="G14" s="216">
        <f>IF(C14&lt;&gt;"",VLOOKUP(C14,DSKH!B:E,3,0),"")</f>
        <v>0</v>
      </c>
      <c r="H14" s="222">
        <v>1098188927</v>
      </c>
      <c r="I14" s="217"/>
      <c r="J14" s="224" t="s">
        <v>3022</v>
      </c>
      <c r="K14" s="216" t="str">
        <f>IF(C14&lt;&gt;"",VLOOKUP(C14,[1]DSKH!B:E,4,0),"")</f>
        <v>MS NINH 0987 930 558/
 MR CUONG 0919 686 228</v>
      </c>
      <c r="L14" s="216">
        <v>9.2100000000000009</v>
      </c>
      <c r="M14" s="216" t="str">
        <f t="shared" si="0"/>
        <v>TIEN HUNG- 1098188927 -MAY 02-na001735493</v>
      </c>
    </row>
    <row r="15" spans="1:14" ht="96.6">
      <c r="A15" s="216">
        <f>IF(C15&lt;&gt;"",SUBTOTAL(103,$C$8:C15),"")</f>
        <v>4</v>
      </c>
      <c r="B15" s="226">
        <v>43222</v>
      </c>
      <c r="C15" s="216" t="s">
        <v>1225</v>
      </c>
      <c r="D15" s="216" t="str">
        <f>IF(C15&lt;&gt;"",VLOOKUP(C15,[1]DSKH!B:E,2,0),"")</f>
        <v>60-ME NHU-DA NANG</v>
      </c>
      <c r="E15" s="215">
        <v>3</v>
      </c>
      <c r="F15" s="216"/>
      <c r="G15" s="216" t="str">
        <f>IF(C15&lt;&gt;"",VLOOKUP(C15,DSKH!B:E,3,0),"")</f>
        <v>HANG GEN NHAN FIGS CHO EMAIL CONFIRM GIAO HANG CUA CS, KEM PKL CHI TIET (DECATHLON)</v>
      </c>
      <c r="H15" s="222">
        <v>1098185038</v>
      </c>
      <c r="I15" s="217"/>
      <c r="J15" s="224" t="s">
        <v>3023</v>
      </c>
      <c r="K15" s="216" t="str">
        <f>IF(C15&lt;&gt;"",VLOOKUP(C15,[1]DSKH!B:E,4,0),"")</f>
        <v>ANH CHAU- KHO PHU LIEU-05113-759249</v>
      </c>
      <c r="L15" s="216">
        <f>0.16+2.1+2.3</f>
        <v>4.5600000000000005</v>
      </c>
      <c r="M15" s="216" t="str">
        <f t="shared" si="0"/>
        <v>MAY 29 03- 1098185038 -MAY 02-na001735494</v>
      </c>
    </row>
    <row r="16" spans="1:14" ht="69">
      <c r="A16" s="216">
        <f>IF(C16&lt;&gt;"",SUBTOTAL(103,$C$8:C16),"")</f>
        <v>5</v>
      </c>
      <c r="B16" s="226">
        <v>43222</v>
      </c>
      <c r="C16" s="216" t="s">
        <v>2727</v>
      </c>
      <c r="D16" s="216" t="str">
        <f>IF(C16&lt;&gt;"",VLOOKUP(C16,[1]DSKH!B:E,2,0),"")</f>
        <v>HAI AN, QUYNH NGUYEN, QUYNH PHU, THAI BINH</v>
      </c>
      <c r="E16" s="215">
        <v>10</v>
      </c>
      <c r="F16" s="216" t="s">
        <v>2861</v>
      </c>
      <c r="G16" s="216" t="str">
        <f>IF(C16&lt;&gt;"",VLOOKUP(C16,DSKH!B:E,3,0),"")</f>
        <v>HANG GEN NHAN FIGS CHO EMAIL CONFIRM GIAO HANG CUA CS</v>
      </c>
      <c r="H16" s="222">
        <v>1097965261</v>
      </c>
      <c r="I16" s="217" t="s">
        <v>2860</v>
      </c>
      <c r="J16" s="224" t="s">
        <v>3024</v>
      </c>
      <c r="K16" s="216">
        <f>IF(C16&lt;&gt;"",VLOOKUP(C16,[1]DSKH!B:E,4,0),"")</f>
        <v>0</v>
      </c>
      <c r="L16" s="216">
        <f>2.8+0.2+7.8+4.5+0.36+1.4+0.2+6.8+2.4+6.6</f>
        <v>33.059999999999995</v>
      </c>
      <c r="M16" s="216" t="str">
        <f t="shared" si="0"/>
        <v>HA THANH- 1097965261 -MAY 02-na001735495</v>
      </c>
    </row>
    <row r="17" spans="1:13">
      <c r="A17" s="216" t="str">
        <f>IF(C17&lt;&gt;"",SUBTOTAL(103,$C$8:C17),"")</f>
        <v/>
      </c>
      <c r="B17" s="226">
        <v>43222</v>
      </c>
      <c r="C17" s="216"/>
      <c r="D17" s="216" t="str">
        <f>IF(C17&lt;&gt;"",VLOOKUP(C17,[1]DSKH!B:E,2,0),"")</f>
        <v/>
      </c>
      <c r="E17" s="215"/>
      <c r="F17" s="216"/>
      <c r="G17" s="216" t="str">
        <f>IF(C17&lt;&gt;"",VLOOKUP(C17,DSKH!B:E,3,0),"")</f>
        <v/>
      </c>
      <c r="H17" s="222">
        <v>1097985070</v>
      </c>
      <c r="I17" s="217"/>
      <c r="J17" s="224"/>
      <c r="K17" s="216" t="str">
        <f>IF(C17&lt;&gt;"",VLOOKUP(C17,[1]DSKH!B:E,4,0),"")</f>
        <v/>
      </c>
      <c r="L17" s="216"/>
      <c r="M17" s="216" t="str">
        <f t="shared" si="0"/>
        <v>- 1097985070 -MAY 02-</v>
      </c>
    </row>
    <row r="18" spans="1:13" ht="27.6">
      <c r="A18" s="216">
        <f>IF(C18&lt;&gt;"",SUBTOTAL(103,$C$8:C18),"")</f>
        <v>6</v>
      </c>
      <c r="B18" s="226">
        <v>43222</v>
      </c>
      <c r="C18" s="216" t="s">
        <v>1835</v>
      </c>
      <c r="D18" s="216" t="str">
        <f>IF(C18&lt;&gt;"",VLOOKUP(C18,[1]DSKH!B:E,2,0),"")</f>
        <v>105 NGUYEN DUC THUAN, NAM DINH</v>
      </c>
      <c r="E18" s="215">
        <v>3</v>
      </c>
      <c r="F18" s="216" t="s">
        <v>2861</v>
      </c>
      <c r="G18" s="216">
        <f>IF(C18&lt;&gt;"",VLOOKUP(C18,DSKH!B:E,3,0),"")</f>
        <v>0</v>
      </c>
      <c r="H18" s="222">
        <v>1098501720</v>
      </c>
      <c r="I18" s="217" t="s">
        <v>2860</v>
      </c>
      <c r="J18" s="224" t="s">
        <v>3026</v>
      </c>
      <c r="K18" s="216" t="s">
        <v>3025</v>
      </c>
      <c r="L18" s="216">
        <f>3.34+0.4+5.6</f>
        <v>9.34</v>
      </c>
      <c r="M18" s="216" t="str">
        <f t="shared" si="0"/>
        <v>SONG HONG C&amp;A- 1098501720 -MAY 02-na001735496</v>
      </c>
    </row>
    <row r="19" spans="1:13" ht="41.4">
      <c r="A19" s="216">
        <f>IF(C19&lt;&gt;"",SUBTOTAL(103,$C$8:C19),"")</f>
        <v>7</v>
      </c>
      <c r="B19" s="226">
        <v>43222</v>
      </c>
      <c r="C19" s="216" t="s">
        <v>1017</v>
      </c>
      <c r="D19" s="216" t="str">
        <f>IF(C19&lt;&gt;"",VLOOKUP(C19,[1]DSKH!B:E,2,0),"")</f>
        <v>THO VUC, TRIEU SON, THANH HOA</v>
      </c>
      <c r="E19" s="215">
        <v>8</v>
      </c>
      <c r="F19" s="216"/>
      <c r="G19" s="216">
        <f>IF(C19&lt;&gt;"",VLOOKUP(C19,DSKH!B:E,3,0),"")</f>
        <v>0</v>
      </c>
      <c r="H19" s="222">
        <v>1098666284</v>
      </c>
      <c r="I19" s="217" t="s">
        <v>2860</v>
      </c>
      <c r="J19" s="224" t="s">
        <v>3027</v>
      </c>
      <c r="K19" s="216" t="str">
        <f>IF(C19&lt;&gt;"",VLOOKUP(C19,[1]DSKH!B:E,4,0),"")</f>
        <v>MS HUONG: 0373 631 266 ext: 110
0936 467 896</v>
      </c>
      <c r="L19" s="216">
        <f>0.4+0.26+0.16+0.12+0.13+0.12+0.46+0.16</f>
        <v>1.8099999999999998</v>
      </c>
      <c r="M19" s="216" t="str">
        <f t="shared" si="0"/>
        <v>IVORY THANH HOA- 1098666284 -MAY 02-na001735497</v>
      </c>
    </row>
    <row r="20" spans="1:13" ht="41.4">
      <c r="A20" s="216">
        <f>IF(C20&lt;&gt;"",SUBTOTAL(103,$C$8:C20),"")</f>
        <v>8</v>
      </c>
      <c r="B20" s="226">
        <v>43222</v>
      </c>
      <c r="C20" s="216" t="s">
        <v>1192</v>
      </c>
      <c r="D20" s="216" t="str">
        <f>IF(C20&lt;&gt;"",VLOOKUP(C20,[1]DSKH!B:E,2,0),"")</f>
        <v>THANH HAI -  THANH HA -  HAI DUONG</v>
      </c>
      <c r="E20" s="215"/>
      <c r="F20" s="216"/>
      <c r="G20" s="216" t="str">
        <f>IF(C20&lt;&gt;"",VLOOKUP(C20,DSKH!B:E,3,0),"")</f>
        <v>VAT- DONG MOC TREO- CHUNG HD</v>
      </c>
      <c r="H20" s="222"/>
      <c r="I20" s="217" t="s">
        <v>3028</v>
      </c>
      <c r="J20" s="224" t="s">
        <v>3029</v>
      </c>
      <c r="K20" s="216" t="str">
        <f>IF(C20&lt;&gt;"",VLOOKUP(C20,[1]DSKH!B:E,4,0),"")</f>
        <v>ANH TUAN: 0979 399 357</v>
      </c>
      <c r="L20" s="216">
        <v>0.1</v>
      </c>
      <c r="M20" s="216" t="str">
        <f t="shared" si="0"/>
        <v>MAKALOT-  -MAY 02-na001735498</v>
      </c>
    </row>
    <row r="21" spans="1:13" ht="27.6">
      <c r="A21" s="216">
        <f>IF(C21&lt;&gt;"",SUBTOTAL(103,$C$8:C21),"")</f>
        <v>9</v>
      </c>
      <c r="B21" s="226">
        <v>43222</v>
      </c>
      <c r="C21" s="216" t="s">
        <v>2058</v>
      </c>
      <c r="D21" s="216" t="str">
        <f>IF(C21&lt;&gt;"",VLOOKUP(C21,[1]DSKH!B:E,2,0),"")</f>
        <v>234, PHUONG 9,TP.MY THO, TIEN GIANG</v>
      </c>
      <c r="E21" s="215">
        <v>3</v>
      </c>
      <c r="F21" s="216"/>
      <c r="G21" s="216">
        <f>IF(C21&lt;&gt;"",VLOOKUP(C21,DSKH!B:E,3,0),"")</f>
        <v>0</v>
      </c>
      <c r="H21" s="222">
        <v>1098177487</v>
      </c>
      <c r="I21" s="217" t="s">
        <v>2860</v>
      </c>
      <c r="J21" s="224" t="s">
        <v>3030</v>
      </c>
      <c r="K21" s="216" t="str">
        <f>IF(C21&lt;&gt;"",VLOOKUP(C21,[1]DSKH!B:E,4,0),"")</f>
        <v>MS THU: 0902 371 055</v>
      </c>
      <c r="L21" s="216">
        <f>10.5+0.6+0.4+0</f>
        <v>11.5</v>
      </c>
      <c r="M21" s="216" t="str">
        <f t="shared" si="0"/>
        <v>TIEN TIEN- 1098177487 -MAY 02-na001735500</v>
      </c>
    </row>
    <row r="22" spans="1:13" ht="41.4">
      <c r="A22" s="216">
        <f>IF(C22&lt;&gt;"",SUBTOTAL(103,$C$8:C22),"")</f>
        <v>10</v>
      </c>
      <c r="B22" s="226">
        <v>43222</v>
      </c>
      <c r="C22" s="216" t="s">
        <v>693</v>
      </c>
      <c r="D22" s="216" t="str">
        <f>IF(C22&lt;&gt;"",VLOOKUP(C22,[1]DSKH!B:E,2,0),"")</f>
        <v>1166 Nguyen Binh Khiem, Dong Hai 2 ward, Hai Phong</v>
      </c>
      <c r="E22" s="215">
        <v>1</v>
      </c>
      <c r="F22" s="216"/>
      <c r="G22" s="216">
        <f>IF(C22&lt;&gt;"",VLOOKUP(C22,DSKH!B:E,3,0),"")</f>
        <v>0</v>
      </c>
      <c r="H22" s="222">
        <v>1098666281</v>
      </c>
      <c r="I22" s="217" t="s">
        <v>2860</v>
      </c>
      <c r="J22" s="224" t="s">
        <v>3031</v>
      </c>
      <c r="K22" s="216" t="str">
        <f>IF(C22&lt;&gt;"",VLOOKUP(C22,[1]DSKH!B:E,4,0),"")</f>
        <v xml:space="preserve"> Ms.Phuong: 01675075532. </v>
      </c>
      <c r="L22" s="216">
        <f>0.47</f>
        <v>0.47</v>
      </c>
      <c r="M22" s="216" t="str">
        <f t="shared" si="0"/>
        <v>GOLDEN DRAGON- 1098666281 -MAY 02-na001735188</v>
      </c>
    </row>
    <row r="23" spans="1:13" ht="55.2">
      <c r="A23" s="216">
        <f>IF(C23&lt;&gt;"",SUBTOTAL(103,$C$8:C23),"")</f>
        <v>11</v>
      </c>
      <c r="B23" s="226">
        <v>43222</v>
      </c>
      <c r="C23" s="216" t="s">
        <v>2523</v>
      </c>
      <c r="D23" s="216" t="str">
        <f>IF(C23&lt;&gt;"",VLOOKUP(C23,[1]DSKH!B:E,2,0),"")</f>
        <v>NO F5, F6, F7, F8, F9, F10 KCN BAC DONG PHU, TAN PHU, DONG PHU, BINH PHUOC</v>
      </c>
      <c r="E23" s="215">
        <v>2</v>
      </c>
      <c r="F23" s="216"/>
      <c r="G23" s="216" t="str">
        <f>IF(C23&lt;&gt;"",VLOOKUP(C23,DSKH!B:E,3,0),"")</f>
        <v>CTU</v>
      </c>
      <c r="H23" s="222">
        <v>1098171331</v>
      </c>
      <c r="I23" s="217"/>
      <c r="J23" s="224" t="s">
        <v>3032</v>
      </c>
      <c r="K23" s="216" t="str">
        <f>IF(C23&lt;&gt;"",VLOOKUP(C23,[1]DSKH!B:E,4,0),"")</f>
        <v>QUYNH ANH: 0935 471 807</v>
      </c>
      <c r="L23" s="216">
        <f>2.32</f>
        <v>2.3199999999999998</v>
      </c>
      <c r="M23" s="216" t="str">
        <f t="shared" si="0"/>
        <v>YAKJIN SAIGON- 1098171331 -MAY 02-na001735189</v>
      </c>
    </row>
    <row r="24" spans="1:13" ht="41.4">
      <c r="A24" s="216">
        <f>IF(C24&lt;&gt;"",SUBTOTAL(103,$C$8:C24),"")</f>
        <v>12</v>
      </c>
      <c r="B24" s="226">
        <v>43222</v>
      </c>
      <c r="C24" s="216" t="s">
        <v>1197</v>
      </c>
      <c r="D24" s="216" t="str">
        <f>IF(C24&lt;&gt;"",VLOOKUP(C24,[1]DSKH!B:E,2,0),"")</f>
        <v>Xóm 8, xã Vĩnh Thành, Huyện Vĩnh Lộc, Tỉnh Thanh Hóa</v>
      </c>
      <c r="E24" s="215">
        <v>2</v>
      </c>
      <c r="F24" s="216"/>
      <c r="G24" s="216">
        <f>IF(C24&lt;&gt;"",VLOOKUP(C24,DSKH!B:E,3,0),"")</f>
        <v>0</v>
      </c>
      <c r="H24" s="222">
        <v>1098151689</v>
      </c>
      <c r="I24" s="217"/>
      <c r="J24" s="224" t="s">
        <v>3033</v>
      </c>
      <c r="K24" s="216" t="str">
        <f>IF(C24&lt;&gt;"",VLOOKUP(C24,[1]DSKH!B:E,4,0),"")</f>
        <v>Ms Huyền: 0974 351 557
Ms Hường: 0936 852 010/ 0912 231 885</v>
      </c>
      <c r="L24" s="216">
        <f>0.26</f>
        <v>0.26</v>
      </c>
      <c r="M24" s="216" t="str">
        <f t="shared" si="0"/>
        <v>MANSEON- 1098151689 -MAY 02-na001735190</v>
      </c>
    </row>
    <row r="25" spans="1:13" ht="69">
      <c r="A25" s="216">
        <f>IF(C25&lt;&gt;"",SUBTOTAL(103,$C$8:C25),"")</f>
        <v>13</v>
      </c>
      <c r="B25" s="226">
        <v>43222</v>
      </c>
      <c r="C25" s="216" t="s">
        <v>2587</v>
      </c>
      <c r="D25" s="216" t="str">
        <f>IF(C25&lt;&gt;"",VLOOKUP(C25,[1]DSKH!B:E,2,0),"")</f>
        <v>Lo dat dien tich 88.707m vuong , cum cong nghiep Quynh Coi,Xa Quynh My - Huyen Quynh Phu, Thai Binh</v>
      </c>
      <c r="E25" s="215">
        <v>1</v>
      </c>
      <c r="F25" s="216"/>
      <c r="G25" s="216">
        <f>IF(C25&lt;&gt;"",VLOOKUP(C25,DSKH!B:E,3,0),"")</f>
        <v>0</v>
      </c>
      <c r="H25" s="222">
        <v>1098158597</v>
      </c>
      <c r="I25" s="217"/>
      <c r="J25" s="224" t="s">
        <v>3034</v>
      </c>
      <c r="K25" s="216" t="str">
        <f>IF(C25&lt;&gt;"",VLOOKUP(C25,[1]DSKH!B:E,4,0),"")</f>
        <v>CHI DANG 0984388614</v>
      </c>
      <c r="L25" s="216">
        <v>0.66</v>
      </c>
      <c r="M25" s="216" t="str">
        <f t="shared" si="0"/>
        <v>SAO VANG THAI BINH 1- 1098158597 -MAY 02-na001735191</v>
      </c>
    </row>
    <row r="26" spans="1:13" ht="55.2">
      <c r="A26" s="216">
        <f>IF(C26&lt;&gt;"",SUBTOTAL(103,$C$8:C26),"")</f>
        <v>14</v>
      </c>
      <c r="B26" s="226">
        <v>43222</v>
      </c>
      <c r="C26" s="216" t="s">
        <v>2340</v>
      </c>
      <c r="D26" s="216" t="str">
        <f>IF(C26&lt;&gt;"",VLOOKUP(C26,[1]DSKH!B:E,2,0),"")</f>
        <v>CN 13, KHAI QUANG INDUSTRIAL SUB ZONE, 
VINH PHUC TOWN,
 VINH PHUC</v>
      </c>
      <c r="E26" s="215">
        <v>13</v>
      </c>
      <c r="F26" s="216"/>
      <c r="G26" s="216" t="str">
        <f>IF(C26&lt;&gt;"",VLOOKUP(C26,DSKH!B:E,3,0),"")</f>
        <v>cho xnk confirm</v>
      </c>
      <c r="H26" s="222">
        <v>1097998989</v>
      </c>
      <c r="I26" s="217"/>
      <c r="J26" s="224" t="s">
        <v>3035</v>
      </c>
      <c r="K26" s="216" t="str">
        <f>IF(C26&lt;&gt;"",VLOOKUP(C26,[1]DSKH!B:E,4,0),"")</f>
        <v>Mr. Woo (Kyeong Hoon, Woo) 
+84-93-688-5694</v>
      </c>
      <c r="L26" s="216">
        <f>0.5+0.95+3.25+1.1+1.3+0.3+0.4+0.3+0.54+0.16+0.22+0.52+0.5+0</f>
        <v>10.040000000000001</v>
      </c>
      <c r="M26" s="216" t="str">
        <f t="shared" si="0"/>
        <v>VINA KOREA- 1097998989 -MAY 02-na001735192</v>
      </c>
    </row>
    <row r="27" spans="1:13">
      <c r="A27" s="216" t="str">
        <f>IF(C27&lt;&gt;"",SUBTOTAL(103,$C$8:C27),"")</f>
        <v/>
      </c>
      <c r="B27" s="226">
        <v>43222</v>
      </c>
      <c r="C27" s="216"/>
      <c r="D27" s="216" t="str">
        <f>IF(C27&lt;&gt;"",VLOOKUP(C27,[1]DSKH!B:E,2,0),"")</f>
        <v/>
      </c>
      <c r="E27" s="215"/>
      <c r="F27" s="216"/>
      <c r="G27" s="216" t="str">
        <f>IF(C27&lt;&gt;"",VLOOKUP(C27,DSKH!B:E,3,0),"")</f>
        <v/>
      </c>
      <c r="H27" s="222">
        <v>1097999609</v>
      </c>
      <c r="I27" s="217"/>
      <c r="J27" s="224"/>
      <c r="K27" s="216" t="str">
        <f>IF(C27&lt;&gt;"",VLOOKUP(C27,[1]DSKH!B:E,4,0),"")</f>
        <v/>
      </c>
      <c r="L27" s="216"/>
      <c r="M27" s="216" t="str">
        <f t="shared" si="0"/>
        <v>- 1097999609 -MAY 02-</v>
      </c>
    </row>
    <row r="28" spans="1:13">
      <c r="A28" s="216" t="str">
        <f>IF(C28&lt;&gt;"",SUBTOTAL(103,$C$8:C28),"")</f>
        <v/>
      </c>
      <c r="B28" s="226">
        <v>43222</v>
      </c>
      <c r="C28" s="216"/>
      <c r="D28" s="216" t="str">
        <f>IF(C28&lt;&gt;"",VLOOKUP(C28,[1]DSKH!B:E,2,0),"")</f>
        <v/>
      </c>
      <c r="E28" s="215"/>
      <c r="F28" s="216"/>
      <c r="G28" s="216" t="str">
        <f>IF(C28&lt;&gt;"",VLOOKUP(C28,DSKH!B:E,3,0),"")</f>
        <v/>
      </c>
      <c r="H28" s="222">
        <v>1098020619</v>
      </c>
      <c r="I28" s="217"/>
      <c r="J28" s="224"/>
      <c r="K28" s="216" t="str">
        <f>IF(C28&lt;&gt;"",VLOOKUP(C28,[1]DSKH!B:E,4,0),"")</f>
        <v/>
      </c>
      <c r="L28" s="216"/>
      <c r="M28" s="216" t="str">
        <f t="shared" si="0"/>
        <v>- 1098020619 -MAY 02-</v>
      </c>
    </row>
    <row r="29" spans="1:13">
      <c r="A29" s="216" t="str">
        <f>IF(C29&lt;&gt;"",SUBTOTAL(103,$C$8:C29),"")</f>
        <v/>
      </c>
      <c r="B29" s="226">
        <v>43222</v>
      </c>
      <c r="C29" s="216"/>
      <c r="D29" s="216" t="str">
        <f>IF(C29&lt;&gt;"",VLOOKUP(C29,[1]DSKH!B:E,2,0),"")</f>
        <v/>
      </c>
      <c r="E29" s="215"/>
      <c r="F29" s="216"/>
      <c r="G29" s="216" t="str">
        <f>IF(C29&lt;&gt;"",VLOOKUP(C29,DSKH!B:E,3,0),"")</f>
        <v/>
      </c>
      <c r="H29" s="222">
        <v>1098020605</v>
      </c>
      <c r="I29" s="217"/>
      <c r="J29" s="224"/>
      <c r="K29" s="216" t="str">
        <f>IF(C29&lt;&gt;"",VLOOKUP(C29,[1]DSKH!B:E,4,0),"")</f>
        <v/>
      </c>
      <c r="L29" s="216"/>
      <c r="M29" s="216" t="str">
        <f t="shared" si="0"/>
        <v>- 1098020605 -MAY 02-</v>
      </c>
    </row>
    <row r="30" spans="1:13" ht="41.4">
      <c r="A30" s="216">
        <f>IF(C30&lt;&gt;"",SUBTOTAL(103,$C$8:C30),"")</f>
        <v>15</v>
      </c>
      <c r="B30" s="226">
        <v>43222</v>
      </c>
      <c r="C30" s="216" t="s">
        <v>152</v>
      </c>
      <c r="D30" s="216" t="str">
        <f>IF(C30&lt;&gt;"",VLOOKUP(C30,[1]DSKH!B:E,2,0),"")</f>
        <v>VINH LONG, VINH LOC, THANH HOA</v>
      </c>
      <c r="E30" s="215">
        <v>1</v>
      </c>
      <c r="F30" s="216"/>
      <c r="G30" s="216">
        <f>IF(C30&lt;&gt;"",VLOOKUP(C30,DSKH!B:E,3,0),"")</f>
        <v>0</v>
      </c>
      <c r="H30" s="222">
        <v>1098175826</v>
      </c>
      <c r="I30" s="217"/>
      <c r="J30" s="224" t="s">
        <v>3036</v>
      </c>
      <c r="K30" s="216" t="str">
        <f>IF(C30&lt;&gt;"",VLOOKUP(C30,[1]DSKH!B:E,4,0),"")</f>
        <v>NONG 0918.981.539</v>
      </c>
      <c r="L30" s="216">
        <v>0.72</v>
      </c>
      <c r="M30" s="216" t="str">
        <f t="shared" si="0"/>
        <v>APPAREL TECH VINH LOC- 1098175826 -MAY 02-na001735193</v>
      </c>
    </row>
    <row r="31" spans="1:13" ht="41.4">
      <c r="A31" s="216">
        <f>IF(C31&lt;&gt;"",SUBTOTAL(103,$C$8:C31),"")</f>
        <v>16</v>
      </c>
      <c r="B31" s="226">
        <v>43222</v>
      </c>
      <c r="C31" s="216" t="s">
        <v>1247</v>
      </c>
      <c r="D31" s="216" t="str">
        <f>IF(C31&lt;&gt;"",VLOOKUP(C31,[1]DSKH!B:E,2,0),"")</f>
        <v>Thôn: Bằng, xã Nghĩa Hòa, Huyện Lạng Giang, tỉnh Bắc Giang</v>
      </c>
      <c r="E31" s="215">
        <v>13</v>
      </c>
      <c r="F31" s="216"/>
      <c r="G31" s="216">
        <f>IF(C31&lt;&gt;"",VLOOKUP(C31,DSKH!B:E,3,0),"")</f>
        <v>0</v>
      </c>
      <c r="H31" s="222">
        <v>1098171629</v>
      </c>
      <c r="I31" s="217"/>
      <c r="J31" s="224" t="s">
        <v>3037</v>
      </c>
      <c r="K31" s="216">
        <f>IF(C31&lt;&gt;"",VLOOKUP(C31,[1]DSKH!B:E,4,0),"")</f>
        <v>0</v>
      </c>
      <c r="L31" s="216">
        <f>0.75+0.66+0.4+0.35+0.3+10.3+1.4+15+19+10.5+0.15+0.2+0.2+0</f>
        <v>59.210000000000008</v>
      </c>
      <c r="M31" s="216" t="str">
        <f t="shared" si="0"/>
        <v>MAY LANG GIANG- 1098171629 -MAY 02-na001735194</v>
      </c>
    </row>
    <row r="32" spans="1:13">
      <c r="A32" s="216" t="str">
        <f>IF(C32&lt;&gt;"",SUBTOTAL(103,$C$8:C32),"")</f>
        <v/>
      </c>
      <c r="B32" s="226">
        <v>43222</v>
      </c>
      <c r="C32" s="216"/>
      <c r="D32" s="216" t="str">
        <f>IF(C32&lt;&gt;"",VLOOKUP(C32,[1]DSKH!B:E,2,0),"")</f>
        <v/>
      </c>
      <c r="E32" s="215"/>
      <c r="F32" s="216"/>
      <c r="G32" s="216" t="str">
        <f>IF(C32&lt;&gt;"",VLOOKUP(C32,DSKH!B:E,3,0),"")</f>
        <v/>
      </c>
      <c r="H32" s="222">
        <v>1097880871</v>
      </c>
      <c r="I32" s="217"/>
      <c r="J32" s="224"/>
      <c r="K32" s="216" t="str">
        <f>IF(C32&lt;&gt;"",VLOOKUP(C32,[1]DSKH!B:E,4,0),"")</f>
        <v/>
      </c>
      <c r="L32" s="216"/>
      <c r="M32" s="216" t="str">
        <f t="shared" si="0"/>
        <v>- 1097880871 -MAY 02-</v>
      </c>
    </row>
    <row r="33" spans="1:13">
      <c r="A33" s="216" t="str">
        <f>IF(C33&lt;&gt;"",SUBTOTAL(103,$C$8:C33),"")</f>
        <v/>
      </c>
      <c r="B33" s="226">
        <v>43222</v>
      </c>
      <c r="C33" s="216"/>
      <c r="D33" s="216" t="str">
        <f>IF(C33&lt;&gt;"",VLOOKUP(C33,[1]DSKH!B:E,2,0),"")</f>
        <v/>
      </c>
      <c r="E33" s="215"/>
      <c r="F33" s="216"/>
      <c r="G33" s="216" t="str">
        <f>IF(C33&lt;&gt;"",VLOOKUP(C33,DSKH!B:E,3,0),"")</f>
        <v/>
      </c>
      <c r="H33" s="222">
        <v>1097574212</v>
      </c>
      <c r="I33" s="217"/>
      <c r="J33" s="224"/>
      <c r="K33" s="216" t="str">
        <f>IF(C33&lt;&gt;"",VLOOKUP(C33,[1]DSKH!B:E,4,0),"")</f>
        <v/>
      </c>
      <c r="L33" s="216"/>
      <c r="M33" s="216" t="str">
        <f t="shared" si="0"/>
        <v>- 1097574212 -MAY 02-</v>
      </c>
    </row>
    <row r="34" spans="1:13">
      <c r="A34" s="216" t="str">
        <f>IF(C34&lt;&gt;"",SUBTOTAL(103,$C$8:C34),"")</f>
        <v/>
      </c>
      <c r="B34" s="226">
        <v>43222</v>
      </c>
      <c r="C34" s="216"/>
      <c r="D34" s="216" t="str">
        <f>IF(C34&lt;&gt;"",VLOOKUP(C34,[1]DSKH!B:E,2,0),"")</f>
        <v/>
      </c>
      <c r="E34" s="215"/>
      <c r="F34" s="216"/>
      <c r="G34" s="216" t="str">
        <f>IF(C34&lt;&gt;"",VLOOKUP(C34,DSKH!B:E,3,0),"")</f>
        <v/>
      </c>
      <c r="H34" s="222">
        <v>1097838151</v>
      </c>
      <c r="I34" s="217"/>
      <c r="J34" s="224"/>
      <c r="K34" s="216" t="str">
        <f>IF(C34&lt;&gt;"",VLOOKUP(C34,[1]DSKH!B:E,4,0),"")</f>
        <v/>
      </c>
      <c r="L34" s="216"/>
      <c r="M34" s="216" t="str">
        <f t="shared" si="0"/>
        <v>- 1097838151 -MAY 02-</v>
      </c>
    </row>
    <row r="35" spans="1:13">
      <c r="A35" s="216" t="str">
        <f>IF(C35&lt;&gt;"",SUBTOTAL(103,$C$8:C35),"")</f>
        <v/>
      </c>
      <c r="B35" s="226">
        <v>43222</v>
      </c>
      <c r="C35" s="216"/>
      <c r="D35" s="216" t="str">
        <f>IF(C35&lt;&gt;"",VLOOKUP(C35,[1]DSKH!B:E,2,0),"")</f>
        <v/>
      </c>
      <c r="E35" s="215"/>
      <c r="F35" s="216"/>
      <c r="G35" s="216" t="str">
        <f>IF(C35&lt;&gt;"",VLOOKUP(C35,DSKH!B:E,3,0),"")</f>
        <v/>
      </c>
      <c r="H35" s="222">
        <v>1097842968</v>
      </c>
      <c r="I35" s="217"/>
      <c r="J35" s="224"/>
      <c r="K35" s="216" t="str">
        <f>IF(C35&lt;&gt;"",VLOOKUP(C35,[1]DSKH!B:E,4,0),"")</f>
        <v/>
      </c>
      <c r="L35" s="216"/>
      <c r="M35" s="216" t="str">
        <f t="shared" si="0"/>
        <v>- 1097842968 -MAY 02-</v>
      </c>
    </row>
    <row r="36" spans="1:13">
      <c r="A36" s="216" t="str">
        <f>IF(C36&lt;&gt;"",SUBTOTAL(103,$C$8:C36),"")</f>
        <v/>
      </c>
      <c r="B36" s="226">
        <v>43222</v>
      </c>
      <c r="C36" s="216"/>
      <c r="D36" s="216" t="str">
        <f>IF(C36&lt;&gt;"",VLOOKUP(C36,[1]DSKH!B:E,2,0),"")</f>
        <v/>
      </c>
      <c r="E36" s="215"/>
      <c r="F36" s="216"/>
      <c r="G36" s="216" t="str">
        <f>IF(C36&lt;&gt;"",VLOOKUP(C36,DSKH!B:E,3,0),"")</f>
        <v/>
      </c>
      <c r="H36" s="222">
        <v>1097817881</v>
      </c>
      <c r="I36" s="217"/>
      <c r="J36" s="224"/>
      <c r="K36" s="216" t="str">
        <f>IF(C36&lt;&gt;"",VLOOKUP(C36,[1]DSKH!B:E,4,0),"")</f>
        <v/>
      </c>
      <c r="L36" s="216"/>
      <c r="M36" s="216" t="str">
        <f t="shared" si="0"/>
        <v>- 1097817881 -MAY 02-</v>
      </c>
    </row>
    <row r="37" spans="1:13">
      <c r="A37" s="216" t="str">
        <f>IF(C37&lt;&gt;"",SUBTOTAL(103,$C$8:C37),"")</f>
        <v/>
      </c>
      <c r="B37" s="226">
        <v>43222</v>
      </c>
      <c r="C37" s="216"/>
      <c r="D37" s="216" t="str">
        <f>IF(C37&lt;&gt;"",VLOOKUP(C37,[1]DSKH!B:E,2,0),"")</f>
        <v/>
      </c>
      <c r="E37" s="215"/>
      <c r="F37" s="216"/>
      <c r="G37" s="216" t="str">
        <f>IF(C37&lt;&gt;"",VLOOKUP(C37,DSKH!B:E,3,0),"")</f>
        <v/>
      </c>
      <c r="H37" s="222">
        <v>1097996747</v>
      </c>
      <c r="I37" s="217"/>
      <c r="J37" s="224"/>
      <c r="K37" s="216" t="str">
        <f>IF(C37&lt;&gt;"",VLOOKUP(C37,[1]DSKH!B:E,4,0),"")</f>
        <v/>
      </c>
      <c r="L37" s="216"/>
      <c r="M37" s="216" t="str">
        <f t="shared" si="0"/>
        <v>- 1097996747 -MAY 02-</v>
      </c>
    </row>
    <row r="38" spans="1:13">
      <c r="A38" s="216" t="str">
        <f>IF(C38&lt;&gt;"",SUBTOTAL(103,$C$8:C38),"")</f>
        <v/>
      </c>
      <c r="B38" s="226">
        <v>43222</v>
      </c>
      <c r="C38" s="216"/>
      <c r="D38" s="216" t="str">
        <f>IF(C38&lt;&gt;"",VLOOKUP(C38,[1]DSKH!B:E,2,0),"")</f>
        <v/>
      </c>
      <c r="E38" s="215"/>
      <c r="F38" s="216"/>
      <c r="G38" s="216" t="str">
        <f>IF(C38&lt;&gt;"",VLOOKUP(C38,DSKH!B:E,3,0),"")</f>
        <v/>
      </c>
      <c r="H38" s="222">
        <v>1098030438</v>
      </c>
      <c r="I38" s="217"/>
      <c r="J38" s="224"/>
      <c r="K38" s="216" t="str">
        <f>IF(C38&lt;&gt;"",VLOOKUP(C38,[1]DSKH!B:E,4,0),"")</f>
        <v/>
      </c>
      <c r="L38" s="216"/>
      <c r="M38" s="216" t="str">
        <f t="shared" si="0"/>
        <v>- 1098030438 -MAY 02-</v>
      </c>
    </row>
    <row r="39" spans="1:13" ht="41.4">
      <c r="A39" s="216">
        <f>IF(C39&lt;&gt;"",SUBTOTAL(103,$C$8:C39),"")</f>
        <v>17</v>
      </c>
      <c r="B39" s="226">
        <v>43222</v>
      </c>
      <c r="C39" s="216" t="s">
        <v>2934</v>
      </c>
      <c r="D39" s="216" t="str">
        <f>IF(C39&lt;&gt;"",VLOOKUP(C39,[1]DSKH!B:E,2,0),"")</f>
        <v>KCN VA DO THI HOANG LONG, TAO XUYEN, THANH HOA</v>
      </c>
      <c r="E39" s="215">
        <v>4</v>
      </c>
      <c r="F39" s="216"/>
      <c r="G39" s="216" t="str">
        <f>IF(C39&lt;&gt;"",VLOOKUP(C39,DSKH!B:E,3,0),"")</f>
        <v>cho XNK confirm</v>
      </c>
      <c r="H39" s="222">
        <v>1098144415</v>
      </c>
      <c r="I39" s="217"/>
      <c r="J39" s="224" t="s">
        <v>3038</v>
      </c>
      <c r="K39" s="216" t="str">
        <f>IF(C39&lt;&gt;"",VLOOKUP(C39,[1]DSKH!B:E,4,0),"")</f>
        <v>ANH TRI 01633973037 HOAC HUONG 0973532565</v>
      </c>
      <c r="L39" s="216">
        <f>4.58+19+19.6+3</f>
        <v>46.18</v>
      </c>
      <c r="M39" s="216" t="str">
        <f t="shared" si="0"/>
        <v>ALERON- 1098144415 -MAY 02-na001735195</v>
      </c>
    </row>
    <row r="40" spans="1:13">
      <c r="A40" s="216" t="str">
        <f>IF(C40&lt;&gt;"",SUBTOTAL(103,$C$8:C40),"")</f>
        <v/>
      </c>
      <c r="B40" s="226">
        <v>43222</v>
      </c>
      <c r="C40" s="216"/>
      <c r="D40" s="216" t="str">
        <f>IF(C40&lt;&gt;"",VLOOKUP(C40,[1]DSKH!B:E,2,0),"")</f>
        <v/>
      </c>
      <c r="E40" s="215"/>
      <c r="F40" s="216"/>
      <c r="G40" s="216" t="str">
        <f>IF(C40&lt;&gt;"",VLOOKUP(C40,DSKH!B:E,3,0),"")</f>
        <v/>
      </c>
      <c r="H40" s="222">
        <v>1098144515</v>
      </c>
      <c r="I40" s="217"/>
      <c r="J40" s="224"/>
      <c r="K40" s="216" t="str">
        <f>IF(C40&lt;&gt;"",VLOOKUP(C40,[1]DSKH!B:E,4,0),"")</f>
        <v/>
      </c>
      <c r="L40" s="216"/>
      <c r="M40" s="216" t="str">
        <f t="shared" si="0"/>
        <v>- 1098144515 -MAY 02-</v>
      </c>
    </row>
    <row r="41" spans="1:13" ht="41.4">
      <c r="A41" s="216">
        <f>IF(C41&lt;&gt;"",SUBTOTAL(103,$C$8:C41),"")</f>
        <v>18</v>
      </c>
      <c r="B41" s="226">
        <v>43222</v>
      </c>
      <c r="C41" s="216" t="s">
        <v>1017</v>
      </c>
      <c r="D41" s="216" t="str">
        <f>IF(C41&lt;&gt;"",VLOOKUP(C41,[1]DSKH!B:E,2,0),"")</f>
        <v>THO VUC, TRIEU SON, THANH HOA</v>
      </c>
      <c r="E41" s="215">
        <v>1</v>
      </c>
      <c r="F41" s="216"/>
      <c r="G41" s="216">
        <f>IF(C41&lt;&gt;"",VLOOKUP(C41,DSKH!B:E,3,0),"")</f>
        <v>0</v>
      </c>
      <c r="H41" s="222">
        <v>1098675590</v>
      </c>
      <c r="I41" s="217" t="s">
        <v>2860</v>
      </c>
      <c r="J41" s="224" t="s">
        <v>3039</v>
      </c>
      <c r="K41" s="216" t="str">
        <f>IF(C41&lt;&gt;"",VLOOKUP(C41,[1]DSKH!B:E,4,0),"")</f>
        <v>MS HUONG: 0373 631 266 ext: 110
0936 467 896</v>
      </c>
      <c r="L41" s="216">
        <v>0.18</v>
      </c>
      <c r="M41" s="216" t="str">
        <f t="shared" si="0"/>
        <v>IVORY THANH HOA- 1098675590 -MAY 02-na001735196</v>
      </c>
    </row>
    <row r="42" spans="1:13" ht="27.6">
      <c r="A42" s="216">
        <f>IF(C42&lt;&gt;"",SUBTOTAL(103,$C$8:C42),"")</f>
        <v>19</v>
      </c>
      <c r="B42" s="226">
        <v>43222</v>
      </c>
      <c r="C42" s="216" t="s">
        <v>1529</v>
      </c>
      <c r="D42" s="216" t="str">
        <f>IF(C42&lt;&gt;"",VLOOKUP(C42,[1]DSKH!B:E,2,0),"")</f>
        <v>Xa Dinh Cao- Phu Cu - Hung Yen</v>
      </c>
      <c r="E42" s="215">
        <v>1</v>
      </c>
      <c r="F42" s="216"/>
      <c r="G42" s="216">
        <f>IF(C42&lt;&gt;"",VLOOKUP(C42,DSKH!B:E,3,0),"")</f>
        <v>0</v>
      </c>
      <c r="H42" s="222">
        <v>1098039341</v>
      </c>
      <c r="I42" s="217"/>
      <c r="J42" s="224" t="s">
        <v>3040</v>
      </c>
      <c r="K42" s="216" t="str">
        <f>IF(C42&lt;&gt;"",VLOOKUP(C42,[1]DSKH!B:E,4,0),"")</f>
        <v>Attn: Mr Thuong: 0982 493 888</v>
      </c>
      <c r="L42" s="216">
        <v>3.8</v>
      </c>
      <c r="M42" s="216" t="str">
        <f t="shared" si="0"/>
        <v>PHU HUNG- 1098039341 -MAY 02-na001735197</v>
      </c>
    </row>
    <row r="43" spans="1:13" ht="55.2">
      <c r="A43" s="216">
        <f>IF(C43&lt;&gt;"",SUBTOTAL(103,$C$8:C43),"")</f>
        <v>20</v>
      </c>
      <c r="B43" s="226">
        <v>43222</v>
      </c>
      <c r="C43" s="216" t="s">
        <v>2523</v>
      </c>
      <c r="D43" s="216" t="str">
        <f>IF(C43&lt;&gt;"",VLOOKUP(C43,[1]DSKH!B:E,2,0),"")</f>
        <v>NO F5, F6, F7, F8, F9, F10 KCN BAC DONG PHU, TAN PHU, DONG PHU, BINH PHUOC</v>
      </c>
      <c r="E43" s="215">
        <v>5</v>
      </c>
      <c r="F43" s="216" t="s">
        <v>2861</v>
      </c>
      <c r="G43" s="216" t="str">
        <f>IF(C43&lt;&gt;"",VLOOKUP(C43,DSKH!B:E,3,0),"")</f>
        <v>CTU</v>
      </c>
      <c r="H43" s="222">
        <v>1098683568</v>
      </c>
      <c r="I43" s="217" t="s">
        <v>2860</v>
      </c>
      <c r="J43" s="224" t="s">
        <v>3041</v>
      </c>
      <c r="K43" s="216" t="str">
        <f>IF(C43&lt;&gt;"",VLOOKUP(C43,[1]DSKH!B:E,4,0),"")</f>
        <v>QUYNH ANH: 0935 471 807</v>
      </c>
      <c r="L43" s="216">
        <f>4*8.6+2</f>
        <v>36.4</v>
      </c>
      <c r="M43" s="216" t="str">
        <f t="shared" si="0"/>
        <v>YAKJIN SAIGON- 1098683568 -MAY 02-na001735198</v>
      </c>
    </row>
    <row r="44" spans="1:13" ht="41.4">
      <c r="A44" s="216">
        <f>IF(C44&lt;&gt;"",SUBTOTAL(103,$C$8:C44),"")</f>
        <v>21</v>
      </c>
      <c r="B44" s="226">
        <v>43222</v>
      </c>
      <c r="C44" s="216" t="s">
        <v>2307</v>
      </c>
      <c r="D44" s="216" t="str">
        <f>IF(C44&lt;&gt;"",VLOOKUP(C44,[1]DSKH!B:E,2,0),"")</f>
        <v>Thon Giao Cu trung, xa Dong Son, huyen Nam Truc, Nam Dinh</v>
      </c>
      <c r="E44" s="215">
        <v>3</v>
      </c>
      <c r="F44" s="216"/>
      <c r="G44" s="216">
        <f>IF(C44&lt;&gt;"",VLOOKUP(C44,DSKH!B:E,3,0),"")</f>
        <v>0</v>
      </c>
      <c r="H44" s="222">
        <v>1098681124</v>
      </c>
      <c r="I44" s="217" t="s">
        <v>2860</v>
      </c>
      <c r="J44" s="224" t="s">
        <v>3042</v>
      </c>
      <c r="K44" s="216">
        <f>IF(C44&lt;&gt;"",VLOOKUP(C44,[1]DSKH!B:E,4,0),"")</f>
        <v>0</v>
      </c>
      <c r="L44" s="216">
        <f>15.2+17+5</f>
        <v>37.200000000000003</v>
      </c>
      <c r="M44" s="216" t="str">
        <f t="shared" si="0"/>
        <v>VIET PAN PACIFIC NAM DINH- 1098681124 -MAY 02-na001735199</v>
      </c>
    </row>
    <row r="45" spans="1:13" ht="82.8">
      <c r="A45" s="216">
        <f>IF(C45&lt;&gt;"",SUBTOTAL(103,$C$8:C45),"")</f>
        <v>22</v>
      </c>
      <c r="B45" s="226">
        <v>43222</v>
      </c>
      <c r="C45" s="216" t="s">
        <v>2204</v>
      </c>
      <c r="D45" s="216" t="str">
        <f>IF(C45&lt;&gt;"",VLOOKUP(C45,[1]DSKH!B:E,2,0),"")</f>
        <v>BI, BII, BIII, BIV SECTION,  GIAO LONG INDUSTRIAL ZONE PHASE II,AN PHUOC COMMUNE, CHAU THANH DISTRICT, BEN TRE PROVINCE</v>
      </c>
      <c r="E45" s="215">
        <v>9</v>
      </c>
      <c r="F45" s="216"/>
      <c r="G45" s="216">
        <f>IF(C45&lt;&gt;"",VLOOKUP(C45,DSKH!B:E,3,0),"")</f>
        <v>0</v>
      </c>
      <c r="H45" s="222">
        <v>1098675262</v>
      </c>
      <c r="I45" s="217" t="s">
        <v>2860</v>
      </c>
      <c r="J45" s="224" t="s">
        <v>3043</v>
      </c>
      <c r="K45" s="216" t="str">
        <f>IF(C45&lt;&gt;"",VLOOKUP(C45,[1]DSKH!B:E,4,0),"")</f>
        <v>Tel: 84-75- 3635600   Fax: 84-75- 3635601</v>
      </c>
      <c r="L45" s="216">
        <f>0.1+0.1+0.1+1.2+0.9</f>
        <v>2.4</v>
      </c>
      <c r="M45" s="216" t="str">
        <f t="shared" si="0"/>
        <v>UNISOLL- 1098675262 -MAY 02-na001735200</v>
      </c>
    </row>
    <row r="46" spans="1:13">
      <c r="A46" s="216" t="str">
        <f>IF(C46&lt;&gt;"",SUBTOTAL(103,$C$8:C46),"")</f>
        <v/>
      </c>
      <c r="B46" s="226">
        <v>43222</v>
      </c>
      <c r="C46" s="216"/>
      <c r="D46" s="216" t="str">
        <f>IF(C46&lt;&gt;"",VLOOKUP(C46,[1]DSKH!B:E,2,0),"")</f>
        <v/>
      </c>
      <c r="E46" s="215"/>
      <c r="F46" s="216"/>
      <c r="G46" s="216" t="str">
        <f>IF(C46&lt;&gt;"",VLOOKUP(C46,DSKH!B:E,3,0),"")</f>
        <v/>
      </c>
      <c r="H46" s="222">
        <v>1098675633</v>
      </c>
      <c r="I46" s="217"/>
      <c r="J46" s="224"/>
      <c r="K46" s="216" t="str">
        <f>IF(C46&lt;&gt;"",VLOOKUP(C46,[1]DSKH!B:E,4,0),"")</f>
        <v/>
      </c>
      <c r="L46" s="216"/>
      <c r="M46" s="216" t="str">
        <f t="shared" si="0"/>
        <v>- 1098675633 -MAY 02-</v>
      </c>
    </row>
    <row r="47" spans="1:13">
      <c r="A47" s="216" t="str">
        <f>IF(C47&lt;&gt;"",SUBTOTAL(103,$C$8:C47),"")</f>
        <v/>
      </c>
      <c r="B47" s="226">
        <v>43222</v>
      </c>
      <c r="C47" s="216"/>
      <c r="D47" s="216" t="str">
        <f>IF(C47&lt;&gt;"",VLOOKUP(C47,[1]DSKH!B:E,2,0),"")</f>
        <v/>
      </c>
      <c r="E47" s="215"/>
      <c r="F47" s="216"/>
      <c r="G47" s="216" t="str">
        <f>IF(C47&lt;&gt;"",VLOOKUP(C47,DSKH!B:E,3,0),"")</f>
        <v/>
      </c>
      <c r="H47" s="222">
        <v>1098675635</v>
      </c>
      <c r="I47" s="217"/>
      <c r="J47" s="224"/>
      <c r="K47" s="216" t="str">
        <f>IF(C47&lt;&gt;"",VLOOKUP(C47,[1]DSKH!B:E,4,0),"")</f>
        <v/>
      </c>
      <c r="L47" s="216"/>
      <c r="M47" s="216" t="str">
        <f t="shared" si="0"/>
        <v>- 1098675635 -MAY 02-</v>
      </c>
    </row>
    <row r="48" spans="1:13">
      <c r="A48" s="216" t="str">
        <f>IF(C48&lt;&gt;"",SUBTOTAL(103,$C$8:C48),"")</f>
        <v/>
      </c>
      <c r="B48" s="226">
        <v>43222</v>
      </c>
      <c r="C48" s="216"/>
      <c r="D48" s="216" t="str">
        <f>IF(C48&lt;&gt;"",VLOOKUP(C48,[1]DSKH!B:E,2,0),"")</f>
        <v/>
      </c>
      <c r="E48" s="215"/>
      <c r="F48" s="216"/>
      <c r="G48" s="216" t="str">
        <f>IF(C48&lt;&gt;"",VLOOKUP(C48,DSKH!B:E,3,0),"")</f>
        <v/>
      </c>
      <c r="H48" s="222">
        <v>1098675636</v>
      </c>
      <c r="I48" s="217"/>
      <c r="J48" s="224"/>
      <c r="K48" s="216" t="str">
        <f>IF(C48&lt;&gt;"",VLOOKUP(C48,[1]DSKH!B:E,4,0),"")</f>
        <v/>
      </c>
      <c r="L48" s="216"/>
      <c r="M48" s="216" t="str">
        <f t="shared" si="0"/>
        <v>- 1098675636 -MAY 02-</v>
      </c>
    </row>
    <row r="49" spans="1:13" ht="41.4">
      <c r="A49" s="216">
        <f>IF(C49&lt;&gt;"",SUBTOTAL(103,$C$8:C49),"")</f>
        <v>23</v>
      </c>
      <c r="B49" s="226">
        <v>43222</v>
      </c>
      <c r="C49" s="216" t="s">
        <v>2150</v>
      </c>
      <c r="D49" s="216" t="str">
        <f>IF(C49&lt;&gt;"",VLOOKUP(C49,[1]DSKH!B:E,2,0),"")</f>
        <v>SONG CONG 3, KHU B, KCN SONG CONG, THAI NGUYEN</v>
      </c>
      <c r="E49" s="215">
        <v>4</v>
      </c>
      <c r="F49" s="216"/>
      <c r="G49" s="216">
        <f>IF(C49&lt;&gt;"",VLOOKUP(C49,DSKH!B:E,3,0),"")</f>
        <v>0</v>
      </c>
      <c r="H49" s="222">
        <v>1098693387</v>
      </c>
      <c r="I49" s="217" t="s">
        <v>2860</v>
      </c>
      <c r="J49" s="224" t="s">
        <v>3044</v>
      </c>
      <c r="K49" s="216" t="str">
        <f>IF(C49&lt;&gt;"",VLOOKUP(C49,[1]DSKH!B:E,4,0),"")</f>
        <v>THANH TRA: 0169 266 1597</v>
      </c>
      <c r="L49" s="216">
        <f>8.8+2.4+9.9+1.27</f>
        <v>22.37</v>
      </c>
      <c r="M49" s="216" t="str">
        <f t="shared" si="0"/>
        <v>TNG SONG CONG 3- 1098693387 -MAY 02-na002185201</v>
      </c>
    </row>
    <row r="50" spans="1:13" ht="41.4">
      <c r="A50" s="216">
        <f>IF(C50&lt;&gt;"",SUBTOTAL(103,$C$8:C50),"")</f>
        <v>24</v>
      </c>
      <c r="B50" s="226">
        <v>43222</v>
      </c>
      <c r="C50" s="216" t="s">
        <v>1845</v>
      </c>
      <c r="D50" s="216" t="str">
        <f>IF(C50&lt;&gt;"",VLOOKUP(C50,[1]DSKH!B:E,2,0),"")</f>
        <v>DUONG 10-LOC HA-NAM DINH</v>
      </c>
      <c r="E50" s="215">
        <v>21</v>
      </c>
      <c r="F50" s="216" t="s">
        <v>2090</v>
      </c>
      <c r="G50" s="216">
        <f>IF(C50&lt;&gt;"",VLOOKUP(C50,DSKH!B:E,3,0),"")</f>
        <v>0</v>
      </c>
      <c r="H50" s="222">
        <v>1098694199</v>
      </c>
      <c r="I50" s="217" t="s">
        <v>2860</v>
      </c>
      <c r="J50" s="224" t="s">
        <v>3045</v>
      </c>
      <c r="K50" s="216" t="str">
        <f>IF(C50&lt;&gt;"",VLOOKUP(C50,[1]DSKH!B:E,4,0),"")</f>
        <v>BONNY- 0918 428 398</v>
      </c>
      <c r="L50" s="216">
        <f>3.08+0.45+1.86+0.74+0.6+0.98+1.72+0.43+0.8+3.24+2.35+0.82+0.18+1.53+1.88+0.092+0.12+1.28+2.02+0.42+0.94+0</f>
        <v>25.532000000000007</v>
      </c>
      <c r="M50" s="216" t="str">
        <f t="shared" si="0"/>
        <v>SONG HONG COLUMBIA VAT- 1098694199 -MAY 02-na002185202</v>
      </c>
    </row>
    <row r="51" spans="1:13">
      <c r="A51" s="216" t="str">
        <f>IF(C51&lt;&gt;"",SUBTOTAL(103,$C$8:C51),"")</f>
        <v/>
      </c>
      <c r="B51" s="226">
        <v>43222</v>
      </c>
      <c r="C51" s="216"/>
      <c r="D51" s="216" t="str">
        <f>IF(C51&lt;&gt;"",VLOOKUP(C51,[1]DSKH!B:E,2,0),"")</f>
        <v/>
      </c>
      <c r="E51" s="215"/>
      <c r="F51" s="216"/>
      <c r="G51" s="216" t="str">
        <f>IF(C51&lt;&gt;"",VLOOKUP(C51,DSKH!B:E,3,0),"")</f>
        <v/>
      </c>
      <c r="H51" s="222">
        <v>1098657902</v>
      </c>
      <c r="I51" s="217"/>
      <c r="J51" s="224"/>
      <c r="K51" s="216" t="str">
        <f>IF(C51&lt;&gt;"",VLOOKUP(C51,[1]DSKH!B:E,4,0),"")</f>
        <v/>
      </c>
      <c r="L51" s="216"/>
      <c r="M51" s="216" t="str">
        <f t="shared" si="0"/>
        <v>- 1098657902 -MAY 02-</v>
      </c>
    </row>
    <row r="52" spans="1:13">
      <c r="A52" s="216" t="str">
        <f>IF(C52&lt;&gt;"",SUBTOTAL(103,$C$8:C52),"")</f>
        <v/>
      </c>
      <c r="B52" s="226">
        <v>43222</v>
      </c>
      <c r="C52" s="216"/>
      <c r="D52" s="216" t="str">
        <f>IF(C52&lt;&gt;"",VLOOKUP(C52,[1]DSKH!B:E,2,0),"")</f>
        <v/>
      </c>
      <c r="E52" s="215"/>
      <c r="F52" s="216"/>
      <c r="G52" s="216" t="str">
        <f>IF(C52&lt;&gt;"",VLOOKUP(C52,DSKH!B:E,3,0),"")</f>
        <v/>
      </c>
      <c r="H52" s="222">
        <v>1098670844</v>
      </c>
      <c r="I52" s="217"/>
      <c r="J52" s="224"/>
      <c r="K52" s="216" t="str">
        <f>IF(C52&lt;&gt;"",VLOOKUP(C52,[1]DSKH!B:E,4,0),"")</f>
        <v/>
      </c>
      <c r="L52" s="216"/>
      <c r="M52" s="216" t="str">
        <f t="shared" si="0"/>
        <v>- 1098670844 -MAY 02-</v>
      </c>
    </row>
    <row r="53" spans="1:13">
      <c r="A53" s="216" t="str">
        <f>IF(C53&lt;&gt;"",SUBTOTAL(103,$C$8:C53),"")</f>
        <v/>
      </c>
      <c r="B53" s="226">
        <v>43222</v>
      </c>
      <c r="C53" s="216"/>
      <c r="D53" s="216" t="str">
        <f>IF(C53&lt;&gt;"",VLOOKUP(C53,[1]DSKH!B:E,2,0),"")</f>
        <v/>
      </c>
      <c r="E53" s="215"/>
      <c r="F53" s="216"/>
      <c r="G53" s="216" t="str">
        <f>IF(C53&lt;&gt;"",VLOOKUP(C53,DSKH!B:E,3,0),"")</f>
        <v/>
      </c>
      <c r="H53" s="222">
        <v>1098694195</v>
      </c>
      <c r="I53" s="217"/>
      <c r="J53" s="224"/>
      <c r="K53" s="216" t="str">
        <f>IF(C53&lt;&gt;"",VLOOKUP(C53,[1]DSKH!B:E,4,0),"")</f>
        <v/>
      </c>
      <c r="L53" s="216"/>
      <c r="M53" s="216" t="str">
        <f t="shared" si="0"/>
        <v>- 1098694195 -MAY 02-</v>
      </c>
    </row>
    <row r="54" spans="1:13">
      <c r="A54" s="216" t="str">
        <f>IF(C54&lt;&gt;"",SUBTOTAL(103,$C$8:C54),"")</f>
        <v/>
      </c>
      <c r="B54" s="226">
        <v>43222</v>
      </c>
      <c r="C54" s="216"/>
      <c r="D54" s="216" t="str">
        <f>IF(C54&lt;&gt;"",VLOOKUP(C54,[1]DSKH!B:E,2,0),"")</f>
        <v/>
      </c>
      <c r="E54" s="215"/>
      <c r="F54" s="216"/>
      <c r="G54" s="216" t="str">
        <f>IF(C54&lt;&gt;"",VLOOKUP(C54,DSKH!B:E,3,0),"")</f>
        <v/>
      </c>
      <c r="H54" s="222">
        <v>1098658007</v>
      </c>
      <c r="I54" s="217"/>
      <c r="J54" s="224"/>
      <c r="K54" s="216" t="str">
        <f>IF(C54&lt;&gt;"",VLOOKUP(C54,[1]DSKH!B:E,4,0),"")</f>
        <v/>
      </c>
      <c r="L54" s="216"/>
      <c r="M54" s="216" t="str">
        <f t="shared" si="0"/>
        <v>- 1098658007 -MAY 02-</v>
      </c>
    </row>
    <row r="55" spans="1:13">
      <c r="A55" s="216" t="str">
        <f>IF(C55&lt;&gt;"",SUBTOTAL(103,$C$8:C55),"")</f>
        <v/>
      </c>
      <c r="B55" s="226">
        <v>43222</v>
      </c>
      <c r="C55" s="216"/>
      <c r="D55" s="216" t="str">
        <f>IF(C55&lt;&gt;"",VLOOKUP(C55,[1]DSKH!B:E,2,0),"")</f>
        <v/>
      </c>
      <c r="E55" s="215"/>
      <c r="F55" s="216"/>
      <c r="G55" s="216" t="str">
        <f>IF(C55&lt;&gt;"",VLOOKUP(C55,DSKH!B:E,3,0),"")</f>
        <v/>
      </c>
      <c r="H55" s="222">
        <v>1098657882</v>
      </c>
      <c r="I55" s="217"/>
      <c r="J55" s="224"/>
      <c r="K55" s="216" t="str">
        <f>IF(C55&lt;&gt;"",VLOOKUP(C55,[1]DSKH!B:E,4,0),"")</f>
        <v/>
      </c>
      <c r="L55" s="216"/>
      <c r="M55" s="216" t="str">
        <f t="shared" si="0"/>
        <v>- 1098657882 -MAY 02-</v>
      </c>
    </row>
    <row r="56" spans="1:13" ht="41.4">
      <c r="A56" s="216">
        <f>IF(C56&lt;&gt;"",SUBTOTAL(103,$C$8:C56),"")</f>
        <v>25</v>
      </c>
      <c r="B56" s="226">
        <v>43222</v>
      </c>
      <c r="C56" s="216" t="s">
        <v>1872</v>
      </c>
      <c r="D56" s="216" t="str">
        <f>IF(C56&lt;&gt;"",VLOOKUP(C56,[1]DSKH!B:E,2,0),"")</f>
        <v>864 STREET, BINH TAO HAMLET, TRUNG AN, MY THO, TIEN GIANG</v>
      </c>
      <c r="E56" s="215">
        <v>5</v>
      </c>
      <c r="F56" s="216"/>
      <c r="G56" s="216">
        <f>IF(C56&lt;&gt;"",VLOOKUP(C56,DSKH!B:E,3,0),"")</f>
        <v>0</v>
      </c>
      <c r="H56" s="222">
        <v>1098706699</v>
      </c>
      <c r="I56" s="217" t="s">
        <v>2860</v>
      </c>
      <c r="J56" s="224" t="s">
        <v>3046</v>
      </c>
      <c r="K56" s="216">
        <f>IF(C56&lt;&gt;"",VLOOKUP(C56,[1]DSKH!B:E,4,0),"")</f>
        <v>0</v>
      </c>
      <c r="L56" s="216">
        <f>3.2+6.6+9.2+1.54+5.2+0</f>
        <v>25.74</v>
      </c>
      <c r="M56" s="216" t="str">
        <f t="shared" si="0"/>
        <v>SONG TIEN- 1098706699 -MAY 02-na002185203</v>
      </c>
    </row>
    <row r="57" spans="1:13" ht="41.4">
      <c r="A57" s="216">
        <f>IF(C57&lt;&gt;"",SUBTOTAL(103,$C$8:C57),"")</f>
        <v>26</v>
      </c>
      <c r="B57" s="226">
        <v>43222</v>
      </c>
      <c r="C57" s="216" t="s">
        <v>1273</v>
      </c>
      <c r="D57" s="216" t="str">
        <f>IF(C57&lt;&gt;"",VLOOKUP(C57,[1]DSKH!B:E,2,0),"")</f>
        <v>TAN DAN, CHI LINH, HAI DUONG</v>
      </c>
      <c r="E57" s="215">
        <v>2</v>
      </c>
      <c r="F57" s="216"/>
      <c r="G57" s="216">
        <f>IF(C57&lt;&gt;"",VLOOKUP(C57,DSKH!B:E,3,0),"")</f>
        <v>0</v>
      </c>
      <c r="H57" s="222">
        <v>1098690050</v>
      </c>
      <c r="I57" s="217" t="s">
        <v>2860</v>
      </c>
      <c r="J57" s="224" t="s">
        <v>3047</v>
      </c>
      <c r="K57" s="216" t="str">
        <f>IF(C57&lt;&gt;"",VLOOKUP(C57,[1]DSKH!B:E,4,0),"")</f>
        <v>MS QUYNH: 01689931762</v>
      </c>
      <c r="L57" s="216">
        <v>0.6</v>
      </c>
      <c r="M57" s="216" t="str">
        <f t="shared" si="0"/>
        <v>MICHIGAN HAI DUONG- 1098690050 -MAY 02-na002185204</v>
      </c>
    </row>
    <row r="58" spans="1:13" ht="55.2">
      <c r="A58" s="216">
        <f>IF(C58&lt;&gt;"",SUBTOTAL(103,$C$8:C58),"")</f>
        <v>27</v>
      </c>
      <c r="B58" s="226">
        <v>43222</v>
      </c>
      <c r="C58" s="216" t="s">
        <v>2523</v>
      </c>
      <c r="D58" s="216" t="str">
        <f>IF(C58&lt;&gt;"",VLOOKUP(C58,[1]DSKH!B:E,2,0),"")</f>
        <v>NO F5, F6, F7, F8, F9, F10 KCN BAC DONG PHU, TAN PHU, DONG PHU, BINH PHUOC</v>
      </c>
      <c r="E58" s="215">
        <v>1</v>
      </c>
      <c r="F58" s="216" t="s">
        <v>2861</v>
      </c>
      <c r="G58" s="216" t="str">
        <f>IF(C58&lt;&gt;"",VLOOKUP(C58,DSKH!B:E,3,0),"")</f>
        <v>CTU</v>
      </c>
      <c r="H58" s="222">
        <v>1098707090</v>
      </c>
      <c r="I58" s="217" t="s">
        <v>2860</v>
      </c>
      <c r="J58" s="224" t="s">
        <v>3048</v>
      </c>
      <c r="K58" s="216" t="str">
        <f>IF(C58&lt;&gt;"",VLOOKUP(C58,[1]DSKH!B:E,4,0),"")</f>
        <v>QUYNH ANH: 0935 471 807</v>
      </c>
      <c r="L58" s="216">
        <v>1.3</v>
      </c>
      <c r="M58" s="216" t="str">
        <f t="shared" si="0"/>
        <v>YAKJIN SAIGON- 1098707090 -MAY 02-na002185205</v>
      </c>
    </row>
    <row r="59" spans="1:13" ht="41.4">
      <c r="A59" s="216">
        <f>IF(C59&lt;&gt;"",SUBTOTAL(103,$C$8:C59),"")</f>
        <v>28</v>
      </c>
      <c r="B59" s="226">
        <v>43222</v>
      </c>
      <c r="C59" s="216" t="s">
        <v>2598</v>
      </c>
      <c r="D59" s="216" t="str">
        <f>IF(C59&lt;&gt;"",VLOOKUP(C59,[1]DSKH!B:E,2,0),"")</f>
        <v>THON DANH THUONG, DANH THANG, HIEP HOA, BAC GIANG</v>
      </c>
      <c r="E59" s="215">
        <v>16</v>
      </c>
      <c r="F59" s="216"/>
      <c r="G59" s="216" t="str">
        <f>IF(C59&lt;&gt;"",VLOOKUP(C59,DSKH!B:E,3,0),"")</f>
        <v>hang giao truoc, KEM PKL CHI TIET</v>
      </c>
      <c r="H59" s="222">
        <v>1098142471</v>
      </c>
      <c r="I59" s="217" t="s">
        <v>2860</v>
      </c>
      <c r="J59" s="224" t="s">
        <v>3049</v>
      </c>
      <c r="K59" s="216" t="str">
        <f>IF(C59&lt;&gt;"",VLOOKUP(C59,[1]DSKH!B:E,4,0),"")</f>
        <v>HUONG 0989481786</v>
      </c>
      <c r="L59" s="216">
        <v>16.91</v>
      </c>
      <c r="M59" s="216" t="str">
        <f t="shared" si="0"/>
        <v>VIET PAN PACIFIC WORLD- 1098142471 -MAY 02-na002185206</v>
      </c>
    </row>
    <row r="60" spans="1:13" ht="27.6">
      <c r="A60" s="216">
        <f>IF(C60&lt;&gt;"",SUBTOTAL(103,$C$8:C60),"")</f>
        <v>29</v>
      </c>
      <c r="B60" s="226">
        <v>43222</v>
      </c>
      <c r="C60" s="216" t="s">
        <v>1228</v>
      </c>
      <c r="D60" s="216" t="str">
        <f>IF(C60&lt;&gt;"",VLOOKUP(C60,[1]DSKH!B:E,2,0),"")</f>
        <v xml:space="preserve">S ố 9 Phù Đổng Thiên Vương P.8 Đà Lạt. </v>
      </c>
      <c r="E60" s="215">
        <v>1</v>
      </c>
      <c r="F60" s="216"/>
      <c r="G60" s="216">
        <f>IF(C60&lt;&gt;"",VLOOKUP(C60,DSKH!B:E,3,0),"")</f>
        <v>0</v>
      </c>
      <c r="H60" s="222">
        <v>1098709370</v>
      </c>
      <c r="I60" s="217" t="s">
        <v>2860</v>
      </c>
      <c r="J60" s="224" t="s">
        <v>3050</v>
      </c>
      <c r="K60" s="216" t="str">
        <f>IF(C60&lt;&gt;"",VLOOKUP(C60,[1]DSKH!B:E,4,0),"")</f>
        <v>ATTN:HOÀNG NGỌC THỊNH-01699655227</v>
      </c>
      <c r="L60" s="216">
        <v>2.7</v>
      </c>
      <c r="M60" s="216" t="str">
        <f t="shared" si="0"/>
        <v>MAY DA LAT- 1098709370 -MAY 02-na002185207</v>
      </c>
    </row>
    <row r="61" spans="1:13" ht="41.4">
      <c r="A61" s="216">
        <f>IF(C61&lt;&gt;"",SUBTOTAL(103,$C$8:C61),"")</f>
        <v>30</v>
      </c>
      <c r="B61" s="226">
        <v>43222</v>
      </c>
      <c r="C61" s="216" t="s">
        <v>1411</v>
      </c>
      <c r="D61" s="216" t="str">
        <f>IF(C61&lt;&gt;"",VLOOKUP(C61,[1]DSKH!B:E,2,0),"")</f>
        <v>DUONG SO 5, KCN VUA VA NHO PHU THI, GIA LAM, HA NOI</v>
      </c>
      <c r="E61" s="215">
        <v>1</v>
      </c>
      <c r="F61" s="216"/>
      <c r="G61" s="216" t="str">
        <f>IF(C61&lt;&gt;"",VLOOKUP(C61,DSKH!B:E,3,0),"")</f>
        <v>NETCO-KHTT</v>
      </c>
      <c r="H61" s="222">
        <v>1098156755</v>
      </c>
      <c r="I61" s="217"/>
      <c r="J61" s="224" t="s">
        <v>3051</v>
      </c>
      <c r="K61" s="216" t="str">
        <f>IF(C61&lt;&gt;"",VLOOKUP(C61,[1]DSKH!B:E,4,0),"")</f>
        <v xml:space="preserve">TRANG: 0912.932.333 </v>
      </c>
      <c r="L61" s="216">
        <v>6</v>
      </c>
      <c r="M61" s="216" t="str">
        <f t="shared" si="0"/>
        <v>NGOC HA- 1098156755 -MAY 02-na002185208</v>
      </c>
    </row>
    <row r="62" spans="1:13" ht="55.2">
      <c r="A62" s="216">
        <f>IF(C62&lt;&gt;"",SUBTOTAL(103,$C$8:C62),"")</f>
        <v>31</v>
      </c>
      <c r="B62" s="226">
        <v>43222</v>
      </c>
      <c r="C62" s="216" t="s">
        <v>1026</v>
      </c>
      <c r="D62" s="216" t="str">
        <f>IF(C62&lt;&gt;"",VLOOKUP(C62,[1]DSKH!B:E,2,0),"")</f>
        <v>So 2 duong 17 Khu DT, CN va DV VSIP Hai phong, X. Thuy Trieu, H. Thuy Nguyen, TP Hai Phong</v>
      </c>
      <c r="E62" s="215">
        <v>4</v>
      </c>
      <c r="F62" s="216"/>
      <c r="G62" s="216">
        <f>IF(C62&lt;&gt;"",VLOOKUP(C62,DSKH!B:E,3,0),"")</f>
        <v>0</v>
      </c>
      <c r="H62" s="222">
        <v>1098325892</v>
      </c>
      <c r="I62" s="217"/>
      <c r="J62" s="224" t="s">
        <v>3052</v>
      </c>
      <c r="K62" s="216" t="str">
        <f>IF(C62&lt;&gt;"",VLOOKUP(C62,[1]DSKH!B:E,4,0),"")</f>
        <v>A.THAI 0987588988</v>
      </c>
      <c r="L62" s="216">
        <f>0.32+0.26</f>
        <v>0.58000000000000007</v>
      </c>
      <c r="M62" s="216" t="str">
        <f t="shared" si="0"/>
        <v>JASAN- 1098325892 -MAY 02-na002185209</v>
      </c>
    </row>
    <row r="63" spans="1:13" ht="41.4">
      <c r="A63" s="216">
        <f>IF(C63&lt;&gt;"",SUBTOTAL(103,$C$8:C63),"")</f>
        <v>32</v>
      </c>
      <c r="B63" s="226">
        <v>43222</v>
      </c>
      <c r="C63" s="216" t="s">
        <v>746</v>
      </c>
      <c r="D63" s="216" t="str">
        <f>IF(C63&lt;&gt;"",VLOOKUP(C63,[1]DSKH!B:E,2,0),"")</f>
        <v>NGA TU DINH TRAM-HONG THAI-VIET YEN-BAC GIANG</v>
      </c>
      <c r="E63" s="215">
        <v>2</v>
      </c>
      <c r="F63" s="216"/>
      <c r="G63" s="216">
        <f>IF(C63&lt;&gt;"",VLOOKUP(C63,DSKH!B:E,3,0),"")</f>
        <v>0</v>
      </c>
      <c r="H63" s="222">
        <v>1098141328</v>
      </c>
      <c r="I63" s="217"/>
      <c r="J63" s="224" t="s">
        <v>3053</v>
      </c>
      <c r="K63" s="216" t="str">
        <f>IF(C63&lt;&gt;"",VLOOKUP(C63,[1]DSKH!B:E,4,0),"")</f>
        <v>MR BINH 0915181104</v>
      </c>
      <c r="L63" s="216">
        <f>2.1+1.52</f>
        <v>3.62</v>
      </c>
      <c r="M63" s="216" t="str">
        <f t="shared" si="0"/>
        <v>HA BAC 2- 1098141328 -MAY 02-na002185210</v>
      </c>
    </row>
    <row r="64" spans="1:13">
      <c r="A64" s="216" t="str">
        <f>IF(C64&lt;&gt;"",SUBTOTAL(103,$C$8:C64),"")</f>
        <v/>
      </c>
      <c r="B64" s="226">
        <v>43222</v>
      </c>
      <c r="C64" s="216"/>
      <c r="D64" s="216" t="str">
        <f>IF(C64&lt;&gt;"",VLOOKUP(C64,[1]DSKH!B:E,2,0),"")</f>
        <v/>
      </c>
      <c r="E64" s="215"/>
      <c r="F64" s="216"/>
      <c r="G64" s="216" t="str">
        <f>IF(C64&lt;&gt;"",VLOOKUP(C64,DSKH!B:E,3,0),"")</f>
        <v/>
      </c>
      <c r="H64" s="222">
        <v>1098151693</v>
      </c>
      <c r="I64" s="217"/>
      <c r="J64" s="224"/>
      <c r="K64" s="216" t="str">
        <f>IF(C64&lt;&gt;"",VLOOKUP(C64,[1]DSKH!B:E,4,0),"")</f>
        <v/>
      </c>
      <c r="L64" s="216"/>
      <c r="M64" s="216" t="str">
        <f t="shared" si="0"/>
        <v>- 1098151693 -MAY 02-</v>
      </c>
    </row>
    <row r="65" spans="1:13" ht="55.2">
      <c r="A65" s="216">
        <f>IF(C65&lt;&gt;"",SUBTOTAL(103,$C$8:C65),"")</f>
        <v>33</v>
      </c>
      <c r="B65" s="226">
        <v>43222</v>
      </c>
      <c r="C65" s="216" t="s">
        <v>154</v>
      </c>
      <c r="D65" s="216" t="str">
        <f>IF(C65&lt;&gt;"",VLOOKUP(C65,[1]DSKH!B:E,2,0),"")</f>
        <v>TANG 3A TOA NHA PCCC1 MY DINH PLAZA 138 TRAN BINH TU LIEM, HA NOI</v>
      </c>
      <c r="E65" s="215">
        <v>1</v>
      </c>
      <c r="F65" s="216"/>
      <c r="G65" s="216">
        <f>IF(C65&lt;&gt;"",VLOOKUP(C65,DSKH!B:E,3,0),"")</f>
        <v>0</v>
      </c>
      <c r="H65" s="222">
        <v>1098143827</v>
      </c>
      <c r="I65" s="217"/>
      <c r="J65" s="224" t="s">
        <v>3054</v>
      </c>
      <c r="K65" s="216">
        <f>IF(C65&lt;&gt;"",VLOOKUP(C65,[1]DSKH!B:E,4,0),"")</f>
        <v>0</v>
      </c>
      <c r="L65" s="216">
        <v>0.54</v>
      </c>
      <c r="M65" s="216" t="str">
        <f t="shared" si="0"/>
        <v>APPAREL TECH VN- 1098143827 -MAY 02-na002185211</v>
      </c>
    </row>
    <row r="66" spans="1:13" ht="82.8">
      <c r="A66" s="216">
        <f>IF(C66&lt;&gt;"",SUBTOTAL(103,$C$8:C66),"")</f>
        <v>34</v>
      </c>
      <c r="B66" s="226">
        <v>43222</v>
      </c>
      <c r="C66" s="216" t="s">
        <v>2204</v>
      </c>
      <c r="D66" s="216" t="str">
        <f>IF(C66&lt;&gt;"",VLOOKUP(C66,[1]DSKH!B:E,2,0),"")</f>
        <v>BI, BII, BIII, BIV SECTION,  GIAO LONG INDUSTRIAL ZONE PHASE II,AN PHUOC COMMUNE, CHAU THANH DISTRICT, BEN TRE PROVINCE</v>
      </c>
      <c r="E66" s="215">
        <v>1</v>
      </c>
      <c r="F66" s="216" t="s">
        <v>2090</v>
      </c>
      <c r="G66" s="216">
        <f>IF(C66&lt;&gt;"",VLOOKUP(C66,DSKH!B:E,3,0),"")</f>
        <v>0</v>
      </c>
      <c r="H66" s="222" t="s">
        <v>3056</v>
      </c>
      <c r="I66" s="217"/>
      <c r="J66" s="224" t="s">
        <v>3055</v>
      </c>
      <c r="K66" s="216" t="str">
        <f>IF(C66&lt;&gt;"",VLOOKUP(C66,[1]DSKH!B:E,4,0),"")</f>
        <v>Tel: 84-75- 3635600   Fax: 84-75- 3635601</v>
      </c>
      <c r="L66" s="216">
        <v>1.3</v>
      </c>
      <c r="M66" s="216" t="str">
        <f t="shared" si="0"/>
        <v>UNISOLL- 23924882-1 -MAY 02-na002185212</v>
      </c>
    </row>
    <row r="67" spans="1:13" ht="27.6">
      <c r="A67" s="216">
        <f>IF(C67&lt;&gt;"",SUBTOTAL(103,$C$8:C67),"")</f>
        <v>35</v>
      </c>
      <c r="B67" s="226">
        <v>43222</v>
      </c>
      <c r="C67" s="216" t="s">
        <v>410</v>
      </c>
      <c r="D67" s="216" t="str">
        <f>IF(C67&lt;&gt;"",VLOOKUP(C67,[1]DSKH!B:E,2,0),"")</f>
        <v>LONG TAN, DAT DO,BA RIA VUNG TAU</v>
      </c>
      <c r="E67" s="215">
        <v>34</v>
      </c>
      <c r="F67" s="216"/>
      <c r="G67" s="216" t="str">
        <f>IF(C67&lt;&gt;"",VLOOKUP(C67,DSKH!B:E,3,0),"")</f>
        <v>HANG GIAO TRUOC</v>
      </c>
      <c r="H67" s="222">
        <v>1097955883</v>
      </c>
      <c r="I67" s="217"/>
      <c r="J67" s="224" t="s">
        <v>3057</v>
      </c>
      <c r="K67" s="216" t="str">
        <f>IF(C67&lt;&gt;"",VLOOKUP(C67,[1]DSKH!B:E,4,0),"")</f>
        <v>MS VY: 0933 150 071</v>
      </c>
      <c r="L67" s="216">
        <f>24+0.5+0.14+1.4+0.24+0.52+0.14+0.52+0.14+0.92+2.35+0.36+4.64+0.58+1.4+0.24+1.5+0.24+0.5+0.14+4.8+0.6+13.3+1.6+3.12+0.46+1.6+0.27+5.9+0.84+4.7+0.6+1.98+0.3</f>
        <v>80.539999999999992</v>
      </c>
      <c r="M67" s="216" t="str">
        <f t="shared" si="0"/>
        <v>DONG IN- 1097955883 -MAY 02-na002185213</v>
      </c>
    </row>
    <row r="68" spans="1:13">
      <c r="A68" s="216" t="str">
        <f>IF(C68&lt;&gt;"",SUBTOTAL(103,$C$8:C68),"")</f>
        <v/>
      </c>
      <c r="B68" s="226">
        <v>43222</v>
      </c>
      <c r="C68" s="216"/>
      <c r="D68" s="216" t="str">
        <f>IF(C68&lt;&gt;"",VLOOKUP(C68,[1]DSKH!B:E,2,0),"")</f>
        <v/>
      </c>
      <c r="E68" s="215"/>
      <c r="F68" s="216"/>
      <c r="G68" s="216" t="str">
        <f>IF(C68&lt;&gt;"",VLOOKUP(C68,DSKH!B:E,3,0),"")</f>
        <v/>
      </c>
      <c r="H68" s="222">
        <v>1097842590</v>
      </c>
      <c r="I68" s="217"/>
      <c r="J68" s="224"/>
      <c r="K68" s="216" t="str">
        <f>IF(C68&lt;&gt;"",VLOOKUP(C68,[1]DSKH!B:E,4,0),"")</f>
        <v/>
      </c>
      <c r="L68" s="216"/>
      <c r="M68" s="216" t="str">
        <f t="shared" si="0"/>
        <v>- 1097842590 -MAY 02-</v>
      </c>
    </row>
    <row r="69" spans="1:13" ht="41.4">
      <c r="A69" s="216">
        <f>IF(C69&lt;&gt;"",SUBTOTAL(103,$C$8:C69),"")</f>
        <v>36</v>
      </c>
      <c r="B69" s="226">
        <v>43222</v>
      </c>
      <c r="C69" s="216" t="s">
        <v>152</v>
      </c>
      <c r="D69" s="216" t="str">
        <f>IF(C69&lt;&gt;"",VLOOKUP(C69,[1]DSKH!B:E,2,0),"")</f>
        <v>VINH LONG, VINH LOC, THANH HOA</v>
      </c>
      <c r="E69" s="215">
        <v>5</v>
      </c>
      <c r="F69" s="216"/>
      <c r="G69" s="216">
        <f>IF(C69&lt;&gt;"",VLOOKUP(C69,DSKH!B:E,3,0),"")</f>
        <v>0</v>
      </c>
      <c r="H69" s="222">
        <v>1098158598</v>
      </c>
      <c r="I69" s="217"/>
      <c r="J69" s="224" t="s">
        <v>3058</v>
      </c>
      <c r="K69" s="216" t="str">
        <f>IF(C69&lt;&gt;"",VLOOKUP(C69,[1]DSKH!B:E,4,0),"")</f>
        <v>NONG 0918.981.539</v>
      </c>
      <c r="L69" s="216">
        <f>1.26+3.64+18.5+10.1+11.8</f>
        <v>45.3</v>
      </c>
      <c r="M69" s="216" t="str">
        <f t="shared" si="0"/>
        <v>APPAREL TECH VINH LOC- 1098158598 -MAY 02-na002185214</v>
      </c>
    </row>
    <row r="70" spans="1:13">
      <c r="A70" s="216" t="str">
        <f>IF(C70&lt;&gt;"",SUBTOTAL(103,$C$8:C70),"")</f>
        <v/>
      </c>
      <c r="B70" s="226">
        <v>43222</v>
      </c>
      <c r="C70" s="216"/>
      <c r="D70" s="216" t="str">
        <f>IF(C70&lt;&gt;"",VLOOKUP(C70,[1]DSKH!B:E,2,0),"")</f>
        <v/>
      </c>
      <c r="E70" s="215"/>
      <c r="F70" s="216"/>
      <c r="G70" s="216" t="str">
        <f>IF(C70&lt;&gt;"",VLOOKUP(C70,DSKH!B:E,3,0),"")</f>
        <v/>
      </c>
      <c r="H70" s="222">
        <v>1098175774</v>
      </c>
      <c r="I70" s="217"/>
      <c r="J70" s="224"/>
      <c r="K70" s="216" t="str">
        <f>IF(C70&lt;&gt;"",VLOOKUP(C70,[1]DSKH!B:E,4,0),"")</f>
        <v/>
      </c>
      <c r="L70" s="216"/>
      <c r="M70" s="216" t="str">
        <f t="shared" si="0"/>
        <v>- 1098175774 -MAY 02-</v>
      </c>
    </row>
    <row r="71" spans="1:13" ht="69">
      <c r="A71" s="216">
        <f>IF(C71&lt;&gt;"",SUBTOTAL(103,$C$8:C71),"")</f>
        <v>37</v>
      </c>
      <c r="B71" s="226">
        <v>43222</v>
      </c>
      <c r="C71" s="216" t="s">
        <v>455</v>
      </c>
      <c r="D71" s="216" t="str">
        <f>IF(C71&lt;&gt;"",VLOOKUP(C71,[1]DSKH!B:E,2,0),"")</f>
        <v>LÔ IX-1, IX-2, IX-3, IX-4 KCN MỸ XUÂN B1- TIẾN HÙNG, 
XÃ MỸ XUÂN, HUYỆN TÂN THÀNH, BRVT</v>
      </c>
      <c r="E71" s="215">
        <v>2</v>
      </c>
      <c r="F71" s="216"/>
      <c r="G71" s="216" t="str">
        <f>IF(C71&lt;&gt;"",VLOOKUP(C71,DSKH!B:E,3,0),"")</f>
        <v>CHO XNK CONFIRM</v>
      </c>
      <c r="H71" s="222">
        <v>1097581836</v>
      </c>
      <c r="I71" s="217"/>
      <c r="J71" s="224" t="s">
        <v>3059</v>
      </c>
      <c r="K71" s="216" t="str">
        <f>IF(C71&lt;&gt;"",VLOOKUP(C71,[1]DSKH!B:E,4,0),"")</f>
        <v>MS KIEU: 0169 408 4737</v>
      </c>
      <c r="L71" s="216">
        <f>0.74+0.36</f>
        <v>1.1000000000000001</v>
      </c>
      <c r="M71" s="216" t="str">
        <f t="shared" si="0"/>
        <v>E TOP- 1097581836 -MAY 02-na002185215</v>
      </c>
    </row>
    <row r="72" spans="1:13">
      <c r="A72" s="216" t="str">
        <f>IF(C72&lt;&gt;"",SUBTOTAL(103,$C$8:C72),"")</f>
        <v/>
      </c>
      <c r="B72" s="226">
        <v>43222</v>
      </c>
      <c r="C72" s="216"/>
      <c r="D72" s="216" t="str">
        <f>IF(C72&lt;&gt;"",VLOOKUP(C72,[1]DSKH!B:E,2,0),"")</f>
        <v/>
      </c>
      <c r="E72" s="215"/>
      <c r="F72" s="216"/>
      <c r="G72" s="216" t="str">
        <f>IF(C72&lt;&gt;"",VLOOKUP(C72,DSKH!B:E,3,0),"")</f>
        <v/>
      </c>
      <c r="H72" s="222">
        <v>1097813471</v>
      </c>
      <c r="I72" s="217"/>
      <c r="J72" s="224"/>
      <c r="K72" s="216" t="str">
        <f>IF(C72&lt;&gt;"",VLOOKUP(C72,[1]DSKH!B:E,4,0),"")</f>
        <v/>
      </c>
      <c r="L72" s="216"/>
      <c r="M72" s="216" t="str">
        <f t="shared" ref="M72:M99" si="1">C72&amp;"-"&amp;" "&amp;H72&amp;" "&amp;"-"&amp;"MAY"&amp;" "&amp;"02"&amp;"-"&amp;J72</f>
        <v>- 1097813471 -MAY 02-</v>
      </c>
    </row>
    <row r="73" spans="1:13" ht="96.6">
      <c r="A73" s="216">
        <f>IF(C73&lt;&gt;"",SUBTOTAL(103,$C$8:C73),"")</f>
        <v>38</v>
      </c>
      <c r="B73" s="226">
        <v>43222</v>
      </c>
      <c r="C73" s="216" t="s">
        <v>303</v>
      </c>
      <c r="D73" s="216" t="str">
        <f>IF(C73&lt;&gt;"",VLOOKUP(C73,[1]DSKH!B:E,2,0),"")</f>
        <v>LOT R (R1) KCN QUANG CHAU, VIET YEN, BAC GIANG</v>
      </c>
      <c r="E73" s="215">
        <v>5</v>
      </c>
      <c r="F73" s="216" t="s">
        <v>2861</v>
      </c>
      <c r="G73" s="216" t="str">
        <f>IF(C73&lt;&gt;"",VLOOKUP(C73,DSKH!B:E,3,0),"")</f>
        <v>KEM PL CHI TIET DANH SO THU TU TREN KIEN HANG- CON NHAN H&amp;M LAM THEO FORM CS</v>
      </c>
      <c r="H73" s="222">
        <v>1098715009</v>
      </c>
      <c r="I73" s="217"/>
      <c r="J73" s="224" t="s">
        <v>3060</v>
      </c>
      <c r="K73" s="216" t="str">
        <f>IF(C73&lt;&gt;"",VLOOKUP(C73,[1]DSKH!B:E,4,0),"")</f>
        <v>Thanh: 0982 175 182</v>
      </c>
      <c r="L73" s="216">
        <f>16+3.5+7.2+16+0.5</f>
        <v>43.2</v>
      </c>
      <c r="M73" s="216" t="str">
        <f t="shared" si="1"/>
        <v>CRYSTAL MARTIN- 1098715009 -MAY 02-na002185216</v>
      </c>
    </row>
    <row r="74" spans="1:13" ht="55.2">
      <c r="A74" s="216">
        <f>IF(C74&lt;&gt;"",SUBTOTAL(103,$C$8:C74),"")</f>
        <v>39</v>
      </c>
      <c r="B74" s="226">
        <v>43222</v>
      </c>
      <c r="C74" s="216" t="s">
        <v>1633</v>
      </c>
      <c r="D74" s="216" t="str">
        <f>IF(C74&lt;&gt;"",VLOOKUP(C74,[1]DSKH!B:E,2,0),"")</f>
        <v>LOT E4, E5, E10, E11, KCN GIAO LONG, AN PHUOC, CHAU THANH, BEN TRE</v>
      </c>
      <c r="E74" s="215">
        <v>7</v>
      </c>
      <c r="F74" s="216"/>
      <c r="G74" s="216">
        <f>IF(C74&lt;&gt;"",VLOOKUP(C74,DSKH!B:E,3,0),"")</f>
        <v>0</v>
      </c>
      <c r="H74" s="222">
        <v>1097194641</v>
      </c>
      <c r="I74" s="217" t="s">
        <v>3061</v>
      </c>
      <c r="J74" s="224" t="s">
        <v>3062</v>
      </c>
      <c r="K74" s="216" t="str">
        <f>IF(C74&lt;&gt;"",VLOOKUP(C74,[1]DSKH!B:E,4,0),"")</f>
        <v>YEN: 0986 885 110</v>
      </c>
      <c r="L74" s="216">
        <v>5.5</v>
      </c>
      <c r="M74" s="216" t="str">
        <f t="shared" si="1"/>
        <v>PUNGKOOK BEN TRE- 1097194641 -MAY 02-na002185217</v>
      </c>
    </row>
    <row r="75" spans="1:13" ht="41.4">
      <c r="A75" s="216">
        <f>IF(C75&lt;&gt;"",SUBTOTAL(103,$C$8:C75),"")</f>
        <v>40</v>
      </c>
      <c r="B75" s="226">
        <v>43222</v>
      </c>
      <c r="C75" s="216" t="s">
        <v>1247</v>
      </c>
      <c r="D75" s="216" t="str">
        <f>IF(C75&lt;&gt;"",VLOOKUP(C75,[1]DSKH!B:E,2,0),"")</f>
        <v>Thôn: Bằng, xã Nghĩa Hòa, Huyện Lạng Giang, tỉnh Bắc Giang</v>
      </c>
      <c r="E75" s="215">
        <v>1</v>
      </c>
      <c r="F75" s="216"/>
      <c r="G75" s="216">
        <f>IF(C75&lt;&gt;"",VLOOKUP(C75,DSKH!B:E,3,0),"")</f>
        <v>0</v>
      </c>
      <c r="H75" s="222">
        <v>1098698030</v>
      </c>
      <c r="I75" s="217"/>
      <c r="J75" s="224" t="s">
        <v>3063</v>
      </c>
      <c r="K75" s="216">
        <f>IF(C75&lt;&gt;"",VLOOKUP(C75,[1]DSKH!B:E,4,0),"")</f>
        <v>0</v>
      </c>
      <c r="L75" s="216">
        <v>0.2</v>
      </c>
      <c r="M75" s="216" t="str">
        <f t="shared" si="1"/>
        <v>MAY LANG GIANG- 1098698030 -MAY 02-na002185218</v>
      </c>
    </row>
    <row r="76" spans="1:13" ht="41.4">
      <c r="A76" s="216">
        <f>IF(C76&lt;&gt;"",SUBTOTAL(103,$C$8:C76),"")</f>
        <v>41</v>
      </c>
      <c r="B76" s="226">
        <v>43222</v>
      </c>
      <c r="C76" s="216" t="s">
        <v>2175</v>
      </c>
      <c r="D76" s="216" t="str">
        <f>IF(C76&lt;&gt;"",VLOOKUP(C76,[1]DSKH!B:E,2,0),"")</f>
        <v>402 ST- HOA NGHIA-DUONG KINH-HAI PHONG</v>
      </c>
      <c r="E76" s="215">
        <v>1</v>
      </c>
      <c r="F76" s="216"/>
      <c r="G76" s="216">
        <f>IF(C76&lt;&gt;"",VLOOKUP(C76,DSKH!B:E,3,0),"")</f>
        <v>0</v>
      </c>
      <c r="H76" s="222">
        <v>1098176538</v>
      </c>
      <c r="I76" s="217"/>
      <c r="J76" s="224" t="s">
        <v>3064</v>
      </c>
      <c r="K76" s="216" t="str">
        <f>IF(C76&lt;&gt;"",VLOOKUP(C76,[1]DSKH!B:E,4,0),"")</f>
        <v>MR BINH: 0904 659 810</v>
      </c>
      <c r="L76" s="216">
        <v>0.42</v>
      </c>
      <c r="M76" s="216" t="str">
        <f t="shared" si="1"/>
        <v>TRUONG SON GARMENT- 1098176538 -MAY 02-na002185219</v>
      </c>
    </row>
    <row r="77" spans="1:13" ht="27.6">
      <c r="A77" s="216">
        <f>IF(C77&lt;&gt;"",SUBTOTAL(103,$C$8:C77),"")</f>
        <v>42</v>
      </c>
      <c r="B77" s="226">
        <v>43222</v>
      </c>
      <c r="C77" s="216" t="s">
        <v>2672</v>
      </c>
      <c r="D77" s="216" t="str">
        <f>IF(C77&lt;&gt;"",VLOOKUP(C77,[1]DSKH!B:E,2,0),"")</f>
        <v>CHAU TU, CHAU LOC, HAU LOC, THANH HOA</v>
      </c>
      <c r="E77" s="215">
        <v>12</v>
      </c>
      <c r="F77" s="216" t="s">
        <v>2090</v>
      </c>
      <c r="G77" s="216">
        <f>IF(C77&lt;&gt;"",VLOOKUP(C77,DSKH!B:E,3,0),"")</f>
        <v>0</v>
      </c>
      <c r="H77" s="222">
        <v>1098142554</v>
      </c>
      <c r="I77" s="217"/>
      <c r="J77" s="224" t="s">
        <v>3065</v>
      </c>
      <c r="K77" s="216" t="str">
        <f>IF(C77&lt;&gt;"",VLOOKUP(C77,[1]DSKH!B:E,4,0),"")</f>
        <v>MR VIET 0975 669 994</v>
      </c>
      <c r="L77" s="216">
        <f>0.32+0.46+0.82+0.58+0.62+0.34+0.14+0.2+12.6+15.4</f>
        <v>31.479999999999997</v>
      </c>
      <c r="M77" s="216" t="str">
        <f t="shared" si="1"/>
        <v>NY HOA VIET- 1098142554 -MAY 02-na002185220</v>
      </c>
    </row>
    <row r="78" spans="1:13" ht="27.6">
      <c r="A78" s="216">
        <f>IF(C78&lt;&gt;"",SUBTOTAL(103,$C$8:C78),"")</f>
        <v>43</v>
      </c>
      <c r="B78" s="226">
        <v>43222</v>
      </c>
      <c r="C78" s="216" t="s">
        <v>2546</v>
      </c>
      <c r="D78" s="216" t="str">
        <f>IF(C78&lt;&gt;"",VLOOKUP(C78,[1]DSKH!B:E,2,0),"")</f>
        <v>KCN Đồng Văn, DUy Tiên, Hà Nam</v>
      </c>
      <c r="E78" s="215">
        <v>3</v>
      </c>
      <c r="F78" s="216"/>
      <c r="G78" s="216" t="str">
        <f>IF(C78&lt;&gt;"",VLOOKUP(C78,DSKH!B:E,3,0),"")</f>
        <v>NETCO-KHTT</v>
      </c>
      <c r="H78" s="222">
        <v>1098175188</v>
      </c>
      <c r="I78" s="217"/>
      <c r="J78" s="224" t="s">
        <v>3066</v>
      </c>
      <c r="K78" s="216" t="str">
        <f>IF(C78&lt;&gt;"",VLOOKUP(C78,[1]DSKH!B:E,4,0),"")</f>
        <v>SĐT : 0918 820 286/ 0912 831 566</v>
      </c>
      <c r="L78" s="216">
        <f>8.4+0.4+0.28</f>
        <v>9.08</v>
      </c>
      <c r="M78" s="216" t="str">
        <f t="shared" si="1"/>
        <v>YOUME- 1098175188 -MAY 02-na002185221</v>
      </c>
    </row>
    <row r="79" spans="1:13">
      <c r="A79" s="216" t="str">
        <f>IF(C79&lt;&gt;"",SUBTOTAL(103,$C$8:C79),"")</f>
        <v/>
      </c>
      <c r="B79" s="226">
        <v>43222</v>
      </c>
      <c r="C79" s="216"/>
      <c r="D79" s="216" t="str">
        <f>IF(C79&lt;&gt;"",VLOOKUP(C79,[1]DSKH!B:E,2,0),"")</f>
        <v/>
      </c>
      <c r="E79" s="215"/>
      <c r="F79" s="216"/>
      <c r="G79" s="216" t="str">
        <f>IF(C79&lt;&gt;"",VLOOKUP(C79,DSKH!B:E,3,0),"")</f>
        <v/>
      </c>
      <c r="H79" s="222">
        <v>1098177327</v>
      </c>
      <c r="I79" s="217"/>
      <c r="J79" s="224"/>
      <c r="K79" s="216" t="str">
        <f>IF(C79&lt;&gt;"",VLOOKUP(C79,[1]DSKH!B:E,4,0),"")</f>
        <v/>
      </c>
      <c r="L79" s="216"/>
      <c r="M79" s="216" t="str">
        <f t="shared" si="1"/>
        <v>- 1098177327 -MAY 02-</v>
      </c>
    </row>
    <row r="80" spans="1:13" ht="55.2">
      <c r="A80" s="216">
        <f>IF(C80&lt;&gt;"",SUBTOTAL(103,$C$8:C80),"")</f>
        <v>44</v>
      </c>
      <c r="B80" s="226">
        <v>43222</v>
      </c>
      <c r="C80" s="216" t="s">
        <v>2289</v>
      </c>
      <c r="D80" s="216" t="str">
        <f>IF(C80&lt;&gt;"",VLOOKUP(C80,[1]DSKH!B:E,2,0),"")</f>
        <v>QUYNH PHUC INDUSTRIAL PARK, PHUC THANH COMMUNE, KIMTHANH DIST</v>
      </c>
      <c r="E80" s="215">
        <v>3</v>
      </c>
      <c r="F80" s="216" t="s">
        <v>2861</v>
      </c>
      <c r="G80" s="216">
        <f>IF(C80&lt;&gt;"",VLOOKUP(C80,DSKH!B:E,3,0),"")</f>
        <v>0</v>
      </c>
      <c r="H80" s="222">
        <v>1098665839</v>
      </c>
      <c r="I80" s="217" t="s">
        <v>2860</v>
      </c>
      <c r="J80" s="224" t="s">
        <v>3067</v>
      </c>
      <c r="K80" s="216">
        <f>IF(C80&lt;&gt;"",VLOOKUP(C80,[1]DSKH!B:E,4,0),"")</f>
        <v>0</v>
      </c>
      <c r="L80" s="216">
        <f>0.12+0.12+0.16+0</f>
        <v>0.4</v>
      </c>
      <c r="M80" s="216" t="str">
        <f t="shared" si="1"/>
        <v>VIET NAM CHUNG JYE- 1098665839 -MAY 02-na002185222</v>
      </c>
    </row>
    <row r="81" spans="1:13">
      <c r="A81" s="216" t="str">
        <f>IF(C81&lt;&gt;"",SUBTOTAL(103,$C$8:C81),"")</f>
        <v/>
      </c>
      <c r="B81" s="226">
        <v>43222</v>
      </c>
      <c r="C81" s="216"/>
      <c r="D81" s="216" t="str">
        <f>IF(C81&lt;&gt;"",VLOOKUP(C81,[1]DSKH!B:E,2,0),"")</f>
        <v/>
      </c>
      <c r="E81" s="215"/>
      <c r="F81" s="216"/>
      <c r="G81" s="216" t="str">
        <f>IF(C81&lt;&gt;"",VLOOKUP(C81,DSKH!B:E,3,0),"")</f>
        <v/>
      </c>
      <c r="H81" s="222">
        <v>1098665841</v>
      </c>
      <c r="I81" s="217"/>
      <c r="J81" s="224"/>
      <c r="K81" s="216" t="str">
        <f>IF(C81&lt;&gt;"",VLOOKUP(C81,[1]DSKH!B:E,4,0),"")</f>
        <v/>
      </c>
      <c r="L81" s="216"/>
      <c r="M81" s="216" t="str">
        <f t="shared" si="1"/>
        <v>- 1098665841 -MAY 02-</v>
      </c>
    </row>
    <row r="82" spans="1:13">
      <c r="A82" s="216" t="str">
        <f>IF(C82&lt;&gt;"",SUBTOTAL(103,$C$8:C82),"")</f>
        <v/>
      </c>
      <c r="B82" s="226">
        <v>43222</v>
      </c>
      <c r="C82" s="216"/>
      <c r="D82" s="216" t="str">
        <f>IF(C82&lt;&gt;"",VLOOKUP(C82,[1]DSKH!B:E,2,0),"")</f>
        <v/>
      </c>
      <c r="E82" s="215"/>
      <c r="F82" s="216"/>
      <c r="G82" s="216" t="str">
        <f>IF(C82&lt;&gt;"",VLOOKUP(C82,DSKH!B:E,3,0),"")</f>
        <v/>
      </c>
      <c r="H82" s="222">
        <v>1098665843</v>
      </c>
      <c r="I82" s="217"/>
      <c r="J82" s="224"/>
      <c r="K82" s="216" t="str">
        <f>IF(C82&lt;&gt;"",VLOOKUP(C82,[1]DSKH!B:E,4,0),"")</f>
        <v/>
      </c>
      <c r="L82" s="216"/>
      <c r="M82" s="216" t="str">
        <f t="shared" si="1"/>
        <v>- 1098665843 -MAY 02-</v>
      </c>
    </row>
    <row r="83" spans="1:13" ht="55.2">
      <c r="A83" s="216">
        <f>IF(C83&lt;&gt;"",SUBTOTAL(103,$C$8:C83),"")</f>
        <v>45</v>
      </c>
      <c r="B83" s="226">
        <v>43222</v>
      </c>
      <c r="C83" s="216" t="s">
        <v>383</v>
      </c>
      <c r="D83" s="216" t="str">
        <f>IF(C83&lt;&gt;"",VLOOKUP(C83,[1]DSKH!B:E,2,0),"")</f>
        <v>ADD. TAODOI INDUSTRY AREA, THUA TOWN, LUONG TAI DISTRICT, BACNINH PROVINCE</v>
      </c>
      <c r="E83" s="215">
        <v>1</v>
      </c>
      <c r="F83" s="216"/>
      <c r="G83" s="216" t="str">
        <f>IF(C83&lt;&gt;"",VLOOKUP(C83,DSKH!B:E,3,0),"")</f>
        <v>KHDL</v>
      </c>
      <c r="H83" s="222">
        <v>1098675596</v>
      </c>
      <c r="I83" s="217" t="s">
        <v>2860</v>
      </c>
      <c r="J83" s="224" t="s">
        <v>3068</v>
      </c>
      <c r="K83" s="216">
        <f>IF(C83&lt;&gt;"",VLOOKUP(C83,[1]DSKH!B:E,4,0),"")</f>
        <v>0</v>
      </c>
      <c r="L83" s="216">
        <v>1.5</v>
      </c>
      <c r="M83" s="216" t="str">
        <f t="shared" si="1"/>
        <v>DHA BAC NINH- 1098675596 -MAY 02-na002185223</v>
      </c>
    </row>
    <row r="84" spans="1:13" ht="41.4">
      <c r="A84" s="216">
        <f>IF(C84&lt;&gt;"",SUBTOTAL(103,$C$8:C84),"")</f>
        <v>46</v>
      </c>
      <c r="B84" s="226">
        <v>43222</v>
      </c>
      <c r="C84" s="216" t="s">
        <v>822</v>
      </c>
      <c r="D84" s="216" t="str">
        <f>IF(C84&lt;&gt;"",VLOOKUP(C84,[1]DSKH!B:E,2,0),"")</f>
        <v>CUM CN NAM GIANG, HUYEN NAM DAN, NGHE AN</v>
      </c>
      <c r="E84" s="215">
        <f>15+2+6+3+0</f>
        <v>26</v>
      </c>
      <c r="F84" s="216"/>
      <c r="G84" s="216">
        <f>IF(C84&lt;&gt;"",VLOOKUP(C84,DSKH!B:E,3,0),"")</f>
        <v>0</v>
      </c>
      <c r="H84" s="222">
        <v>1097964811</v>
      </c>
      <c r="I84" s="217"/>
      <c r="J84" s="224" t="s">
        <v>3069</v>
      </c>
      <c r="K84" s="216" t="str">
        <f>IF(C84&lt;&gt;"",VLOOKUP(C84,[1]DSKH!B:E,4,0),"")</f>
        <v>MR THANH 0166 650 4728</v>
      </c>
      <c r="L84" s="216">
        <f>0.1+0.16+0.24+0.18+0.2+0.18+0.34+0.26+0.2+1.2+0.12+1.26+0.14+0.18+0.12+0.16+0.24+0.42+0.44+0.12</f>
        <v>6.26</v>
      </c>
      <c r="M84" s="216" t="str">
        <f t="shared" si="1"/>
        <v>HAI VINA KIM LIEN- 1097964811 -MAY 02-na002185225</v>
      </c>
    </row>
    <row r="85" spans="1:13">
      <c r="A85" s="216" t="str">
        <f>IF(C85&lt;&gt;"",SUBTOTAL(103,$C$8:C85),"")</f>
        <v/>
      </c>
      <c r="B85" s="226">
        <v>43222</v>
      </c>
      <c r="C85" s="216"/>
      <c r="D85" s="216" t="str">
        <f>IF(C85&lt;&gt;"",VLOOKUP(C85,[1]DSKH!B:E,2,0),"")</f>
        <v/>
      </c>
      <c r="E85" s="215"/>
      <c r="F85" s="216"/>
      <c r="G85" s="216" t="str">
        <f>IF(C85&lt;&gt;"",VLOOKUP(C85,DSKH!B:E,3,0),"")</f>
        <v/>
      </c>
      <c r="H85" s="222">
        <v>1097979854</v>
      </c>
      <c r="I85" s="217"/>
      <c r="J85" s="224"/>
      <c r="K85" s="216" t="str">
        <f>IF(C85&lt;&gt;"",VLOOKUP(C85,[1]DSKH!B:E,4,0),"")</f>
        <v/>
      </c>
      <c r="L85" s="216"/>
      <c r="M85" s="216" t="str">
        <f t="shared" si="1"/>
        <v>- 1097979854 -MAY 02-</v>
      </c>
    </row>
    <row r="86" spans="1:13">
      <c r="A86" s="216" t="str">
        <f>IF(C86&lt;&gt;"",SUBTOTAL(103,$C$8:C86),"")</f>
        <v/>
      </c>
      <c r="B86" s="226">
        <v>43222</v>
      </c>
      <c r="C86" s="216"/>
      <c r="D86" s="216" t="str">
        <f>IF(C86&lt;&gt;"",VLOOKUP(C86,[1]DSKH!B:E,2,0),"")</f>
        <v/>
      </c>
      <c r="E86" s="215"/>
      <c r="F86" s="216"/>
      <c r="G86" s="216" t="str">
        <f>IF(C86&lt;&gt;"",VLOOKUP(C86,DSKH!B:E,3,0),"")</f>
        <v/>
      </c>
      <c r="H86" s="222">
        <v>1098016020</v>
      </c>
      <c r="I86" s="217"/>
      <c r="J86" s="224"/>
      <c r="K86" s="216" t="str">
        <f>IF(C86&lt;&gt;"",VLOOKUP(C86,[1]DSKH!B:E,4,0),"")</f>
        <v/>
      </c>
      <c r="L86" s="216"/>
      <c r="M86" s="216" t="str">
        <f t="shared" si="1"/>
        <v>- 1098016020 -MAY 02-</v>
      </c>
    </row>
    <row r="87" spans="1:13">
      <c r="A87" s="216" t="str">
        <f>IF(C87&lt;&gt;"",SUBTOTAL(103,$C$8:C87),"")</f>
        <v/>
      </c>
      <c r="B87" s="226">
        <v>43222</v>
      </c>
      <c r="C87" s="216"/>
      <c r="D87" s="216" t="str">
        <f>IF(C87&lt;&gt;"",VLOOKUP(C87,[1]DSKH!B:E,2,0),"")</f>
        <v/>
      </c>
      <c r="E87" s="215"/>
      <c r="F87" s="216"/>
      <c r="G87" s="216" t="str">
        <f>IF(C87&lt;&gt;"",VLOOKUP(C87,DSKH!B:E,3,0),"")</f>
        <v/>
      </c>
      <c r="H87" s="222">
        <v>1098039281</v>
      </c>
      <c r="I87" s="217"/>
      <c r="J87" s="224"/>
      <c r="K87" s="216" t="str">
        <f>IF(C87&lt;&gt;"",VLOOKUP(C87,[1]DSKH!B:E,4,0),"")</f>
        <v/>
      </c>
      <c r="L87" s="216"/>
      <c r="M87" s="216" t="str">
        <f t="shared" si="1"/>
        <v>- 1098039281 -MAY 02-</v>
      </c>
    </row>
    <row r="88" spans="1:13" ht="55.2">
      <c r="A88" s="216">
        <f>IF(C88&lt;&gt;"",SUBTOTAL(103,$C$8:C88),"")</f>
        <v>47</v>
      </c>
      <c r="B88" s="226">
        <v>43222</v>
      </c>
      <c r="C88" s="216" t="s">
        <v>1518</v>
      </c>
      <c r="D88" s="216" t="str">
        <f>IF(C88&lt;&gt;"",VLOOKUP(C88,[1]DSKH!B:E,2,0),"")</f>
        <v>LO M, DUONG SO 3, KCN HOA KHANH, P. HOA KHANH BAC, LIEN CHIEU, DA NANG</v>
      </c>
      <c r="E88" s="215">
        <v>1</v>
      </c>
      <c r="F88" s="216"/>
      <c r="G88" s="216">
        <f>IF(C88&lt;&gt;"",VLOOKUP(C88,DSKH!B:E,3,0),"")</f>
        <v>0</v>
      </c>
      <c r="H88" s="222">
        <v>1098732024</v>
      </c>
      <c r="I88" s="217" t="s">
        <v>2860</v>
      </c>
      <c r="J88" s="224" t="s">
        <v>3071</v>
      </c>
      <c r="K88" s="216" t="s">
        <v>3070</v>
      </c>
      <c r="L88" s="216">
        <v>0.34</v>
      </c>
      <c r="M88" s="216" t="str">
        <f t="shared" si="1"/>
        <v>PHONG PHU CN DA NANG- 1098732024 -MAY 02-na002185226</v>
      </c>
    </row>
    <row r="89" spans="1:13" ht="27.6">
      <c r="A89" s="216">
        <f>IF(C89&lt;&gt;"",SUBTOTAL(103,$C$8:C89),"")</f>
        <v>48</v>
      </c>
      <c r="B89" s="226">
        <v>43222</v>
      </c>
      <c r="C89" s="216" t="s">
        <v>2038</v>
      </c>
      <c r="D89" s="216" t="str">
        <f>IF(C89&lt;&gt;"",VLOOKUP(C89,[1]DSKH!B:E,2,0),"")</f>
        <v>THI TRAN VUONG, TIEN LU, HUNG YEN</v>
      </c>
      <c r="E89" s="215">
        <v>1</v>
      </c>
      <c r="F89" s="216" t="s">
        <v>2861</v>
      </c>
      <c r="G89" s="216">
        <f>IF(C89&lt;&gt;"",VLOOKUP(C89,DSKH!B:E,3,0),"")</f>
        <v>0</v>
      </c>
      <c r="H89" s="222" t="s">
        <v>3072</v>
      </c>
      <c r="I89" s="217"/>
      <c r="J89" s="224" t="s">
        <v>3073</v>
      </c>
      <c r="K89" s="216" t="str">
        <f>IF(C89&lt;&gt;"",VLOOKUP(C89,[1]DSKH!B:E,4,0),"")</f>
        <v>MS NINH 0987 930 558/
 MR CUONG 0919 686 228</v>
      </c>
      <c r="L89" s="216">
        <v>3.5</v>
      </c>
      <c r="M89" s="216" t="str">
        <f t="shared" si="1"/>
        <v>TIEN HUNG- HB24068272 -1 -MAY 02-na002185227</v>
      </c>
    </row>
    <row r="90" spans="1:13" ht="27.6">
      <c r="A90" s="216">
        <f>IF(C90&lt;&gt;"",SUBTOTAL(103,$C$8:C90),"")</f>
        <v>49</v>
      </c>
      <c r="B90" s="226">
        <v>43222</v>
      </c>
      <c r="C90" s="216" t="s">
        <v>1039</v>
      </c>
      <c r="D90" s="216" t="str">
        <f>IF(C90&lt;&gt;"",VLOOKUP(C90,[1]DSKH!B:E,2,0),"")</f>
        <v>DUONG 13, TRANG BANG, TAY NINH</v>
      </c>
      <c r="E90" s="215">
        <v>1</v>
      </c>
      <c r="F90" s="216"/>
      <c r="G90" s="216">
        <f>IF(C90&lt;&gt;"",VLOOKUP(C90,DSKH!B:E,3,0),"")</f>
        <v>0</v>
      </c>
      <c r="H90" s="222">
        <v>1098173192</v>
      </c>
      <c r="I90" s="217" t="s">
        <v>2860</v>
      </c>
      <c r="J90" s="224" t="s">
        <v>3074</v>
      </c>
      <c r="K90" s="216" t="str">
        <f>IF(C90&lt;&gt;"",VLOOKUP(C90,[1]DSKH!B:E,4,0),"")</f>
        <v>DIEU SAM: 066 3896 052</v>
      </c>
      <c r="L90" s="216">
        <v>1.4</v>
      </c>
      <c r="M90" s="216" t="str">
        <f t="shared" si="1"/>
        <v>JUNG KWANG- 1098173192 -MAY 02-na002185228</v>
      </c>
    </row>
    <row r="91" spans="1:13" ht="41.4">
      <c r="A91" s="216">
        <f>IF(C91&lt;&gt;"",SUBTOTAL(103,$C$8:C91),"")</f>
        <v>50</v>
      </c>
      <c r="B91" s="226">
        <v>43222</v>
      </c>
      <c r="C91" s="216" t="s">
        <v>2307</v>
      </c>
      <c r="D91" s="216" t="str">
        <f>IF(C91&lt;&gt;"",VLOOKUP(C91,[1]DSKH!B:E,2,0),"")</f>
        <v>Thon Giao Cu trung, xa Dong Son, huyen Nam Truc, Nam Dinh</v>
      </c>
      <c r="E91" s="215">
        <v>5</v>
      </c>
      <c r="F91" s="216"/>
      <c r="G91" s="216">
        <f>IF(C91&lt;&gt;"",VLOOKUP(C91,DSKH!B:E,3,0),"")</f>
        <v>0</v>
      </c>
      <c r="H91" s="222">
        <v>1098656041</v>
      </c>
      <c r="I91" s="217" t="s">
        <v>2860</v>
      </c>
      <c r="J91" s="224" t="s">
        <v>3078</v>
      </c>
      <c r="K91" s="216">
        <f>IF(C91&lt;&gt;"",VLOOKUP(C91,[1]DSKH!B:E,4,0),"")</f>
        <v>0</v>
      </c>
      <c r="L91" s="216">
        <f>20.4+23.6+17.6+14.8+10.4</f>
        <v>86.800000000000011</v>
      </c>
      <c r="M91" s="216" t="str">
        <f t="shared" si="1"/>
        <v>VIET PAN PACIFIC NAM DINH- 1098656041 -MAY 02-na002185229</v>
      </c>
    </row>
    <row r="92" spans="1:13" ht="41.4">
      <c r="A92" s="216">
        <f>IF(C92&lt;&gt;"",SUBTOTAL(103,$C$8:C92),"")</f>
        <v>51</v>
      </c>
      <c r="B92" s="226">
        <v>43222</v>
      </c>
      <c r="C92" s="216" t="s">
        <v>2930</v>
      </c>
      <c r="D92" s="216" t="str">
        <f>IF(C92&lt;&gt;"",VLOOKUP(C92,[1]DSKH!B:E,2,0),"")</f>
        <v>Doan Bai Commune- Hiep Hoa Dist
 Bac Giang Province</v>
      </c>
      <c r="E92" s="215">
        <v>11</v>
      </c>
      <c r="F92" s="216"/>
      <c r="G92" s="216">
        <f>IF(C92&lt;&gt;"",VLOOKUP(C92,DSKH!B:E,3,0),"")</f>
        <v>0</v>
      </c>
      <c r="H92" s="222">
        <v>1098173131</v>
      </c>
      <c r="I92" s="217" t="s">
        <v>2860</v>
      </c>
      <c r="J92" s="224" t="s">
        <v>3079</v>
      </c>
      <c r="K92" s="216" t="str">
        <f>IF(C92&lt;&gt;"",VLOOKUP(C92,[1]DSKH!B:E,4,0),"")</f>
        <v>GIANG: 01687887348</v>
      </c>
      <c r="L92" s="216">
        <f>16.1+13.4+3.35+6.2+3.1+1+1.6+4.2+2.3</f>
        <v>51.250000000000007</v>
      </c>
      <c r="M92" s="216" t="str">
        <f t="shared" si="1"/>
        <v>HA PHONG 4- 1098173131 -MAY 02-na002185230</v>
      </c>
    </row>
    <row r="93" spans="1:13">
      <c r="A93" s="216" t="str">
        <f>IF(C93&lt;&gt;"",SUBTOTAL(103,$C$8:C93),"")</f>
        <v/>
      </c>
      <c r="B93" s="226">
        <v>43222</v>
      </c>
      <c r="C93" s="216"/>
      <c r="D93" s="216" t="str">
        <f>IF(C93&lt;&gt;"",VLOOKUP(C93,[1]DSKH!B:E,2,0),"")</f>
        <v/>
      </c>
      <c r="E93" s="215"/>
      <c r="F93" s="216"/>
      <c r="G93" s="216" t="str">
        <f>IF(C93&lt;&gt;"",VLOOKUP(C93,DSKH!B:E,3,0),"")</f>
        <v/>
      </c>
      <c r="H93" s="222">
        <v>1098188940</v>
      </c>
      <c r="I93" s="217"/>
      <c r="J93" s="224"/>
      <c r="K93" s="216" t="str">
        <f>IF(C93&lt;&gt;"",VLOOKUP(C93,[1]DSKH!B:E,4,0),"")</f>
        <v/>
      </c>
      <c r="L93" s="216"/>
      <c r="M93" s="216" t="str">
        <f t="shared" si="1"/>
        <v>- 1098188940 -MAY 02-</v>
      </c>
    </row>
    <row r="94" spans="1:13">
      <c r="A94" s="216" t="str">
        <f>IF(C94&lt;&gt;"",SUBTOTAL(103,$C$8:C94),"")</f>
        <v/>
      </c>
      <c r="B94" s="226">
        <v>43222</v>
      </c>
      <c r="C94" s="216"/>
      <c r="D94" s="216" t="str">
        <f>IF(C94&lt;&gt;"",VLOOKUP(C94,[1]DSKH!B:E,2,0),"")</f>
        <v/>
      </c>
      <c r="E94" s="215"/>
      <c r="F94" s="216"/>
      <c r="G94" s="216" t="str">
        <f>IF(C94&lt;&gt;"",VLOOKUP(C94,DSKH!B:E,3,0),"")</f>
        <v/>
      </c>
      <c r="H94" s="222">
        <v>1098141615</v>
      </c>
      <c r="I94" s="217"/>
      <c r="J94" s="224"/>
      <c r="K94" s="216" t="str">
        <f>IF(C94&lt;&gt;"",VLOOKUP(C94,[1]DSKH!B:E,4,0),"")</f>
        <v/>
      </c>
      <c r="L94" s="216"/>
      <c r="M94" s="216" t="str">
        <f t="shared" si="1"/>
        <v>- 1098141615 -MAY 02-</v>
      </c>
    </row>
    <row r="95" spans="1:13">
      <c r="A95" s="216" t="str">
        <f>IF(C95&lt;&gt;"",SUBTOTAL(103,$C$8:C95),"")</f>
        <v/>
      </c>
      <c r="B95" s="226">
        <v>43222</v>
      </c>
      <c r="C95" s="216"/>
      <c r="D95" s="216" t="str">
        <f>IF(C95&lt;&gt;"",VLOOKUP(C95,[1]DSKH!B:E,2,0),"")</f>
        <v/>
      </c>
      <c r="E95" s="215"/>
      <c r="F95" s="216"/>
      <c r="G95" s="216" t="str">
        <f>IF(C95&lt;&gt;"",VLOOKUP(C95,DSKH!B:E,3,0),"")</f>
        <v/>
      </c>
      <c r="H95" s="222">
        <v>1098171253</v>
      </c>
      <c r="I95" s="217"/>
      <c r="J95" s="224"/>
      <c r="K95" s="216" t="str">
        <f>IF(C95&lt;&gt;"",VLOOKUP(C95,[1]DSKH!B:E,4,0),"")</f>
        <v/>
      </c>
      <c r="L95" s="216"/>
      <c r="M95" s="216" t="str">
        <f t="shared" si="1"/>
        <v>- 1098171253 -MAY 02-</v>
      </c>
    </row>
    <row r="96" spans="1:13" ht="55.2">
      <c r="A96" s="216">
        <f>IF(C96&lt;&gt;"",SUBTOTAL(103,$C$8:C96),"")</f>
        <v>52</v>
      </c>
      <c r="B96" s="226">
        <v>43222</v>
      </c>
      <c r="C96" s="216" t="s">
        <v>2541</v>
      </c>
      <c r="D96" s="216" t="str">
        <f>IF(C96&lt;&gt;"",VLOOKUP(C96,[1]DSKH!B:E,2,0),"")</f>
        <v>Lot AIII - 1,5 Tan Huong IZ, Tan Huong Ward, Chau Thanh Dist, Tien Giang Province</v>
      </c>
      <c r="E96" s="215">
        <v>1</v>
      </c>
      <c r="F96" s="216" t="s">
        <v>2090</v>
      </c>
      <c r="G96" s="216">
        <f>IF(C96&lt;&gt;"",VLOOKUP(C96,DSKH!B:E,3,0),"")</f>
        <v>0</v>
      </c>
      <c r="H96" s="222">
        <v>1097582433</v>
      </c>
      <c r="I96" s="217" t="s">
        <v>2860</v>
      </c>
      <c r="J96" s="224" t="s">
        <v>3080</v>
      </c>
      <c r="K96" s="216">
        <f>IF(C96&lt;&gt;"",VLOOKUP(C96,[1]DSKH!B:E,4,0),"")</f>
        <v>0</v>
      </c>
      <c r="L96" s="216">
        <v>0.1</v>
      </c>
      <c r="M96" s="216" t="str">
        <f t="shared" si="1"/>
        <v>YMUV- 1097582433 -MAY 02-na002185231</v>
      </c>
    </row>
    <row r="97" spans="1:13" ht="41.4">
      <c r="A97" s="216">
        <f>IF(C97&lt;&gt;"",SUBTOTAL(103,$C$8:C97),"")</f>
        <v>53</v>
      </c>
      <c r="B97" s="226">
        <v>43222</v>
      </c>
      <c r="C97" s="216" t="s">
        <v>2929</v>
      </c>
      <c r="D97" s="216" t="str">
        <f>IF(C97&lt;&gt;"",VLOOKUP(C97,[1]DSKH!B:E,2,0),"")</f>
        <v>Doan Bai Commune- Hiep Hoa Dist
 Bac Giang Province</v>
      </c>
      <c r="E97" s="215">
        <v>2</v>
      </c>
      <c r="F97" s="216" t="s">
        <v>2861</v>
      </c>
      <c r="G97" s="216">
        <f>IF(C97&lt;&gt;"",VLOOKUP(C97,DSKH!B:E,3,0),"")</f>
        <v>0</v>
      </c>
      <c r="H97" s="222">
        <v>1098714295</v>
      </c>
      <c r="I97" s="217" t="s">
        <v>2860</v>
      </c>
      <c r="J97" s="224" t="s">
        <v>3081</v>
      </c>
      <c r="K97" s="216" t="str">
        <f>IF(C97&lt;&gt;"",VLOOKUP(C97,[1]DSKH!B:E,4,0),"")</f>
        <v>MS.NA: 097 8894 809</v>
      </c>
      <c r="L97" s="216">
        <f>12.2+5.6</f>
        <v>17.799999999999997</v>
      </c>
      <c r="M97" s="216" t="str">
        <f t="shared" si="1"/>
        <v>HA PHONG 1- 1098714295 -MAY 02-na002185232</v>
      </c>
    </row>
    <row r="98" spans="1:13" ht="41.4">
      <c r="A98" s="216">
        <f>IF(C98&lt;&gt;"",SUBTOTAL(103,$C$8:C98),"")</f>
        <v>54</v>
      </c>
      <c r="B98" s="226">
        <v>43222</v>
      </c>
      <c r="C98" s="216" t="s">
        <v>1845</v>
      </c>
      <c r="D98" s="216" t="str">
        <f>IF(C98&lt;&gt;"",VLOOKUP(C98,[1]DSKH!B:E,2,0),"")</f>
        <v>DUONG 10-LOC HA-NAM DINH</v>
      </c>
      <c r="E98" s="215">
        <v>1</v>
      </c>
      <c r="F98" s="216"/>
      <c r="G98" s="216">
        <f>IF(C98&lt;&gt;"",VLOOKUP(C98,DSKH!B:E,3,0),"")</f>
        <v>0</v>
      </c>
      <c r="H98" s="222">
        <v>1098714829</v>
      </c>
      <c r="I98" s="217" t="s">
        <v>2860</v>
      </c>
      <c r="J98" s="224" t="s">
        <v>3082</v>
      </c>
      <c r="K98" s="216" t="str">
        <f>IF(C98&lt;&gt;"",VLOOKUP(C98,[1]DSKH!B:E,4,0),"")</f>
        <v>BONNY- 0918 428 398</v>
      </c>
      <c r="L98" s="216">
        <v>3.42</v>
      </c>
      <c r="M98" s="216" t="str">
        <f t="shared" si="1"/>
        <v>SONG HONG COLUMBIA VAT- 1098714829 -MAY 02-na002185233</v>
      </c>
    </row>
    <row r="99" spans="1:13" ht="82.8">
      <c r="A99" s="216">
        <f>IF(C99&lt;&gt;"",SUBTOTAL(103,$C$8:C99),"")</f>
        <v>55</v>
      </c>
      <c r="B99" s="226">
        <v>43222</v>
      </c>
      <c r="C99" s="216" t="s">
        <v>2204</v>
      </c>
      <c r="D99" s="216" t="str">
        <f>IF(C99&lt;&gt;"",VLOOKUP(C99,[1]DSKH!B:E,2,0),"")</f>
        <v>BI, BII, BIII, BIV SECTION,  GIAO LONG INDUSTRIAL ZONE PHASE II,AN PHUOC COMMUNE, CHAU THANH DISTRICT, BEN TRE PROVINCE</v>
      </c>
      <c r="E99" s="215">
        <v>6</v>
      </c>
      <c r="F99" s="216"/>
      <c r="G99" s="216">
        <f>IF(C99&lt;&gt;"",VLOOKUP(C99,DSKH!B:E,3,0),"")</f>
        <v>0</v>
      </c>
      <c r="H99" s="222">
        <v>1098144504</v>
      </c>
      <c r="I99" s="217" t="s">
        <v>2860</v>
      </c>
      <c r="J99" s="224" t="s">
        <v>3083</v>
      </c>
      <c r="K99" s="216" t="str">
        <f>IF(C99&lt;&gt;"",VLOOKUP(C99,[1]DSKH!B:E,4,0),"")</f>
        <v>Tel: 84-75- 3635600   Fax: 84-75- 3635601</v>
      </c>
      <c r="L99" s="216">
        <f>10.7+1.3+1.9+4</f>
        <v>17.899999999999999</v>
      </c>
      <c r="M99" s="216" t="str">
        <f t="shared" si="1"/>
        <v>UNISOLL- 1098144504 -MAY 02-na002185234</v>
      </c>
    </row>
    <row r="100" spans="1:13" ht="39.75" customHeight="1">
      <c r="A100" s="216">
        <f>IF(C100&lt;&gt;"",SUBTOTAL(103,$C$8:C100),"")</f>
        <v>56</v>
      </c>
      <c r="B100" s="226">
        <v>43223</v>
      </c>
      <c r="C100" s="216" t="s">
        <v>1192</v>
      </c>
      <c r="D100" s="216" t="str">
        <f>IF(C100&lt;&gt;"",VLOOKUP(C100,[1]DSKH!B:E,2,0),"")</f>
        <v>THANH HAI -  THANH HA -  HAI DUONG</v>
      </c>
      <c r="E100" s="215">
        <f>1+8+8+8+1+8</f>
        <v>34</v>
      </c>
      <c r="F100" s="216" t="s">
        <v>3093</v>
      </c>
      <c r="G100" s="216" t="str">
        <f>IF(C100&lt;&gt;"",VLOOKUP(C100,DSKH!B:E,3,0),"")</f>
        <v>VAT- DONG MOC TREO- CHUNG HD</v>
      </c>
      <c r="H100" s="221" t="s">
        <v>3084</v>
      </c>
      <c r="I100" s="217"/>
      <c r="J100" s="224" t="s">
        <v>3090</v>
      </c>
      <c r="K100" s="216" t="str">
        <f>IF(C100&lt;&gt;"",VLOOKUP(C100,[1]DSKH!B:E,4,0),"")</f>
        <v>ANH TUAN: 0979 399 357</v>
      </c>
      <c r="L100" s="216">
        <f>10.3+7*20+0.4+7*20+13.8+7*20+13.8+20+7*20+13.8</f>
        <v>632.1</v>
      </c>
      <c r="M100" s="216" t="str">
        <f>C100&amp;"-"&amp;" "&amp;H100&amp;" "&amp;"-"&amp;"MAY"&amp;" "&amp;"03"&amp;"-"&amp;J100</f>
        <v>MAKALOT- HB 23341862-1 -MAY 03-na002185224</v>
      </c>
    </row>
    <row r="101" spans="1:13" ht="14.4">
      <c r="A101" s="216" t="str">
        <f>IF(C101&lt;&gt;"",SUBTOTAL(103,$C$8:C101),"")</f>
        <v/>
      </c>
      <c r="B101" s="226">
        <v>43223</v>
      </c>
      <c r="C101" s="216"/>
      <c r="D101" s="216" t="str">
        <f>IF(C101&lt;&gt;"",VLOOKUP(C101,[1]DSKH!B:E,2,0),"")</f>
        <v/>
      </c>
      <c r="E101" s="215"/>
      <c r="F101" s="216"/>
      <c r="G101" s="216" t="str">
        <f>IF(C101&lt;&gt;"",VLOOKUP(C101,DSKH!B:E,3,0),"")</f>
        <v/>
      </c>
      <c r="H101" s="221" t="s">
        <v>3085</v>
      </c>
      <c r="I101" s="217"/>
      <c r="J101" s="224"/>
      <c r="K101" s="216" t="str">
        <f>IF(C101&lt;&gt;"",VLOOKUP(C101,[1]DSKH!B:E,4,0),"")</f>
        <v/>
      </c>
      <c r="L101" s="216"/>
      <c r="M101" s="216" t="str">
        <f t="shared" ref="M101:M164" si="2">C101&amp;"-"&amp;" "&amp;H101&amp;" "&amp;"-"&amp;"MAY"&amp;" "&amp;"03"&amp;"-"&amp;J101</f>
        <v>- HB 23341862-2 -MAY 03-</v>
      </c>
    </row>
    <row r="102" spans="1:13" ht="14.4">
      <c r="A102" s="216" t="str">
        <f>IF(C102&lt;&gt;"",SUBTOTAL(103,$C$8:C102),"")</f>
        <v/>
      </c>
      <c r="B102" s="226">
        <v>43223</v>
      </c>
      <c r="C102" s="216"/>
      <c r="D102" s="216" t="str">
        <f>IF(C102&lt;&gt;"",VLOOKUP(C102,[1]DSKH!B:E,2,0),"")</f>
        <v/>
      </c>
      <c r="E102" s="215"/>
      <c r="F102" s="216"/>
      <c r="G102" s="216" t="str">
        <f>IF(C102&lt;&gt;"",VLOOKUP(C102,DSKH!B:E,3,0),"")</f>
        <v/>
      </c>
      <c r="H102" s="221" t="s">
        <v>3086</v>
      </c>
      <c r="I102" s="217"/>
      <c r="J102" s="224"/>
      <c r="K102" s="216" t="str">
        <f>IF(C102&lt;&gt;"",VLOOKUP(C102,[1]DSKH!B:E,4,0),"")</f>
        <v/>
      </c>
      <c r="L102" s="216"/>
      <c r="M102" s="216" t="str">
        <f t="shared" si="2"/>
        <v>- HB 23341862-3 -MAY 03-</v>
      </c>
    </row>
    <row r="103" spans="1:13" ht="14.4">
      <c r="A103" s="216" t="str">
        <f>IF(C103&lt;&gt;"",SUBTOTAL(103,$C$8:C103),"")</f>
        <v/>
      </c>
      <c r="B103" s="226">
        <v>43223</v>
      </c>
      <c r="C103" s="216"/>
      <c r="D103" s="216" t="str">
        <f>IF(C103&lt;&gt;"",VLOOKUP(C103,[1]DSKH!B:E,2,0),"")</f>
        <v/>
      </c>
      <c r="E103" s="215"/>
      <c r="F103" s="216"/>
      <c r="G103" s="216" t="str">
        <f>IF(C103&lt;&gt;"",VLOOKUP(C103,DSKH!B:E,3,0),"")</f>
        <v/>
      </c>
      <c r="H103" s="221" t="s">
        <v>3087</v>
      </c>
      <c r="I103" s="217"/>
      <c r="J103" s="224"/>
      <c r="K103" s="216" t="str">
        <f>IF(C103&lt;&gt;"",VLOOKUP(C103,[1]DSKH!B:E,4,0),"")</f>
        <v/>
      </c>
      <c r="L103" s="216"/>
      <c r="M103" s="216" t="str">
        <f t="shared" si="2"/>
        <v>- HB 23341862-4 -MAY 03-</v>
      </c>
    </row>
    <row r="104" spans="1:13" ht="14.4">
      <c r="A104" s="216" t="str">
        <f>IF(C104&lt;&gt;"",SUBTOTAL(103,$C$8:C104),"")</f>
        <v/>
      </c>
      <c r="B104" s="226">
        <v>43223</v>
      </c>
      <c r="C104" s="216"/>
      <c r="D104" s="216" t="str">
        <f>IF(C104&lt;&gt;"",VLOOKUP(C104,[1]DSKH!B:E,2,0),"")</f>
        <v/>
      </c>
      <c r="E104" s="215"/>
      <c r="F104" s="216"/>
      <c r="G104" s="216" t="str">
        <f>IF(C104&lt;&gt;"",VLOOKUP(C104,DSKH!B:E,3,0),"")</f>
        <v/>
      </c>
      <c r="H104" s="221" t="s">
        <v>3088</v>
      </c>
      <c r="I104" s="217"/>
      <c r="J104" s="224"/>
      <c r="K104" s="216" t="str">
        <f>IF(C104&lt;&gt;"",VLOOKUP(C104,[1]DSKH!B:E,4,0),"")</f>
        <v/>
      </c>
      <c r="L104" s="216"/>
      <c r="M104" s="216" t="str">
        <f t="shared" si="2"/>
        <v>- HB 23341862-5 -MAY 03-</v>
      </c>
    </row>
    <row r="105" spans="1:13" ht="14.4">
      <c r="A105" s="216" t="str">
        <f>IF(C105&lt;&gt;"",SUBTOTAL(103,$C$8:C105),"")</f>
        <v/>
      </c>
      <c r="B105" s="226">
        <v>43223</v>
      </c>
      <c r="C105" s="216"/>
      <c r="D105" s="216" t="str">
        <f>IF(C105&lt;&gt;"",VLOOKUP(C105,[1]DSKH!B:E,2,0),"")</f>
        <v/>
      </c>
      <c r="E105" s="215"/>
      <c r="F105" s="216"/>
      <c r="G105" s="216" t="str">
        <f>IF(C105&lt;&gt;"",VLOOKUP(C105,DSKH!B:E,3,0),"")</f>
        <v/>
      </c>
      <c r="H105" s="221" t="s">
        <v>3089</v>
      </c>
      <c r="I105" s="217"/>
      <c r="J105" s="224"/>
      <c r="K105" s="216" t="str">
        <f>IF(C105&lt;&gt;"",VLOOKUP(C105,[1]DSKH!B:E,4,0),"")</f>
        <v/>
      </c>
      <c r="L105" s="216"/>
      <c r="M105" s="216" t="str">
        <f t="shared" si="2"/>
        <v>- HB 23341866-1 -MAY 03-</v>
      </c>
    </row>
    <row r="106" spans="1:13" ht="41.4">
      <c r="A106" s="216">
        <f>IF(C106&lt;&gt;"",SUBTOTAL(103,$C$8:C106),"")</f>
        <v>57</v>
      </c>
      <c r="B106" s="226">
        <v>43223</v>
      </c>
      <c r="C106" s="216" t="s">
        <v>1192</v>
      </c>
      <c r="D106" s="216" t="str">
        <f>IF(C106&lt;&gt;"",VLOOKUP(C106,[1]DSKH!B:E,2,0),"")</f>
        <v>THANH HAI -  THANH HA -  HAI DUONG</v>
      </c>
      <c r="E106" s="215">
        <v>1</v>
      </c>
      <c r="F106" s="216"/>
      <c r="G106" s="216" t="str">
        <f>IF(C106&lt;&gt;"",VLOOKUP(C106,DSKH!B:E,3,0),"")</f>
        <v>VAT- DONG MOC TREO- CHUNG HD</v>
      </c>
      <c r="H106" s="222" t="s">
        <v>3091</v>
      </c>
      <c r="I106" s="217"/>
      <c r="J106" s="224" t="s">
        <v>3092</v>
      </c>
      <c r="K106" s="216" t="str">
        <f>IF(C106&lt;&gt;"",VLOOKUP(C106,[1]DSKH!B:E,4,0),"")</f>
        <v>ANH TUAN: 0979 399 357</v>
      </c>
      <c r="L106" s="216">
        <v>12.8</v>
      </c>
      <c r="M106" s="216" t="str">
        <f t="shared" si="2"/>
        <v>MAKALOT- HB 23413601-2 -MAY 03-na002185235</v>
      </c>
    </row>
    <row r="107" spans="1:13" ht="41.4">
      <c r="A107" s="216">
        <f>IF(C107&lt;&gt;"",SUBTOTAL(103,$C$8:C107),"")</f>
        <v>58</v>
      </c>
      <c r="B107" s="226">
        <v>43223</v>
      </c>
      <c r="C107" s="216" t="s">
        <v>2202</v>
      </c>
      <c r="D107" s="216" t="str">
        <f>IF(C107&lt;&gt;"",VLOOKUP(C107,[1]DSKH!B:E,2,0),"")</f>
        <v>KCN AU LAU XA AU LAU, THANH PHO YEN BAI, TINH YEN BAI</v>
      </c>
      <c r="E107" s="215">
        <v>3</v>
      </c>
      <c r="F107" s="216"/>
      <c r="G107" s="216">
        <f>IF(C107&lt;&gt;"",VLOOKUP(C107,DSKH!B:E,3,0),"")</f>
        <v>0</v>
      </c>
      <c r="H107" s="222" t="s">
        <v>3095</v>
      </c>
      <c r="I107" s="217" t="s">
        <v>3094</v>
      </c>
      <c r="J107" s="224" t="s">
        <v>3096</v>
      </c>
      <c r="K107" s="216">
        <f>IF(C107&lt;&gt;"",VLOOKUP(C107,[1]DSKH!B:E,4,0),"")</f>
        <v>0</v>
      </c>
      <c r="L107" s="216">
        <v>22.7</v>
      </c>
      <c r="M107" s="216" t="str">
        <f t="shared" si="2"/>
        <v>UNICO YEN BAI- 23622014-8+9+10 -MAY 03-na002184058</v>
      </c>
    </row>
    <row r="108" spans="1:13" ht="27.6">
      <c r="A108" s="216">
        <f>IF(C108&lt;&gt;"",SUBTOTAL(103,$C$8:C108),"")</f>
        <v>59</v>
      </c>
      <c r="B108" s="226">
        <v>43223</v>
      </c>
      <c r="C108" s="216" t="s">
        <v>1835</v>
      </c>
      <c r="D108" s="216" t="str">
        <f>IF(C108&lt;&gt;"",VLOOKUP(C108,[1]DSKH!B:E,2,0),"")</f>
        <v>105 NGUYEN DUC THUAN, NAM DINH</v>
      </c>
      <c r="E108" s="215">
        <v>3</v>
      </c>
      <c r="F108" s="216"/>
      <c r="G108" s="216">
        <f>IF(C108&lt;&gt;"",VLOOKUP(C108,DSKH!B:E,3,0),"")</f>
        <v>0</v>
      </c>
      <c r="H108" s="222">
        <v>1098727578</v>
      </c>
      <c r="I108" s="217"/>
      <c r="J108" s="224" t="s">
        <v>3098</v>
      </c>
      <c r="K108" s="216" t="s">
        <v>3097</v>
      </c>
      <c r="L108" s="216">
        <f>20.4+4.7</f>
        <v>25.099999999999998</v>
      </c>
      <c r="M108" s="216" t="str">
        <f t="shared" si="2"/>
        <v>SONG HONG C&amp;A- 1098727578 -MAY 03-na002185236</v>
      </c>
    </row>
    <row r="109" spans="1:13" ht="27.6">
      <c r="A109" s="216">
        <f>IF(C109&lt;&gt;"",SUBTOTAL(103,$C$8:C109),"")</f>
        <v>60</v>
      </c>
      <c r="B109" s="226">
        <v>43223</v>
      </c>
      <c r="C109" s="216" t="s">
        <v>2332</v>
      </c>
      <c r="D109" s="216" t="str">
        <f>IF(C109&lt;&gt;"",VLOOKUP(C109,[1]DSKH!B:E,2,0),"")</f>
        <v>KCN DONG XUYEN-P. RACH DUA-TP VUNG TAU</v>
      </c>
      <c r="E109" s="215">
        <v>2</v>
      </c>
      <c r="F109" s="216"/>
      <c r="G109" s="216">
        <f>IF(C109&lt;&gt;"",VLOOKUP(C109,DSKH!B:E,3,0),"")</f>
        <v>0</v>
      </c>
      <c r="H109" s="222">
        <v>1098709941</v>
      </c>
      <c r="I109" s="217"/>
      <c r="J109" s="224" t="s">
        <v>3099</v>
      </c>
      <c r="K109" s="216">
        <f>IF(C109&lt;&gt;"",VLOOKUP(C109,[1]DSKH!B:E,4,0),"")</f>
        <v>0</v>
      </c>
      <c r="L109" s="216">
        <f>1.3</f>
        <v>1.3</v>
      </c>
      <c r="M109" s="216" t="str">
        <f t="shared" si="2"/>
        <v>VIETNAM SHOES- 1098709941 -MAY 03-na002185237</v>
      </c>
    </row>
    <row r="110" spans="1:13">
      <c r="A110" s="216" t="str">
        <f>IF(C110&lt;&gt;"",SUBTOTAL(103,$C$8:C110),"")</f>
        <v/>
      </c>
      <c r="B110" s="226">
        <v>43223</v>
      </c>
      <c r="C110" s="216"/>
      <c r="D110" s="216" t="str">
        <f>IF(C110&lt;&gt;"",VLOOKUP(C110,[1]DSKH!B:E,2,0),"")</f>
        <v/>
      </c>
      <c r="E110" s="215"/>
      <c r="F110" s="216"/>
      <c r="G110" s="216" t="str">
        <f>IF(C110&lt;&gt;"",VLOOKUP(C110,DSKH!B:E,3,0),"")</f>
        <v/>
      </c>
      <c r="H110" s="222">
        <v>1098693752</v>
      </c>
      <c r="I110" s="217"/>
      <c r="J110" s="224"/>
      <c r="K110" s="216" t="str">
        <f>IF(C110&lt;&gt;"",VLOOKUP(C110,[1]DSKH!B:E,4,0),"")</f>
        <v/>
      </c>
      <c r="L110" s="216"/>
      <c r="M110" s="216" t="str">
        <f t="shared" si="2"/>
        <v>- 1098693752 -MAY 03-</v>
      </c>
    </row>
    <row r="111" spans="1:13" ht="55.2">
      <c r="A111" s="216">
        <f>IF(C111&lt;&gt;"",SUBTOTAL(103,$C$8:C111),"")</f>
        <v>61</v>
      </c>
      <c r="B111" s="226">
        <v>43223</v>
      </c>
      <c r="C111" s="216" t="s">
        <v>1636</v>
      </c>
      <c r="D111" s="216" t="str">
        <f>IF(C111&lt;&gt;"",VLOOKUP(C111,[1]DSKH!B:E,2,0),"")</f>
        <v>NO 18, LOT 18, RESETTLEMENT AREA, LONG BIEN, HA NOI</v>
      </c>
      <c r="E111" s="215">
        <v>1</v>
      </c>
      <c r="F111" s="216"/>
      <c r="G111" s="216">
        <f>IF(C111&lt;&gt;"",VLOOKUP(C111,DSKH!B:E,3,0),"")</f>
        <v>0</v>
      </c>
      <c r="H111" s="222">
        <v>1098750174</v>
      </c>
      <c r="I111" s="217"/>
      <c r="J111" s="224" t="s">
        <v>3100</v>
      </c>
      <c r="K111" s="216" t="str">
        <f>IF(C111&lt;&gt;"",VLOOKUP(C111,[1]DSKH!B:E,4,0),"")</f>
        <v>Điện thoại: 04-3670 0001 
Người liên lạc: 
Hương- 0987 888 418 
Duyên-0978 858 385</v>
      </c>
      <c r="L111" s="216">
        <v>1.5</v>
      </c>
      <c r="M111" s="216" t="str">
        <f t="shared" si="2"/>
        <v>QTNP- 1098750174 -MAY 03-na002185238</v>
      </c>
    </row>
    <row r="112" spans="1:13" ht="55.2">
      <c r="A112" s="216">
        <f>IF(C112&lt;&gt;"",SUBTOTAL(103,$C$8:C112),"")</f>
        <v>62</v>
      </c>
      <c r="B112" s="226">
        <v>43223</v>
      </c>
      <c r="C112" s="216" t="s">
        <v>2081</v>
      </c>
      <c r="D112" s="216" t="str">
        <f>IF(C112&lt;&gt;"",VLOOKUP(C112,[1]DSKH!B:E,2,0),"")</f>
        <v>KCN LAI VU- HAI DUONG</v>
      </c>
      <c r="E112" s="215">
        <v>5</v>
      </c>
      <c r="F112" s="216"/>
      <c r="G112" s="216" t="str">
        <f>IF(C112&lt;&gt;"",VLOOKUP(C112,DSKH!B:E,3,0),"")</f>
        <v>HANG CHUNG CTU- NEU HANG GAP GIAO TRUOC</v>
      </c>
      <c r="H112" s="222">
        <v>1098694065</v>
      </c>
      <c r="I112" s="217"/>
      <c r="J112" s="224" t="s">
        <v>3101</v>
      </c>
      <c r="K112" s="216" t="str">
        <f>IF(C112&lt;&gt;"",VLOOKUP(C112,[1]DSKH!B:E,4,0),"")</f>
        <v>MS NGA: 0987 820 658</v>
      </c>
      <c r="L112" s="216">
        <f>1.4+14.4+9.2+10.8+9.9</f>
        <v>45.699999999999996</v>
      </c>
      <c r="M112" s="216" t="str">
        <f t="shared" si="2"/>
        <v>TINH LOI JC PENNEY- 1098694065 -MAY 03-na002185239</v>
      </c>
    </row>
    <row r="113" spans="1:13">
      <c r="A113" s="216" t="str">
        <f>IF(C113&lt;&gt;"",SUBTOTAL(103,$C$8:C113),"")</f>
        <v/>
      </c>
      <c r="B113" s="226">
        <v>43223</v>
      </c>
      <c r="C113" s="216"/>
      <c r="D113" s="216" t="str">
        <f>IF(C113&lt;&gt;"",VLOOKUP(C113,[1]DSKH!B:E,2,0),"")</f>
        <v/>
      </c>
      <c r="E113" s="215"/>
      <c r="F113" s="216"/>
      <c r="G113" s="216" t="str">
        <f>IF(C113&lt;&gt;"",VLOOKUP(C113,DSKH!B:E,3,0),"")</f>
        <v/>
      </c>
      <c r="H113" s="222">
        <v>1098693833</v>
      </c>
      <c r="I113" s="217"/>
      <c r="J113" s="224"/>
      <c r="K113" s="216" t="str">
        <f>IF(C113&lt;&gt;"",VLOOKUP(C113,[1]DSKH!B:E,4,0),"")</f>
        <v/>
      </c>
      <c r="L113" s="216"/>
      <c r="M113" s="216" t="str">
        <f t="shared" si="2"/>
        <v>- 1098693833 -MAY 03-</v>
      </c>
    </row>
    <row r="114" spans="1:13" ht="27.6">
      <c r="A114" s="216">
        <f>IF(C114&lt;&gt;"",SUBTOTAL(103,$C$8:C114),"")</f>
        <v>63</v>
      </c>
      <c r="B114" s="226">
        <v>43223</v>
      </c>
      <c r="C114" s="216" t="s">
        <v>2321</v>
      </c>
      <c r="D114" s="216" t="str">
        <f>IF(C114&lt;&gt;"",VLOOKUP(C114,[1]DSKH!B:E,2,0),"")</f>
        <v>NO 100-QUANG TRUNG ST-THAI BINH</v>
      </c>
      <c r="E114" s="215">
        <v>9</v>
      </c>
      <c r="F114" s="216"/>
      <c r="G114" s="216">
        <f>IF(C114&lt;&gt;"",VLOOKUP(C114,DSKH!B:E,3,0),"")</f>
        <v>0</v>
      </c>
      <c r="H114" s="222">
        <v>1098692248</v>
      </c>
      <c r="I114" s="217"/>
      <c r="J114" s="224" t="s">
        <v>3102</v>
      </c>
      <c r="K114" s="216" t="str">
        <f>IF(C114&lt;&gt;"",VLOOKUP(C114,[1]DSKH!B:E,4,0),"")</f>
        <v>MS NGA- 0988 962 901</v>
      </c>
      <c r="L114" s="216">
        <f>0.5+0.96+0.7+0.74+1.16+5.2+3.4+2.26+2.9</f>
        <v>17.82</v>
      </c>
      <c r="M114" s="216" t="str">
        <f t="shared" si="2"/>
        <v>VIET THAI- 1098692248 -MAY 03-na002185240</v>
      </c>
    </row>
    <row r="115" spans="1:13">
      <c r="A115" s="216"/>
      <c r="B115" s="226"/>
      <c r="C115" s="216"/>
      <c r="D115" s="216"/>
      <c r="E115" s="215"/>
      <c r="F115" s="216"/>
      <c r="G115" s="216"/>
      <c r="H115" s="222">
        <v>1098727225</v>
      </c>
      <c r="I115" s="217"/>
      <c r="J115" s="224"/>
      <c r="K115" s="216"/>
      <c r="L115" s="216"/>
      <c r="M115" s="216"/>
    </row>
    <row r="116" spans="1:13">
      <c r="A116" s="216" t="str">
        <f>IF(C116&lt;&gt;"",SUBTOTAL(103,$C$8:C116),"")</f>
        <v/>
      </c>
      <c r="B116" s="226">
        <v>43223</v>
      </c>
      <c r="C116" s="216"/>
      <c r="D116" s="216" t="str">
        <f>IF(C116&lt;&gt;"",VLOOKUP(C116,[1]DSKH!B:E,2,0),"")</f>
        <v/>
      </c>
      <c r="E116" s="215"/>
      <c r="F116" s="216"/>
      <c r="G116" s="216" t="str">
        <f>IF(C116&lt;&gt;"",VLOOKUP(C116,DSKH!B:E,3,0),"")</f>
        <v/>
      </c>
      <c r="H116" s="222">
        <v>1098694107</v>
      </c>
      <c r="I116" s="217"/>
      <c r="J116" s="224"/>
      <c r="K116" s="216" t="str">
        <f>IF(C116&lt;&gt;"",VLOOKUP(C116,[1]DSKH!B:E,4,0),"")</f>
        <v/>
      </c>
      <c r="L116" s="216"/>
      <c r="M116" s="216" t="str">
        <f t="shared" si="2"/>
        <v>- 1098694107 -MAY 03-</v>
      </c>
    </row>
    <row r="117" spans="1:13" ht="41.4">
      <c r="A117" s="216">
        <f>IF(C117&lt;&gt;"",SUBTOTAL(103,$C$8:C117),"")</f>
        <v>64</v>
      </c>
      <c r="B117" s="226">
        <v>43223</v>
      </c>
      <c r="C117" s="216" t="s">
        <v>2377</v>
      </c>
      <c r="D117" s="216" t="str">
        <f>IF(C117&lt;&gt;"",VLOOKUP(C117,[1]DSKH!B:E,2,0),"")</f>
        <v>Ngã ba Lộ Quẹo, ấp An Hòa, xã Định An, H. Gò Quao, Kien Giang</v>
      </c>
      <c r="E117" s="215">
        <v>2</v>
      </c>
      <c r="F117" s="216"/>
      <c r="G117" s="216">
        <f>IF(C117&lt;&gt;"",VLOOKUP(C117,DSKH!B:E,3,0),"")</f>
        <v>0</v>
      </c>
      <c r="H117" s="222" t="s">
        <v>3103</v>
      </c>
      <c r="I117" s="217"/>
      <c r="J117" s="224" t="s">
        <v>3105</v>
      </c>
      <c r="K117" s="216" t="str">
        <f>IF(C117&lt;&gt;"",VLOOKUP(C117,[1]DSKH!B:E,4,0),"")</f>
        <v>TIEN 0907072122</v>
      </c>
      <c r="L117" s="216">
        <f>1.9+4.4</f>
        <v>6.3000000000000007</v>
      </c>
      <c r="M117" s="216" t="str">
        <f t="shared" si="2"/>
        <v>VINATEX KIEN GIANG- 24153244-2 -MAY 03-na002185241</v>
      </c>
    </row>
    <row r="118" spans="1:13">
      <c r="A118" s="216" t="str">
        <f>IF(C118&lt;&gt;"",SUBTOTAL(103,$C$8:C118),"")</f>
        <v/>
      </c>
      <c r="B118" s="226">
        <v>43223</v>
      </c>
      <c r="C118" s="216"/>
      <c r="D118" s="216" t="str">
        <f>IF(C118&lt;&gt;"",VLOOKUP(C118,[1]DSKH!B:E,2,0),"")</f>
        <v/>
      </c>
      <c r="E118" s="215"/>
      <c r="F118" s="216"/>
      <c r="G118" s="216" t="str">
        <f>IF(C118&lt;&gt;"",VLOOKUP(C118,DSKH!B:E,3,0),"")</f>
        <v/>
      </c>
      <c r="H118" s="222" t="s">
        <v>3104</v>
      </c>
      <c r="I118" s="217"/>
      <c r="J118" s="224"/>
      <c r="K118" s="216" t="str">
        <f>IF(C118&lt;&gt;"",VLOOKUP(C118,[1]DSKH!B:E,4,0),"")</f>
        <v/>
      </c>
      <c r="L118" s="216"/>
      <c r="M118" s="216" t="str">
        <f t="shared" si="2"/>
        <v>- 24153245-1+2 -MAY 03-</v>
      </c>
    </row>
    <row r="119" spans="1:13" ht="41.4">
      <c r="A119" s="216">
        <f>IF(C119&lt;&gt;"",SUBTOTAL(103,$C$8:C119),"")</f>
        <v>65</v>
      </c>
      <c r="B119" s="226">
        <v>43223</v>
      </c>
      <c r="C119" s="216" t="s">
        <v>1845</v>
      </c>
      <c r="D119" s="216" t="str">
        <f>IF(C119&lt;&gt;"",VLOOKUP(C119,[1]DSKH!B:E,2,0),"")</f>
        <v>DUONG 10-LOC HA-NAM DINH</v>
      </c>
      <c r="E119" s="215">
        <v>7</v>
      </c>
      <c r="F119" s="216"/>
      <c r="G119" s="216">
        <f>IF(C119&lt;&gt;"",VLOOKUP(C119,DSKH!B:E,3,0),"")</f>
        <v>0</v>
      </c>
      <c r="H119" s="222">
        <v>1098694487</v>
      </c>
      <c r="I119" s="217"/>
      <c r="J119" s="224" t="s">
        <v>3106</v>
      </c>
      <c r="K119" s="216" t="str">
        <f>IF(C119&lt;&gt;"",VLOOKUP(C119,[1]DSKH!B:E,4,0),"")</f>
        <v>BONNY- 0918 428 398</v>
      </c>
      <c r="L119" s="216">
        <f>4.6+1.1+6.8+5.6+3.1+2.26+18</f>
        <v>41.46</v>
      </c>
      <c r="M119" s="216" t="str">
        <f t="shared" si="2"/>
        <v>SONG HONG COLUMBIA VAT- 1098694487 -MAY 03-na002185242</v>
      </c>
    </row>
    <row r="120" spans="1:13">
      <c r="A120" s="216" t="str">
        <f>IF(C120&lt;&gt;"",SUBTOTAL(103,$C$8:C120),"")</f>
        <v/>
      </c>
      <c r="B120" s="226">
        <v>43223</v>
      </c>
      <c r="C120" s="216"/>
      <c r="D120" s="216" t="str">
        <f>IF(C120&lt;&gt;"",VLOOKUP(C120,[1]DSKH!B:E,2,0),"")</f>
        <v/>
      </c>
      <c r="E120" s="215"/>
      <c r="F120" s="216"/>
      <c r="G120" s="216" t="str">
        <f>IF(C120&lt;&gt;"",VLOOKUP(C120,DSKH!B:E,3,0),"")</f>
        <v/>
      </c>
      <c r="H120" s="222">
        <v>1098694201</v>
      </c>
      <c r="I120" s="217"/>
      <c r="J120" s="224"/>
      <c r="K120" s="216" t="str">
        <f>IF(C120&lt;&gt;"",VLOOKUP(C120,[1]DSKH!B:E,4,0),"")</f>
        <v/>
      </c>
      <c r="L120" s="216"/>
      <c r="M120" s="216" t="str">
        <f t="shared" si="2"/>
        <v>- 1098694201 -MAY 03-</v>
      </c>
    </row>
    <row r="121" spans="1:13" ht="41.4">
      <c r="A121" s="216">
        <f>IF(C121&lt;&gt;"",SUBTOTAL(103,$C$8:C121),"")</f>
        <v>66</v>
      </c>
      <c r="B121" s="226">
        <v>43223</v>
      </c>
      <c r="C121" s="216" t="s">
        <v>2701</v>
      </c>
      <c r="D121" s="216" t="str">
        <f>IF(C121&lt;&gt;"",VLOOKUP(C121,[1]DSKH!B:E,2,0),"")</f>
        <v>KCN LAI VU, HAI DUONG</v>
      </c>
      <c r="E121" s="215">
        <v>3</v>
      </c>
      <c r="F121" s="216"/>
      <c r="G121" s="216">
        <f>IF(C121&lt;&gt;"",VLOOKUP(C121,DSKH!B:E,3,0),"")</f>
        <v>0</v>
      </c>
      <c r="H121" s="222">
        <v>1098732444</v>
      </c>
      <c r="I121" s="217"/>
      <c r="J121" s="224" t="s">
        <v>3107</v>
      </c>
      <c r="K121" s="216" t="str">
        <f>IF(C121&lt;&gt;"",VLOOKUP(C121,[1]DSKH!B:E,4,0),"")</f>
        <v>MS DUNG: 0963 528 138</v>
      </c>
      <c r="L121" s="216">
        <f>13.9+6.85+0.14</f>
        <v>20.89</v>
      </c>
      <c r="M121" s="216" t="str">
        <f t="shared" si="2"/>
        <v>TINH LOI 2 OLD NAVY- 1098732444 -MAY 03-na002185243</v>
      </c>
    </row>
    <row r="122" spans="1:13">
      <c r="A122" s="216" t="str">
        <f>IF(C122&lt;&gt;"",SUBTOTAL(103,$C$8:C122),"")</f>
        <v/>
      </c>
      <c r="B122" s="226">
        <v>43223</v>
      </c>
      <c r="C122" s="216"/>
      <c r="D122" s="216" t="str">
        <f>IF(C122&lt;&gt;"",VLOOKUP(C122,[1]DSKH!B:E,2,0),"")</f>
        <v/>
      </c>
      <c r="E122" s="215"/>
      <c r="F122" s="216"/>
      <c r="G122" s="216" t="str">
        <f>IF(C122&lt;&gt;"",VLOOKUP(C122,DSKH!B:E,3,0),"")</f>
        <v/>
      </c>
      <c r="H122" s="222">
        <v>1098732443</v>
      </c>
      <c r="I122" s="217"/>
      <c r="J122" s="224"/>
      <c r="K122" s="216" t="str">
        <f>IF(C122&lt;&gt;"",VLOOKUP(C122,[1]DSKH!B:E,4,0),"")</f>
        <v/>
      </c>
      <c r="L122" s="216"/>
      <c r="M122" s="216" t="str">
        <f t="shared" si="2"/>
        <v>- 1098732443 -MAY 03-</v>
      </c>
    </row>
    <row r="123" spans="1:13" ht="27.6">
      <c r="A123" s="216">
        <f>IF(C123&lt;&gt;"",SUBTOTAL(103,$C$8:C123),"")</f>
        <v>67</v>
      </c>
      <c r="B123" s="226">
        <v>43223</v>
      </c>
      <c r="C123" s="216" t="s">
        <v>2117</v>
      </c>
      <c r="D123" s="216" t="str">
        <f>IF(C123&lt;&gt;"",VLOOKUP(C123,[1]DSKH!B:E,2,0),"")</f>
        <v>221 Thong Nhat, Thai Nguyen</v>
      </c>
      <c r="E123" s="215">
        <v>9</v>
      </c>
      <c r="F123" s="216"/>
      <c r="G123" s="216">
        <f>IF(C123&lt;&gt;"",VLOOKUP(C123,DSKH!B:E,3,0),"")</f>
        <v>0</v>
      </c>
      <c r="H123" s="222">
        <v>1098732448</v>
      </c>
      <c r="I123" s="217"/>
      <c r="J123" s="224" t="s">
        <v>3108</v>
      </c>
      <c r="K123" s="216" t="str">
        <f>IF(C123&lt;&gt;"",VLOOKUP(C123,[1]DSKH!B:E,4,0),"")</f>
        <v>TRANG: 01685 151 959</v>
      </c>
      <c r="L123" s="216">
        <f>0.38*4+0.4+0.38*2+0.36+0.42</f>
        <v>3.4599999999999995</v>
      </c>
      <c r="M123" s="216" t="str">
        <f t="shared" si="2"/>
        <v>TNG C&amp;A- 1098732448 -MAY 03-na002185244</v>
      </c>
    </row>
    <row r="124" spans="1:13" ht="41.4">
      <c r="A124" s="216">
        <f>IF(C124&lt;&gt;"",SUBTOTAL(103,$C$8:C124),"")</f>
        <v>68</v>
      </c>
      <c r="B124" s="226">
        <v>43223</v>
      </c>
      <c r="C124" s="216" t="s">
        <v>2789</v>
      </c>
      <c r="D124" s="216" t="str">
        <f>IF(C124&lt;&gt;"",VLOOKUP(C124,[1]DSKH!B:E,2,0),"")</f>
        <v>N3, KCN THANH THANH CONG, AN HOA, TRANG BANG, TAY NINH</v>
      </c>
      <c r="E124" s="215">
        <v>1</v>
      </c>
      <c r="F124" s="216"/>
      <c r="G124" s="216">
        <f>IF(C124&lt;&gt;"",VLOOKUP(C124,DSKH!B:E,3,0),"")</f>
        <v>0</v>
      </c>
      <c r="H124" s="222">
        <v>1098732030</v>
      </c>
      <c r="I124" s="217"/>
      <c r="J124" s="224" t="s">
        <v>3109</v>
      </c>
      <c r="K124" s="216" t="str">
        <f>IF(C124&lt;&gt;"",VLOOKUP(C124,[1]DSKH!B:E,4,0),"")</f>
        <v>HA TRAN 0962171056</v>
      </c>
      <c r="L124" s="216">
        <v>0.72</v>
      </c>
      <c r="M124" s="216" t="str">
        <f t="shared" si="2"/>
        <v>WINGA VN- 1098732030 -MAY 03-na002185245</v>
      </c>
    </row>
    <row r="125" spans="1:13" ht="96.6">
      <c r="A125" s="216">
        <f>IF(C125&lt;&gt;"",SUBTOTAL(103,$C$8:C125),"")</f>
        <v>69</v>
      </c>
      <c r="B125" s="226">
        <v>43223</v>
      </c>
      <c r="C125" s="216" t="s">
        <v>1225</v>
      </c>
      <c r="D125" s="216" t="str">
        <f>IF(C125&lt;&gt;"",VLOOKUP(C125,[1]DSKH!B:E,2,0),"")</f>
        <v>60-ME NHU-DA NANG</v>
      </c>
      <c r="E125" s="215">
        <v>1</v>
      </c>
      <c r="F125" s="216"/>
      <c r="G125" s="216" t="str">
        <f>IF(C125&lt;&gt;"",VLOOKUP(C125,DSKH!B:E,3,0),"")</f>
        <v>HANG GEN NHAN FIGS CHO EMAIL CONFIRM GIAO HANG CUA CS, KEM PKL CHI TIET (DECATHLON)</v>
      </c>
      <c r="H125" s="222">
        <v>1098732410</v>
      </c>
      <c r="I125" s="217"/>
      <c r="J125" s="224" t="s">
        <v>3110</v>
      </c>
      <c r="K125" s="216" t="str">
        <f>IF(C125&lt;&gt;"",VLOOKUP(C125,[1]DSKH!B:E,4,0),"")</f>
        <v>ANH CHAU- KHO PHU LIEU-05113-759249</v>
      </c>
      <c r="L125" s="216">
        <v>0.5</v>
      </c>
      <c r="M125" s="216" t="str">
        <f t="shared" si="2"/>
        <v>MAY 29 03- 1098732410 -MAY 03-na002185246</v>
      </c>
    </row>
    <row r="126" spans="1:13" ht="41.4">
      <c r="A126" s="216">
        <f>IF(C126&lt;&gt;"",SUBTOTAL(103,$C$8:C126),"")</f>
        <v>70</v>
      </c>
      <c r="B126" s="226">
        <v>43223</v>
      </c>
      <c r="C126" s="216" t="s">
        <v>2092</v>
      </c>
      <c r="D126" s="216" t="str">
        <f>IF(C126&lt;&gt;"",VLOOKUP(C126,[1]DSKH!B:E,2,0),"")</f>
        <v>KCN LAI VU, HAI DUONG</v>
      </c>
      <c r="E126" s="215">
        <v>1</v>
      </c>
      <c r="F126" s="216"/>
      <c r="G126" s="216">
        <f>IF(C126&lt;&gt;"",VLOOKUP(C126,DSKH!B:E,3,0),"")</f>
        <v>0</v>
      </c>
      <c r="H126" s="222">
        <v>1098732646</v>
      </c>
      <c r="I126" s="217"/>
      <c r="J126" s="224" t="s">
        <v>3111</v>
      </c>
      <c r="K126" s="216" t="str">
        <f>IF(C126&lt;&gt;"",VLOOKUP(C126,[1]DSKH!B:E,4,0),"")</f>
        <v>HAU: 0128 833 0267</v>
      </c>
      <c r="L126" s="216">
        <v>0.2</v>
      </c>
      <c r="M126" s="216" t="str">
        <f t="shared" si="2"/>
        <v>TINH LOI UNIQLO- 1098732646 -MAY 03-na002185247</v>
      </c>
    </row>
    <row r="127" spans="1:13" ht="27.6">
      <c r="A127" s="216">
        <f>IF(C127&lt;&gt;"",SUBTOTAL(103,$C$8:C127),"")</f>
        <v>71</v>
      </c>
      <c r="B127" s="226">
        <v>43223</v>
      </c>
      <c r="C127" s="216" t="s">
        <v>1813</v>
      </c>
      <c r="D127" s="216" t="str">
        <f>IF(C127&lt;&gt;"",VLOOKUP(C127,[1]DSKH!B:E,2,0),"")</f>
        <v>Cum CN Hoang Xa, Thanh Thuy, Phu Tho</v>
      </c>
      <c r="E127" s="215">
        <v>2</v>
      </c>
      <c r="F127" s="216"/>
      <c r="G127" s="216">
        <f>IF(C127&lt;&gt;"",VLOOKUP(C127,DSKH!B:E,3,0),"")</f>
        <v>0</v>
      </c>
      <c r="H127" s="222">
        <v>1098682660</v>
      </c>
      <c r="I127" s="217"/>
      <c r="J127" s="224" t="s">
        <v>3112</v>
      </c>
      <c r="K127" s="216">
        <f>IF(C127&lt;&gt;"",VLOOKUP(C127,[1]DSKH!B:E,4,0),"")</f>
        <v>0</v>
      </c>
      <c r="L127" s="216">
        <f>0.6+2.2</f>
        <v>2.8000000000000003</v>
      </c>
      <c r="M127" s="216" t="str">
        <f t="shared" si="2"/>
        <v>SON HA PHU THO- 1098682660 -MAY 03-na002185248</v>
      </c>
    </row>
    <row r="128" spans="1:13" ht="41.4">
      <c r="A128" s="216">
        <f>IF(C128&lt;&gt;"",SUBTOTAL(103,$C$8:C128),"")</f>
        <v>72</v>
      </c>
      <c r="B128" s="226">
        <v>43223</v>
      </c>
      <c r="C128" s="216" t="s">
        <v>2124</v>
      </c>
      <c r="D128" s="216" t="str">
        <f>IF(C128&lt;&gt;"",VLOOKUP(C128,[1]DSKH!B:E,2,0),"")</f>
        <v>TIEN HOI COMMUNE. DAI TU DISTRICT, THAI NGUYEN</v>
      </c>
      <c r="E128" s="215">
        <v>1</v>
      </c>
      <c r="F128" s="216"/>
      <c r="G128" s="216">
        <f>IF(C128&lt;&gt;"",VLOOKUP(C128,DSKH!B:E,3,0),"")</f>
        <v>0</v>
      </c>
      <c r="H128" s="222">
        <v>1098695462</v>
      </c>
      <c r="I128" s="217"/>
      <c r="J128" s="224" t="s">
        <v>3113</v>
      </c>
      <c r="K128" s="216" t="str">
        <f>IF(C128&lt;&gt;"",VLOOKUP(C128,[1]DSKH!B:E,4,0),"")</f>
        <v>Ms. Ngọc - 01693029385</v>
      </c>
      <c r="L128" s="216">
        <v>0.5</v>
      </c>
      <c r="M128" s="216" t="str">
        <f t="shared" si="2"/>
        <v>TNG INVESTMENT- 1098695462 -MAY 03-na002185249</v>
      </c>
    </row>
    <row r="129" spans="1:13" ht="55.2">
      <c r="A129" s="216">
        <f>IF(C129&lt;&gt;"",SUBTOTAL(103,$C$8:C129),"")</f>
        <v>73</v>
      </c>
      <c r="B129" s="226">
        <v>43223</v>
      </c>
      <c r="C129" s="216" t="s">
        <v>1518</v>
      </c>
      <c r="D129" s="216" t="str">
        <f>IF(C129&lt;&gt;"",VLOOKUP(C129,[1]DSKH!B:E,2,0),"")</f>
        <v>LO M, DUONG SO 3, KCN HOA KHANH, P. HOA KHANH BAC, LIEN CHIEU, DA NANG</v>
      </c>
      <c r="E129" s="215">
        <v>1</v>
      </c>
      <c r="F129" s="216"/>
      <c r="G129" s="216">
        <f>IF(C129&lt;&gt;"",VLOOKUP(C129,DSKH!B:E,3,0),"")</f>
        <v>0</v>
      </c>
      <c r="H129" s="222">
        <v>1098694105</v>
      </c>
      <c r="I129" s="217"/>
      <c r="J129" s="224" t="s">
        <v>3114</v>
      </c>
      <c r="K129" s="216" t="str">
        <f>IF(C129&lt;&gt;"",VLOOKUP(C129,[1]DSKH!B:E,4,0),"")</f>
        <v>MS SUONG: 0905 267 641</v>
      </c>
      <c r="L129" s="216">
        <v>2</v>
      </c>
      <c r="M129" s="216" t="str">
        <f t="shared" si="2"/>
        <v>PHONG PHU CN DA NANG- 1098694105 -MAY 03-na002185250</v>
      </c>
    </row>
    <row r="130" spans="1:13" ht="55.2">
      <c r="A130" s="216">
        <f>IF(C130&lt;&gt;"",SUBTOTAL(103,$C$8:C130),"")</f>
        <v>74</v>
      </c>
      <c r="B130" s="226">
        <v>43223</v>
      </c>
      <c r="C130" s="216" t="s">
        <v>702</v>
      </c>
      <c r="D130" s="216" t="str">
        <f>IF(C130&lt;&gt;"",VLOOKUP(C130,[1]DSKH!B:E,2,0),"")</f>
        <v>GIAO GIAY LIEN THUAN, KM 9, PHAM VAN DONG, DUONG KINH, HAI PHONG</v>
      </c>
      <c r="E130" s="215">
        <v>1</v>
      </c>
      <c r="F130" s="216"/>
      <c r="G130" s="216" t="str">
        <f>IF(C130&lt;&gt;"",VLOOKUP(C130,DSKH!B:E,3,0),"")</f>
        <v>GIAO DUNG NGUOI LIEN HE</v>
      </c>
      <c r="H130" s="222">
        <v>1098727435</v>
      </c>
      <c r="I130" s="217"/>
      <c r="J130" s="224" t="s">
        <v>3115</v>
      </c>
      <c r="K130" s="216" t="str">
        <f>IF(C130&lt;&gt;"",VLOOKUP(C130,[1]DSKH!B:E,4,0),"")</f>
        <v>HANG 0166 944 0509</v>
      </c>
      <c r="L130" s="216">
        <v>10</v>
      </c>
      <c r="M130" s="216" t="str">
        <f t="shared" si="2"/>
        <v>GOLDEN TOP- 1098727435 -MAY 03-na002185251</v>
      </c>
    </row>
    <row r="131" spans="1:13" ht="55.2">
      <c r="A131" s="216">
        <f>IF(C131&lt;&gt;"",SUBTOTAL(103,$C$8:C131),"")</f>
        <v>75</v>
      </c>
      <c r="B131" s="226">
        <v>43223</v>
      </c>
      <c r="C131" s="216" t="s">
        <v>2081</v>
      </c>
      <c r="D131" s="216" t="str">
        <f>IF(C131&lt;&gt;"",VLOOKUP(C131,[1]DSKH!B:E,2,0),"")</f>
        <v>KCN LAI VU- HAI DUONG</v>
      </c>
      <c r="E131" s="215">
        <v>3</v>
      </c>
      <c r="F131" s="216"/>
      <c r="G131" s="216" t="str">
        <f>IF(C131&lt;&gt;"",VLOOKUP(C131,DSKH!B:E,3,0),"")</f>
        <v>HANG CHUNG CTU- NEU HANG GAP GIAO TRUOC</v>
      </c>
      <c r="H131" s="222">
        <v>1098727103</v>
      </c>
      <c r="I131" s="217"/>
      <c r="J131" s="224" t="s">
        <v>3116</v>
      </c>
      <c r="K131" s="216" t="str">
        <f>IF(C131&lt;&gt;"",VLOOKUP(C131,[1]DSKH!B:E,4,0),"")</f>
        <v>MS NGA: 0987 820 658</v>
      </c>
      <c r="L131" s="216">
        <f>16+12.4+18</f>
        <v>46.4</v>
      </c>
      <c r="M131" s="216" t="str">
        <f t="shared" si="2"/>
        <v>TINH LOI JC PENNEY- 1098727103 -MAY 03-na002185252</v>
      </c>
    </row>
    <row r="132" spans="1:13" ht="41.4">
      <c r="A132" s="216">
        <f>IF(C132&lt;&gt;"",SUBTOTAL(103,$C$8:C132),"")</f>
        <v>76</v>
      </c>
      <c r="B132" s="226">
        <v>43223</v>
      </c>
      <c r="C132" s="216" t="s">
        <v>1125</v>
      </c>
      <c r="D132" s="216" t="str">
        <f>IF(C132&lt;&gt;"",VLOOKUP(C132,[1]DSKH!B:E,2,0),"")</f>
        <v>LOT 2.20C, TRA NOC INDUSTRIAL ZONE, CAN THO</v>
      </c>
      <c r="E132" s="215">
        <v>20</v>
      </c>
      <c r="F132" s="216"/>
      <c r="G132" s="216">
        <f>IF(C132&lt;&gt;"",VLOOKUP(C132,DSKH!B:E,3,0),"")</f>
        <v>0</v>
      </c>
      <c r="H132" s="222">
        <v>1098683561</v>
      </c>
      <c r="I132" s="217"/>
      <c r="J132" s="224" t="s">
        <v>3117</v>
      </c>
      <c r="K132" s="216" t="str">
        <f>IF(C132&lt;&gt;"",VLOOKUP(C132,[1]DSKH!B:E,4,0),"")</f>
        <v>0710 3844 1026
MR GU WEN JUN 0919 978 816</v>
      </c>
      <c r="L132" s="216">
        <f>0.12+0.2+0.44+0.34+0.54+0.18+0.6+0.16+0.1+0.16+0.4+0.3+0.42</f>
        <v>3.96</v>
      </c>
      <c r="M132" s="216" t="str">
        <f t="shared" si="2"/>
        <v>KWONG LUNG MEKO- 1098683561 -MAY 03-na002185253</v>
      </c>
    </row>
    <row r="133" spans="1:13" ht="41.4">
      <c r="A133" s="216">
        <f>IF(C133&lt;&gt;"",SUBTOTAL(103,$C$8:C133),"")</f>
        <v>77</v>
      </c>
      <c r="B133" s="226">
        <v>43223</v>
      </c>
      <c r="C133" s="216" t="s">
        <v>1399</v>
      </c>
      <c r="D133" s="216" t="str">
        <f>IF(C133&lt;&gt;"",VLOOKUP(C133,[1]DSKH!B:E,2,0),"")</f>
        <v>185B, 14/9 STREET, PHUONG 5, TP. VINH LONG, VINH LONG</v>
      </c>
      <c r="E133" s="215">
        <v>2</v>
      </c>
      <c r="F133" s="216"/>
      <c r="G133" s="216" t="str">
        <f>IF(C133&lt;&gt;"",VLOOKUP(C133,DSKH!B:E,3,0),"")</f>
        <v>cho XNK confirm</v>
      </c>
      <c r="H133" s="222">
        <v>1098694082</v>
      </c>
      <c r="I133" s="217"/>
      <c r="J133" s="224" t="s">
        <v>3118</v>
      </c>
      <c r="K133" s="216" t="str">
        <f>IF(C133&lt;&gt;"",VLOOKUP(C133,[1]DSKH!B:E,4,0),"")</f>
        <v>ANDIE NGO: 070 6252266</v>
      </c>
      <c r="L133" s="216">
        <f>1.14+0.12</f>
        <v>1.2599999999999998</v>
      </c>
      <c r="M133" s="216" t="str">
        <f t="shared" si="2"/>
        <v>NEOBAGS- 1098694082 -MAY 03-na002185254</v>
      </c>
    </row>
    <row r="134" spans="1:13" ht="27.6">
      <c r="A134" s="216">
        <f>IF(C134&lt;&gt;"",SUBTOTAL(103,$C$8:C134),"")</f>
        <v>78</v>
      </c>
      <c r="B134" s="226">
        <v>43223</v>
      </c>
      <c r="C134" s="216" t="s">
        <v>2038</v>
      </c>
      <c r="D134" s="216" t="str">
        <f>IF(C134&lt;&gt;"",VLOOKUP(C134,[1]DSKH!B:E,2,0),"")</f>
        <v>THI TRAN VUONG, TIEN LU, HUNG YEN</v>
      </c>
      <c r="E134" s="215">
        <v>1</v>
      </c>
      <c r="F134" s="216"/>
      <c r="G134" s="216">
        <f>IF(C134&lt;&gt;"",VLOOKUP(C134,DSKH!B:E,3,0),"")</f>
        <v>0</v>
      </c>
      <c r="H134" s="222">
        <v>1098683996</v>
      </c>
      <c r="I134" s="217"/>
      <c r="J134" s="224" t="s">
        <v>3119</v>
      </c>
      <c r="K134" s="216" t="str">
        <f>IF(C134&lt;&gt;"",VLOOKUP(C134,[1]DSKH!B:E,4,0),"")</f>
        <v>MS NINH 0987 930 558/
 MR CUONG 0919 686 228</v>
      </c>
      <c r="L134" s="216">
        <v>1</v>
      </c>
      <c r="M134" s="216" t="str">
        <f t="shared" si="2"/>
        <v>TIEN HUNG- 1098683996 -MAY 03-na002185255</v>
      </c>
    </row>
    <row r="135" spans="1:13" ht="41.4">
      <c r="A135" s="216">
        <f>IF(C135&lt;&gt;"",SUBTOTAL(103,$C$8:C135),"")</f>
        <v>79</v>
      </c>
      <c r="B135" s="226">
        <v>43223</v>
      </c>
      <c r="C135" s="216" t="s">
        <v>1334</v>
      </c>
      <c r="D135" s="216" t="str">
        <f>IF(C135&lt;&gt;"",VLOOKUP(C135,[1]DSKH!B:E,2,0),"")</f>
        <v>CUM CN XUAN QUANG, DONG XUAN, DONG HUNG, THAI BINH</v>
      </c>
      <c r="E135" s="215">
        <v>3</v>
      </c>
      <c r="F135" s="216"/>
      <c r="G135" s="216">
        <f>IF(C135&lt;&gt;"",VLOOKUP(C135,DSKH!B:E,3,0),"")</f>
        <v>0</v>
      </c>
      <c r="H135" s="222">
        <v>1098693590</v>
      </c>
      <c r="I135" s="217"/>
      <c r="J135" s="224" t="s">
        <v>3120</v>
      </c>
      <c r="K135" s="216" t="str">
        <f>IF(C135&lt;&gt;"",VLOOKUP(C135,[1]DSKH!B:E,4,0),"")</f>
        <v>CHI BICH 0936171499</v>
      </c>
      <c r="L135" s="216">
        <f>2*5.6+4.8</f>
        <v>16</v>
      </c>
      <c r="M135" s="216" t="str">
        <f t="shared" si="2"/>
        <v>MXP8- 1098693590 -MAY 03-na002185256</v>
      </c>
    </row>
    <row r="136" spans="1:13" ht="41.4">
      <c r="A136" s="216">
        <f>IF(C136&lt;&gt;"",SUBTOTAL(103,$C$8:C136),"")</f>
        <v>80</v>
      </c>
      <c r="B136" s="226">
        <v>43223</v>
      </c>
      <c r="C136" s="216" t="s">
        <v>588</v>
      </c>
      <c r="D136" s="216" t="str">
        <f>IF(C136&lt;&gt;"",VLOOKUP(C136,[1]DSKH!B:E,2,0),"")</f>
        <v>DUONG NGUYEN VAN LINH-PHO SAI DONG-Q.LONG BIEN-HA NOI</v>
      </c>
      <c r="E136" s="215">
        <v>1</v>
      </c>
      <c r="F136" s="216"/>
      <c r="G136" s="216">
        <f>IF(C136&lt;&gt;"",VLOOKUP(C136,DSKH!B:E,3,0),"")</f>
        <v>0</v>
      </c>
      <c r="H136" s="222">
        <v>1098693937</v>
      </c>
      <c r="I136" s="217"/>
      <c r="J136" s="224" t="s">
        <v>3121</v>
      </c>
      <c r="K136" s="216" t="str">
        <f>IF(C136&lt;&gt;"",VLOOKUP(C136,[1]DSKH!B:E,4,0),"")</f>
        <v>MS DUNG: 0989 289 425</v>
      </c>
      <c r="L136" s="216">
        <v>0.2</v>
      </c>
      <c r="M136" s="216" t="str">
        <f t="shared" si="2"/>
        <v>GARMENT 10 NEXT- 1098693937 -MAY 03-na002185257</v>
      </c>
    </row>
    <row r="137" spans="1:13" ht="41.4">
      <c r="A137" s="216">
        <f>IF(C137&lt;&gt;"",SUBTOTAL(103,$C$8:C137),"")</f>
        <v>81</v>
      </c>
      <c r="B137" s="226">
        <v>43223</v>
      </c>
      <c r="C137" s="216" t="s">
        <v>2944</v>
      </c>
      <c r="D137" s="216" t="str">
        <f>IF(C137&lt;&gt;"",VLOOKUP(C137,[1]DSKH!B:E,2,0),"")</f>
        <v>TANG 7, TOA NHA LILAMA, LE VAN LUONG, TU LIEM, HA NOI</v>
      </c>
      <c r="E137" s="215">
        <v>1</v>
      </c>
      <c r="F137" s="216"/>
      <c r="G137" s="216">
        <f>IF(C137&lt;&gt;"",VLOOKUP(C137,DSKH!B:E,3,0),"")</f>
        <v>0</v>
      </c>
      <c r="H137" s="222">
        <v>1098694982</v>
      </c>
      <c r="I137" s="217"/>
      <c r="J137" s="224" t="s">
        <v>3122</v>
      </c>
      <c r="K137" s="216" t="str">
        <f>IF(C137&lt;&gt;"",VLOOKUP(C137,[1]DSKH!B:E,4,0),"")</f>
        <v>MS. LINH: 0989955012</v>
      </c>
      <c r="L137" s="216">
        <v>0.2</v>
      </c>
      <c r="M137" s="216" t="str">
        <f t="shared" si="2"/>
        <v>OSPINTER- 1098694982 -MAY 03-na002185258</v>
      </c>
    </row>
    <row r="138" spans="1:13" ht="27.6">
      <c r="A138" s="216">
        <f>IF(C138&lt;&gt;"",SUBTOTAL(103,$C$8:C138),"")</f>
        <v>82</v>
      </c>
      <c r="B138" s="226">
        <v>43223</v>
      </c>
      <c r="C138" s="216" t="s">
        <v>1809</v>
      </c>
      <c r="D138" s="216" t="str">
        <f>IF(C138&lt;&gt;"",VLOOKUP(C138,[1]DSKH!B:E,2,0),"")</f>
        <v>208 LE LOI ST-SON TAY-HA  NOI</v>
      </c>
      <c r="E138" s="215">
        <v>6</v>
      </c>
      <c r="F138" s="216"/>
      <c r="G138" s="216" t="str">
        <f>IF(C138&lt;&gt;"",VLOOKUP(C138,DSKH!B:E,3,0),"")</f>
        <v>HANG UNDER AMOR KEM PL</v>
      </c>
      <c r="H138" s="222">
        <v>1098693377</v>
      </c>
      <c r="I138" s="217"/>
      <c r="J138" s="224" t="s">
        <v>3123</v>
      </c>
      <c r="K138" s="216" t="str">
        <f>IF(C138&lt;&gt;"",VLOOKUP(C138,[1]DSKH!B:E,4,0),"")</f>
        <v>MR DUY (P. DICH VU)- 0988 616 478</v>
      </c>
      <c r="L138" s="216">
        <f>0.92+0.64+0.77+0.82+7.6+0.86</f>
        <v>11.61</v>
      </c>
      <c r="M138" s="216" t="str">
        <f t="shared" si="2"/>
        <v>SON HA- 1098693377 -MAY 03-na002185259</v>
      </c>
    </row>
    <row r="139" spans="1:13" ht="41.4">
      <c r="A139" s="216">
        <f>IF(C139&lt;&gt;"",SUBTOTAL(103,$C$8:C139),"")</f>
        <v>83</v>
      </c>
      <c r="B139" s="226">
        <v>43223</v>
      </c>
      <c r="C139" s="216" t="s">
        <v>1564</v>
      </c>
      <c r="D139" s="216" t="str">
        <f>IF(C139&lt;&gt;"",VLOOKUP(C139,[1]DSKH!B:E,2,0),"")</f>
        <v>16 DUONG HOA PHONG, GIA LAM, VIET TRI, PHU THO</v>
      </c>
      <c r="E139" s="215">
        <v>10</v>
      </c>
      <c r="F139" s="216"/>
      <c r="G139" s="216" t="str">
        <f>IF(C139&lt;&gt;"",VLOOKUP(C139,DSKH!B:E,3,0),"")</f>
        <v>HANG CTU</v>
      </c>
      <c r="H139" s="222">
        <v>1098690215</v>
      </c>
      <c r="I139" s="217"/>
      <c r="J139" s="224" t="s">
        <v>3124</v>
      </c>
      <c r="K139" s="216" t="str">
        <f>IF(C139&lt;&gt;"",VLOOKUP(C139,[1]DSKH!B:E,4,0),"")</f>
        <v>ANH HAI: 0919677261</v>
      </c>
      <c r="L139" s="216">
        <f>2*19.6+3.5+19+9.2+18.2+8.3+7.4+7.8+7.4</f>
        <v>120.00000000000001</v>
      </c>
      <c r="M139" s="216" t="str">
        <f t="shared" si="2"/>
        <v>PHU THO- 1098690215 -MAY 03-na002185260</v>
      </c>
    </row>
    <row r="140" spans="1:13" ht="55.2">
      <c r="A140" s="216">
        <f>IF(C140&lt;&gt;"",SUBTOTAL(103,$C$8:C140),"")</f>
        <v>84</v>
      </c>
      <c r="B140" s="226">
        <v>43223</v>
      </c>
      <c r="C140" s="216" t="s">
        <v>876</v>
      </c>
      <c r="D140" s="216" t="str">
        <f>IF(C140&lt;&gt;"",VLOOKUP(C140,[1]DSKH!B:E,2,0),"")</f>
        <v>Lot C3.3, Gian Khau Industry Zone, Gia Tan Commune, Gia Vien District, Ninh Binh Province</v>
      </c>
      <c r="E140" s="215">
        <v>50</v>
      </c>
      <c r="F140" s="216"/>
      <c r="G140" s="216">
        <f>IF(C140&lt;&gt;"",VLOOKUP(C140,DSKH!B:E,3,0),"")</f>
        <v>0</v>
      </c>
      <c r="H140" s="222">
        <v>1098693942</v>
      </c>
      <c r="I140" s="217"/>
      <c r="J140" s="224" t="s">
        <v>3125</v>
      </c>
      <c r="K140" s="216" t="str">
        <f>IF(C140&lt;&gt;"",VLOOKUP(C140,[1]DSKH!B:E,4,0),"")</f>
        <v>HANG  0965 755 332</v>
      </c>
      <c r="L140" s="216">
        <v>14.76</v>
      </c>
      <c r="M140" s="216" t="str">
        <f t="shared" si="2"/>
        <v>HAS FASHION- 1098693942 -MAY 03-na002185261</v>
      </c>
    </row>
    <row r="141" spans="1:13" ht="55.2">
      <c r="A141" s="216">
        <f>IF(C141&lt;&gt;"",SUBTOTAL(103,$C$8:C141),"")</f>
        <v>85</v>
      </c>
      <c r="B141" s="226">
        <v>43223</v>
      </c>
      <c r="C141" s="216" t="s">
        <v>2720</v>
      </c>
      <c r="D141" s="216" t="str">
        <f>IF(C141&lt;&gt;"",VLOOKUP(C141,[1]DSKH!B:E,2,0),"")</f>
        <v>2rd Floor, ICT Building 02-9A Lot, Hoang Mai I.Z, Hoang Mai Dist., Hanoi, Viet Nam.</v>
      </c>
      <c r="E141" s="215">
        <v>1</v>
      </c>
      <c r="F141" s="216"/>
      <c r="G141" s="216">
        <f>IF(C141&lt;&gt;"",VLOOKUP(C141,DSKH!B:E,3,0),"")</f>
        <v>0</v>
      </c>
      <c r="H141" s="222">
        <v>1098694972</v>
      </c>
      <c r="I141" s="217"/>
      <c r="J141" s="224" t="s">
        <v>3126</v>
      </c>
      <c r="K141" s="216" t="str">
        <f>IF(C141&lt;&gt;"",VLOOKUP(C141,[1]DSKH!B:E,4,0),"")</f>
        <v>LUONG NHUNG HA 0936 361 585</v>
      </c>
      <c r="L141" s="216">
        <v>9.1999999999999998E-2</v>
      </c>
      <c r="M141" s="216" t="str">
        <f t="shared" si="2"/>
        <v>VINATEX INTERNATIONAL- 1098694972 -MAY 03-na002185262</v>
      </c>
    </row>
    <row r="142" spans="1:13" ht="41.4">
      <c r="A142" s="216">
        <f>IF(C142&lt;&gt;"",SUBTOTAL(103,$C$8:C142),"")</f>
        <v>86</v>
      </c>
      <c r="B142" s="226">
        <v>43223</v>
      </c>
      <c r="C142" s="216" t="s">
        <v>2694</v>
      </c>
      <c r="D142" s="216" t="str">
        <f>IF(C142&lt;&gt;"",VLOOKUP(C142,[1]DSKH!B:E,2,0),"")</f>
        <v xml:space="preserve"> 6th Floor,  No.478 Minh Khai Str,Hai Ba Trung Dist, Hanoi  </v>
      </c>
      <c r="E142" s="215">
        <v>1</v>
      </c>
      <c r="F142" s="216"/>
      <c r="G142" s="216">
        <f>IF(C142&lt;&gt;"",VLOOKUP(C142,DSKH!B:E,3,0),"")</f>
        <v>0</v>
      </c>
      <c r="H142" s="222">
        <v>1098694987</v>
      </c>
      <c r="I142" s="217"/>
      <c r="J142" s="224" t="s">
        <v>3127</v>
      </c>
      <c r="K142" s="216" t="str">
        <f>IF(C142&lt;&gt;"",VLOOKUP(C142,[1]DSKH!B:E,4,0),"")</f>
        <v>Mrs.  Merry/Huong +84-0989709898</v>
      </c>
      <c r="L142" s="216">
        <f>0.3</f>
        <v>0.3</v>
      </c>
      <c r="M142" s="216" t="str">
        <f t="shared" si="2"/>
        <v>VINEX SPOL- 1098694987 -MAY 03-na002185263</v>
      </c>
    </row>
    <row r="143" spans="1:13" ht="41.4">
      <c r="A143" s="216">
        <f>IF(C143&lt;&gt;"",SUBTOTAL(103,$C$8:C143),"")</f>
        <v>87</v>
      </c>
      <c r="B143" s="226">
        <v>43223</v>
      </c>
      <c r="C143" s="216" t="s">
        <v>2919</v>
      </c>
      <c r="D143" s="216" t="str">
        <f>IF(C143&lt;&gt;"",VLOOKUP(C143,[1]DSKH!B:E,2,0),"")</f>
        <v>LO BIV, CI-10, KCN TAN HUONG, CHAU THANH, TIEN GIANG</v>
      </c>
      <c r="E143" s="215">
        <v>4</v>
      </c>
      <c r="F143" s="216"/>
      <c r="G143" s="216">
        <f>IF(C143&lt;&gt;"",VLOOKUP(C143,DSKH!B:E,3,0),"")</f>
        <v>0</v>
      </c>
      <c r="H143" s="222">
        <v>1098693995</v>
      </c>
      <c r="I143" s="217"/>
      <c r="J143" s="224" t="s">
        <v>3128</v>
      </c>
      <c r="K143" s="216" t="str">
        <f>IF(C143&lt;&gt;"",VLOOKUP(C143,[1]DSKH!B:E,4,0),"")</f>
        <v>CUONG 0906945724</v>
      </c>
      <c r="L143" s="216">
        <f>0.22+0.7+1.44</f>
        <v>2.36</v>
      </c>
      <c r="M143" s="216" t="str">
        <f t="shared" si="2"/>
        <v>DU DUC RFID- 1098693995 -MAY 03-na002185264</v>
      </c>
    </row>
    <row r="144" spans="1:13" ht="41.4">
      <c r="A144" s="216">
        <f>IF(C144&lt;&gt;"",SUBTOTAL(103,$C$8:C144),"")</f>
        <v>88</v>
      </c>
      <c r="B144" s="226">
        <v>43223</v>
      </c>
      <c r="C144" s="216" t="s">
        <v>2196</v>
      </c>
      <c r="D144" s="216" t="str">
        <f>IF(C144&lt;&gt;"",VLOOKUP(C144,[1]DSKH!B:E,2,0),"")</f>
        <v>TAN DAN, YEN DUNG, BAC GIANG</v>
      </c>
      <c r="E144" s="215">
        <v>1</v>
      </c>
      <c r="F144" s="216"/>
      <c r="G144" s="216">
        <f>IF(C144&lt;&gt;"",VLOOKUP(C144,DSKH!B:E,3,0),"")</f>
        <v>0</v>
      </c>
      <c r="H144" s="222">
        <v>1098737296</v>
      </c>
      <c r="I144" s="217"/>
      <c r="J144" s="224" t="s">
        <v>3129</v>
      </c>
      <c r="K144" s="216" t="str">
        <f>IF(C144&lt;&gt;"",VLOOKUP(C144,[1]DSKH!B:E,4,0),"")</f>
        <v xml:space="preserve">MS HUE: 0240 3768 467
</v>
      </c>
      <c r="L144" s="216">
        <v>0.1</v>
      </c>
      <c r="M144" s="216" t="str">
        <f t="shared" si="2"/>
        <v>UNICO BAC GIANG- 1098737296 -MAY 03-na002185265</v>
      </c>
    </row>
    <row r="145" spans="1:13" ht="27.6">
      <c r="A145" s="216">
        <f>IF(C145&lt;&gt;"",SUBTOTAL(103,$C$8:C145),"")</f>
        <v>89</v>
      </c>
      <c r="B145" s="226">
        <v>43223</v>
      </c>
      <c r="C145" s="216" t="s">
        <v>1813</v>
      </c>
      <c r="D145" s="216" t="str">
        <f>IF(C145&lt;&gt;"",VLOOKUP(C145,[1]DSKH!B:E,2,0),"")</f>
        <v>Cum CN Hoang Xa, Thanh Thuy, Phu Tho</v>
      </c>
      <c r="E145" s="215">
        <v>2</v>
      </c>
      <c r="F145" s="216"/>
      <c r="G145" s="216">
        <f>IF(C145&lt;&gt;"",VLOOKUP(C145,DSKH!B:E,3,0),"")</f>
        <v>0</v>
      </c>
      <c r="H145" s="222">
        <v>1098744312</v>
      </c>
      <c r="I145" s="217"/>
      <c r="J145" s="224" t="s">
        <v>3130</v>
      </c>
      <c r="K145" s="216">
        <f>IF(C145&lt;&gt;"",VLOOKUP(C145,[1]DSKH!B:E,4,0),"")</f>
        <v>0</v>
      </c>
      <c r="L145" s="216">
        <f>4.4+2.44</f>
        <v>6.84</v>
      </c>
      <c r="M145" s="216" t="str">
        <f t="shared" si="2"/>
        <v>SON HA PHU THO- 1098744312 -MAY 03-na002185266</v>
      </c>
    </row>
    <row r="146" spans="1:13" ht="27.6">
      <c r="A146" s="216">
        <f>IF(C146&lt;&gt;"",SUBTOTAL(103,$C$8:C146),"")</f>
        <v>90</v>
      </c>
      <c r="B146" s="226">
        <v>43223</v>
      </c>
      <c r="C146" s="216" t="s">
        <v>2135</v>
      </c>
      <c r="D146" s="216" t="str">
        <f>IF(C146&lt;&gt;"",VLOOKUP(C146,[1]DSKH!B:E,2,0),"")</f>
        <v>KHA SON, PHU BINH, THAI NGUYEN</v>
      </c>
      <c r="E146" s="215">
        <v>1</v>
      </c>
      <c r="F146" s="216"/>
      <c r="G146" s="216">
        <f>IF(C146&lt;&gt;"",VLOOKUP(C146,DSKH!B:E,3,0),"")</f>
        <v>0</v>
      </c>
      <c r="H146" s="222">
        <v>1098744716</v>
      </c>
      <c r="I146" s="217"/>
      <c r="J146" s="224" t="s">
        <v>3131</v>
      </c>
      <c r="K146" s="216" t="str">
        <f>IF(C146&lt;&gt;"",VLOOKUP(C146,[1]DSKH!B:E,4,0),"")</f>
        <v>MR LANH 0987731294</v>
      </c>
      <c r="L146" s="216">
        <v>1.5</v>
      </c>
      <c r="M146" s="216" t="str">
        <f t="shared" si="2"/>
        <v>TNG PHU BINH 1- 1098744716 -MAY 03-na002185267</v>
      </c>
    </row>
    <row r="147" spans="1:13" ht="27.6">
      <c r="A147" s="216">
        <f>IF(C147&lt;&gt;"",SUBTOTAL(103,$C$8:C147),"")</f>
        <v>91</v>
      </c>
      <c r="B147" s="226">
        <v>43223</v>
      </c>
      <c r="C147" s="216" t="s">
        <v>1809</v>
      </c>
      <c r="D147" s="216" t="str">
        <f>IF(C147&lt;&gt;"",VLOOKUP(C147,[1]DSKH!B:E,2,0),"")</f>
        <v>208 LE LOI ST-SON TAY-HA  NOI</v>
      </c>
      <c r="E147" s="215">
        <v>4</v>
      </c>
      <c r="F147" s="216"/>
      <c r="G147" s="216" t="str">
        <f>IF(C147&lt;&gt;"",VLOOKUP(C147,DSKH!B:E,3,0),"")</f>
        <v>HANG UNDER AMOR KEM PL</v>
      </c>
      <c r="H147" s="222">
        <v>1098744580</v>
      </c>
      <c r="I147" s="217"/>
      <c r="J147" s="224" t="s">
        <v>3132</v>
      </c>
      <c r="K147" s="216" t="str">
        <f>IF(C147&lt;&gt;"",VLOOKUP(C147,[1]DSKH!B:E,4,0),"")</f>
        <v>MR DUY (P. DICH VU)- 0988 616 478</v>
      </c>
      <c r="L147" s="216">
        <f>1.66+2.9+1.38+1.26</f>
        <v>7.1999999999999993</v>
      </c>
      <c r="M147" s="216" t="str">
        <f t="shared" si="2"/>
        <v>SON HA- 1098744580 -MAY 03-na002185268</v>
      </c>
    </row>
    <row r="148" spans="1:13" ht="41.4">
      <c r="A148" s="216">
        <f>IF(C148&lt;&gt;"",SUBTOTAL(103,$C$8:C148),"")</f>
        <v>92</v>
      </c>
      <c r="B148" s="226">
        <v>43223</v>
      </c>
      <c r="C148" s="216" t="s">
        <v>2196</v>
      </c>
      <c r="D148" s="216" t="str">
        <f>IF(C148&lt;&gt;"",VLOOKUP(C148,[1]DSKH!B:E,2,0),"")</f>
        <v>TAN DAN, YEN DUNG, BAC GIANG</v>
      </c>
      <c r="E148" s="215">
        <v>4</v>
      </c>
      <c r="F148" s="216"/>
      <c r="G148" s="216">
        <f>IF(C148&lt;&gt;"",VLOOKUP(C148,DSKH!B:E,3,0),"")</f>
        <v>0</v>
      </c>
      <c r="H148" s="222">
        <v>1098744100</v>
      </c>
      <c r="I148" s="217"/>
      <c r="J148" s="224" t="s">
        <v>3133</v>
      </c>
      <c r="K148" s="216" t="str">
        <f>IF(C148&lt;&gt;"",VLOOKUP(C148,[1]DSKH!B:E,4,0),"")</f>
        <v xml:space="preserve">MS HUE: 0240 3768 467
</v>
      </c>
      <c r="L148" s="216">
        <f>80+0.1+80+0.1</f>
        <v>160.19999999999999</v>
      </c>
      <c r="M148" s="216" t="str">
        <f t="shared" si="2"/>
        <v>UNICO BAC GIANG- 1098744100 -MAY 03-na002185269</v>
      </c>
    </row>
    <row r="149" spans="1:13" ht="41.4">
      <c r="A149" s="216">
        <f>IF(C149&lt;&gt;"",SUBTOTAL(103,$C$8:C149),"")</f>
        <v>93</v>
      </c>
      <c r="B149" s="226">
        <v>43223</v>
      </c>
      <c r="C149" s="216" t="s">
        <v>2150</v>
      </c>
      <c r="D149" s="216" t="str">
        <f>IF(C149&lt;&gt;"",VLOOKUP(C149,[1]DSKH!B:E,2,0),"")</f>
        <v>SONG CONG 3, KHU B, KCN SONG CONG, THAI NGUYEN</v>
      </c>
      <c r="E149" s="215">
        <v>2</v>
      </c>
      <c r="F149" s="216"/>
      <c r="G149" s="216">
        <f>IF(C149&lt;&gt;"",VLOOKUP(C149,DSKH!B:E,3,0),"")</f>
        <v>0</v>
      </c>
      <c r="H149" s="222">
        <v>1098694003</v>
      </c>
      <c r="I149" s="217"/>
      <c r="J149" s="224" t="s">
        <v>3134</v>
      </c>
      <c r="K149" s="216" t="str">
        <f>IF(C149&lt;&gt;"",VLOOKUP(C149,[1]DSKH!B:E,4,0),"")</f>
        <v>THANH TRA: 0169 266 1597</v>
      </c>
      <c r="L149" s="216">
        <f>0.48+1.52</f>
        <v>2</v>
      </c>
      <c r="M149" s="216" t="str">
        <f t="shared" si="2"/>
        <v>TNG SONG CONG 3- 1098694003 -MAY 03-na002185270</v>
      </c>
    </row>
    <row r="150" spans="1:13" ht="41.4">
      <c r="A150" s="216">
        <f>IF(C150&lt;&gt;"",SUBTOTAL(103,$C$8:C150),"")</f>
        <v>94</v>
      </c>
      <c r="B150" s="226">
        <v>43223</v>
      </c>
      <c r="C150" s="216" t="s">
        <v>2694</v>
      </c>
      <c r="D150" s="216" t="str">
        <f>IF(C150&lt;&gt;"",VLOOKUP(C150,[1]DSKH!B:E,2,0),"")</f>
        <v xml:space="preserve"> 6th Floor,  No.478 Minh Khai Str,Hai Ba Trung Dist, Hanoi  </v>
      </c>
      <c r="E150" s="215">
        <v>1</v>
      </c>
      <c r="F150" s="216"/>
      <c r="G150" s="216">
        <f>IF(C150&lt;&gt;"",VLOOKUP(C150,DSKH!B:E,3,0),"")</f>
        <v>0</v>
      </c>
      <c r="H150" s="222">
        <v>1098694989</v>
      </c>
      <c r="I150" s="217"/>
      <c r="J150" s="224" t="s">
        <v>3135</v>
      </c>
      <c r="K150" s="216" t="str">
        <f>IF(C150&lt;&gt;"",VLOOKUP(C150,[1]DSKH!B:E,4,0),"")</f>
        <v>Mrs.  Merry/Huong +84-0989709898</v>
      </c>
      <c r="L150" s="216">
        <v>1</v>
      </c>
      <c r="M150" s="216" t="str">
        <f t="shared" si="2"/>
        <v>VINEX SPOL- 1098694989 -MAY 03-na002185271</v>
      </c>
    </row>
    <row r="151" spans="1:13" ht="41.4">
      <c r="A151" s="216">
        <f>IF(C151&lt;&gt;"",SUBTOTAL(103,$C$8:C151),"")</f>
        <v>95</v>
      </c>
      <c r="B151" s="226">
        <v>43223</v>
      </c>
      <c r="C151" s="216" t="s">
        <v>2124</v>
      </c>
      <c r="D151" s="216" t="str">
        <f>IF(C151&lt;&gt;"",VLOOKUP(C151,[1]DSKH!B:E,2,0),"")</f>
        <v>TIEN HOI COMMUNE. DAI TU DISTRICT, THAI NGUYEN</v>
      </c>
      <c r="E151" s="215">
        <v>6</v>
      </c>
      <c r="F151" s="216"/>
      <c r="G151" s="216">
        <f>IF(C151&lt;&gt;"",VLOOKUP(C151,DSKH!B:E,3,0),"")</f>
        <v>0</v>
      </c>
      <c r="H151" s="222">
        <v>1098726955</v>
      </c>
      <c r="I151" s="217"/>
      <c r="J151" s="224" t="s">
        <v>3136</v>
      </c>
      <c r="K151" s="216" t="str">
        <f>IF(C151&lt;&gt;"",VLOOKUP(C151,[1]DSKH!B:E,4,0),"")</f>
        <v>Ms. Ngọc - 01693029385</v>
      </c>
      <c r="L151" s="216">
        <f>0.5+0.9+1.6+1.8+1.3+0.9</f>
        <v>7</v>
      </c>
      <c r="M151" s="216" t="str">
        <f t="shared" si="2"/>
        <v>TNG INVESTMENT- 1098726955 -MAY 03-na002185272</v>
      </c>
    </row>
    <row r="152" spans="1:13" ht="41.4">
      <c r="A152" s="216">
        <f>IF(C152&lt;&gt;"",SUBTOTAL(103,$C$8:C152),"")</f>
        <v>96</v>
      </c>
      <c r="B152" s="226">
        <v>43223</v>
      </c>
      <c r="C152" s="216" t="s">
        <v>1125</v>
      </c>
      <c r="D152" s="216" t="str">
        <f>IF(C152&lt;&gt;"",VLOOKUP(C152,[1]DSKH!B:E,2,0),"")</f>
        <v>LOT 2.20C, TRA NOC INDUSTRIAL ZONE, CAN THO</v>
      </c>
      <c r="E152" s="215">
        <v>1</v>
      </c>
      <c r="F152" s="216"/>
      <c r="G152" s="216">
        <f>IF(C152&lt;&gt;"",VLOOKUP(C152,DSKH!B:E,3,0),"")</f>
        <v>0</v>
      </c>
      <c r="H152" s="222">
        <v>1098727149</v>
      </c>
      <c r="I152" s="217"/>
      <c r="J152" s="224" t="s">
        <v>3137</v>
      </c>
      <c r="K152" s="216" t="str">
        <f>IF(C152&lt;&gt;"",VLOOKUP(C152,[1]DSKH!B:E,4,0),"")</f>
        <v>0710 3844 1026
MR GU WEN JUN 0919 978 816</v>
      </c>
      <c r="L152" s="216">
        <v>14.4</v>
      </c>
      <c r="M152" s="216" t="str">
        <f t="shared" si="2"/>
        <v>KWONG LUNG MEKO- 1098727149 -MAY 03-na002185273</v>
      </c>
    </row>
    <row r="153" spans="1:13" ht="41.4">
      <c r="A153" s="216">
        <f>IF(C153&lt;&gt;"",SUBTOTAL(103,$C$8:C153),"")</f>
        <v>97</v>
      </c>
      <c r="B153" s="226">
        <v>43223</v>
      </c>
      <c r="C153" s="216" t="s">
        <v>2701</v>
      </c>
      <c r="D153" s="216" t="str">
        <f>IF(C153&lt;&gt;"",VLOOKUP(C153,[1]DSKH!B:E,2,0),"")</f>
        <v>KCN LAI VU, HAI DUONG</v>
      </c>
      <c r="E153" s="215">
        <v>2</v>
      </c>
      <c r="F153" s="216"/>
      <c r="G153" s="216">
        <f>IF(C153&lt;&gt;"",VLOOKUP(C153,DSKH!B:E,3,0),"")</f>
        <v>0</v>
      </c>
      <c r="H153" s="222">
        <v>1098828299</v>
      </c>
      <c r="I153" s="217" t="s">
        <v>2860</v>
      </c>
      <c r="J153" s="224" t="s">
        <v>3138</v>
      </c>
      <c r="K153" s="216" t="str">
        <f>IF(C153&lt;&gt;"",VLOOKUP(C153,[1]DSKH!B:E,4,0),"")</f>
        <v>MS DUNG: 0963 528 138</v>
      </c>
      <c r="L153" s="216">
        <f>1+4.5</f>
        <v>5.5</v>
      </c>
      <c r="M153" s="216" t="str">
        <f t="shared" si="2"/>
        <v>TINH LOI 2 OLD NAVY- 1098828299 -MAY 03-na002185274</v>
      </c>
    </row>
    <row r="154" spans="1:13">
      <c r="A154" s="216" t="str">
        <f>IF(C154&lt;&gt;"",SUBTOTAL(103,$C$8:C154),"")</f>
        <v/>
      </c>
      <c r="B154" s="226">
        <v>43223</v>
      </c>
      <c r="C154" s="216"/>
      <c r="D154" s="216" t="str">
        <f>IF(C154&lt;&gt;"",VLOOKUP(C154,[1]DSKH!B:E,2,0),"")</f>
        <v/>
      </c>
      <c r="E154" s="215"/>
      <c r="F154" s="216"/>
      <c r="G154" s="216" t="str">
        <f>IF(C154&lt;&gt;"",VLOOKUP(C154,DSKH!B:E,3,0),"")</f>
        <v/>
      </c>
      <c r="H154" s="222">
        <v>1098828301</v>
      </c>
      <c r="I154" s="217"/>
      <c r="J154" s="224"/>
      <c r="K154" s="216" t="str">
        <f>IF(C154&lt;&gt;"",VLOOKUP(C154,[1]DSKH!B:E,4,0),"")</f>
        <v/>
      </c>
      <c r="L154" s="216"/>
      <c r="M154" s="216" t="str">
        <f t="shared" si="2"/>
        <v>- 1098828301 -MAY 03-</v>
      </c>
    </row>
    <row r="155" spans="1:13" ht="41.4">
      <c r="A155" s="216">
        <f>IF(C155&lt;&gt;"",SUBTOTAL(103,$C$8:C155),"")</f>
        <v>98</v>
      </c>
      <c r="B155" s="226">
        <v>43223</v>
      </c>
      <c r="C155" s="216" t="s">
        <v>330</v>
      </c>
      <c r="D155" s="216" t="str">
        <f>IF(C155&lt;&gt;"",VLOOKUP(C155,[1]DSKH!B:E,2,0),"")</f>
        <v>NHAM SON, XA YEN LU, HUYEN YEN DUNG, BAC GIANG</v>
      </c>
      <c r="E155" s="215">
        <v>1</v>
      </c>
      <c r="F155" s="216"/>
      <c r="G155" s="216">
        <f>IF(C155&lt;&gt;"",VLOOKUP(C155,DSKH!B:E,3,0),"")</f>
        <v>0</v>
      </c>
      <c r="H155" s="222">
        <v>1098822168</v>
      </c>
      <c r="I155" s="217" t="s">
        <v>2860</v>
      </c>
      <c r="J155" s="224" t="s">
        <v>3139</v>
      </c>
      <c r="K155" s="216">
        <f>IF(C155&lt;&gt;"",VLOOKUP(C155,[1]DSKH!B:E,4,0),"")</f>
        <v>0</v>
      </c>
      <c r="L155" s="216">
        <v>2.5</v>
      </c>
      <c r="M155" s="216" t="str">
        <f t="shared" si="2"/>
        <v>DAEHAN GLOBAL- 1098822168 -MAY 03-na002185275</v>
      </c>
    </row>
    <row r="156" spans="1:13" ht="41.4">
      <c r="A156" s="216">
        <f>IF(C156&lt;&gt;"",SUBTOTAL(103,$C$8:C156),"")</f>
        <v>99</v>
      </c>
      <c r="B156" s="226">
        <v>43223</v>
      </c>
      <c r="C156" s="216" t="s">
        <v>152</v>
      </c>
      <c r="D156" s="216" t="str">
        <f>IF(C156&lt;&gt;"",VLOOKUP(C156,[1]DSKH!B:E,2,0),"")</f>
        <v>VINH LONG, VINH LOC, THANH HOA</v>
      </c>
      <c r="E156" s="215">
        <f>4+2+1+2</f>
        <v>9</v>
      </c>
      <c r="F156" s="216"/>
      <c r="G156" s="216">
        <f>IF(C156&lt;&gt;"",VLOOKUP(C156,DSKH!B:E,3,0),"")</f>
        <v>0</v>
      </c>
      <c r="H156" s="222">
        <v>1098722479</v>
      </c>
      <c r="I156" s="217" t="s">
        <v>2860</v>
      </c>
      <c r="J156" s="224" t="s">
        <v>3140</v>
      </c>
      <c r="K156" s="216" t="str">
        <f>IF(C156&lt;&gt;"",VLOOKUP(C156,[1]DSKH!B:E,4,0),"")</f>
        <v>NONG 0918.981.539</v>
      </c>
      <c r="L156" s="216">
        <f>20.4+13.6+22.2+16.4+12.4+15+8+11.6+13.5</f>
        <v>133.1</v>
      </c>
      <c r="M156" s="216" t="str">
        <f t="shared" si="2"/>
        <v>APPAREL TECH VINH LOC- 1098722479 -MAY 03-na002185276</v>
      </c>
    </row>
    <row r="157" spans="1:13">
      <c r="A157" s="216" t="str">
        <f>IF(C157&lt;&gt;"",SUBTOTAL(103,$C$8:C157),"")</f>
        <v/>
      </c>
      <c r="B157" s="226">
        <v>43223</v>
      </c>
      <c r="C157" s="216"/>
      <c r="D157" s="216" t="str">
        <f>IF(C157&lt;&gt;"",VLOOKUP(C157,[1]DSKH!B:E,2,0),"")</f>
        <v/>
      </c>
      <c r="E157" s="215"/>
      <c r="F157" s="216"/>
      <c r="G157" s="216" t="str">
        <f>IF(C157&lt;&gt;"",VLOOKUP(C157,DSKH!B:E,3,0),"")</f>
        <v/>
      </c>
      <c r="H157" s="222">
        <v>1098722480</v>
      </c>
      <c r="I157" s="217"/>
      <c r="J157" s="224"/>
      <c r="K157" s="216" t="str">
        <f>IF(C157&lt;&gt;"",VLOOKUP(C157,[1]DSKH!B:E,4,0),"")</f>
        <v/>
      </c>
      <c r="L157" s="216"/>
      <c r="M157" s="216" t="str">
        <f t="shared" si="2"/>
        <v>- 1098722480 -MAY 03-</v>
      </c>
    </row>
    <row r="158" spans="1:13">
      <c r="A158" s="216" t="str">
        <f>IF(C158&lt;&gt;"",SUBTOTAL(103,$C$8:C158),"")</f>
        <v/>
      </c>
      <c r="B158" s="226">
        <v>43223</v>
      </c>
      <c r="C158" s="216"/>
      <c r="D158" s="216" t="str">
        <f>IF(C158&lt;&gt;"",VLOOKUP(C158,[1]DSKH!B:E,2,0),"")</f>
        <v/>
      </c>
      <c r="E158" s="215"/>
      <c r="F158" s="216"/>
      <c r="G158" s="216" t="str">
        <f>IF(C158&lt;&gt;"",VLOOKUP(C158,DSKH!B:E,3,0),"")</f>
        <v/>
      </c>
      <c r="H158" s="222">
        <v>1098722482</v>
      </c>
      <c r="I158" s="217"/>
      <c r="J158" s="224"/>
      <c r="K158" s="216" t="str">
        <f>IF(C158&lt;&gt;"",VLOOKUP(C158,[1]DSKH!B:E,4,0),"")</f>
        <v/>
      </c>
      <c r="L158" s="216"/>
      <c r="M158" s="216" t="str">
        <f t="shared" si="2"/>
        <v>- 1098722482 -MAY 03-</v>
      </c>
    </row>
    <row r="159" spans="1:13">
      <c r="A159" s="216" t="str">
        <f>IF(C159&lt;&gt;"",SUBTOTAL(103,$C$8:C159),"")</f>
        <v/>
      </c>
      <c r="B159" s="226">
        <v>43223</v>
      </c>
      <c r="C159" s="216"/>
      <c r="D159" s="216" t="str">
        <f>IF(C159&lt;&gt;"",VLOOKUP(C159,[1]DSKH!B:E,2,0),"")</f>
        <v/>
      </c>
      <c r="E159" s="215"/>
      <c r="F159" s="216"/>
      <c r="G159" s="216" t="str">
        <f>IF(C159&lt;&gt;"",VLOOKUP(C159,DSKH!B:E,3,0),"")</f>
        <v/>
      </c>
      <c r="H159" s="222">
        <v>1098690710</v>
      </c>
      <c r="I159" s="217"/>
      <c r="J159" s="224"/>
      <c r="K159" s="216" t="str">
        <f>IF(C159&lt;&gt;"",VLOOKUP(C159,[1]DSKH!B:E,4,0),"")</f>
        <v/>
      </c>
      <c r="L159" s="216"/>
      <c r="M159" s="216" t="str">
        <f t="shared" si="2"/>
        <v>- 1098690710 -MAY 03-</v>
      </c>
    </row>
    <row r="160" spans="1:13" ht="41.4">
      <c r="A160" s="216">
        <f>IF(C160&lt;&gt;"",SUBTOTAL(103,$C$8:C160),"")</f>
        <v>100</v>
      </c>
      <c r="B160" s="226">
        <v>43223</v>
      </c>
      <c r="C160" s="216" t="s">
        <v>1192</v>
      </c>
      <c r="D160" s="216" t="str">
        <f>IF(C160&lt;&gt;"",VLOOKUP(C160,[1]DSKH!B:E,2,0),"")</f>
        <v>THANH HAI -  THANH HA -  HAI DUONG</v>
      </c>
      <c r="E160" s="215">
        <v>1</v>
      </c>
      <c r="F160" s="216" t="s">
        <v>2090</v>
      </c>
      <c r="G160" s="216" t="str">
        <f>IF(C160&lt;&gt;"",VLOOKUP(C160,DSKH!B:E,3,0),"")</f>
        <v>VAT- DONG MOC TREO- CHUNG HD</v>
      </c>
      <c r="H160" s="222">
        <v>1098842638</v>
      </c>
      <c r="I160" s="217" t="s">
        <v>2860</v>
      </c>
      <c r="J160" s="224" t="s">
        <v>3141</v>
      </c>
      <c r="K160" s="216" t="str">
        <f>IF(C160&lt;&gt;"",VLOOKUP(C160,[1]DSKH!B:E,4,0),"")</f>
        <v>ANH TUAN: 0979 399 357</v>
      </c>
      <c r="L160" s="216">
        <v>0.18</v>
      </c>
      <c r="M160" s="216" t="str">
        <f t="shared" si="2"/>
        <v>MAKALOT- 1098842638 -MAY 03-na002185277</v>
      </c>
    </row>
    <row r="161" spans="1:14" ht="41.4">
      <c r="A161" s="216">
        <f>IF(C161&lt;&gt;"",SUBTOTAL(103,$C$8:C161),"")</f>
        <v>101</v>
      </c>
      <c r="B161" s="226">
        <v>43223</v>
      </c>
      <c r="C161" s="216" t="s">
        <v>2146</v>
      </c>
      <c r="D161" s="216" t="str">
        <f>IF(C161&lt;&gt;"",VLOOKUP(C161,[1]DSKH!B:E,2,0),"")</f>
        <v>SONG CONG 2, KHU B, KCN SONG CONG, THAI NGUYEN</v>
      </c>
      <c r="E161" s="215">
        <v>2</v>
      </c>
      <c r="F161" s="216"/>
      <c r="G161" s="216">
        <f>IF(C161&lt;&gt;"",VLOOKUP(C161,DSKH!B:E,3,0),"")</f>
        <v>0</v>
      </c>
      <c r="H161" s="222">
        <v>1098842473</v>
      </c>
      <c r="I161" s="217" t="s">
        <v>2860</v>
      </c>
      <c r="J161" s="224" t="s">
        <v>3142</v>
      </c>
      <c r="K161" s="216" t="str">
        <f>IF(C161&lt;&gt;"",VLOOKUP(C161,[1]DSKH!B:E,4,0),"")</f>
        <v>PHUONG: 0280 3509 724</v>
      </c>
      <c r="L161" s="216">
        <f>7.4+6</f>
        <v>13.4</v>
      </c>
      <c r="M161" s="216" t="str">
        <f t="shared" si="2"/>
        <v>TNG SONG CONG 2- 1098842473 -MAY 03-na002185278</v>
      </c>
    </row>
    <row r="162" spans="1:14" ht="27.6">
      <c r="A162" s="216">
        <f>IF(C162&lt;&gt;"",SUBTOTAL(103,$C$8:C162),"")</f>
        <v>102</v>
      </c>
      <c r="B162" s="226">
        <v>43223</v>
      </c>
      <c r="C162" s="216" t="s">
        <v>2526</v>
      </c>
      <c r="D162" s="216" t="str">
        <f>IF(C162&lt;&gt;"",VLOOKUP(C162,[1]DSKH!B:E,2,0),"")</f>
        <v>NO.B6,THUY VAN IZ,VIET TRI,PHU THO,VIET NAM</v>
      </c>
      <c r="E162" s="215">
        <v>1</v>
      </c>
      <c r="F162" s="216"/>
      <c r="G162" s="216" t="str">
        <f>IF(C162&lt;&gt;"",VLOOKUP(C162,DSKH!B:E,3,0),"")</f>
        <v>CTU</v>
      </c>
      <c r="H162" s="222">
        <v>1098835030</v>
      </c>
      <c r="I162" s="217" t="s">
        <v>2860</v>
      </c>
      <c r="J162" s="224" t="s">
        <v>3143</v>
      </c>
      <c r="K162" s="216" t="str">
        <f>IF(C162&lt;&gt;"",VLOOKUP(C162,[1]DSKH!B:E,4,0),"")</f>
        <v>QUYNH ANH: 0935 471 807</v>
      </c>
      <c r="L162" s="216">
        <v>0.1</v>
      </c>
      <c r="M162" s="216" t="str">
        <f t="shared" si="2"/>
        <v>YAKJIN VIETNAM- 1098835030 -MAY 03-na002185279</v>
      </c>
    </row>
    <row r="163" spans="1:14" ht="27.6">
      <c r="A163" s="216">
        <f>IF(C163&lt;&gt;"",SUBTOTAL(103,$C$8:C163),"")</f>
        <v>103</v>
      </c>
      <c r="B163" s="226">
        <v>43223</v>
      </c>
      <c r="C163" s="216" t="s">
        <v>1813</v>
      </c>
      <c r="D163" s="216" t="str">
        <f>IF(C163&lt;&gt;"",VLOOKUP(C163,[1]DSKH!B:E,2,0),"")</f>
        <v>Cum CN Hoang Xa, Thanh Thuy, Phu Tho</v>
      </c>
      <c r="E163" s="215">
        <v>1</v>
      </c>
      <c r="F163" s="216"/>
      <c r="G163" s="216">
        <f>IF(C163&lt;&gt;"",VLOOKUP(C163,DSKH!B:E,3,0),"")</f>
        <v>0</v>
      </c>
      <c r="H163" s="222">
        <v>1098825080</v>
      </c>
      <c r="I163" s="217" t="s">
        <v>2860</v>
      </c>
      <c r="J163" s="224" t="s">
        <v>3144</v>
      </c>
      <c r="K163" s="216">
        <f>IF(C163&lt;&gt;"",VLOOKUP(C163,[1]DSKH!B:E,4,0),"")</f>
        <v>0</v>
      </c>
      <c r="L163" s="216">
        <v>1.76</v>
      </c>
      <c r="M163" s="216" t="str">
        <f t="shared" si="2"/>
        <v>SON HA PHU THO- 1098825080 -MAY 03-na002185280</v>
      </c>
    </row>
    <row r="164" spans="1:14" ht="55.2">
      <c r="A164" s="216">
        <f>IF(C164&lt;&gt;"",SUBTOTAL(103,$C$8:C164),"")</f>
        <v>104</v>
      </c>
      <c r="B164" s="226">
        <v>43223</v>
      </c>
      <c r="C164" s="216" t="s">
        <v>1026</v>
      </c>
      <c r="D164" s="216" t="str">
        <f>IF(C164&lt;&gt;"",VLOOKUP(C164,[1]DSKH!B:E,2,0),"")</f>
        <v>So 2 duong 17 Khu DT, CN va DV VSIP Hai phong, X. Thuy Trieu, H. Thuy Nguyen, TP Hai Phong</v>
      </c>
      <c r="E164" s="215">
        <v>3</v>
      </c>
      <c r="F164" s="216"/>
      <c r="G164" s="216">
        <f>IF(C164&lt;&gt;"",VLOOKUP(C164,DSKH!B:E,3,0),"")</f>
        <v>0</v>
      </c>
      <c r="H164" s="222">
        <v>1098714335</v>
      </c>
      <c r="I164" s="217"/>
      <c r="J164" s="224" t="s">
        <v>3145</v>
      </c>
      <c r="K164" s="216" t="str">
        <f>IF(C164&lt;&gt;"",VLOOKUP(C164,[1]DSKH!B:E,4,0),"")</f>
        <v>A.THAI 0987588988</v>
      </c>
      <c r="L164" s="216">
        <f>0.18+1.96+0.12</f>
        <v>2.2600000000000002</v>
      </c>
      <c r="M164" s="216" t="str">
        <f t="shared" si="2"/>
        <v>JASAN- 1098714335 -MAY 03-na002185281</v>
      </c>
    </row>
    <row r="165" spans="1:14">
      <c r="A165" s="216" t="str">
        <f>IF(C165&lt;&gt;"",SUBTOTAL(103,$C$8:C165),"")</f>
        <v/>
      </c>
      <c r="B165" s="226">
        <v>43223</v>
      </c>
      <c r="C165" s="216"/>
      <c r="D165" s="216" t="str">
        <f>IF(C165&lt;&gt;"",VLOOKUP(C165,[1]DSKH!B:E,2,0),"")</f>
        <v/>
      </c>
      <c r="E165" s="215"/>
      <c r="F165" s="216"/>
      <c r="G165" s="216" t="str">
        <f>IF(C165&lt;&gt;"",VLOOKUP(C165,DSKH!B:E,3,0),"")</f>
        <v/>
      </c>
      <c r="H165" s="222">
        <v>1098691862</v>
      </c>
      <c r="I165" s="217"/>
      <c r="J165" s="224"/>
      <c r="K165" s="216" t="str">
        <f>IF(C165&lt;&gt;"",VLOOKUP(C165,[1]DSKH!B:E,4,0),"")</f>
        <v/>
      </c>
      <c r="L165" s="216"/>
      <c r="M165" s="216" t="str">
        <f t="shared" ref="M165:M228" si="3">C165&amp;"-"&amp;" "&amp;H165&amp;" "&amp;"-"&amp;"MAY"&amp;" "&amp;"03"&amp;"-"&amp;J165</f>
        <v>- 1098691862 -MAY 03-</v>
      </c>
    </row>
    <row r="166" spans="1:14" ht="41.4">
      <c r="A166" s="216">
        <f>IF(C166&lt;&gt;"",SUBTOTAL(103,$C$8:C166),"")</f>
        <v>105</v>
      </c>
      <c r="B166" s="226">
        <v>43223</v>
      </c>
      <c r="C166" s="216" t="s">
        <v>2552</v>
      </c>
      <c r="D166" s="216" t="str">
        <f>IF(C166&lt;&gt;"",VLOOKUP(C166,[1]DSKH!B:E,2,0),"")</f>
        <v>Ta Thuong Hamlet- Chinh Nghia commune- Kim Dong District-Hung Yen Province</v>
      </c>
      <c r="E166" s="215">
        <v>1</v>
      </c>
      <c r="F166" s="216"/>
      <c r="G166" s="216">
        <f>IF(C166&lt;&gt;"",VLOOKUP(C166,DSKH!B:E,3,0),"")</f>
        <v>0</v>
      </c>
      <c r="H166" s="222">
        <v>1098746569</v>
      </c>
      <c r="I166" s="217"/>
      <c r="J166" s="224" t="s">
        <v>3146</v>
      </c>
      <c r="K166" s="216" t="str">
        <f>IF(C166&lt;&gt;"",VLOOKUP(C166,[1]DSKH!B:E,4,0),"")</f>
        <v>0978 870 978</v>
      </c>
      <c r="L166" s="216">
        <v>1.7</v>
      </c>
      <c r="M166" s="216" t="str">
        <f t="shared" si="3"/>
        <v>YOUNGONE HUNG YEN- 1098746569 -MAY 03-na002185282</v>
      </c>
    </row>
    <row r="167" spans="1:14" ht="27.6">
      <c r="A167" s="216">
        <f>IF(C167&lt;&gt;"",SUBTOTAL(103,$C$8:C167),"")</f>
        <v>106</v>
      </c>
      <c r="B167" s="226">
        <v>43223</v>
      </c>
      <c r="C167" s="216" t="s">
        <v>2405</v>
      </c>
      <c r="D167" s="216" t="str">
        <f>IF(C167&lt;&gt;"",VLOOKUP(C167,[1]DSKH!B:E,2,0),"")</f>
        <v>DONG DA, VINH YEN, VINH PHUC</v>
      </c>
      <c r="E167" s="215">
        <v>1</v>
      </c>
      <c r="F167" s="216" t="s">
        <v>2090</v>
      </c>
      <c r="G167" s="216">
        <f>IF(C167&lt;&gt;"",VLOOKUP(C167,DSKH!B:E,3,0),"")</f>
        <v>0</v>
      </c>
      <c r="H167" s="222">
        <v>1098814001</v>
      </c>
      <c r="I167" s="217" t="s">
        <v>2860</v>
      </c>
      <c r="J167" s="224" t="s">
        <v>3147</v>
      </c>
      <c r="K167" s="216" t="str">
        <f>IF(C167&lt;&gt;"",VLOOKUP(C167,[1]DSKH!B:E,4,0),"")</f>
        <v>MS HAI 0976940881</v>
      </c>
      <c r="L167" s="216">
        <v>17.399999999999999</v>
      </c>
      <c r="M167" s="216" t="str">
        <f t="shared" si="3"/>
        <v>VINH YEN SHOES- 1098814001 -MAY 03-na002185283</v>
      </c>
    </row>
    <row r="168" spans="1:14" ht="55.2">
      <c r="A168" s="216">
        <f>IF(C168&lt;&gt;"",SUBTOTAL(103,$C$8:C168),"")</f>
        <v>107</v>
      </c>
      <c r="B168" s="226">
        <v>43223</v>
      </c>
      <c r="C168" s="216" t="s">
        <v>2904</v>
      </c>
      <c r="D168" s="216" t="str">
        <f>IF(C168&lt;&gt;"",VLOOKUP(C168,[1]DSKH!B:E,2,0),"")</f>
        <v>Lo C-2-6 &amp; 2-7-KCN PHU BAI-HUONG THUY-THUA THIEN HUE</v>
      </c>
      <c r="E168" s="215">
        <v>1</v>
      </c>
      <c r="F168" s="216" t="s">
        <v>2090</v>
      </c>
      <c r="G168" s="216" t="str">
        <f>IF(C168&lt;&gt;"",VLOOKUP(C168,DSKH!B:E,3,0),"")</f>
        <v>CS BOOK MAC DEN LAY HANG VAO SANG THU 6 HANG TUAN</v>
      </c>
      <c r="H168" s="222">
        <v>1098833286</v>
      </c>
      <c r="I168" s="217" t="s">
        <v>2860</v>
      </c>
      <c r="J168" s="224" t="s">
        <v>3148</v>
      </c>
      <c r="K168" s="216">
        <f>IF(C168&lt;&gt;"",VLOOKUP(C168,[1]DSKH!B:E,4,0),"")</f>
        <v>0</v>
      </c>
      <c r="L168" s="216">
        <v>0.8</v>
      </c>
      <c r="M168" s="216" t="str">
        <f t="shared" si="3"/>
        <v>HANESBRANDS KHO 90- 1098833286 -MAY 03-na002185284</v>
      </c>
    </row>
    <row r="169" spans="1:14" ht="69">
      <c r="A169" s="216">
        <f>IF(C169&lt;&gt;"",SUBTOTAL(103,$C$8:C169),"")</f>
        <v>108</v>
      </c>
      <c r="B169" s="226">
        <v>43223</v>
      </c>
      <c r="C169" s="216" t="s">
        <v>2587</v>
      </c>
      <c r="D169" s="216" t="str">
        <f>IF(C169&lt;&gt;"",VLOOKUP(C169,[1]DSKH!B:E,2,0),"")</f>
        <v>Lo dat dien tich 88.707m vuong , cum cong nghiep Quynh Coi,Xa Quynh My - Huyen Quynh Phu, Thai Binh</v>
      </c>
      <c r="E169" s="215">
        <v>3</v>
      </c>
      <c r="F169" s="216"/>
      <c r="G169" s="216">
        <f>IF(C169&lt;&gt;"",VLOOKUP(C169,DSKH!B:E,3,0),"")</f>
        <v>0</v>
      </c>
      <c r="H169" s="222">
        <v>1098675630</v>
      </c>
      <c r="I169" s="217"/>
      <c r="J169" s="224" t="s">
        <v>3149</v>
      </c>
      <c r="K169" s="216" t="str">
        <f>IF(C169&lt;&gt;"",VLOOKUP(C169,[1]DSKH!B:E,4,0),"")</f>
        <v>CHI DANG 0984388614</v>
      </c>
      <c r="L169" s="216">
        <f>0.96+11.2+0.54</f>
        <v>12.7</v>
      </c>
      <c r="M169" s="216" t="str">
        <f t="shared" si="3"/>
        <v>SAO VANG THAI BINH 1- 1098675630 -MAY 03-na002185285</v>
      </c>
      <c r="N169" s="271">
        <f ca="1">IF(C169&lt;&gt;"",NOW(),"")</f>
        <v>44254.384610648151</v>
      </c>
    </row>
    <row r="170" spans="1:14">
      <c r="A170" s="216" t="str">
        <f>IF(C170&lt;&gt;"",SUBTOTAL(103,$C$8:C170),"")</f>
        <v/>
      </c>
      <c r="B170" s="226">
        <v>43223</v>
      </c>
      <c r="C170" s="216"/>
      <c r="D170" s="216" t="str">
        <f>IF(C170&lt;&gt;"",VLOOKUP(C170,[1]DSKH!B:E,2,0),"")</f>
        <v/>
      </c>
      <c r="E170" s="215"/>
      <c r="F170" s="216"/>
      <c r="G170" s="216" t="str">
        <f>IF(C170&lt;&gt;"",VLOOKUP(C170,DSKH!B:E,3,0),"")</f>
        <v/>
      </c>
      <c r="H170" s="222">
        <v>1098495861</v>
      </c>
      <c r="I170" s="217"/>
      <c r="J170" s="224"/>
      <c r="K170" s="216" t="str">
        <f>IF(C170&lt;&gt;"",VLOOKUP(C170,[1]DSKH!B:E,4,0),"")</f>
        <v/>
      </c>
      <c r="L170" s="216"/>
      <c r="M170" s="216" t="str">
        <f t="shared" si="3"/>
        <v>- 1098495861 -MAY 03-</v>
      </c>
      <c r="N170" s="271" t="str">
        <f t="shared" ref="N170:N233" ca="1" si="4">IF(C170&lt;&gt;"",NOW(),"")</f>
        <v/>
      </c>
    </row>
    <row r="171" spans="1:14" ht="55.2">
      <c r="A171" s="216">
        <f>IF(C171&lt;&gt;"",SUBTOTAL(103,$C$8:C171),"")</f>
        <v>109</v>
      </c>
      <c r="B171" s="226">
        <v>43223</v>
      </c>
      <c r="C171" s="216" t="s">
        <v>2523</v>
      </c>
      <c r="D171" s="216" t="str">
        <f>IF(C171&lt;&gt;"",VLOOKUP(C171,[1]DSKH!B:E,2,0),"")</f>
        <v>NO F5, F6, F7, F8, F9, F10 KCN BAC DONG PHU, TAN PHU, DONG PHU, BINH PHUOC</v>
      </c>
      <c r="E171" s="215">
        <v>10</v>
      </c>
      <c r="F171" s="216"/>
      <c r="G171" s="216" t="str">
        <f>IF(C171&lt;&gt;"",VLOOKUP(C171,DSKH!B:E,3,0),"")</f>
        <v>CTU</v>
      </c>
      <c r="H171" s="222">
        <v>1098672505</v>
      </c>
      <c r="I171" s="217"/>
      <c r="J171" s="224" t="s">
        <v>3150</v>
      </c>
      <c r="K171" s="216" t="str">
        <f>IF(C171&lt;&gt;"",VLOOKUP(C171,[1]DSKH!B:E,4,0),"")</f>
        <v>QUYNH ANH: 0935 471 807</v>
      </c>
      <c r="L171" s="216">
        <f>4.8+1.64+1.4+0.9+1.1+0.6+2.6+1.3</f>
        <v>14.34</v>
      </c>
      <c r="M171" s="216" t="str">
        <f t="shared" si="3"/>
        <v>YAKJIN SAIGON- 1098672505 -MAY 03-na002185286</v>
      </c>
      <c r="N171" s="271">
        <f t="shared" ca="1" si="4"/>
        <v>44254.384610648151</v>
      </c>
    </row>
    <row r="172" spans="1:14">
      <c r="A172" s="216" t="str">
        <f>IF(C172&lt;&gt;"",SUBTOTAL(103,$C$8:C172),"")</f>
        <v/>
      </c>
      <c r="B172" s="226">
        <v>43223</v>
      </c>
      <c r="C172" s="216"/>
      <c r="D172" s="216" t="str">
        <f>IF(C172&lt;&gt;"",VLOOKUP(C172,[1]DSKH!B:E,2,0),"")</f>
        <v/>
      </c>
      <c r="E172" s="215"/>
      <c r="F172" s="216"/>
      <c r="G172" s="216" t="str">
        <f>IF(C172&lt;&gt;"",VLOOKUP(C172,DSKH!B:E,3,0),"")</f>
        <v/>
      </c>
      <c r="H172" s="222">
        <v>1098714309</v>
      </c>
      <c r="I172" s="217"/>
      <c r="J172" s="224"/>
      <c r="K172" s="216" t="str">
        <f>IF(C172&lt;&gt;"",VLOOKUP(C172,[1]DSKH!B:E,4,0),"")</f>
        <v/>
      </c>
      <c r="L172" s="216"/>
      <c r="M172" s="216" t="str">
        <f t="shared" si="3"/>
        <v>- 1098714309 -MAY 03-</v>
      </c>
      <c r="N172" s="271" t="str">
        <f t="shared" ca="1" si="4"/>
        <v/>
      </c>
    </row>
    <row r="173" spans="1:14" ht="55.2">
      <c r="A173" s="216">
        <f>IF(C173&lt;&gt;"",SUBTOTAL(103,$C$8:C173),"")</f>
        <v>110</v>
      </c>
      <c r="B173" s="226">
        <v>43223</v>
      </c>
      <c r="C173" s="216" t="s">
        <v>2704</v>
      </c>
      <c r="D173" s="216" t="str">
        <f>IF(C173&lt;&gt;"",VLOOKUP(C173,[1]DSKH!B:E,2,0),"")</f>
        <v>Khu Cn Tam Diep, thanh pho Tam Diep, tinh Ninh Binh</v>
      </c>
      <c r="E173" s="215">
        <v>3</v>
      </c>
      <c r="F173" s="216"/>
      <c r="G173" s="216">
        <f>IF(C173&lt;&gt;"",VLOOKUP(C173,DSKH!B:E,3,0),"")</f>
        <v>0</v>
      </c>
      <c r="H173" s="222">
        <v>1098708981</v>
      </c>
      <c r="I173" s="217" t="s">
        <v>3152</v>
      </c>
      <c r="J173" s="224" t="s">
        <v>3151</v>
      </c>
      <c r="K173" s="216" t="str">
        <f>IF(C173&lt;&gt;"",VLOOKUP(C173,[1]DSKH!B:E,4,0),"")</f>
        <v>MS ROBIN 0985509049</v>
      </c>
      <c r="L173" s="216">
        <f>0.22+3.36+1.4</f>
        <v>4.9800000000000004</v>
      </c>
      <c r="M173" s="216" t="str">
        <f t="shared" si="3"/>
        <v>ANTONIA- 1098708981 -MAY 03-na002185287</v>
      </c>
      <c r="N173" s="271">
        <f t="shared" ca="1" si="4"/>
        <v>44254.384610648151</v>
      </c>
    </row>
    <row r="174" spans="1:14">
      <c r="A174" s="216" t="str">
        <f>IF(C174&lt;&gt;"",SUBTOTAL(103,$C$8:C174),"")</f>
        <v/>
      </c>
      <c r="B174" s="226">
        <v>43223</v>
      </c>
      <c r="C174" s="216"/>
      <c r="D174" s="216" t="str">
        <f>IF(C174&lt;&gt;"",VLOOKUP(C174,[1]DSKH!B:E,2,0),"")</f>
        <v/>
      </c>
      <c r="E174" s="215"/>
      <c r="F174" s="216"/>
      <c r="G174" s="216" t="str">
        <f>IF(C174&lt;&gt;"",VLOOKUP(C174,DSKH!B:E,3,0),"")</f>
        <v/>
      </c>
      <c r="H174" s="222">
        <v>1098726581</v>
      </c>
      <c r="I174" s="217"/>
      <c r="J174" s="224"/>
      <c r="K174" s="216" t="str">
        <f>IF(C174&lt;&gt;"",VLOOKUP(C174,[1]DSKH!B:E,4,0),"")</f>
        <v/>
      </c>
      <c r="L174" s="216"/>
      <c r="M174" s="216" t="str">
        <f t="shared" si="3"/>
        <v>- 1098726581 -MAY 03-</v>
      </c>
      <c r="N174" s="271" t="str">
        <f t="shared" ca="1" si="4"/>
        <v/>
      </c>
    </row>
    <row r="175" spans="1:14">
      <c r="A175" s="216" t="str">
        <f>IF(C175&lt;&gt;"",SUBTOTAL(103,$C$8:C175),"")</f>
        <v/>
      </c>
      <c r="B175" s="226">
        <v>43223</v>
      </c>
      <c r="C175" s="216"/>
      <c r="D175" s="216" t="str">
        <f>IF(C175&lt;&gt;"",VLOOKUP(C175,[1]DSKH!B:E,2,0),"")</f>
        <v/>
      </c>
      <c r="E175" s="215"/>
      <c r="F175" s="216"/>
      <c r="G175" s="216" t="str">
        <f>IF(C175&lt;&gt;"",VLOOKUP(C175,DSKH!B:E,3,0),"")</f>
        <v/>
      </c>
      <c r="H175" s="222">
        <v>1098326552</v>
      </c>
      <c r="I175" s="217"/>
      <c r="J175" s="224"/>
      <c r="K175" s="216" t="str">
        <f>IF(C175&lt;&gt;"",VLOOKUP(C175,[1]DSKH!B:E,4,0),"")</f>
        <v/>
      </c>
      <c r="L175" s="216"/>
      <c r="M175" s="216" t="str">
        <f t="shared" si="3"/>
        <v>- 1098326552 -MAY 03-</v>
      </c>
      <c r="N175" s="271" t="str">
        <f t="shared" ca="1" si="4"/>
        <v/>
      </c>
    </row>
    <row r="176" spans="1:14" ht="27.6">
      <c r="A176" s="216">
        <f>IF(C176&lt;&gt;"",SUBTOTAL(103,$C$8:C176),"")</f>
        <v>111</v>
      </c>
      <c r="B176" s="226">
        <v>43223</v>
      </c>
      <c r="C176" s="216" t="s">
        <v>1498</v>
      </c>
      <c r="D176" s="216" t="str">
        <f>IF(C176&lt;&gt;"",VLOOKUP(C176,[1]DSKH!B:E,2,0),"")</f>
        <v>VAN DINH, UNG HOA, HA NOI</v>
      </c>
      <c r="E176" s="215">
        <v>6</v>
      </c>
      <c r="F176" s="216" t="s">
        <v>2861</v>
      </c>
      <c r="G176" s="216">
        <f>IF(C176&lt;&gt;"",VLOOKUP(C176,DSKH!B:E,3,0),"")</f>
        <v>0</v>
      </c>
      <c r="H176" s="222">
        <v>1098184544</v>
      </c>
      <c r="I176" s="217" t="s">
        <v>2860</v>
      </c>
      <c r="J176" s="224" t="s">
        <v>3153</v>
      </c>
      <c r="K176" s="216" t="str">
        <f>IF(C176&lt;&gt;"",VLOOKUP(C176,[1]DSKH!B:E,4,0),"")</f>
        <v>MR HOA: 0903 434 076</v>
      </c>
      <c r="L176" s="216">
        <f>6.8+2</f>
        <v>8.8000000000000007</v>
      </c>
      <c r="M176" s="216" t="str">
        <f t="shared" si="3"/>
        <v>PEARL VINA- 1098184544 -MAY 03-na002185288</v>
      </c>
      <c r="N176" s="271">
        <f t="shared" ca="1" si="4"/>
        <v>44254.384610648151</v>
      </c>
    </row>
    <row r="177" spans="1:14" ht="55.2">
      <c r="A177" s="216">
        <f>IF(C177&lt;&gt;"",SUBTOTAL(103,$C$8:C177),"")</f>
        <v>112</v>
      </c>
      <c r="B177" s="226">
        <v>43223</v>
      </c>
      <c r="C177" s="216" t="s">
        <v>383</v>
      </c>
      <c r="D177" s="216" t="str">
        <f>IF(C177&lt;&gt;"",VLOOKUP(C177,[1]DSKH!B:E,2,0),"")</f>
        <v>ADD. TAODOI INDUSTRY AREA, THUA TOWN, LUONG TAI DISTRICT, BACNINH PROVINCE</v>
      </c>
      <c r="E177" s="215">
        <v>7</v>
      </c>
      <c r="F177" s="216"/>
      <c r="G177" s="216" t="str">
        <f>IF(C177&lt;&gt;"",VLOOKUP(C177,DSKH!B:E,3,0),"")</f>
        <v>KHDL</v>
      </c>
      <c r="H177" s="222">
        <v>1097979814</v>
      </c>
      <c r="I177" s="217" t="s">
        <v>2860</v>
      </c>
      <c r="J177" s="224" t="s">
        <v>3154</v>
      </c>
      <c r="K177" s="216">
        <f>IF(C177&lt;&gt;"",VLOOKUP(C177,[1]DSKH!B:E,4,0),"")</f>
        <v>0</v>
      </c>
      <c r="L177" s="216">
        <f>2.6+6+3.6+0.65+16+0</f>
        <v>28.85</v>
      </c>
      <c r="M177" s="216" t="str">
        <f t="shared" si="3"/>
        <v>DHA BAC NINH- 1097979814 -MAY 03-na002185289</v>
      </c>
      <c r="N177" s="271">
        <f t="shared" ca="1" si="4"/>
        <v>44254.384610648151</v>
      </c>
    </row>
    <row r="178" spans="1:14">
      <c r="A178" s="216" t="str">
        <f>IF(C178&lt;&gt;"",SUBTOTAL(103,$C$8:C178),"")</f>
        <v/>
      </c>
      <c r="B178" s="226">
        <v>43223</v>
      </c>
      <c r="C178" s="216"/>
      <c r="D178" s="216" t="str">
        <f>IF(C178&lt;&gt;"",VLOOKUP(C178,[1]DSKH!B:E,2,0),"")</f>
        <v/>
      </c>
      <c r="E178" s="215"/>
      <c r="F178" s="216"/>
      <c r="G178" s="216" t="str">
        <f>IF(C178&lt;&gt;"",VLOOKUP(C178,DSKH!B:E,3,0),"")</f>
        <v/>
      </c>
      <c r="H178" s="222">
        <v>1097464414</v>
      </c>
      <c r="I178" s="217"/>
      <c r="J178" s="224"/>
      <c r="K178" s="216" t="str">
        <f>IF(C178&lt;&gt;"",VLOOKUP(C178,[1]DSKH!B:E,4,0),"")</f>
        <v/>
      </c>
      <c r="L178" s="216"/>
      <c r="M178" s="216" t="str">
        <f t="shared" si="3"/>
        <v>- 1097464414 -MAY 03-</v>
      </c>
      <c r="N178" s="271" t="str">
        <f t="shared" ca="1" si="4"/>
        <v/>
      </c>
    </row>
    <row r="179" spans="1:14">
      <c r="A179" s="216" t="str">
        <f>IF(C179&lt;&gt;"",SUBTOTAL(103,$C$8:C179),"")</f>
        <v/>
      </c>
      <c r="B179" s="226">
        <v>43223</v>
      </c>
      <c r="C179" s="216"/>
      <c r="D179" s="216" t="str">
        <f>IF(C179&lt;&gt;"",VLOOKUP(C179,[1]DSKH!B:E,2,0),"")</f>
        <v/>
      </c>
      <c r="E179" s="215"/>
      <c r="F179" s="216"/>
      <c r="G179" s="216" t="str">
        <f>IF(C179&lt;&gt;"",VLOOKUP(C179,DSKH!B:E,3,0),"")</f>
        <v/>
      </c>
      <c r="H179" s="222">
        <v>1098175905</v>
      </c>
      <c r="I179" s="217"/>
      <c r="J179" s="224"/>
      <c r="K179" s="216" t="str">
        <f>IF(C179&lt;&gt;"",VLOOKUP(C179,[1]DSKH!B:E,4,0),"")</f>
        <v/>
      </c>
      <c r="L179" s="216"/>
      <c r="M179" s="216" t="str">
        <f t="shared" si="3"/>
        <v>- 1098175905 -MAY 03-</v>
      </c>
      <c r="N179" s="271" t="str">
        <f t="shared" ca="1" si="4"/>
        <v/>
      </c>
    </row>
    <row r="180" spans="1:14">
      <c r="A180" s="216" t="str">
        <f>IF(C180&lt;&gt;"",SUBTOTAL(103,$C$8:C180),"")</f>
        <v/>
      </c>
      <c r="B180" s="226">
        <v>43223</v>
      </c>
      <c r="C180" s="216"/>
      <c r="D180" s="216" t="str">
        <f>IF(C180&lt;&gt;"",VLOOKUP(C180,[1]DSKH!B:E,2,0),"")</f>
        <v/>
      </c>
      <c r="E180" s="215"/>
      <c r="F180" s="216"/>
      <c r="G180" s="216" t="str">
        <f>IF(C180&lt;&gt;"",VLOOKUP(C180,DSKH!B:E,3,0),"")</f>
        <v/>
      </c>
      <c r="H180" s="222">
        <v>1097985563</v>
      </c>
      <c r="I180" s="217"/>
      <c r="J180" s="224"/>
      <c r="K180" s="216" t="str">
        <f>IF(C180&lt;&gt;"",VLOOKUP(C180,[1]DSKH!B:E,4,0),"")</f>
        <v/>
      </c>
      <c r="L180" s="216"/>
      <c r="M180" s="216" t="str">
        <f t="shared" si="3"/>
        <v>- 1097985563 -MAY 03-</v>
      </c>
      <c r="N180" s="271" t="str">
        <f t="shared" ca="1" si="4"/>
        <v/>
      </c>
    </row>
    <row r="181" spans="1:14" ht="41.4">
      <c r="A181" s="216">
        <f>IF(C181&lt;&gt;"",SUBTOTAL(103,$C$8:C181),"")</f>
        <v>113</v>
      </c>
      <c r="B181" s="226">
        <v>43223</v>
      </c>
      <c r="C181" s="216" t="s">
        <v>432</v>
      </c>
      <c r="D181" s="216" t="str">
        <f>IF(C181&lt;&gt;"",VLOOKUP(C181,[1]DSKH!B:E,2,0),"")</f>
        <v>AP AN THAI, XA AN CU, HUYEN CAI BE, TIEN GIANG</v>
      </c>
      <c r="E181" s="215">
        <v>1</v>
      </c>
      <c r="F181" s="216" t="s">
        <v>2861</v>
      </c>
      <c r="G181" s="216">
        <f>IF(C181&lt;&gt;"",VLOOKUP(C181,DSKH!B:E,3,0),"")</f>
        <v>0</v>
      </c>
      <c r="H181" s="222" t="s">
        <v>3156</v>
      </c>
      <c r="I181" s="217" t="s">
        <v>3157</v>
      </c>
      <c r="J181" s="224" t="s">
        <v>3158</v>
      </c>
      <c r="K181" s="216" t="s">
        <v>3155</v>
      </c>
      <c r="L181" s="216">
        <v>0.2</v>
      </c>
      <c r="M181" s="216" t="str">
        <f t="shared" si="3"/>
        <v>DREAM MEKONG- HANG BU -MAY 03-na002185290</v>
      </c>
      <c r="N181" s="271">
        <f t="shared" ca="1" si="4"/>
        <v>44254.384610648151</v>
      </c>
    </row>
    <row r="182" spans="1:14" ht="27.6">
      <c r="A182" s="216">
        <f>IF(C182&lt;&gt;"",SUBTOTAL(103,$C$8:C182),"")</f>
        <v>114</v>
      </c>
      <c r="B182" s="226">
        <v>43223</v>
      </c>
      <c r="C182" s="216" t="s">
        <v>2405</v>
      </c>
      <c r="D182" s="216" t="str">
        <f>IF(C182&lt;&gt;"",VLOOKUP(C182,[1]DSKH!B:E,2,0),"")</f>
        <v>DONG DA, VINH YEN, VINH PHUC</v>
      </c>
      <c r="E182" s="215">
        <v>1</v>
      </c>
      <c r="F182" s="216" t="s">
        <v>2861</v>
      </c>
      <c r="G182" s="216">
        <f>IF(C182&lt;&gt;"",VLOOKUP(C182,DSKH!B:E,3,0),"")</f>
        <v>0</v>
      </c>
      <c r="H182" s="222" t="s">
        <v>3156</v>
      </c>
      <c r="I182" s="217" t="s">
        <v>3157</v>
      </c>
      <c r="J182" s="224" t="s">
        <v>3159</v>
      </c>
      <c r="K182" s="216" t="str">
        <f>IF(C182&lt;&gt;"",VLOOKUP(C182,[1]DSKH!B:E,4,0),"")</f>
        <v>MS HAI 0976940881</v>
      </c>
      <c r="L182" s="216">
        <v>0.2</v>
      </c>
      <c r="M182" s="216" t="str">
        <f t="shared" si="3"/>
        <v>VINH YEN SHOES- HANG BU -MAY 03-na002185291</v>
      </c>
      <c r="N182" s="271">
        <f t="shared" ca="1" si="4"/>
        <v>44254.384610648151</v>
      </c>
    </row>
    <row r="183" spans="1:14" ht="41.4">
      <c r="A183" s="216">
        <f>IF(C183&lt;&gt;"",SUBTOTAL(103,$C$8:C183),"")</f>
        <v>115</v>
      </c>
      <c r="B183" s="226">
        <v>43223</v>
      </c>
      <c r="C183" s="216" t="s">
        <v>2929</v>
      </c>
      <c r="D183" s="216" t="str">
        <f>IF(C183&lt;&gt;"",VLOOKUP(C183,[1]DSKH!B:E,2,0),"")</f>
        <v>Doan Bai Commune- Hiep Hoa Dist
 Bac Giang Province</v>
      </c>
      <c r="E183" s="215">
        <v>1</v>
      </c>
      <c r="F183" s="216"/>
      <c r="G183" s="216">
        <f>IF(C183&lt;&gt;"",VLOOKUP(C183,DSKH!B:E,3,0),"")</f>
        <v>0</v>
      </c>
      <c r="H183" s="222">
        <v>1098832797</v>
      </c>
      <c r="I183" s="217" t="s">
        <v>2860</v>
      </c>
      <c r="J183" s="224" t="s">
        <v>3161</v>
      </c>
      <c r="K183" s="216" t="str">
        <f>IF(C183&lt;&gt;"",VLOOKUP(C183,[1]DSKH!B:E,4,0),"")</f>
        <v>MS.NA: 097 8894 809</v>
      </c>
      <c r="L183" s="216">
        <v>0.26</v>
      </c>
      <c r="M183" s="216" t="str">
        <f t="shared" si="3"/>
        <v>HA PHONG 1- 1098832797 -MAY 03-na002185292</v>
      </c>
      <c r="N183" s="271">
        <f t="shared" ca="1" si="4"/>
        <v>44254.384610648151</v>
      </c>
    </row>
    <row r="184" spans="1:14" ht="82.8">
      <c r="A184" s="216">
        <f>IF(C184&lt;&gt;"",SUBTOTAL(103,$C$8:C184),"")</f>
        <v>116</v>
      </c>
      <c r="B184" s="226">
        <v>43223</v>
      </c>
      <c r="C184" s="216" t="s">
        <v>2204</v>
      </c>
      <c r="D184" s="216" t="str">
        <f>IF(C184&lt;&gt;"",VLOOKUP(C184,[1]DSKH!B:E,2,0),"")</f>
        <v>BI, BII, BIII, BIV SECTION,  GIAO LONG INDUSTRIAL ZONE PHASE II,AN PHUOC COMMUNE, CHAU THANH DISTRICT, BEN TRE PROVINCE</v>
      </c>
      <c r="E184" s="215">
        <f>2+2+2+3+6+1+3+0+1</f>
        <v>20</v>
      </c>
      <c r="F184" s="216"/>
      <c r="G184" s="216">
        <f>IF(C184&lt;&gt;"",VLOOKUP(C184,DSKH!B:E,3,0),"")</f>
        <v>0</v>
      </c>
      <c r="H184" s="222">
        <v>1098691454</v>
      </c>
      <c r="I184" s="217" t="s">
        <v>2860</v>
      </c>
      <c r="J184" s="224" t="s">
        <v>3160</v>
      </c>
      <c r="K184" s="216" t="str">
        <f>IF(C184&lt;&gt;"",VLOOKUP(C184,[1]DSKH!B:E,4,0),"")</f>
        <v>Tel: 84-75- 3635600   Fax: 84-75- 3635601</v>
      </c>
      <c r="L184" s="216">
        <f>0.6+9+0.61+0.66+0.9+0.58+0.8+0.8+8.6+14.6+14.4+5.6+7+0.4+0.4</f>
        <v>64.950000000000017</v>
      </c>
      <c r="M184" s="216" t="str">
        <f t="shared" si="3"/>
        <v>UNISOLL- 1098691454 -MAY 03-na002185293</v>
      </c>
      <c r="N184" s="271">
        <f t="shared" ca="1" si="4"/>
        <v>44254.384610648151</v>
      </c>
    </row>
    <row r="185" spans="1:14">
      <c r="A185" s="216" t="str">
        <f>IF(C185&lt;&gt;"",SUBTOTAL(103,$C$8:C185),"")</f>
        <v/>
      </c>
      <c r="B185" s="226">
        <v>43223</v>
      </c>
      <c r="C185" s="216"/>
      <c r="D185" s="216" t="str">
        <f>IF(C185&lt;&gt;"",VLOOKUP(C185,[1]DSKH!B:E,2,0),"")</f>
        <v/>
      </c>
      <c r="E185" s="215"/>
      <c r="F185" s="216"/>
      <c r="G185" s="216" t="str">
        <f>IF(C185&lt;&gt;"",VLOOKUP(C185,DSKH!B:E,3,0),"")</f>
        <v/>
      </c>
      <c r="H185" s="222">
        <v>1098690974</v>
      </c>
      <c r="I185" s="217"/>
      <c r="J185" s="224"/>
      <c r="K185" s="216" t="str">
        <f>IF(C185&lt;&gt;"",VLOOKUP(C185,[1]DSKH!B:E,4,0),"")</f>
        <v/>
      </c>
      <c r="L185" s="216"/>
      <c r="M185" s="216" t="str">
        <f t="shared" si="3"/>
        <v>- 1098690974 -MAY 03-</v>
      </c>
      <c r="N185" s="271" t="str">
        <f t="shared" ca="1" si="4"/>
        <v/>
      </c>
    </row>
    <row r="186" spans="1:14">
      <c r="A186" s="216" t="str">
        <f>IF(C186&lt;&gt;"",SUBTOTAL(103,$C$8:C186),"")</f>
        <v/>
      </c>
      <c r="B186" s="226">
        <v>43223</v>
      </c>
      <c r="C186" s="216"/>
      <c r="D186" s="216" t="str">
        <f>IF(C186&lt;&gt;"",VLOOKUP(C186,[1]DSKH!B:E,2,0),"")</f>
        <v/>
      </c>
      <c r="E186" s="215"/>
      <c r="F186" s="216"/>
      <c r="G186" s="216" t="str">
        <f>IF(C186&lt;&gt;"",VLOOKUP(C186,DSKH!B:E,3,0),"")</f>
        <v/>
      </c>
      <c r="H186" s="222">
        <v>1098726138</v>
      </c>
      <c r="I186" s="217"/>
      <c r="J186" s="224"/>
      <c r="K186" s="216" t="str">
        <f>IF(C186&lt;&gt;"",VLOOKUP(C186,[1]DSKH!B:E,4,0),"")</f>
        <v/>
      </c>
      <c r="L186" s="216"/>
      <c r="M186" s="216" t="str">
        <f t="shared" si="3"/>
        <v>- 1098726138 -MAY 03-</v>
      </c>
      <c r="N186" s="271" t="str">
        <f t="shared" ca="1" si="4"/>
        <v/>
      </c>
    </row>
    <row r="187" spans="1:14">
      <c r="A187" s="216" t="str">
        <f>IF(C187&lt;&gt;"",SUBTOTAL(103,$C$8:C187),"")</f>
        <v/>
      </c>
      <c r="B187" s="226">
        <v>43223</v>
      </c>
      <c r="C187" s="216"/>
      <c r="D187" s="216" t="str">
        <f>IF(C187&lt;&gt;"",VLOOKUP(C187,[1]DSKH!B:E,2,0),"")</f>
        <v/>
      </c>
      <c r="E187" s="215"/>
      <c r="F187" s="216"/>
      <c r="G187" s="216" t="str">
        <f>IF(C187&lt;&gt;"",VLOOKUP(C187,DSKH!B:E,3,0),"")</f>
        <v/>
      </c>
      <c r="H187" s="222">
        <v>1098737233</v>
      </c>
      <c r="I187" s="217"/>
      <c r="J187" s="224"/>
      <c r="K187" s="216" t="str">
        <f>IF(C187&lt;&gt;"",VLOOKUP(C187,[1]DSKH!B:E,4,0),"")</f>
        <v/>
      </c>
      <c r="L187" s="216"/>
      <c r="M187" s="216" t="str">
        <f t="shared" si="3"/>
        <v>- 1098737233 -MAY 03-</v>
      </c>
      <c r="N187" s="271" t="str">
        <f t="shared" ca="1" si="4"/>
        <v/>
      </c>
    </row>
    <row r="188" spans="1:14">
      <c r="A188" s="216" t="str">
        <f>IF(C188&lt;&gt;"",SUBTOTAL(103,$C$8:C188),"")</f>
        <v/>
      </c>
      <c r="B188" s="226">
        <v>43223</v>
      </c>
      <c r="C188" s="216"/>
      <c r="D188" s="216" t="str">
        <f>IF(C188&lt;&gt;"",VLOOKUP(C188,[1]DSKH!B:E,2,0),"")</f>
        <v/>
      </c>
      <c r="E188" s="215"/>
      <c r="F188" s="216"/>
      <c r="G188" s="216" t="str">
        <f>IF(C188&lt;&gt;"",VLOOKUP(C188,DSKH!B:E,3,0),"")</f>
        <v/>
      </c>
      <c r="H188" s="222">
        <v>1098685061</v>
      </c>
      <c r="I188" s="217"/>
      <c r="J188" s="224"/>
      <c r="K188" s="216"/>
      <c r="L188" s="216"/>
      <c r="M188" s="216" t="str">
        <f t="shared" si="3"/>
        <v>- 1098685061 -MAY 03-</v>
      </c>
      <c r="N188" s="271" t="str">
        <f t="shared" ca="1" si="4"/>
        <v/>
      </c>
    </row>
    <row r="189" spans="1:14">
      <c r="A189" s="216" t="str">
        <f>IF(C189&lt;&gt;"",SUBTOTAL(103,$C$8:C189),"")</f>
        <v/>
      </c>
      <c r="B189" s="226">
        <v>43223</v>
      </c>
      <c r="C189" s="216"/>
      <c r="D189" s="216" t="str">
        <f>IF(C189&lt;&gt;"",VLOOKUP(C189,[1]DSKH!B:E,2,0),"")</f>
        <v/>
      </c>
      <c r="E189" s="215"/>
      <c r="F189" s="216"/>
      <c r="G189" s="216" t="str">
        <f>IF(C189&lt;&gt;"",VLOOKUP(C189,DSKH!B:E,3,0),"")</f>
        <v/>
      </c>
      <c r="H189" s="222">
        <v>1098675114</v>
      </c>
      <c r="I189" s="217"/>
      <c r="J189" s="224"/>
      <c r="K189" s="216"/>
      <c r="L189" s="216"/>
      <c r="M189" s="216" t="str">
        <f t="shared" si="3"/>
        <v>- 1098675114 -MAY 03-</v>
      </c>
      <c r="N189" s="271" t="str">
        <f t="shared" ca="1" si="4"/>
        <v/>
      </c>
    </row>
    <row r="190" spans="1:14">
      <c r="A190" s="216" t="str">
        <f>IF(C190&lt;&gt;"",SUBTOTAL(103,$C$8:C190),"")</f>
        <v/>
      </c>
      <c r="B190" s="226">
        <v>43223</v>
      </c>
      <c r="C190" s="216"/>
      <c r="D190" s="216" t="str">
        <f>IF(C190&lt;&gt;"",VLOOKUP(C190,[1]DSKH!B:E,2,0),"")</f>
        <v/>
      </c>
      <c r="E190" s="215"/>
      <c r="F190" s="216"/>
      <c r="G190" s="216" t="str">
        <f>IF(C190&lt;&gt;"",VLOOKUP(C190,DSKH!B:E,3,0),"")</f>
        <v/>
      </c>
      <c r="H190" s="222">
        <v>1098498711</v>
      </c>
      <c r="I190" s="217"/>
      <c r="J190" s="224"/>
      <c r="K190" s="216" t="str">
        <f>IF(C190&lt;&gt;"",VLOOKUP(C190,[1]DSKH!B:E,4,0),"")</f>
        <v/>
      </c>
      <c r="L190" s="216"/>
      <c r="M190" s="216" t="str">
        <f t="shared" si="3"/>
        <v>- 1098498711 -MAY 03-</v>
      </c>
      <c r="N190" s="271" t="str">
        <f t="shared" ca="1" si="4"/>
        <v/>
      </c>
    </row>
    <row r="191" spans="1:14">
      <c r="A191" s="216" t="str">
        <f>IF(C191&lt;&gt;"",SUBTOTAL(103,$C$8:C191),"")</f>
        <v/>
      </c>
      <c r="B191" s="226">
        <v>43223</v>
      </c>
      <c r="C191" s="216"/>
      <c r="D191" s="216" t="str">
        <f>IF(C191&lt;&gt;"",VLOOKUP(C191,[1]DSKH!B:E,2,0),"")</f>
        <v/>
      </c>
      <c r="E191" s="215"/>
      <c r="F191" s="216"/>
      <c r="G191" s="216" t="str">
        <f>IF(C191&lt;&gt;"",VLOOKUP(C191,DSKH!B:E,3,0),"")</f>
        <v/>
      </c>
      <c r="H191" s="222">
        <v>1098651433</v>
      </c>
      <c r="I191" s="217"/>
      <c r="J191" s="224"/>
      <c r="K191" s="216" t="str">
        <f>IF(C191&lt;&gt;"",VLOOKUP(C191,[1]DSKH!B:E,4,0),"")</f>
        <v/>
      </c>
      <c r="L191" s="216"/>
      <c r="M191" s="216" t="str">
        <f t="shared" si="3"/>
        <v>- 1098651433 -MAY 03-</v>
      </c>
      <c r="N191" s="271" t="str">
        <f t="shared" ca="1" si="4"/>
        <v/>
      </c>
    </row>
    <row r="192" spans="1:14" ht="55.2">
      <c r="A192" s="216">
        <f>IF(C192&lt;&gt;"",SUBTOTAL(103,$C$8:C192),"")</f>
        <v>117</v>
      </c>
      <c r="B192" s="226">
        <v>43223</v>
      </c>
      <c r="C192" s="216" t="s">
        <v>2523</v>
      </c>
      <c r="D192" s="216" t="str">
        <f>IF(C192&lt;&gt;"",VLOOKUP(C192,[1]DSKH!B:E,2,0),"")</f>
        <v>NO F5, F6, F7, F8, F9, F10 KCN BAC DONG PHU, TAN PHU, DONG PHU, BINH PHUOC</v>
      </c>
      <c r="E192" s="215">
        <v>2</v>
      </c>
      <c r="F192" s="216"/>
      <c r="G192" s="216" t="str">
        <f>IF(C192&lt;&gt;"",VLOOKUP(C192,DSKH!B:E,3,0),"")</f>
        <v>CTU</v>
      </c>
      <c r="H192" s="222">
        <v>1098834281</v>
      </c>
      <c r="I192" s="217"/>
      <c r="J192" s="224" t="s">
        <v>3162</v>
      </c>
      <c r="K192" s="216" t="str">
        <f>IF(C192&lt;&gt;"",VLOOKUP(C192,[1]DSKH!B:E,4,0),"")</f>
        <v>QUYNH ANH: 0935 471 807</v>
      </c>
      <c r="L192" s="216">
        <f>10.4+2.6</f>
        <v>13</v>
      </c>
      <c r="M192" s="216" t="str">
        <f t="shared" si="3"/>
        <v>YAKJIN SAIGON- 1098834281 -MAY 03-na002185294</v>
      </c>
      <c r="N192" s="271">
        <f t="shared" ca="1" si="4"/>
        <v>44254.384610648151</v>
      </c>
    </row>
    <row r="193" spans="1:14" ht="27.6">
      <c r="A193" s="216">
        <f>IF(C193&lt;&gt;"",SUBTOTAL(103,$C$8:C193),"")</f>
        <v>118</v>
      </c>
      <c r="B193" s="226">
        <v>43223</v>
      </c>
      <c r="C193" s="216" t="s">
        <v>2468</v>
      </c>
      <c r="D193" s="216" t="str">
        <f>IF(C193&lt;&gt;"",VLOOKUP(C193,[1]DSKH!B:E,2,0),"")</f>
        <v>572 XUONG GIANG, BAC GIANG</v>
      </c>
      <c r="E193" s="215">
        <v>1</v>
      </c>
      <c r="F193" s="216"/>
      <c r="G193" s="216">
        <f>IF(C193&lt;&gt;"",VLOOKUP(C193,DSKH!B:E,3,0),"")</f>
        <v>0</v>
      </c>
      <c r="H193" s="222">
        <v>1097839332</v>
      </c>
      <c r="I193" s="217" t="s">
        <v>3164</v>
      </c>
      <c r="J193" s="224" t="s">
        <v>3163</v>
      </c>
      <c r="K193" s="216" t="str">
        <f>IF(C193&lt;&gt;"",VLOOKUP(C193,[1]DSKH!B:E,4,0),"")</f>
        <v>MAI: 0989 422 094</v>
      </c>
      <c r="L193" s="216">
        <v>14</v>
      </c>
      <c r="M193" s="216" t="str">
        <f t="shared" si="3"/>
        <v>VPI- 1097839332 -MAY 03-na002185295</v>
      </c>
      <c r="N193" s="271">
        <f t="shared" ca="1" si="4"/>
        <v>44254.384610648151</v>
      </c>
    </row>
    <row r="194" spans="1:14" ht="41.4">
      <c r="A194" s="216">
        <f>IF(C194&lt;&gt;"",SUBTOTAL(103,$C$8:C194),"")</f>
        <v>119</v>
      </c>
      <c r="B194" s="226">
        <v>43223</v>
      </c>
      <c r="C194" s="216" t="s">
        <v>2927</v>
      </c>
      <c r="D194" s="216" t="str">
        <f>IF(C194&lt;&gt;"",VLOOKUP(C194,[1]DSKH!B:E,2,0),"")</f>
        <v>Lo B8, KCN Que Vo, P.Van Duong, Tp.Bac Ninh, Bac Ninh</v>
      </c>
      <c r="E194" s="215">
        <v>28</v>
      </c>
      <c r="F194" s="216"/>
      <c r="G194" s="216">
        <f>IF(C194&lt;&gt;"",VLOOKUP(C194,DSKH!B:E,3,0),"")</f>
        <v>0</v>
      </c>
      <c r="H194" s="222">
        <v>1098325884</v>
      </c>
      <c r="I194" s="217"/>
      <c r="J194" s="224" t="s">
        <v>3165</v>
      </c>
      <c r="K194" s="216" t="str">
        <f>IF(C194&lt;&gt;"",VLOOKUP(C194,[1]DSKH!B:E,4,0),"")</f>
        <v xml:space="preserve"> Ms Nga 01632.455.666 </v>
      </c>
      <c r="L194" s="216">
        <f>0.18+0.2+0.66+0.18+0.96+0.12+1.06+0.16+0.26+0.14+0.11+0.26+0.18*3+0.5+0.14+0.44+0.14+0.48+0.26</f>
        <v>6.7899999999999991</v>
      </c>
      <c r="M194" s="216" t="str">
        <f t="shared" si="3"/>
        <v>SAMPO VINA- 1098325884 -MAY 03-na002185296</v>
      </c>
      <c r="N194" s="271">
        <f t="shared" ca="1" si="4"/>
        <v>44254.384610648151</v>
      </c>
    </row>
    <row r="195" spans="1:14">
      <c r="A195" s="216" t="str">
        <f>IF(C195&lt;&gt;"",SUBTOTAL(103,$C$8:C195),"")</f>
        <v/>
      </c>
      <c r="B195" s="226">
        <v>43223</v>
      </c>
      <c r="C195" s="216"/>
      <c r="D195" s="216" t="str">
        <f>IF(C195&lt;&gt;"",VLOOKUP(C195,[1]DSKH!B:E,2,0),"")</f>
        <v/>
      </c>
      <c r="E195" s="215"/>
      <c r="F195" s="216"/>
      <c r="G195" s="216" t="str">
        <f>IF(C195&lt;&gt;"",VLOOKUP(C195,DSKH!B:E,3,0),"")</f>
        <v/>
      </c>
      <c r="H195" s="222">
        <v>1098708514</v>
      </c>
      <c r="I195" s="217"/>
      <c r="J195" s="224"/>
      <c r="K195" s="216" t="str">
        <f>IF(C195&lt;&gt;"",VLOOKUP(C195,[1]DSKH!B:E,4,0),"")</f>
        <v/>
      </c>
      <c r="L195" s="216"/>
      <c r="M195" s="216" t="str">
        <f t="shared" si="3"/>
        <v>- 1098708514 -MAY 03-</v>
      </c>
      <c r="N195" s="271" t="str">
        <f t="shared" ca="1" si="4"/>
        <v/>
      </c>
    </row>
    <row r="196" spans="1:14">
      <c r="A196" s="216" t="str">
        <f>IF(C196&lt;&gt;"",SUBTOTAL(103,$C$8:C196),"")</f>
        <v/>
      </c>
      <c r="B196" s="226">
        <v>43223</v>
      </c>
      <c r="C196" s="216"/>
      <c r="D196" s="216" t="str">
        <f>IF(C196&lt;&gt;"",VLOOKUP(C196,[1]DSKH!B:E,2,0),"")</f>
        <v/>
      </c>
      <c r="E196" s="215"/>
      <c r="F196" s="216"/>
      <c r="G196" s="216" t="str">
        <f>IF(C196&lt;&gt;"",VLOOKUP(C196,DSKH!B:E,3,0),"")</f>
        <v/>
      </c>
      <c r="H196" s="222">
        <v>1098690679</v>
      </c>
      <c r="I196" s="217"/>
      <c r="J196" s="224"/>
      <c r="K196" s="216" t="str">
        <f>IF(C196&lt;&gt;"",VLOOKUP(C196,[1]DSKH!B:E,4,0),"")</f>
        <v/>
      </c>
      <c r="L196" s="216"/>
      <c r="M196" s="216" t="str">
        <f t="shared" si="3"/>
        <v>- 1098690679 -MAY 03-</v>
      </c>
      <c r="N196" s="271" t="str">
        <f t="shared" ca="1" si="4"/>
        <v/>
      </c>
    </row>
    <row r="197" spans="1:14" ht="55.2">
      <c r="A197" s="216">
        <f>IF(C197&lt;&gt;"",SUBTOTAL(103,$C$8:C197),"")</f>
        <v>120</v>
      </c>
      <c r="B197" s="226">
        <v>43223</v>
      </c>
      <c r="C197" s="216" t="s">
        <v>2289</v>
      </c>
      <c r="D197" s="216" t="str">
        <f>IF(C197&lt;&gt;"",VLOOKUP(C197,[1]DSKH!B:E,2,0),"")</f>
        <v>QUYNH PHUC INDUSTRIAL PARK, PHUC THANH COMMUNE, KIMTHANH DIST</v>
      </c>
      <c r="E197" s="215">
        <v>1</v>
      </c>
      <c r="F197" s="216"/>
      <c r="G197" s="216">
        <f>IF(C197&lt;&gt;"",VLOOKUP(C197,DSKH!B:E,3,0),"")</f>
        <v>0</v>
      </c>
      <c r="H197" s="222">
        <v>1098845485</v>
      </c>
      <c r="I197" s="217" t="s">
        <v>2860</v>
      </c>
      <c r="J197" s="224" t="s">
        <v>3166</v>
      </c>
      <c r="K197" s="216">
        <f>IF(C197&lt;&gt;"",VLOOKUP(C197,[1]DSKH!B:E,4,0),"")</f>
        <v>0</v>
      </c>
      <c r="L197" s="216">
        <v>0.14000000000000001</v>
      </c>
      <c r="M197" s="216" t="str">
        <f t="shared" si="3"/>
        <v>VIET NAM CHUNG JYE- 1098845485 -MAY 03-na002185297</v>
      </c>
      <c r="N197" s="271">
        <f t="shared" ca="1" si="4"/>
        <v>44254.384610648151</v>
      </c>
    </row>
    <row r="198" spans="1:14" ht="41.4">
      <c r="A198" s="216">
        <f>IF(C198&lt;&gt;"",SUBTOTAL(103,$C$8:C198),"")</f>
        <v>121</v>
      </c>
      <c r="B198" s="226">
        <v>43223</v>
      </c>
      <c r="C198" s="216" t="s">
        <v>2586</v>
      </c>
      <c r="D198" s="216" t="str">
        <f>IF(C198&lt;&gt;"",VLOOKUP(C198,[1]DSKH!B:E,2,0),"")</f>
        <v>SO 15, DUONG 7, VSIP BAC NINH, PHU CHAN, TU SON, BAC NINH</v>
      </c>
      <c r="E198" s="215">
        <v>17</v>
      </c>
      <c r="F198" s="216" t="s">
        <v>2861</v>
      </c>
      <c r="G198" s="216">
        <f>IF(C198&lt;&gt;"",VLOOKUP(C198,DSKH!B:E,3,0),"")</f>
        <v>0</v>
      </c>
      <c r="H198" s="222">
        <v>1098142118</v>
      </c>
      <c r="I198" s="217" t="s">
        <v>2860</v>
      </c>
      <c r="J198" s="224" t="s">
        <v>3167</v>
      </c>
      <c r="K198" s="216">
        <f>IF(C198&lt;&gt;"",VLOOKUP(C198,[1]DSKH!B:E,4,0),"")</f>
        <v>0</v>
      </c>
      <c r="L198" s="216">
        <v>177.4</v>
      </c>
      <c r="M198" s="216" t="str">
        <f t="shared" si="3"/>
        <v>MAPLE CHI NHANH PEONY- 1098142118 -MAY 03-na002185298</v>
      </c>
      <c r="N198" s="271">
        <f t="shared" ca="1" si="4"/>
        <v>44254.384610648151</v>
      </c>
    </row>
    <row r="199" spans="1:14" ht="41.4">
      <c r="A199" s="216">
        <f>IF(C199&lt;&gt;"",SUBTOTAL(103,$C$8:C199),"")</f>
        <v>122</v>
      </c>
      <c r="B199" s="226">
        <v>43223</v>
      </c>
      <c r="C199" s="216" t="s">
        <v>231</v>
      </c>
      <c r="D199" s="216" t="str">
        <f>IF(C199&lt;&gt;"",VLOOKUP(C199,[1]DSKH!B:E,2,0),"")</f>
        <v>LOT 2A, QL 1A, KCN HOA PHU, HOA PHU, LONG HO, VINH LONG</v>
      </c>
      <c r="E199" s="215">
        <v>4</v>
      </c>
      <c r="F199" s="216"/>
      <c r="G199" s="216">
        <f>IF(C199&lt;&gt;"",VLOOKUP(C199,DSKH!B:E,3,0),"")</f>
        <v>0</v>
      </c>
      <c r="H199" s="222">
        <v>1098858246</v>
      </c>
      <c r="I199" s="217" t="s">
        <v>2860</v>
      </c>
      <c r="J199" s="224" t="s">
        <v>3168</v>
      </c>
      <c r="K199" s="216" t="str">
        <f>IF(C199&lt;&gt;"",VLOOKUP(C199,[1]DSKH!B:E,4,0),"")</f>
        <v>ARIEL MAO: 070 3962750</v>
      </c>
      <c r="L199" s="216">
        <f>0.55+0.22+0.38+0.98</f>
        <v>2.13</v>
      </c>
      <c r="M199" s="216" t="str">
        <f t="shared" si="3"/>
        <v>BO HSING- 1098858246 -MAY 03-na002185299</v>
      </c>
      <c r="N199" s="271">
        <f t="shared" ca="1" si="4"/>
        <v>44254.384610648151</v>
      </c>
    </row>
    <row r="200" spans="1:14" ht="41.4">
      <c r="A200" s="216">
        <f>IF(C200&lt;&gt;"",SUBTOTAL(103,$C$8:C200),"")</f>
        <v>123</v>
      </c>
      <c r="B200" s="226">
        <v>43223</v>
      </c>
      <c r="C200" s="216" t="s">
        <v>2934</v>
      </c>
      <c r="D200" s="216" t="str">
        <f>IF(C200&lt;&gt;"",VLOOKUP(C200,[1]DSKH!B:E,2,0),"")</f>
        <v>KCN VA DO THI HOANG LONG, TAO XUYEN, THANH HOA</v>
      </c>
      <c r="E200" s="215">
        <v>9</v>
      </c>
      <c r="F200" s="216"/>
      <c r="G200" s="216" t="str">
        <f>IF(C200&lt;&gt;"",VLOOKUP(C200,DSKH!B:E,3,0),"")</f>
        <v>cho XNK confirm</v>
      </c>
      <c r="H200" s="222">
        <v>1098864505</v>
      </c>
      <c r="I200" s="217" t="s">
        <v>2860</v>
      </c>
      <c r="J200" s="224" t="s">
        <v>3169</v>
      </c>
      <c r="K200" s="216" t="str">
        <f>IF(C200&lt;&gt;"",VLOOKUP(C200,[1]DSKH!B:E,4,0),"")</f>
        <v>ANH TRI 01633973037 HOAC HUONG 0973532565</v>
      </c>
      <c r="L200" s="216">
        <f>5.2+4.94+4.4+15+1.7+8.1+18.8+0.16+0.04+0</f>
        <v>58.339999999999996</v>
      </c>
      <c r="M200" s="216" t="str">
        <f t="shared" si="3"/>
        <v>ALERON- 1098864505 -MAY 03-na002185300</v>
      </c>
      <c r="N200" s="271">
        <f t="shared" ca="1" si="4"/>
        <v>44254.384610648151</v>
      </c>
    </row>
    <row r="201" spans="1:14">
      <c r="A201" s="216" t="str">
        <f>IF(C201&lt;&gt;"",SUBTOTAL(103,$C$8:C201),"")</f>
        <v/>
      </c>
      <c r="B201" s="226">
        <v>43223</v>
      </c>
      <c r="C201" s="216"/>
      <c r="D201" s="216" t="str">
        <f>IF(C201&lt;&gt;"",VLOOKUP(C201,[1]DSKH!B:E,2,0),"")</f>
        <v/>
      </c>
      <c r="E201" s="215"/>
      <c r="F201" s="216"/>
      <c r="G201" s="216" t="str">
        <f>IF(C201&lt;&gt;"",VLOOKUP(C201,DSKH!B:E,3,0),"")</f>
        <v/>
      </c>
      <c r="H201" s="222">
        <v>1098723625</v>
      </c>
      <c r="I201" s="217"/>
      <c r="J201" s="224"/>
      <c r="K201" s="216" t="str">
        <f>IF(C201&lt;&gt;"",VLOOKUP(C201,[1]DSKH!B:E,4,0),"")</f>
        <v/>
      </c>
      <c r="L201" s="216"/>
      <c r="M201" s="216" t="str">
        <f t="shared" si="3"/>
        <v>- 1098723625 -MAY 03-</v>
      </c>
      <c r="N201" s="271" t="str">
        <f t="shared" ca="1" si="4"/>
        <v/>
      </c>
    </row>
    <row r="202" spans="1:14">
      <c r="A202" s="216" t="str">
        <f>IF(C202&lt;&gt;"",SUBTOTAL(103,$C$8:C202),"")</f>
        <v/>
      </c>
      <c r="B202" s="226">
        <v>43223</v>
      </c>
      <c r="C202" s="216"/>
      <c r="D202" s="216" t="str">
        <f>IF(C202&lt;&gt;"",VLOOKUP(C202,[1]DSKH!B:E,2,0),"")</f>
        <v/>
      </c>
      <c r="E202" s="215"/>
      <c r="F202" s="216"/>
      <c r="G202" s="216" t="str">
        <f>IF(C202&lt;&gt;"",VLOOKUP(C202,DSKH!B:E,3,0),"")</f>
        <v/>
      </c>
      <c r="H202" s="222">
        <v>1098724055</v>
      </c>
      <c r="I202" s="217"/>
      <c r="J202" s="224"/>
      <c r="K202" s="216" t="str">
        <f>IF(C202&lt;&gt;"",VLOOKUP(C202,[1]DSKH!B:E,4,0),"")</f>
        <v/>
      </c>
      <c r="L202" s="216"/>
      <c r="M202" s="216" t="str">
        <f t="shared" si="3"/>
        <v>- 1098724055 -MAY 03-</v>
      </c>
      <c r="N202" s="271" t="str">
        <f t="shared" ca="1" si="4"/>
        <v/>
      </c>
    </row>
    <row r="203" spans="1:14">
      <c r="A203" s="216" t="str">
        <f>IF(C203&lt;&gt;"",SUBTOTAL(103,$C$8:C203),"")</f>
        <v/>
      </c>
      <c r="B203" s="226">
        <v>43223</v>
      </c>
      <c r="C203" s="216"/>
      <c r="D203" s="216" t="str">
        <f>IF(C203&lt;&gt;"",VLOOKUP(C203,[1]DSKH!B:E,2,0),"")</f>
        <v/>
      </c>
      <c r="E203" s="215"/>
      <c r="F203" s="216"/>
      <c r="G203" s="216" t="str">
        <f>IF(C203&lt;&gt;"",VLOOKUP(C203,DSKH!B:E,3,0),"")</f>
        <v/>
      </c>
      <c r="H203" s="222">
        <v>1098326443</v>
      </c>
      <c r="I203" s="217"/>
      <c r="J203" s="224"/>
      <c r="K203" s="216" t="str">
        <f>IF(C203&lt;&gt;"",VLOOKUP(C203,[1]DSKH!B:E,4,0),"")</f>
        <v/>
      </c>
      <c r="L203" s="216"/>
      <c r="M203" s="216" t="str">
        <f t="shared" si="3"/>
        <v>- 1098326443 -MAY 03-</v>
      </c>
      <c r="N203" s="271" t="str">
        <f t="shared" ca="1" si="4"/>
        <v/>
      </c>
    </row>
    <row r="204" spans="1:14">
      <c r="A204" s="216" t="str">
        <f>IF(C204&lt;&gt;"",SUBTOTAL(103,$C$8:C204),"")</f>
        <v/>
      </c>
      <c r="B204" s="226">
        <v>43223</v>
      </c>
      <c r="C204" s="216"/>
      <c r="D204" s="216" t="str">
        <f>IF(C204&lt;&gt;"",VLOOKUP(C204,[1]DSKH!B:E,2,0),"")</f>
        <v/>
      </c>
      <c r="E204" s="215"/>
      <c r="F204" s="216"/>
      <c r="G204" s="216" t="str">
        <f>IF(C204&lt;&gt;"",VLOOKUP(C204,DSKH!B:E,3,0),"")</f>
        <v/>
      </c>
      <c r="H204" s="222">
        <v>1098325619</v>
      </c>
      <c r="I204" s="217"/>
      <c r="J204" s="224"/>
      <c r="K204" s="216" t="str">
        <f>IF(C204&lt;&gt;"",VLOOKUP(C204,[1]DSKH!B:E,4,0),"")</f>
        <v/>
      </c>
      <c r="L204" s="216"/>
      <c r="M204" s="216" t="str">
        <f t="shared" si="3"/>
        <v>- 1098325619 -MAY 03-</v>
      </c>
      <c r="N204" s="271" t="str">
        <f t="shared" ca="1" si="4"/>
        <v/>
      </c>
    </row>
    <row r="205" spans="1:14" ht="41.4">
      <c r="A205" s="216">
        <f>IF(C205&lt;&gt;"",SUBTOTAL(103,$C$8:C205),"")</f>
        <v>124</v>
      </c>
      <c r="B205" s="226">
        <v>43223</v>
      </c>
      <c r="C205" s="216" t="s">
        <v>330</v>
      </c>
      <c r="D205" s="216" t="str">
        <f>IF(C205&lt;&gt;"",VLOOKUP(C205,[1]DSKH!B:E,2,0),"")</f>
        <v>NHAM SON, XA YEN LU, HUYEN YEN DUNG, BAC GIANG</v>
      </c>
      <c r="E205" s="215">
        <v>11</v>
      </c>
      <c r="F205" s="216"/>
      <c r="G205" s="216">
        <f>IF(C205&lt;&gt;"",VLOOKUP(C205,DSKH!B:E,3,0),"")</f>
        <v>0</v>
      </c>
      <c r="H205" s="222">
        <v>1098732628</v>
      </c>
      <c r="I205" s="217"/>
      <c r="J205" s="224" t="s">
        <v>3170</v>
      </c>
      <c r="K205" s="216">
        <f>IF(C205&lt;&gt;"",VLOOKUP(C205,[1]DSKH!B:E,4,0),"")</f>
        <v>0</v>
      </c>
      <c r="L205" s="216">
        <f>1.4+1.3+1.3+0.9+1.9+1.8+1.2+1+1.4+1.35+0.75</f>
        <v>14.3</v>
      </c>
      <c r="M205" s="216" t="str">
        <f t="shared" si="3"/>
        <v>DAEHAN GLOBAL- 1098732628 -MAY 03-na002185301</v>
      </c>
      <c r="N205" s="271">
        <f t="shared" ca="1" si="4"/>
        <v>44254.384610648151</v>
      </c>
    </row>
    <row r="206" spans="1:14">
      <c r="A206" s="216" t="str">
        <f>IF(C206&lt;&gt;"",SUBTOTAL(103,$C$8:C206),"")</f>
        <v/>
      </c>
      <c r="B206" s="226">
        <v>43223</v>
      </c>
      <c r="C206" s="216"/>
      <c r="D206" s="216" t="str">
        <f>IF(C206&lt;&gt;"",VLOOKUP(C206,[1]DSKH!B:E,2,0),"")</f>
        <v/>
      </c>
      <c r="E206" s="215"/>
      <c r="F206" s="216"/>
      <c r="G206" s="216" t="str">
        <f>IF(C206&lt;&gt;"",VLOOKUP(C206,DSKH!B:E,3,0),"")</f>
        <v/>
      </c>
      <c r="H206" s="222">
        <v>1098698040</v>
      </c>
      <c r="I206" s="217"/>
      <c r="J206" s="224"/>
      <c r="K206" s="216" t="str">
        <f>IF(C206&lt;&gt;"",VLOOKUP(C206,[1]DSKH!B:E,4,0),"")</f>
        <v/>
      </c>
      <c r="L206" s="216"/>
      <c r="M206" s="216" t="str">
        <f t="shared" si="3"/>
        <v>- 1098698040 -MAY 03-</v>
      </c>
      <c r="N206" s="271" t="str">
        <f t="shared" ca="1" si="4"/>
        <v/>
      </c>
    </row>
    <row r="207" spans="1:14">
      <c r="A207" s="216" t="str">
        <f>IF(C207&lt;&gt;"",SUBTOTAL(103,$C$8:C207),"")</f>
        <v/>
      </c>
      <c r="B207" s="226">
        <v>43223</v>
      </c>
      <c r="C207" s="216"/>
      <c r="D207" s="216" t="str">
        <f>IF(C207&lt;&gt;"",VLOOKUP(C207,[1]DSKH!B:E,2,0),"")</f>
        <v/>
      </c>
      <c r="E207" s="215"/>
      <c r="F207" s="216"/>
      <c r="G207" s="216" t="str">
        <f>IF(C207&lt;&gt;"",VLOOKUP(C207,DSKH!B:E,3,0),"")</f>
        <v/>
      </c>
      <c r="H207" s="222">
        <v>1098714292</v>
      </c>
      <c r="I207" s="217"/>
      <c r="J207" s="224"/>
      <c r="K207" s="216" t="str">
        <f>IF(C207&lt;&gt;"",VLOOKUP(C207,[1]DSKH!B:E,4,0),"")</f>
        <v/>
      </c>
      <c r="L207" s="216"/>
      <c r="M207" s="216" t="str">
        <f t="shared" si="3"/>
        <v>- 1098714292 -MAY 03-</v>
      </c>
      <c r="N207" s="271" t="str">
        <f t="shared" ca="1" si="4"/>
        <v/>
      </c>
    </row>
    <row r="208" spans="1:14" ht="41.4">
      <c r="A208" s="216">
        <f>IF(C208&lt;&gt;"",SUBTOTAL(103,$C$8:C208),"")</f>
        <v>125</v>
      </c>
      <c r="B208" s="226">
        <v>43223</v>
      </c>
      <c r="C208" s="216" t="s">
        <v>3171</v>
      </c>
      <c r="D208" s="216" t="s">
        <v>3173</v>
      </c>
      <c r="E208" s="215">
        <v>1</v>
      </c>
      <c r="F208" s="216"/>
      <c r="G208" s="216">
        <f>IF(C208&lt;&gt;"",VLOOKUP(C208,DSKH!B:E,3,0),"")</f>
        <v>0</v>
      </c>
      <c r="H208" s="222">
        <v>1098689994</v>
      </c>
      <c r="I208" s="217" t="s">
        <v>3174</v>
      </c>
      <c r="J208" s="224" t="s">
        <v>3175</v>
      </c>
      <c r="K208" s="216" t="s">
        <v>3172</v>
      </c>
      <c r="L208" s="216">
        <v>72.5</v>
      </c>
      <c r="M208" s="216" t="str">
        <f t="shared" si="3"/>
        <v>TINH LOI UNIQLO BLOCK 2- 1098689994 -MAY 03-na002185302</v>
      </c>
      <c r="N208" s="271">
        <f t="shared" ca="1" si="4"/>
        <v>44254.384610648151</v>
      </c>
    </row>
    <row r="209" spans="1:14" ht="55.2">
      <c r="A209" s="216">
        <f>IF(C209&lt;&gt;"",SUBTOTAL(103,$C$8:C209),"")</f>
        <v>126</v>
      </c>
      <c r="B209" s="226">
        <v>43223</v>
      </c>
      <c r="C209" s="216" t="s">
        <v>733</v>
      </c>
      <c r="D209" s="216" t="str">
        <f>IF(C209&lt;&gt;"",VLOOKUP(C209,[1]DSKH!B:E,2,0),"")</f>
        <v>LO AIII-11, KCN TAN HUONG, X. TAN HUONG, H.CHAU THANH, T.TIEN GIANG</v>
      </c>
      <c r="E209" s="215">
        <v>7</v>
      </c>
      <c r="F209" s="216"/>
      <c r="G209" s="216">
        <f>IF(C209&lt;&gt;"",VLOOKUP(C209,DSKH!B:E,3,0),"")</f>
        <v>0</v>
      </c>
      <c r="H209" s="222">
        <v>1098691645</v>
      </c>
      <c r="I209" s="217"/>
      <c r="J209" s="224" t="s">
        <v>3176</v>
      </c>
      <c r="K209" s="216" t="str">
        <f>IF(C209&lt;&gt;"",VLOOKUP(C209,[1]DSKH!B:E,4,0),"")</f>
        <v>MS THAM 097275801</v>
      </c>
      <c r="L209" s="216">
        <f>2.3+6.6+6.4+1.6</f>
        <v>16.899999999999999</v>
      </c>
      <c r="M209" s="216" t="str">
        <f t="shared" si="3"/>
        <v>GREEN TG- 1098691645 -MAY 03-na002185303</v>
      </c>
      <c r="N209" s="271">
        <f t="shared" ca="1" si="4"/>
        <v>44254.384610648151</v>
      </c>
    </row>
    <row r="210" spans="1:14">
      <c r="A210" s="216" t="str">
        <f>IF(C210&lt;&gt;"",SUBTOTAL(103,$C$8:C210),"")</f>
        <v/>
      </c>
      <c r="B210" s="226">
        <v>43223</v>
      </c>
      <c r="C210" s="216"/>
      <c r="D210" s="216" t="str">
        <f>IF(C210&lt;&gt;"",VLOOKUP(C210,[1]DSKH!B:E,2,0),"")</f>
        <v/>
      </c>
      <c r="E210" s="215"/>
      <c r="F210" s="216"/>
      <c r="G210" s="216" t="str">
        <f>IF(C210&lt;&gt;"",VLOOKUP(C210,DSKH!B:E,3,0),"")</f>
        <v/>
      </c>
      <c r="H210" s="222">
        <v>1098176408</v>
      </c>
      <c r="I210" s="217"/>
      <c r="J210" s="224"/>
      <c r="K210" s="216" t="str">
        <f>IF(C210&lt;&gt;"",VLOOKUP(C210,[1]DSKH!B:E,4,0),"")</f>
        <v/>
      </c>
      <c r="L210" s="216"/>
      <c r="M210" s="216" t="str">
        <f t="shared" si="3"/>
        <v>- 1098176408 -MAY 03-</v>
      </c>
      <c r="N210" s="271" t="str">
        <f t="shared" ca="1" si="4"/>
        <v/>
      </c>
    </row>
    <row r="211" spans="1:14">
      <c r="A211" s="216" t="str">
        <f>IF(C211&lt;&gt;"",SUBTOTAL(103,$C$8:C211),"")</f>
        <v/>
      </c>
      <c r="B211" s="226">
        <v>43223</v>
      </c>
      <c r="C211" s="216"/>
      <c r="D211" s="216" t="str">
        <f>IF(C211&lt;&gt;"",VLOOKUP(C211,[1]DSKH!B:E,2,0),"")</f>
        <v/>
      </c>
      <c r="E211" s="215"/>
      <c r="F211" s="216"/>
      <c r="G211" s="216" t="str">
        <f>IF(C211&lt;&gt;"",VLOOKUP(C211,DSKH!B:E,3,0),"")</f>
        <v/>
      </c>
      <c r="H211" s="222">
        <v>1098669220</v>
      </c>
      <c r="I211" s="217"/>
      <c r="J211" s="224"/>
      <c r="K211" s="216" t="str">
        <f>IF(C211&lt;&gt;"",VLOOKUP(C211,[1]DSKH!B:E,4,0),"")</f>
        <v/>
      </c>
      <c r="L211" s="216"/>
      <c r="M211" s="216" t="str">
        <f t="shared" si="3"/>
        <v>- 1098669220 -MAY 03-</v>
      </c>
      <c r="N211" s="271" t="str">
        <f t="shared" ca="1" si="4"/>
        <v/>
      </c>
    </row>
    <row r="212" spans="1:14" ht="41.4">
      <c r="A212" s="216">
        <f>IF(C212&lt;&gt;"",SUBTOTAL(103,$C$8:C212),"")</f>
        <v>127</v>
      </c>
      <c r="B212" s="226">
        <v>43223</v>
      </c>
      <c r="C212" s="216" t="s">
        <v>1692</v>
      </c>
      <c r="D212" s="216" t="str">
        <f>IF(C212&lt;&gt;"",VLOOKUP(C212,[1]DSKH!B:E,2,0),"")</f>
        <v>PLOT 2, F AREA, LEMON INDUSTRIAL PARK, THANH HOA CITY</v>
      </c>
      <c r="E212" s="215">
        <v>108</v>
      </c>
      <c r="F212" s="216" t="s">
        <v>2090</v>
      </c>
      <c r="G212" s="216">
        <f>IF(C212&lt;&gt;"",VLOOKUP(C212,DSKH!B:E,3,0),"")</f>
        <v>0</v>
      </c>
      <c r="H212" s="222">
        <v>1097491787</v>
      </c>
      <c r="I212" s="217" t="s">
        <v>2860</v>
      </c>
      <c r="J212" s="224" t="s">
        <v>3177</v>
      </c>
      <c r="K212" s="216" t="str">
        <f>IF(C212&lt;&gt;"",VLOOKUP(C212,[1]DSKH!B:E,4,0),"")</f>
        <v>TUAN 0932214898</v>
      </c>
      <c r="L212" s="216">
        <v>769.98</v>
      </c>
      <c r="M212" s="216" t="str">
        <f t="shared" si="3"/>
        <v>SAKURAI VN- 1097491787 -MAY 03-na002185304</v>
      </c>
      <c r="N212" s="271">
        <f t="shared" ca="1" si="4"/>
        <v>44254.384610648151</v>
      </c>
    </row>
    <row r="213" spans="1:14">
      <c r="A213" s="216" t="str">
        <f>IF(C213&lt;&gt;"",SUBTOTAL(103,$C$8:C213),"")</f>
        <v/>
      </c>
      <c r="B213" s="226">
        <v>43223</v>
      </c>
      <c r="C213" s="216"/>
      <c r="D213" s="216" t="str">
        <f>IF(C213&lt;&gt;"",VLOOKUP(C213,[1]DSKH!B:E,2,0),"")</f>
        <v/>
      </c>
      <c r="E213" s="215"/>
      <c r="F213" s="216"/>
      <c r="G213" s="216" t="str">
        <f>IF(C213&lt;&gt;"",VLOOKUP(C213,DSKH!B:E,3,0),"")</f>
        <v/>
      </c>
      <c r="H213" s="222">
        <v>1098323415</v>
      </c>
      <c r="I213" s="217"/>
      <c r="J213" s="224"/>
      <c r="K213" s="216" t="str">
        <f>IF(C213&lt;&gt;"",VLOOKUP(C213,[1]DSKH!B:E,4,0),"")</f>
        <v/>
      </c>
      <c r="L213" s="216"/>
      <c r="M213" s="216" t="str">
        <f t="shared" si="3"/>
        <v>- 1098323415 -MAY 03-</v>
      </c>
      <c r="N213" s="271" t="str">
        <f t="shared" ca="1" si="4"/>
        <v/>
      </c>
    </row>
    <row r="214" spans="1:14">
      <c r="A214" s="216" t="str">
        <f>IF(C214&lt;&gt;"",SUBTOTAL(103,$C$8:C214),"")</f>
        <v/>
      </c>
      <c r="B214" s="226">
        <v>43223</v>
      </c>
      <c r="C214" s="216"/>
      <c r="D214" s="216" t="str">
        <f>IF(C214&lt;&gt;"",VLOOKUP(C214,[1]DSKH!B:E,2,0),"")</f>
        <v/>
      </c>
      <c r="E214" s="215"/>
      <c r="F214" s="216"/>
      <c r="G214" s="216" t="str">
        <f>IF(C214&lt;&gt;"",VLOOKUP(C214,DSKH!B:E,3,0),"")</f>
        <v/>
      </c>
      <c r="H214" s="222">
        <v>1098748323</v>
      </c>
      <c r="I214" s="217"/>
      <c r="J214" s="224"/>
      <c r="K214" s="216" t="str">
        <f>IF(C214&lt;&gt;"",VLOOKUP(C214,[1]DSKH!B:E,4,0),"")</f>
        <v/>
      </c>
      <c r="L214" s="216"/>
      <c r="M214" s="216" t="str">
        <f t="shared" si="3"/>
        <v>- 1098748323 -MAY 03-</v>
      </c>
      <c r="N214" s="271" t="str">
        <f t="shared" ca="1" si="4"/>
        <v/>
      </c>
    </row>
    <row r="215" spans="1:14">
      <c r="A215" s="216" t="str">
        <f>IF(C215&lt;&gt;"",SUBTOTAL(103,$C$8:C215),"")</f>
        <v/>
      </c>
      <c r="B215" s="226">
        <v>43223</v>
      </c>
      <c r="C215" s="216"/>
      <c r="D215" s="216" t="str">
        <f>IF(C215&lt;&gt;"",VLOOKUP(C215,[1]DSKH!B:E,2,0),"")</f>
        <v/>
      </c>
      <c r="E215" s="215"/>
      <c r="F215" s="216"/>
      <c r="G215" s="216" t="str">
        <f>IF(C215&lt;&gt;"",VLOOKUP(C215,DSKH!B:E,3,0),"")</f>
        <v/>
      </c>
      <c r="H215" s="222">
        <v>1098871013</v>
      </c>
      <c r="I215" s="217"/>
      <c r="J215" s="224"/>
      <c r="K215" s="216" t="str">
        <f>IF(C215&lt;&gt;"",VLOOKUP(C215,[1]DSKH!B:E,4,0),"")</f>
        <v/>
      </c>
      <c r="L215" s="216"/>
      <c r="M215" s="216" t="str">
        <f t="shared" si="3"/>
        <v>- 1098871013 -MAY 03-</v>
      </c>
      <c r="N215" s="271" t="str">
        <f t="shared" ca="1" si="4"/>
        <v/>
      </c>
    </row>
    <row r="216" spans="1:14">
      <c r="A216" s="216" t="str">
        <f>IF(C216&lt;&gt;"",SUBTOTAL(103,$C$8:C216),"")</f>
        <v/>
      </c>
      <c r="B216" s="226">
        <v>43223</v>
      </c>
      <c r="C216" s="216"/>
      <c r="D216" s="216" t="str">
        <f>IF(C216&lt;&gt;"",VLOOKUP(C216,[1]DSKH!B:E,2,0),"")</f>
        <v/>
      </c>
      <c r="E216" s="215"/>
      <c r="F216" s="216"/>
      <c r="G216" s="216" t="str">
        <f>IF(C216&lt;&gt;"",VLOOKUP(C216,DSKH!B:E,3,0),"")</f>
        <v/>
      </c>
      <c r="H216" s="222">
        <v>1098878678</v>
      </c>
      <c r="I216" s="217"/>
      <c r="J216" s="224"/>
      <c r="K216" s="216" t="str">
        <f>IF(C216&lt;&gt;"",VLOOKUP(C216,[1]DSKH!B:E,4,0),"")</f>
        <v/>
      </c>
      <c r="L216" s="216"/>
      <c r="M216" s="216" t="str">
        <f t="shared" si="3"/>
        <v>- 1098878678 -MAY 03-</v>
      </c>
      <c r="N216" s="271" t="str">
        <f t="shared" ca="1" si="4"/>
        <v/>
      </c>
    </row>
    <row r="217" spans="1:14" ht="41.4">
      <c r="A217" s="216">
        <f>IF(C217&lt;&gt;"",SUBTOTAL(103,$C$8:C217),"")</f>
        <v>128</v>
      </c>
      <c r="B217" s="226">
        <v>43223</v>
      </c>
      <c r="C217" s="216" t="s">
        <v>2307</v>
      </c>
      <c r="D217" s="216" t="str">
        <f>IF(C217&lt;&gt;"",VLOOKUP(C217,[1]DSKH!B:E,2,0),"")</f>
        <v>Thon Giao Cu trung, xa Dong Son, huyen Nam Truc, Nam Dinh</v>
      </c>
      <c r="E217" s="215">
        <v>2</v>
      </c>
      <c r="F217" s="216"/>
      <c r="G217" s="216">
        <f>IF(C217&lt;&gt;"",VLOOKUP(C217,DSKH!B:E,3,0),"")</f>
        <v>0</v>
      </c>
      <c r="H217" s="222">
        <v>1098714291</v>
      </c>
      <c r="I217" s="217"/>
      <c r="J217" s="224" t="s">
        <v>3178</v>
      </c>
      <c r="K217" s="216">
        <f>IF(C217&lt;&gt;"",VLOOKUP(C217,[1]DSKH!B:E,4,0),"")</f>
        <v>0</v>
      </c>
      <c r="L217" s="216">
        <f>2.3+1.15</f>
        <v>3.4499999999999997</v>
      </c>
      <c r="M217" s="216" t="str">
        <f t="shared" si="3"/>
        <v>VIET PAN PACIFIC NAM DINH- 1098714291 -MAY 03-na002185305</v>
      </c>
      <c r="N217" s="271">
        <f t="shared" ca="1" si="4"/>
        <v>44254.384610648151</v>
      </c>
    </row>
    <row r="218" spans="1:14" ht="27.6">
      <c r="A218" s="216">
        <f>IF(C218&lt;&gt;"",SUBTOTAL(103,$C$8:C218),"")</f>
        <v>129</v>
      </c>
      <c r="B218" s="226">
        <v>43223</v>
      </c>
      <c r="C218" s="216" t="s">
        <v>1585</v>
      </c>
      <c r="D218" s="216" t="str">
        <f>IF(C218&lt;&gt;"",VLOOKUP(C218,[1]DSKH!B:E,2,0),"")</f>
        <v xml:space="preserve"> KCN HOA KHANH Q.LIEN CHIEU, TP. DA NANG</v>
      </c>
      <c r="E218" s="215">
        <v>1</v>
      </c>
      <c r="F218" s="216"/>
      <c r="G218" s="216">
        <f>IF(C218&lt;&gt;"",VLOOKUP(C218,DSKH!B:E,3,0),"")</f>
        <v>0</v>
      </c>
      <c r="H218" s="222">
        <v>1098709442</v>
      </c>
      <c r="I218" s="217"/>
      <c r="J218" s="224" t="s">
        <v>3179</v>
      </c>
      <c r="K218" s="216" t="str">
        <f>IF(C218&lt;&gt;"",VLOOKUP(C218,[1]DSKH!B:E,4,0),"")</f>
        <v>HUONG 01208361859</v>
      </c>
      <c r="L218" s="216">
        <v>1.2</v>
      </c>
      <c r="M218" s="216" t="str">
        <f t="shared" si="3"/>
        <v>PI VINA DANANG- 1098709442 -MAY 03-na002185306</v>
      </c>
      <c r="N218" s="271">
        <f t="shared" ca="1" si="4"/>
        <v>44254.384610648151</v>
      </c>
    </row>
    <row r="219" spans="1:14" ht="27.6">
      <c r="A219" s="216">
        <f>IF(C219&lt;&gt;"",SUBTOTAL(103,$C$8:C219),"")</f>
        <v>130</v>
      </c>
      <c r="B219" s="226">
        <v>43223</v>
      </c>
      <c r="C219" s="216" t="s">
        <v>2682</v>
      </c>
      <c r="D219" s="216" t="str">
        <f>IF(C219&lt;&gt;"",VLOOKUP(C219,[1]DSKH!B:E,2,0),"")</f>
        <v>OA1, KCN HAPRO, XA LE CHI. GIA LAM, HA NOI</v>
      </c>
      <c r="E219" s="215">
        <v>17</v>
      </c>
      <c r="F219" s="216"/>
      <c r="G219" s="216">
        <f>IF(C219&lt;&gt;"",VLOOKUP(C219,DSKH!B:E,3,0),"")</f>
        <v>0</v>
      </c>
      <c r="H219" s="222">
        <v>1098690218</v>
      </c>
      <c r="I219" s="217"/>
      <c r="J219" s="224" t="s">
        <v>3180</v>
      </c>
      <c r="K219" s="216" t="str">
        <f>IF(C219&lt;&gt;"",VLOOKUP(C219,[1]DSKH!B:E,4,0),"")</f>
        <v> Hieu: 043556 0751/ 0979629 323. </v>
      </c>
      <c r="L219" s="216">
        <f>2*18.6+3.8+17+21.1+19+6+38+6+38+3.5+18.4+20+36+3.5+19+4.7</f>
        <v>291.2</v>
      </c>
      <c r="M219" s="216" t="str">
        <f t="shared" si="3"/>
        <v>VINAEHWA HN- 1098690218 -MAY 03-na002185307</v>
      </c>
      <c r="N219" s="271">
        <f t="shared" ca="1" si="4"/>
        <v>44254.384610648151</v>
      </c>
    </row>
    <row r="220" spans="1:14" ht="27.6">
      <c r="A220" s="216">
        <f>IF(C220&lt;&gt;"",SUBTOTAL(103,$C$8:C220),"")</f>
        <v>131</v>
      </c>
      <c r="B220" s="226">
        <v>43223</v>
      </c>
      <c r="C220" s="216" t="s">
        <v>2526</v>
      </c>
      <c r="D220" s="216" t="str">
        <f>IF(C220&lt;&gt;"",VLOOKUP(C220,[1]DSKH!B:E,2,0),"")</f>
        <v>NO.B6,THUY VAN IZ,VIET TRI,PHU THO,VIET NAM</v>
      </c>
      <c r="E220" s="215">
        <v>1</v>
      </c>
      <c r="F220" s="216" t="s">
        <v>2861</v>
      </c>
      <c r="G220" s="216" t="str">
        <f>IF(C220&lt;&gt;"",VLOOKUP(C220,DSKH!B:E,3,0),"")</f>
        <v>CTU</v>
      </c>
      <c r="H220" s="222">
        <v>1098855278</v>
      </c>
      <c r="I220" s="217" t="s">
        <v>2860</v>
      </c>
      <c r="J220" s="224" t="s">
        <v>3181</v>
      </c>
      <c r="K220" s="216" t="str">
        <f>IF(C220&lt;&gt;"",VLOOKUP(C220,[1]DSKH!B:E,4,0),"")</f>
        <v>QUYNH ANH: 0935 471 807</v>
      </c>
      <c r="L220" s="216">
        <v>0.4</v>
      </c>
      <c r="M220" s="216" t="str">
        <f t="shared" si="3"/>
        <v>YAKJIN VIETNAM- 1098855278 -MAY 03-na002185308</v>
      </c>
      <c r="N220" s="271">
        <f t="shared" ca="1" si="4"/>
        <v>44254.384610648151</v>
      </c>
    </row>
    <row r="221" spans="1:14" ht="55.2">
      <c r="A221" s="216">
        <f>IF(C221&lt;&gt;"",SUBTOTAL(103,$C$8:C221),"")</f>
        <v>132</v>
      </c>
      <c r="B221" s="226">
        <v>43223</v>
      </c>
      <c r="C221" s="216" t="s">
        <v>942</v>
      </c>
      <c r="D221" s="216" t="str">
        <f>IF(C221&lt;&gt;"",VLOOKUP(C221,[1]DSKH!B:E,2,0),"")</f>
        <v>KHU 4B, THI TRAN QUYNH COI, QUYNH PHU, THAI BINH</v>
      </c>
      <c r="E221" s="215">
        <v>12</v>
      </c>
      <c r="F221" s="216"/>
      <c r="G221" s="216" t="str">
        <f>IF(C221&lt;&gt;"",VLOOKUP(C221,DSKH!B:E,3,0),"")</f>
        <v>HANG THANG LONG GIAO HOANG ANH- CTU</v>
      </c>
      <c r="H221" s="222">
        <v>1098690217</v>
      </c>
      <c r="I221" s="217"/>
      <c r="J221" s="224" t="s">
        <v>3182</v>
      </c>
      <c r="K221" s="216" t="str">
        <f>IF(C221&lt;&gt;"",VLOOKUP(C221,[1]DSKH!B:E,4,0),"")</f>
        <v>MS LAN: 0976 262 998</v>
      </c>
      <c r="L221" s="216">
        <f>19.6+5.8+19.2+18+19.2+19+16.8+13.4+14+1.6+7.6+10</f>
        <v>164.2</v>
      </c>
      <c r="M221" s="216" t="str">
        <f t="shared" si="3"/>
        <v>HOANG ANH- 1098690217 -MAY 03-na002185309</v>
      </c>
      <c r="N221" s="271">
        <f t="shared" ca="1" si="4"/>
        <v>44254.384610648151</v>
      </c>
    </row>
    <row r="222" spans="1:14" ht="41.4">
      <c r="A222" s="216">
        <f>IF(C222&lt;&gt;"",SUBTOTAL(103,$C$8:C222),"")</f>
        <v>133</v>
      </c>
      <c r="B222" s="226">
        <v>43223</v>
      </c>
      <c r="C222" s="216" t="s">
        <v>2751</v>
      </c>
      <c r="D222" s="216" t="str">
        <f>IF(C222&lt;&gt;"",VLOOKUP(C222,[1]DSKH!B:E,2,0),"")</f>
        <v>KCN LAI VU, HAI DUONG</v>
      </c>
      <c r="E222" s="215">
        <v>1</v>
      </c>
      <c r="F222" s="216" t="s">
        <v>2861</v>
      </c>
      <c r="G222" s="216">
        <f>IF(C222&lt;&gt;"",VLOOKUP(C222,DSKH!B:E,3,0),"")</f>
        <v>0</v>
      </c>
      <c r="H222" s="222"/>
      <c r="I222" s="217" t="s">
        <v>3183</v>
      </c>
      <c r="J222" s="224" t="s">
        <v>3184</v>
      </c>
      <c r="K222" s="216" t="str">
        <f>IF(C222&lt;&gt;"",VLOOKUP(C222,[1]DSKH!B:E,4,0),"")</f>
        <v>MINH 0968 536 659</v>
      </c>
      <c r="L222" s="216">
        <v>2</v>
      </c>
      <c r="M222" s="216" t="str">
        <f t="shared" si="3"/>
        <v>TINH LOI BLOCK 4-  -MAY 03-na002185310</v>
      </c>
      <c r="N222" s="271">
        <f t="shared" ca="1" si="4"/>
        <v>44254.384610648151</v>
      </c>
    </row>
    <row r="223" spans="1:14" ht="69">
      <c r="A223" s="216">
        <f>IF(C223&lt;&gt;"",SUBTOTAL(103,$C$8:C223),"")</f>
        <v>134</v>
      </c>
      <c r="B223" s="226">
        <v>43223</v>
      </c>
      <c r="C223" s="216" t="s">
        <v>2587</v>
      </c>
      <c r="D223" s="216" t="str">
        <f>IF(C223&lt;&gt;"",VLOOKUP(C223,[1]DSKH!B:E,2,0),"")</f>
        <v>Lo dat dien tich 88.707m vuong , cum cong nghiep Quynh Coi,Xa Quynh My - Huyen Quynh Phu, Thai Binh</v>
      </c>
      <c r="E223" s="215">
        <v>5</v>
      </c>
      <c r="F223" s="216"/>
      <c r="G223" s="216">
        <f>IF(C223&lt;&gt;"",VLOOKUP(C223,DSKH!B:E,3,0),"")</f>
        <v>0</v>
      </c>
      <c r="H223" s="222">
        <v>1098818407</v>
      </c>
      <c r="I223" s="217" t="s">
        <v>2860</v>
      </c>
      <c r="J223" s="224" t="s">
        <v>3185</v>
      </c>
      <c r="K223" s="216" t="str">
        <f>IF(C223&lt;&gt;"",VLOOKUP(C223,[1]DSKH!B:E,4,0),"")</f>
        <v>CHI DANG 0984388614</v>
      </c>
      <c r="L223" s="216">
        <f>1.18+0.8+0.12+4.25+0.82</f>
        <v>7.17</v>
      </c>
      <c r="M223" s="216" t="str">
        <f t="shared" si="3"/>
        <v>SAO VANG THAI BINH 1- 1098818407 -MAY 03-na002185311</v>
      </c>
      <c r="N223" s="271">
        <f t="shared" ca="1" si="4"/>
        <v>44254.384610648151</v>
      </c>
    </row>
    <row r="224" spans="1:14">
      <c r="A224" s="216" t="str">
        <f>IF(C224&lt;&gt;"",SUBTOTAL(103,$C$8:C224),"")</f>
        <v/>
      </c>
      <c r="B224" s="226">
        <v>43223</v>
      </c>
      <c r="C224" s="216"/>
      <c r="D224" s="216" t="str">
        <f>IF(C224&lt;&gt;"",VLOOKUP(C224,[1]DSKH!B:E,2,0),"")</f>
        <v/>
      </c>
      <c r="E224" s="215"/>
      <c r="F224" s="216"/>
      <c r="G224" s="216" t="str">
        <f>IF(C224&lt;&gt;"",VLOOKUP(C224,DSKH!B:E,3,0),"")</f>
        <v/>
      </c>
      <c r="H224" s="222">
        <v>1098816707</v>
      </c>
      <c r="I224" s="217"/>
      <c r="J224" s="224"/>
      <c r="K224" s="216" t="str">
        <f>IF(C224&lt;&gt;"",VLOOKUP(C224,[1]DSKH!B:E,4,0),"")</f>
        <v/>
      </c>
      <c r="L224" s="216"/>
      <c r="M224" s="216" t="str">
        <f t="shared" si="3"/>
        <v>- 1098816707 -MAY 03-</v>
      </c>
      <c r="N224" s="271" t="str">
        <f t="shared" ca="1" si="4"/>
        <v/>
      </c>
    </row>
    <row r="225" spans="1:14">
      <c r="A225" s="216" t="str">
        <f>IF(C225&lt;&gt;"",SUBTOTAL(103,$C$8:C225),"")</f>
        <v/>
      </c>
      <c r="B225" s="226">
        <v>43223</v>
      </c>
      <c r="C225" s="216"/>
      <c r="D225" s="216" t="str">
        <f>IF(C225&lt;&gt;"",VLOOKUP(C225,[1]DSKH!B:E,2,0),"")</f>
        <v/>
      </c>
      <c r="E225" s="215"/>
      <c r="F225" s="216"/>
      <c r="G225" s="216" t="str">
        <f>IF(C225&lt;&gt;"",VLOOKUP(C225,DSKH!B:E,3,0),"")</f>
        <v/>
      </c>
      <c r="H225" s="222">
        <v>1098822920</v>
      </c>
      <c r="I225" s="217"/>
      <c r="J225" s="224"/>
      <c r="K225" s="216" t="str">
        <f>IF(C225&lt;&gt;"",VLOOKUP(C225,[1]DSKH!B:E,4,0),"")</f>
        <v/>
      </c>
      <c r="L225" s="216"/>
      <c r="M225" s="216" t="str">
        <f t="shared" si="3"/>
        <v>- 1098822920 -MAY 03-</v>
      </c>
      <c r="N225" s="271" t="str">
        <f t="shared" ca="1" si="4"/>
        <v/>
      </c>
    </row>
    <row r="226" spans="1:14" ht="27.6">
      <c r="A226" s="216">
        <f>IF(C226&lt;&gt;"",SUBTOTAL(103,$C$8:C226),"")</f>
        <v>135</v>
      </c>
      <c r="B226" s="226">
        <v>43223</v>
      </c>
      <c r="C226" s="216" t="s">
        <v>2602</v>
      </c>
      <c r="D226" s="216" t="str">
        <f>IF(C226&lt;&gt;"",VLOOKUP(C226,[1]DSKH!B:E,2,0),"")</f>
        <v>KCN SUOI TRE. LONG KHANH, DONG NAI</v>
      </c>
      <c r="E226" s="215">
        <v>10</v>
      </c>
      <c r="F226" s="216"/>
      <c r="G226" s="216">
        <f>IF(C226&lt;&gt;"",VLOOKUP(C226,DSKH!B:E,3,0),"")</f>
        <v>0</v>
      </c>
      <c r="H226" s="222">
        <v>1098184615</v>
      </c>
      <c r="I226" s="217" t="s">
        <v>2860</v>
      </c>
      <c r="J226" s="224" t="s">
        <v>3186</v>
      </c>
      <c r="K226" s="216">
        <f>IF(C226&lt;&gt;"",VLOOKUP(C226,[1]DSKH!B:E,4,0),"")</f>
        <v>0</v>
      </c>
      <c r="L226" s="216">
        <f>6+1.12+0.2+0.15+1.6+2+0.96+0.12</f>
        <v>12.15</v>
      </c>
      <c r="M226" s="216" t="str">
        <f t="shared" si="3"/>
        <v>CI BAO- 1098184615 -MAY 03-na002185312</v>
      </c>
      <c r="N226" s="271">
        <f t="shared" ca="1" si="4"/>
        <v>44254.384610648151</v>
      </c>
    </row>
    <row r="227" spans="1:14">
      <c r="A227" s="216" t="str">
        <f>IF(C227&lt;&gt;"",SUBTOTAL(103,$C$8:C227),"")</f>
        <v/>
      </c>
      <c r="B227" s="226">
        <v>43223</v>
      </c>
      <c r="C227" s="216"/>
      <c r="D227" s="216" t="str">
        <f>IF(C227&lt;&gt;"",VLOOKUP(C227,[1]DSKH!B:E,2,0),"")</f>
        <v/>
      </c>
      <c r="E227" s="215"/>
      <c r="F227" s="216"/>
      <c r="G227" s="216" t="str">
        <f>IF(C227&lt;&gt;"",VLOOKUP(C227,DSKH!B:E,3,0),"")</f>
        <v/>
      </c>
      <c r="H227" s="222">
        <v>1098175820</v>
      </c>
      <c r="I227" s="217"/>
      <c r="J227" s="224"/>
      <c r="K227" s="216" t="str">
        <f>IF(C227&lt;&gt;"",VLOOKUP(C227,[1]DSKH!B:E,4,0),"")</f>
        <v/>
      </c>
      <c r="L227" s="216"/>
      <c r="M227" s="216" t="str">
        <f t="shared" si="3"/>
        <v>- 1098175820 -MAY 03-</v>
      </c>
      <c r="N227" s="271" t="str">
        <f t="shared" ca="1" si="4"/>
        <v/>
      </c>
    </row>
    <row r="228" spans="1:14">
      <c r="A228" s="216" t="str">
        <f>IF(C228&lt;&gt;"",SUBTOTAL(103,$C$8:C228),"")</f>
        <v/>
      </c>
      <c r="B228" s="226">
        <v>43223</v>
      </c>
      <c r="C228" s="216"/>
      <c r="D228" s="216" t="str">
        <f>IF(C228&lt;&gt;"",VLOOKUP(C228,[1]DSKH!B:E,2,0),"")</f>
        <v/>
      </c>
      <c r="E228" s="215"/>
      <c r="F228" s="216"/>
      <c r="G228" s="216" t="str">
        <f>IF(C228&lt;&gt;"",VLOOKUP(C228,DSKH!B:E,3,0),"")</f>
        <v/>
      </c>
      <c r="H228" s="222">
        <v>1098158602</v>
      </c>
      <c r="I228" s="217"/>
      <c r="J228" s="224"/>
      <c r="K228" s="216" t="str">
        <f>IF(C228&lt;&gt;"",VLOOKUP(C228,[1]DSKH!B:E,4,0),"")</f>
        <v/>
      </c>
      <c r="L228" s="216"/>
      <c r="M228" s="216" t="str">
        <f t="shared" si="3"/>
        <v>- 1098158602 -MAY 03-</v>
      </c>
      <c r="N228" s="271" t="str">
        <f t="shared" ca="1" si="4"/>
        <v/>
      </c>
    </row>
    <row r="229" spans="1:14">
      <c r="A229" s="216" t="str">
        <f>IF(C229&lt;&gt;"",SUBTOTAL(103,$C$8:C229),"")</f>
        <v/>
      </c>
      <c r="B229" s="226">
        <v>43223</v>
      </c>
      <c r="C229" s="216"/>
      <c r="D229" s="216" t="str">
        <f>IF(C229&lt;&gt;"",VLOOKUP(C229,[1]DSKH!B:E,2,0),"")</f>
        <v/>
      </c>
      <c r="E229" s="215"/>
      <c r="F229" s="216"/>
      <c r="G229" s="216" t="str">
        <f>IF(C229&lt;&gt;"",VLOOKUP(C229,DSKH!B:E,3,0),"")</f>
        <v/>
      </c>
      <c r="H229" s="222">
        <v>1097821267</v>
      </c>
      <c r="I229" s="217"/>
      <c r="J229" s="224"/>
      <c r="K229" s="216" t="str">
        <f>IF(C229&lt;&gt;"",VLOOKUP(C229,[1]DSKH!B:E,4,0),"")</f>
        <v/>
      </c>
      <c r="L229" s="216"/>
      <c r="M229" s="216" t="str">
        <f t="shared" ref="M229:M292" si="5">C229&amp;"-"&amp;" "&amp;H229&amp;" "&amp;"-"&amp;"MAY"&amp;" "&amp;"03"&amp;"-"&amp;J229</f>
        <v>- 1097821267 -MAY 03-</v>
      </c>
      <c r="N229" s="271" t="str">
        <f t="shared" ca="1" si="4"/>
        <v/>
      </c>
    </row>
    <row r="230" spans="1:14">
      <c r="A230" s="216" t="str">
        <f>IF(C230&lt;&gt;"",SUBTOTAL(103,$C$8:C230),"")</f>
        <v/>
      </c>
      <c r="B230" s="226">
        <v>43223</v>
      </c>
      <c r="C230" s="216"/>
      <c r="D230" s="216" t="str">
        <f>IF(C230&lt;&gt;"",VLOOKUP(C230,[1]DSKH!B:E,2,0),"")</f>
        <v/>
      </c>
      <c r="E230" s="215"/>
      <c r="F230" s="216"/>
      <c r="G230" s="216" t="str">
        <f>IF(C230&lt;&gt;"",VLOOKUP(C230,DSKH!B:E,3,0),"")</f>
        <v/>
      </c>
      <c r="H230" s="222">
        <v>1097853761</v>
      </c>
      <c r="I230" s="217"/>
      <c r="J230" s="224"/>
      <c r="K230" s="216" t="str">
        <f>IF(C230&lt;&gt;"",VLOOKUP(C230,[1]DSKH!B:E,4,0),"")</f>
        <v/>
      </c>
      <c r="L230" s="216"/>
      <c r="M230" s="216" t="str">
        <f t="shared" si="5"/>
        <v>- 1097853761 -MAY 03-</v>
      </c>
      <c r="N230" s="271" t="str">
        <f t="shared" ca="1" si="4"/>
        <v/>
      </c>
    </row>
    <row r="231" spans="1:14">
      <c r="A231" s="216" t="str">
        <f>IF(C231&lt;&gt;"",SUBTOTAL(103,$C$8:C231),"")</f>
        <v/>
      </c>
      <c r="B231" s="226">
        <v>43223</v>
      </c>
      <c r="C231" s="216"/>
      <c r="D231" s="216" t="str">
        <f>IF(C231&lt;&gt;"",VLOOKUP(C231,[1]DSKH!B:E,2,0),"")</f>
        <v/>
      </c>
      <c r="E231" s="215"/>
      <c r="F231" s="216"/>
      <c r="G231" s="216" t="str">
        <f>IF(C231&lt;&gt;"",VLOOKUP(C231,DSKH!B:E,3,0),"")</f>
        <v/>
      </c>
      <c r="H231" s="222">
        <v>1097959411</v>
      </c>
      <c r="I231" s="217"/>
      <c r="J231" s="224"/>
      <c r="K231" s="216" t="str">
        <f>IF(C231&lt;&gt;"",VLOOKUP(C231,[1]DSKH!B:E,4,0),"")</f>
        <v/>
      </c>
      <c r="L231" s="216"/>
      <c r="M231" s="216" t="str">
        <f t="shared" si="5"/>
        <v>- 1097959411 -MAY 03-</v>
      </c>
      <c r="N231" s="271" t="str">
        <f t="shared" ca="1" si="4"/>
        <v/>
      </c>
    </row>
    <row r="232" spans="1:14">
      <c r="A232" s="216" t="str">
        <f>IF(C232&lt;&gt;"",SUBTOTAL(103,$C$8:C232),"")</f>
        <v/>
      </c>
      <c r="B232" s="226">
        <v>43223</v>
      </c>
      <c r="C232" s="216"/>
      <c r="D232" s="216" t="str">
        <f>IF(C232&lt;&gt;"",VLOOKUP(C232,[1]DSKH!B:E,2,0),"")</f>
        <v/>
      </c>
      <c r="E232" s="215"/>
      <c r="F232" s="216"/>
      <c r="G232" s="216" t="str">
        <f>IF(C232&lt;&gt;"",VLOOKUP(C232,DSKH!B:E,3,0),"")</f>
        <v/>
      </c>
      <c r="H232" s="222">
        <v>1097996476</v>
      </c>
      <c r="I232" s="217"/>
      <c r="J232" s="224"/>
      <c r="K232" s="216" t="str">
        <f>IF(C232&lt;&gt;"",VLOOKUP(C232,[1]DSKH!B:E,4,0),"")</f>
        <v/>
      </c>
      <c r="L232" s="216"/>
      <c r="M232" s="216" t="str">
        <f t="shared" si="5"/>
        <v>- 1097996476 -MAY 03-</v>
      </c>
      <c r="N232" s="271" t="str">
        <f t="shared" ca="1" si="4"/>
        <v/>
      </c>
    </row>
    <row r="233" spans="1:14">
      <c r="A233" s="216" t="str">
        <f>IF(C233&lt;&gt;"",SUBTOTAL(103,$C$8:C233),"")</f>
        <v/>
      </c>
      <c r="B233" s="226">
        <v>43223</v>
      </c>
      <c r="C233" s="216"/>
      <c r="D233" s="216" t="str">
        <f>IF(C233&lt;&gt;"",VLOOKUP(C233,[1]DSKH!B:E,2,0),"")</f>
        <v/>
      </c>
      <c r="E233" s="215"/>
      <c r="F233" s="216"/>
      <c r="G233" s="216" t="str">
        <f>IF(C233&lt;&gt;"",VLOOKUP(C233,DSKH!B:E,3,0),"")</f>
        <v/>
      </c>
      <c r="H233" s="222">
        <v>1098021168</v>
      </c>
      <c r="I233" s="217"/>
      <c r="J233" s="224"/>
      <c r="K233" s="216" t="str">
        <f>IF(C233&lt;&gt;"",VLOOKUP(C233,[1]DSKH!B:E,4,0),"")</f>
        <v/>
      </c>
      <c r="L233" s="216"/>
      <c r="M233" s="216" t="str">
        <f t="shared" si="5"/>
        <v>- 1098021168 -MAY 03-</v>
      </c>
      <c r="N233" s="271" t="str">
        <f t="shared" ca="1" si="4"/>
        <v/>
      </c>
    </row>
    <row r="234" spans="1:14">
      <c r="A234" s="216" t="str">
        <f>IF(C234&lt;&gt;"",SUBTOTAL(103,$C$8:C234),"")</f>
        <v/>
      </c>
      <c r="B234" s="226">
        <v>43223</v>
      </c>
      <c r="C234" s="216"/>
      <c r="D234" s="216" t="str">
        <f>IF(C234&lt;&gt;"",VLOOKUP(C234,[1]DSKH!B:E,2,0),"")</f>
        <v/>
      </c>
      <c r="E234" s="215"/>
      <c r="F234" s="216"/>
      <c r="G234" s="216" t="str">
        <f>IF(C234&lt;&gt;"",VLOOKUP(C234,DSKH!B:E,3,0),"")</f>
        <v/>
      </c>
      <c r="H234" s="222">
        <v>1098142583</v>
      </c>
      <c r="I234" s="217"/>
      <c r="J234" s="224"/>
      <c r="K234" s="216" t="str">
        <f>IF(C234&lt;&gt;"",VLOOKUP(C234,[1]DSKH!B:E,4,0),"")</f>
        <v/>
      </c>
      <c r="L234" s="216"/>
      <c r="M234" s="216" t="str">
        <f t="shared" si="5"/>
        <v>- 1098142583 -MAY 03-</v>
      </c>
      <c r="N234" s="271" t="str">
        <f t="shared" ref="N234:N297" ca="1" si="6">IF(C234&lt;&gt;"",NOW(),"")</f>
        <v/>
      </c>
    </row>
    <row r="235" spans="1:14" ht="41.4">
      <c r="A235" s="216">
        <f>IF(C235&lt;&gt;"",SUBTOTAL(103,$C$8:C235),"")</f>
        <v>136</v>
      </c>
      <c r="B235" s="226">
        <v>43223</v>
      </c>
      <c r="C235" s="216" t="s">
        <v>1247</v>
      </c>
      <c r="D235" s="216" t="str">
        <f>IF(C235&lt;&gt;"",VLOOKUP(C235,[1]DSKH!B:E,2,0),"")</f>
        <v>Thôn: Bằng, xã Nghĩa Hòa, Huyện Lạng Giang, tỉnh Bắc Giang</v>
      </c>
      <c r="E235" s="215">
        <v>1</v>
      </c>
      <c r="F235" s="216"/>
      <c r="G235" s="216">
        <f>IF(C235&lt;&gt;"",VLOOKUP(C235,DSKH!B:E,3,0),"")</f>
        <v>0</v>
      </c>
      <c r="H235" s="222">
        <v>1098835674</v>
      </c>
      <c r="I235" s="217"/>
      <c r="J235" s="224" t="s">
        <v>3187</v>
      </c>
      <c r="K235" s="216">
        <f>IF(C235&lt;&gt;"",VLOOKUP(C235,[1]DSKH!B:E,4,0),"")</f>
        <v>0</v>
      </c>
      <c r="L235" s="216">
        <v>1.3</v>
      </c>
      <c r="M235" s="216" t="str">
        <f t="shared" si="5"/>
        <v>MAY LANG GIANG- 1098835674 -MAY 03-na002185313</v>
      </c>
      <c r="N235" s="271">
        <f t="shared" ca="1" si="6"/>
        <v>44254.384610648151</v>
      </c>
    </row>
    <row r="236" spans="1:14" ht="27.6">
      <c r="A236" s="216">
        <f>IF(C236&lt;&gt;"",SUBTOTAL(103,$C$8:C236),"")</f>
        <v>137</v>
      </c>
      <c r="B236" s="226">
        <v>43223</v>
      </c>
      <c r="C236" s="216" t="s">
        <v>1039</v>
      </c>
      <c r="D236" s="216" t="str">
        <f>IF(C236&lt;&gt;"",VLOOKUP(C236,[1]DSKH!B:E,2,0),"")</f>
        <v>DUONG 13, TRANG BANG, TAY NINH</v>
      </c>
      <c r="E236" s="215">
        <v>6</v>
      </c>
      <c r="F236" s="216"/>
      <c r="G236" s="216">
        <f>IF(C236&lt;&gt;"",VLOOKUP(C236,DSKH!B:E,3,0),"")</f>
        <v>0</v>
      </c>
      <c r="H236" s="222">
        <v>1098726594</v>
      </c>
      <c r="I236" s="217"/>
      <c r="J236" s="224" t="s">
        <v>3188</v>
      </c>
      <c r="K236" s="216" t="str">
        <f>IF(C236&lt;&gt;"",VLOOKUP(C236,[1]DSKH!B:E,4,0),"")</f>
        <v>DIEU SAM: 066 3896 052</v>
      </c>
      <c r="L236" s="216">
        <f>2</f>
        <v>2</v>
      </c>
      <c r="M236" s="216" t="str">
        <f t="shared" si="5"/>
        <v>JUNG KWANG- 1098726594 -MAY 03-na002185314</v>
      </c>
      <c r="N236" s="271">
        <f t="shared" ca="1" si="6"/>
        <v>44254.384610648151</v>
      </c>
    </row>
    <row r="237" spans="1:14">
      <c r="A237" s="216" t="str">
        <f>IF(C237&lt;&gt;"",SUBTOTAL(103,$C$8:C237),"")</f>
        <v/>
      </c>
      <c r="B237" s="226">
        <v>43223</v>
      </c>
      <c r="C237" s="216"/>
      <c r="D237" s="216" t="str">
        <f>IF(C237&lt;&gt;"",VLOOKUP(C237,[1]DSKH!B:E,2,0),"")</f>
        <v/>
      </c>
      <c r="E237" s="215"/>
      <c r="F237" s="216"/>
      <c r="G237" s="216" t="str">
        <f>IF(C237&lt;&gt;"",VLOOKUP(C237,DSKH!B:E,3,0),"")</f>
        <v/>
      </c>
      <c r="H237" s="222">
        <v>1098818396</v>
      </c>
      <c r="I237" s="217"/>
      <c r="J237" s="224"/>
      <c r="K237" s="216" t="str">
        <f>IF(C237&lt;&gt;"",VLOOKUP(C237,[1]DSKH!B:E,4,0),"")</f>
        <v/>
      </c>
      <c r="L237" s="216"/>
      <c r="M237" s="216" t="str">
        <f t="shared" si="5"/>
        <v>- 1098818396 -MAY 03-</v>
      </c>
      <c r="N237" s="271" t="str">
        <f t="shared" ca="1" si="6"/>
        <v/>
      </c>
    </row>
    <row r="238" spans="1:14" ht="55.2">
      <c r="A238" s="216">
        <f>IF(C238&lt;&gt;"",SUBTOTAL(103,$C$8:C238),"")</f>
        <v>138</v>
      </c>
      <c r="B238" s="226">
        <v>43223</v>
      </c>
      <c r="C238" s="216" t="s">
        <v>347</v>
      </c>
      <c r="D238" s="216" t="str">
        <f>IF(C238&lt;&gt;"",VLOOKUP(C238,[1]DSKH!B:E,2,0),"")</f>
        <v>KHU 6, THI CAU, BAC NINH</v>
      </c>
      <c r="E238" s="215">
        <v>1</v>
      </c>
      <c r="F238" s="216"/>
      <c r="G238" s="216" t="str">
        <f>IF(C238&lt;&gt;"",VLOOKUP(C238,DSKH!B:E,3,0),"")</f>
        <v>BILL SERIM GIAO HANG TRC
BILL YA SAINT CHUNG CTU</v>
      </c>
      <c r="H238" s="222">
        <v>1098500479</v>
      </c>
      <c r="I238" s="217"/>
      <c r="J238" s="224" t="s">
        <v>3189</v>
      </c>
      <c r="K238" s="216">
        <f>IF(C238&lt;&gt;"",VLOOKUP(C238,[1]DSKH!B:E,4,0),"")</f>
        <v>0</v>
      </c>
      <c r="L238" s="216">
        <v>28</v>
      </c>
      <c r="M238" s="216" t="str">
        <f t="shared" si="5"/>
        <v>DAP CAU- 1098500479 -MAY 03-na002185315</v>
      </c>
      <c r="N238" s="271">
        <f t="shared" ca="1" si="6"/>
        <v>44254.384610648151</v>
      </c>
    </row>
    <row r="239" spans="1:14" ht="41.4">
      <c r="A239" s="216">
        <f>IF(C239&lt;&gt;"",SUBTOTAL(103,$C$8:C239),"")</f>
        <v>139</v>
      </c>
      <c r="B239" s="226">
        <v>43223</v>
      </c>
      <c r="C239" s="216" t="s">
        <v>1624</v>
      </c>
      <c r="D239" s="216" t="str">
        <f>IF(C239&lt;&gt;"",VLOOKUP(C239,[1]DSKH!B:E,2,0),"")</f>
        <v>KHU 4A, THI TRAN NGO DONG, GIAO THUY, NẠM DINH</v>
      </c>
      <c r="E239" s="215">
        <v>1</v>
      </c>
      <c r="F239" s="216"/>
      <c r="G239" s="216">
        <f>IF(C239&lt;&gt;"",VLOOKUP(C239,DSKH!B:E,3,0),"")</f>
        <v>0</v>
      </c>
      <c r="H239" s="222">
        <v>1097402907</v>
      </c>
      <c r="I239" s="217"/>
      <c r="J239" s="224" t="s">
        <v>3190</v>
      </c>
      <c r="K239" s="216" t="str">
        <f>IF(C239&lt;&gt;"",VLOOKUP(C239,[1]DSKH!B:E,4,0),"")</f>
        <v>MS LINH: 0944801718</v>
      </c>
      <c r="L239" s="216">
        <v>0.4</v>
      </c>
      <c r="M239" s="216" t="str">
        <f t="shared" si="5"/>
        <v>PRO SPORTS- 1097402907 -MAY 03-na002185316</v>
      </c>
      <c r="N239" s="271">
        <f t="shared" ca="1" si="6"/>
        <v>44254.384610648151</v>
      </c>
    </row>
    <row r="240" spans="1:14" ht="41.4">
      <c r="A240" s="216">
        <f>IF(C240&lt;&gt;"",SUBTOTAL(103,$C$8:C240),"")</f>
        <v>140</v>
      </c>
      <c r="B240" s="226">
        <v>43223</v>
      </c>
      <c r="C240" s="216" t="s">
        <v>2334</v>
      </c>
      <c r="D240" s="216" t="str">
        <f>IF(C240&lt;&gt;"",VLOOKUP(C240,[1]DSKH!B:E,2,0),"")</f>
        <v>Khu 6, Go Don, Xa Huong Lung, Huyen Cam Khe, , Tinh Phu tho</v>
      </c>
      <c r="E240" s="215">
        <v>3</v>
      </c>
      <c r="F240" s="216"/>
      <c r="G240" s="216">
        <f>IF(C240&lt;&gt;"",VLOOKUP(C240,DSKH!B:E,3,0),"")</f>
        <v>0</v>
      </c>
      <c r="H240" s="222">
        <v>1098709300</v>
      </c>
      <c r="I240" s="217"/>
      <c r="J240" s="224" t="s">
        <v>3191</v>
      </c>
      <c r="K240" s="216">
        <f>IF(C240&lt;&gt;"",VLOOKUP(C240,[1]DSKH!B:E,4,0),"")</f>
        <v>0</v>
      </c>
      <c r="L240" s="216">
        <f>8.2+0.7</f>
        <v>8.8999999999999986</v>
      </c>
      <c r="M240" s="216" t="str">
        <f t="shared" si="5"/>
        <v>VINA CKGF- 1098709300 -MAY 03-na002184907</v>
      </c>
      <c r="N240" s="271">
        <f t="shared" ca="1" si="6"/>
        <v>44254.384610648151</v>
      </c>
    </row>
    <row r="241" spans="1:14">
      <c r="A241" s="216" t="str">
        <f>IF(C241&lt;&gt;"",SUBTOTAL(103,$C$8:C241),"")</f>
        <v/>
      </c>
      <c r="B241" s="226">
        <v>43223</v>
      </c>
      <c r="C241" s="216"/>
      <c r="D241" s="216" t="str">
        <f>IF(C241&lt;&gt;"",VLOOKUP(C241,[1]DSKH!B:E,2,0),"")</f>
        <v/>
      </c>
      <c r="E241" s="215"/>
      <c r="F241" s="216"/>
      <c r="G241" s="216" t="str">
        <f>IF(C241&lt;&gt;"",VLOOKUP(C241,DSKH!B:E,3,0),"")</f>
        <v/>
      </c>
      <c r="H241" s="222">
        <v>1098690667</v>
      </c>
      <c r="I241" s="217"/>
      <c r="J241" s="224"/>
      <c r="K241" s="216" t="str">
        <f>IF(C241&lt;&gt;"",VLOOKUP(C241,[1]DSKH!B:E,4,0),"")</f>
        <v/>
      </c>
      <c r="L241" s="216"/>
      <c r="M241" s="216" t="str">
        <f t="shared" si="5"/>
        <v>- 1098690667 -MAY 03-</v>
      </c>
      <c r="N241" s="271" t="str">
        <f t="shared" ca="1" si="6"/>
        <v/>
      </c>
    </row>
    <row r="242" spans="1:14" ht="41.4">
      <c r="A242" s="216">
        <f>IF(C242&lt;&gt;"",SUBTOTAL(103,$C$8:C242),"")</f>
        <v>141</v>
      </c>
      <c r="B242" s="226">
        <v>43223</v>
      </c>
      <c r="C242" s="216" t="s">
        <v>2608</v>
      </c>
      <c r="D242" s="216" t="str">
        <f>IF(C242&lt;&gt;"",VLOOKUP(C242,[1]DSKH!B:E,2,0),"")</f>
        <v>LOC TRU, TIEN THANG, TIEN LANG, HAI PHONG</v>
      </c>
      <c r="E242" s="215">
        <v>2</v>
      </c>
      <c r="F242" s="216"/>
      <c r="G242" s="216">
        <f>IF(C242&lt;&gt;"",VLOOKUP(C242,DSKH!B:E,3,0),"")</f>
        <v>0</v>
      </c>
      <c r="H242" s="222">
        <v>1098172814</v>
      </c>
      <c r="I242" s="217"/>
      <c r="J242" s="224" t="s">
        <v>3192</v>
      </c>
      <c r="K242" s="216">
        <f>IF(C242&lt;&gt;"",VLOOKUP(C242,[1]DSKH!B:E,4,0),"")</f>
        <v>0</v>
      </c>
      <c r="L242" s="216">
        <f>3.8+0.65</f>
        <v>4.45</v>
      </c>
      <c r="M242" s="216" t="str">
        <f t="shared" si="5"/>
        <v>EVERGREEN SHOES- 1098172814 -MAY 03-na002184908</v>
      </c>
      <c r="N242" s="271">
        <f t="shared" ca="1" si="6"/>
        <v>44254.384610648151</v>
      </c>
    </row>
    <row r="243" spans="1:14">
      <c r="A243" s="216" t="str">
        <f>IF(C243&lt;&gt;"",SUBTOTAL(103,$C$8:C243),"")</f>
        <v/>
      </c>
      <c r="B243" s="226">
        <v>43223</v>
      </c>
      <c r="C243" s="216"/>
      <c r="D243" s="216" t="str">
        <f>IF(C243&lt;&gt;"",VLOOKUP(C243,[1]DSKH!B:E,2,0),"")</f>
        <v/>
      </c>
      <c r="E243" s="215"/>
      <c r="F243" s="216"/>
      <c r="G243" s="216" t="str">
        <f>IF(C243&lt;&gt;"",VLOOKUP(C243,DSKH!B:E,3,0),"")</f>
        <v/>
      </c>
      <c r="H243" s="222">
        <v>1098500255</v>
      </c>
      <c r="I243" s="217"/>
      <c r="J243" s="224"/>
      <c r="K243" s="216" t="str">
        <f>IF(C243&lt;&gt;"",VLOOKUP(C243,[1]DSKH!B:E,4,0),"")</f>
        <v/>
      </c>
      <c r="L243" s="216"/>
      <c r="M243" s="216" t="str">
        <f t="shared" si="5"/>
        <v>- 1098500255 -MAY 03-</v>
      </c>
      <c r="N243" s="271" t="str">
        <f t="shared" ca="1" si="6"/>
        <v/>
      </c>
    </row>
    <row r="244" spans="1:14" ht="41.4">
      <c r="A244" s="216">
        <f>IF(C244&lt;&gt;"",SUBTOTAL(103,$C$8:C244),"")</f>
        <v>142</v>
      </c>
      <c r="B244" s="226">
        <v>43223</v>
      </c>
      <c r="C244" s="216" t="s">
        <v>2929</v>
      </c>
      <c r="D244" s="216" t="str">
        <f>IF(C244&lt;&gt;"",VLOOKUP(C244,[1]DSKH!B:E,2,0),"")</f>
        <v>Doan Bai Commune- Hiep Hoa Dist
 Bac Giang Province</v>
      </c>
      <c r="E244" s="215">
        <v>2</v>
      </c>
      <c r="F244" s="216"/>
      <c r="G244" s="216">
        <f>IF(C244&lt;&gt;"",VLOOKUP(C244,DSKH!B:E,3,0),"")</f>
        <v>0</v>
      </c>
      <c r="H244" s="222">
        <v>1098141324</v>
      </c>
      <c r="I244" s="217"/>
      <c r="J244" s="224" t="s">
        <v>3193</v>
      </c>
      <c r="K244" s="216" t="str">
        <f>IF(C244&lt;&gt;"",VLOOKUP(C244,[1]DSKH!B:E,4,0),"")</f>
        <v>MS.NA: 097 8894 809</v>
      </c>
      <c r="L244" s="216">
        <f>1.48</f>
        <v>1.48</v>
      </c>
      <c r="M244" s="216" t="str">
        <f t="shared" si="5"/>
        <v>HA PHONG 1- 1098141324 -MAY 03-na002184905</v>
      </c>
      <c r="N244" s="271">
        <f t="shared" ca="1" si="6"/>
        <v>44254.384610648151</v>
      </c>
    </row>
    <row r="245" spans="1:14" ht="27.6">
      <c r="A245" s="216">
        <f>IF(C245&lt;&gt;"",SUBTOTAL(103,$C$8:C245),"")</f>
        <v>143</v>
      </c>
      <c r="B245" s="226">
        <v>43223</v>
      </c>
      <c r="C245" s="216" t="s">
        <v>1585</v>
      </c>
      <c r="D245" s="216" t="str">
        <f>IF(C245&lt;&gt;"",VLOOKUP(C245,[1]DSKH!B:E,2,0),"")</f>
        <v xml:space="preserve"> KCN HOA KHANH Q.LIEN CHIEU, TP. DA NANG</v>
      </c>
      <c r="E245" s="215">
        <v>1</v>
      </c>
      <c r="F245" s="216"/>
      <c r="G245" s="216">
        <f>IF(C245&lt;&gt;"",VLOOKUP(C245,DSKH!B:E,3,0),"")</f>
        <v>0</v>
      </c>
      <c r="H245" s="222">
        <v>1098173407</v>
      </c>
      <c r="I245" s="217"/>
      <c r="J245" s="224" t="s">
        <v>3194</v>
      </c>
      <c r="K245" s="216" t="str">
        <f>IF(C245&lt;&gt;"",VLOOKUP(C245,[1]DSKH!B:E,4,0),"")</f>
        <v>HUONG 01208361859</v>
      </c>
      <c r="L245" s="216">
        <v>0.3</v>
      </c>
      <c r="M245" s="216" t="str">
        <f t="shared" si="5"/>
        <v>PI VINA DANANG- 1098173407 -MAY 03-na002184906</v>
      </c>
      <c r="N245" s="271">
        <f t="shared" ca="1" si="6"/>
        <v>44254.384610648151</v>
      </c>
    </row>
    <row r="246" spans="1:14" ht="41.4">
      <c r="A246" s="216">
        <f>IF(C246&lt;&gt;"",SUBTOTAL(103,$C$8:C246),"")</f>
        <v>144</v>
      </c>
      <c r="B246" s="226">
        <v>43223</v>
      </c>
      <c r="C246" s="216" t="s">
        <v>330</v>
      </c>
      <c r="D246" s="216" t="str">
        <f>IF(C246&lt;&gt;"",VLOOKUP(C246,[1]DSKH!B:E,2,0),"")</f>
        <v>NHAM SON, XA YEN LU, HUYEN YEN DUNG, BAC GIANG</v>
      </c>
      <c r="E246" s="215">
        <v>1</v>
      </c>
      <c r="F246" s="216"/>
      <c r="G246" s="216">
        <f>IF(C246&lt;&gt;"",VLOOKUP(C246,DSKH!B:E,3,0),"")</f>
        <v>0</v>
      </c>
      <c r="H246" s="222">
        <v>1098174561</v>
      </c>
      <c r="I246" s="217"/>
      <c r="J246" s="224" t="s">
        <v>3195</v>
      </c>
      <c r="K246" s="216">
        <f>IF(C246&lt;&gt;"",VLOOKUP(C246,[1]DSKH!B:E,4,0),"")</f>
        <v>0</v>
      </c>
      <c r="L246" s="216">
        <v>2.5</v>
      </c>
      <c r="M246" s="216" t="str">
        <f t="shared" si="5"/>
        <v>DAEHAN GLOBAL- 1098174561 -MAY 03-na002184903</v>
      </c>
      <c r="N246" s="271">
        <f t="shared" ca="1" si="6"/>
        <v>44254.384610648151</v>
      </c>
    </row>
    <row r="247" spans="1:14" ht="41.4">
      <c r="A247" s="216">
        <f>IF(C247&lt;&gt;"",SUBTOTAL(103,$C$8:C247),"")</f>
        <v>145</v>
      </c>
      <c r="B247" s="226">
        <v>43223</v>
      </c>
      <c r="C247" s="216" t="s">
        <v>2624</v>
      </c>
      <c r="D247" s="216" t="str">
        <f>IF(C247&lt;&gt;"",VLOOKUP(C247,[1]DSKH!B:E,2,0),"")</f>
        <v>Ke Village, Minh Duc Commune, Viet Yen District, BAC GIANG</v>
      </c>
      <c r="E247" s="215">
        <v>1</v>
      </c>
      <c r="F247" s="216"/>
      <c r="G247" s="216">
        <f>IF(C247&lt;&gt;"",VLOOKUP(C247,DSKH!B:E,3,0),"")</f>
        <v>0</v>
      </c>
      <c r="H247" s="222">
        <v>1097964390</v>
      </c>
      <c r="I247" s="217"/>
      <c r="J247" s="224" t="s">
        <v>3196</v>
      </c>
      <c r="K247" s="216" t="str">
        <f>IF(C247&lt;&gt;"",VLOOKUP(C247,[1]DSKH!B:E,4,0),"")</f>
        <v>Nguyen Huy Minh - 84-240-3875 555</v>
      </c>
      <c r="L247" s="216">
        <v>1.4</v>
      </c>
      <c r="M247" s="216" t="str">
        <f t="shared" si="5"/>
        <v>MINH DUC- 1097964390 -MAY 03-na002184904</v>
      </c>
      <c r="N247" s="271">
        <f t="shared" ca="1" si="6"/>
        <v>44254.384610648151</v>
      </c>
    </row>
    <row r="248" spans="1:14" ht="41.4">
      <c r="A248" s="216">
        <f>IF(C248&lt;&gt;"",SUBTOTAL(103,$C$8:C248),"")</f>
        <v>146</v>
      </c>
      <c r="B248" s="226">
        <v>43223</v>
      </c>
      <c r="C248" s="216" t="s">
        <v>2669</v>
      </c>
      <c r="D248" s="216" t="str">
        <f>IF(C248&lt;&gt;"",VLOOKUP(C248,[1]DSKH!B:E,2,0),"")</f>
        <v>So 35 Chua Thong- Son Loc-Son Tay -Ha Noi</v>
      </c>
      <c r="E248" s="215">
        <v>12</v>
      </c>
      <c r="F248" s="216"/>
      <c r="G248" s="216">
        <f>IF(C248&lt;&gt;"",VLOOKUP(C248,DSKH!B:E,3,0),"")</f>
        <v>0</v>
      </c>
      <c r="H248" s="222">
        <v>1098690199</v>
      </c>
      <c r="I248" s="217"/>
      <c r="J248" s="224" t="s">
        <v>3197</v>
      </c>
      <c r="K248" s="216" t="str">
        <f>IF(C248&lt;&gt;"",VLOOKUP(C248,[1]DSKH!B:E,4,0),"")</f>
        <v>ANH HAI 0975602247</v>
      </c>
      <c r="L248" s="216">
        <f>19.6+3.5+9.2+4.7+11.5+3+19+5.4+18+8.9+6.8+9.4</f>
        <v>119.00000000000001</v>
      </c>
      <c r="M248" s="216" t="str">
        <f t="shared" si="5"/>
        <v>3/2 JOINT STOCK COMPANY- 1098690199 -MAY 03-na002184901</v>
      </c>
      <c r="N248" s="271">
        <f t="shared" ca="1" si="6"/>
        <v>44254.384610648151</v>
      </c>
    </row>
    <row r="249" spans="1:14" ht="27.6">
      <c r="A249" s="216">
        <f>IF(C249&lt;&gt;"",SUBTOTAL(103,$C$8:C249),"")</f>
        <v>147</v>
      </c>
      <c r="B249" s="226">
        <v>43223</v>
      </c>
      <c r="C249" s="216" t="s">
        <v>3198</v>
      </c>
      <c r="D249" s="216" t="s">
        <v>3199</v>
      </c>
      <c r="E249" s="215">
        <v>15</v>
      </c>
      <c r="F249" s="216"/>
      <c r="G249" s="216">
        <f>IF(C249&lt;&gt;"",VLOOKUP(C249,DSKH!B:E,3,0),"")</f>
        <v>0</v>
      </c>
      <c r="H249" s="222">
        <v>1098690198</v>
      </c>
      <c r="I249" s="217"/>
      <c r="J249" s="224" t="s">
        <v>3201</v>
      </c>
      <c r="K249" s="216" t="s">
        <v>3200</v>
      </c>
      <c r="L249" s="216">
        <f>4+18.6+11+9+7.4+2*19+11.2+21+7+18.6+18.2+2.6+19+19</f>
        <v>204.6</v>
      </c>
      <c r="M249" s="216" t="str">
        <f t="shared" si="5"/>
        <v>CP 3/2-BQP- 1098690198 -MAY 03-na002184902</v>
      </c>
      <c r="N249" s="271">
        <f t="shared" ca="1" si="6"/>
        <v>44254.384610648151</v>
      </c>
    </row>
    <row r="250" spans="1:14" ht="41.4">
      <c r="A250" s="216">
        <f>IF(C250&lt;&gt;"",SUBTOTAL(103,$C$8:C250),"")</f>
        <v>148</v>
      </c>
      <c r="B250" s="226">
        <v>43223</v>
      </c>
      <c r="C250" s="216" t="s">
        <v>897</v>
      </c>
      <c r="D250" s="216" t="str">
        <f>IF(C250&lt;&gt;"",VLOOKUP(C250,[1]DSKH!B:E,2,0),"")</f>
        <v>HO GUOM PLAZA 102 TRAN PHU MO LAO HA DONG, HA NOI</v>
      </c>
      <c r="E250" s="215">
        <v>2</v>
      </c>
      <c r="F250" s="216"/>
      <c r="G250" s="216">
        <f>IF(C250&lt;&gt;"",VLOOKUP(C250,DSKH!B:E,3,0),"")</f>
        <v>0</v>
      </c>
      <c r="H250" s="222">
        <v>1098723521</v>
      </c>
      <c r="I250" s="217"/>
      <c r="J250" s="224" t="s">
        <v>3202</v>
      </c>
      <c r="K250" s="216">
        <f>IF(C250&lt;&gt;"",VLOOKUP(C250,[1]DSKH!B:E,4,0),"")</f>
        <v>0</v>
      </c>
      <c r="L250" s="216">
        <f>4.8+4.34</f>
        <v>9.14</v>
      </c>
      <c r="M250" s="216" t="str">
        <f t="shared" si="5"/>
        <v>HO GUOM HA DONG- 1098723521 -MAY 03-na002184899</v>
      </c>
      <c r="N250" s="271">
        <f t="shared" ca="1" si="6"/>
        <v>44254.384610648151</v>
      </c>
    </row>
    <row r="251" spans="1:14">
      <c r="A251" s="216" t="str">
        <f>IF(C251&lt;&gt;"",SUBTOTAL(103,$C$8:C251),"")</f>
        <v/>
      </c>
      <c r="B251" s="226">
        <v>43223</v>
      </c>
      <c r="C251" s="216"/>
      <c r="D251" s="216" t="str">
        <f>IF(C251&lt;&gt;"",VLOOKUP(C251,[1]DSKH!B:E,2,0),"")</f>
        <v/>
      </c>
      <c r="E251" s="215"/>
      <c r="F251" s="216"/>
      <c r="G251" s="216" t="str">
        <f>IF(C251&lt;&gt;"",VLOOKUP(C251,DSKH!B:E,3,0),"")</f>
        <v/>
      </c>
      <c r="H251" s="222">
        <v>1098690197</v>
      </c>
      <c r="I251" s="217"/>
      <c r="J251" s="224"/>
      <c r="K251" s="216" t="str">
        <f>IF(C251&lt;&gt;"",VLOOKUP(C251,[1]DSKH!B:E,4,0),"")</f>
        <v/>
      </c>
      <c r="L251" s="216"/>
      <c r="M251" s="216" t="str">
        <f t="shared" si="5"/>
        <v>- 1098690197 -MAY 03-</v>
      </c>
      <c r="N251" s="271" t="str">
        <f t="shared" ca="1" si="6"/>
        <v/>
      </c>
    </row>
    <row r="252" spans="1:14" ht="41.4">
      <c r="A252" s="216">
        <f>IF(C252&lt;&gt;"",SUBTOTAL(103,$C$8:C252),"")</f>
        <v>149</v>
      </c>
      <c r="B252" s="226">
        <v>43223</v>
      </c>
      <c r="C252" s="216" t="s">
        <v>825</v>
      </c>
      <c r="D252" s="216" t="str">
        <f>IF(C252&lt;&gt;"",VLOOKUP(C252,[1]DSKH!B:E,2,0),"")</f>
        <v>KCN NAM SACH- HAI DUONG</v>
      </c>
      <c r="E252" s="215">
        <v>1</v>
      </c>
      <c r="F252" s="216" t="s">
        <v>3203</v>
      </c>
      <c r="G252" s="216" t="str">
        <f>IF(C252&lt;&gt;"",VLOOKUP(C252,DSKH!B:E,3,0),"")</f>
        <v>hang chung ctu</v>
      </c>
      <c r="H252" s="222">
        <v>1096596404</v>
      </c>
      <c r="I252" s="217"/>
      <c r="J252" s="224" t="s">
        <v>3204</v>
      </c>
      <c r="K252" s="216" t="str">
        <f>IF(C252&lt;&gt;"",VLOOKUP(C252,[1]DSKH!B:E,4,0),"")</f>
        <v>LAN ANH: 0915175682</v>
      </c>
      <c r="L252" s="216">
        <v>16.2</v>
      </c>
      <c r="M252" s="216" t="str">
        <f t="shared" si="5"/>
        <v>HAI VINA NAM SACH- 1096596404 -MAY 03-na002184900</v>
      </c>
      <c r="N252" s="271">
        <f t="shared" ca="1" si="6"/>
        <v>44254.384610648151</v>
      </c>
    </row>
    <row r="253" spans="1:14" ht="55.2">
      <c r="A253" s="216">
        <f>IF(C253&lt;&gt;"",SUBTOTAL(103,$C$8:C253),"")</f>
        <v>150</v>
      </c>
      <c r="B253" s="226">
        <v>43223</v>
      </c>
      <c r="C253" s="216" t="s">
        <v>2523</v>
      </c>
      <c r="D253" s="216" t="str">
        <f>IF(C253&lt;&gt;"",VLOOKUP(C253,[1]DSKH!B:E,2,0),"")</f>
        <v>NO F5, F6, F7, F8, F9, F10 KCN BAC DONG PHU, TAN PHU, DONG PHU, BINH PHUOC</v>
      </c>
      <c r="E253" s="215">
        <v>1</v>
      </c>
      <c r="F253" s="216" t="s">
        <v>2090</v>
      </c>
      <c r="G253" s="216" t="str">
        <f>IF(C253&lt;&gt;"",VLOOKUP(C253,DSKH!B:E,3,0),"")</f>
        <v>CTU</v>
      </c>
      <c r="H253" s="222" t="s">
        <v>3205</v>
      </c>
      <c r="I253" s="217" t="s">
        <v>2860</v>
      </c>
      <c r="J253" s="224" t="s">
        <v>3206</v>
      </c>
      <c r="K253" s="216" t="str">
        <f>IF(C253&lt;&gt;"",VLOOKUP(C253,[1]DSKH!B:E,4,0),"")</f>
        <v>QUYNH ANH: 0935 471 807</v>
      </c>
      <c r="L253" s="216">
        <v>0.3</v>
      </c>
      <c r="M253" s="216" t="str">
        <f t="shared" si="5"/>
        <v>YAKJIN SAIGON- HB 23928262-1 -MAY 03-na002184897</v>
      </c>
      <c r="N253" s="271">
        <f t="shared" ca="1" si="6"/>
        <v>44254.384610648151</v>
      </c>
    </row>
    <row r="254" spans="1:14" ht="41.4">
      <c r="A254" s="216">
        <f>IF(C254&lt;&gt;"",SUBTOTAL(103,$C$8:C254),"")</f>
        <v>151</v>
      </c>
      <c r="B254" s="226">
        <v>43223</v>
      </c>
      <c r="C254" s="216" t="s">
        <v>2324</v>
      </c>
      <c r="D254" s="216" t="str">
        <f>IF(C254&lt;&gt;"",VLOOKUP(C254,[1]DSKH!B:E,2,0),"")</f>
        <v>Lo B3-B4, khu cong nghiep Giao Long, CHAU THANH BEN TRE</v>
      </c>
      <c r="E254" s="215">
        <v>2</v>
      </c>
      <c r="F254" s="216" t="s">
        <v>2090</v>
      </c>
      <c r="G254" s="216">
        <f>IF(C254&lt;&gt;"",VLOOKUP(C254,DSKH!B:E,3,0),"")</f>
        <v>0</v>
      </c>
      <c r="H254" s="222">
        <v>1098859280</v>
      </c>
      <c r="I254" s="217" t="s">
        <v>2860</v>
      </c>
      <c r="J254" s="224" t="s">
        <v>3207</v>
      </c>
      <c r="K254" s="216">
        <f>IF(C254&lt;&gt;"",VLOOKUP(C254,[1]DSKH!B:E,4,0),"")</f>
        <v>0</v>
      </c>
      <c r="L254" s="216">
        <f>3.3+0.35</f>
        <v>3.65</v>
      </c>
      <c r="M254" s="216" t="str">
        <f t="shared" si="5"/>
        <v>VIET THANH- 1098859280 -MAY 03-na002184898</v>
      </c>
      <c r="N254" s="271">
        <f t="shared" ca="1" si="6"/>
        <v>44254.384610648151</v>
      </c>
    </row>
    <row r="255" spans="1:14" ht="41.4">
      <c r="A255" s="216">
        <f>IF(C255&lt;&gt;"",SUBTOTAL(103,$C$8:C255),"")</f>
        <v>152</v>
      </c>
      <c r="B255" s="226">
        <v>43223</v>
      </c>
      <c r="C255" s="216" t="s">
        <v>744</v>
      </c>
      <c r="D255" s="216" t="str">
        <f>IF(C255&lt;&gt;"",VLOOKUP(C255,[1]DSKH!B:E,2,0),"")</f>
        <v>NGA TU DINH TRAM-HONG THAI-VIET YEN-BAC GIANG</v>
      </c>
      <c r="E255" s="215">
        <v>6</v>
      </c>
      <c r="F255" s="216"/>
      <c r="G255" s="216">
        <f>IF(C255&lt;&gt;"",VLOOKUP(C255,DSKH!B:E,3,0),"")</f>
        <v>0</v>
      </c>
      <c r="H255" s="222">
        <v>1098882891</v>
      </c>
      <c r="I255" s="217" t="s">
        <v>2860</v>
      </c>
      <c r="J255" s="224" t="s">
        <v>3208</v>
      </c>
      <c r="K255" s="216" t="str">
        <f>IF(C255&lt;&gt;"",VLOOKUP(C255,[1]DSKH!B:E,4,0),"")</f>
        <v>Giao Ha Bac 1 - Mr.Thanh: 0978.491.357/ Mr. Duong: 0936.228.933</v>
      </c>
      <c r="L255" s="216">
        <f>4.8+1+1+5.8+0.86+1.1+0</f>
        <v>14.559999999999999</v>
      </c>
      <c r="M255" s="216" t="str">
        <f t="shared" si="5"/>
        <v>HA BAC 1- 1098882891 -MAY 03-na002184895</v>
      </c>
      <c r="N255" s="271">
        <f t="shared" ca="1" si="6"/>
        <v>44254.384610648151</v>
      </c>
    </row>
    <row r="256" spans="1:14" ht="41.4">
      <c r="A256" s="216">
        <f>IF(C256&lt;&gt;"",SUBTOTAL(103,$C$8:C256),"")</f>
        <v>153</v>
      </c>
      <c r="B256" s="226">
        <v>43223</v>
      </c>
      <c r="C256" s="216" t="s">
        <v>1381</v>
      </c>
      <c r="D256" s="216" t="str">
        <f>IF(C256&lt;&gt;"",VLOOKUP(C256,[1]DSKH!B:E,2,0),"")</f>
        <v>PHU THAI-KIM THANH-HAI DUONG</v>
      </c>
      <c r="E256" s="215">
        <v>1</v>
      </c>
      <c r="F256" s="216"/>
      <c r="G256" s="216">
        <f>IF(C256&lt;&gt;"",VLOOKUP(C256,DSKH!B:E,3,0),"")</f>
        <v>0</v>
      </c>
      <c r="H256" s="222">
        <v>1098858585</v>
      </c>
      <c r="I256" s="217"/>
      <c r="J256" s="224" t="s">
        <v>3209</v>
      </c>
      <c r="K256" s="216" t="str">
        <f>IF(C256&lt;&gt;"",VLOOKUP(C256,[1]DSKH!B:E,4,0),"")</f>
        <v>Tel:84 -320-3560- 971 Fax:84-320- 3560- 972
ATTN: Ken</v>
      </c>
      <c r="L256" s="216">
        <v>0.28000000000000003</v>
      </c>
      <c r="M256" s="216" t="str">
        <f t="shared" si="5"/>
        <v>NAM LEE- 1098858585 -MAY 03-na002184896</v>
      </c>
      <c r="N256" s="271">
        <f t="shared" ca="1" si="6"/>
        <v>44254.384610648151</v>
      </c>
    </row>
    <row r="257" spans="1:14" ht="27.6">
      <c r="A257" s="216">
        <f>IF(C257&lt;&gt;"",SUBTOTAL(103,$C$8:C257),"")</f>
        <v>154</v>
      </c>
      <c r="B257" s="226">
        <v>43223</v>
      </c>
      <c r="C257" s="216" t="s">
        <v>2733</v>
      </c>
      <c r="D257" s="216" t="str">
        <f>IF(C257&lt;&gt;"",VLOOKUP(C257,[1]DSKH!B:E,2,0),"")</f>
        <v>KCN LAI VU, HAI DUONG</v>
      </c>
      <c r="E257" s="215">
        <v>2</v>
      </c>
      <c r="F257" s="216"/>
      <c r="G257" s="216">
        <f>IF(C257&lt;&gt;"",VLOOKUP(C257,DSKH!B:E,3,0),"")</f>
        <v>0</v>
      </c>
      <c r="H257" s="222">
        <v>1098838103</v>
      </c>
      <c r="I257" s="217"/>
      <c r="J257" s="224" t="s">
        <v>3210</v>
      </c>
      <c r="K257" s="216" t="str">
        <f>IF(C257&lt;&gt;"",VLOOKUP(C257,[1]DSKH!B:E,4,0),"")</f>
        <v>MS HUONG 0982094023</v>
      </c>
      <c r="L257" s="216">
        <f>10.6+3.9</f>
        <v>14.5</v>
      </c>
      <c r="M257" s="216" t="str">
        <f t="shared" si="5"/>
        <v>TINH LOI RALPH- 1098838103 -MAY 03-na002184893</v>
      </c>
      <c r="N257" s="271">
        <f t="shared" ca="1" si="6"/>
        <v>44254.384610648151</v>
      </c>
    </row>
    <row r="258" spans="1:14" ht="55.2">
      <c r="A258" s="216">
        <f>IF(C258&lt;&gt;"",SUBTOTAL(103,$C$8:C258),"")</f>
        <v>155</v>
      </c>
      <c r="B258" s="226">
        <v>43223</v>
      </c>
      <c r="C258" s="216" t="s">
        <v>2289</v>
      </c>
      <c r="D258" s="216" t="str">
        <f>IF(C258&lt;&gt;"",VLOOKUP(C258,[1]DSKH!B:E,2,0),"")</f>
        <v>QUYNH PHUC INDUSTRIAL PARK, PHUC THANH COMMUNE, KIMTHANH DIST</v>
      </c>
      <c r="E258" s="215">
        <v>4</v>
      </c>
      <c r="F258" s="216" t="s">
        <v>2090</v>
      </c>
      <c r="G258" s="216">
        <f>IF(C258&lt;&gt;"",VLOOKUP(C258,DSKH!B:E,3,0),"")</f>
        <v>0</v>
      </c>
      <c r="H258" s="222">
        <v>1098836129</v>
      </c>
      <c r="I258" s="217" t="s">
        <v>2860</v>
      </c>
      <c r="J258" s="224" t="s">
        <v>3211</v>
      </c>
      <c r="K258" s="216">
        <f>IF(C258&lt;&gt;"",VLOOKUP(C258,[1]DSKH!B:E,4,0),"")</f>
        <v>0</v>
      </c>
      <c r="L258" s="216">
        <f>1.68+0.7+0.66+1.9</f>
        <v>4.9399999999999995</v>
      </c>
      <c r="M258" s="216" t="str">
        <f t="shared" si="5"/>
        <v>VIET NAM CHUNG JYE- 1098836129 -MAY 03-na002184894</v>
      </c>
      <c r="N258" s="271">
        <f t="shared" ca="1" si="6"/>
        <v>44254.384610648151</v>
      </c>
    </row>
    <row r="259" spans="1:14">
      <c r="A259" s="216" t="str">
        <f>IF(C259&lt;&gt;"",SUBTOTAL(103,$C$8:C259),"")</f>
        <v/>
      </c>
      <c r="B259" s="226">
        <v>43223</v>
      </c>
      <c r="C259" s="216"/>
      <c r="D259" s="216" t="str">
        <f>IF(C259&lt;&gt;"",VLOOKUP(C259,[1]DSKH!B:E,2,0),"")</f>
        <v/>
      </c>
      <c r="E259" s="215"/>
      <c r="F259" s="216"/>
      <c r="G259" s="216" t="str">
        <f>IF(C259&lt;&gt;"",VLOOKUP(C259,DSKH!B:E,3,0),"")</f>
        <v/>
      </c>
      <c r="H259" s="222">
        <v>1098822081</v>
      </c>
      <c r="I259" s="217"/>
      <c r="J259" s="224"/>
      <c r="K259" s="216" t="str">
        <f>IF(C259&lt;&gt;"",VLOOKUP(C259,[1]DSKH!B:E,4,0),"")</f>
        <v/>
      </c>
      <c r="L259" s="216"/>
      <c r="M259" s="216" t="str">
        <f t="shared" si="5"/>
        <v>- 1098822081 -MAY 03-</v>
      </c>
      <c r="N259" s="271" t="str">
        <f t="shared" ca="1" si="6"/>
        <v/>
      </c>
    </row>
    <row r="260" spans="1:14" ht="41.4">
      <c r="A260" s="216">
        <f>IF(C260&lt;&gt;"",SUBTOTAL(103,$C$8:C260),"")</f>
        <v>156</v>
      </c>
      <c r="B260" s="226">
        <v>43223</v>
      </c>
      <c r="C260" s="216" t="s">
        <v>2092</v>
      </c>
      <c r="D260" s="216" t="str">
        <f>IF(C260&lt;&gt;"",VLOOKUP(C260,[1]DSKH!B:E,2,0),"")</f>
        <v>KCN LAI VU, HAI DUONG</v>
      </c>
      <c r="E260" s="215">
        <v>12</v>
      </c>
      <c r="F260" s="216"/>
      <c r="G260" s="216">
        <f>IF(C260&lt;&gt;"",VLOOKUP(C260,DSKH!B:E,3,0),"")</f>
        <v>0</v>
      </c>
      <c r="H260" s="222">
        <v>1098863361</v>
      </c>
      <c r="I260" s="217"/>
      <c r="J260" s="224" t="s">
        <v>3212</v>
      </c>
      <c r="K260" s="216" t="str">
        <f>IF(C260&lt;&gt;"",VLOOKUP(C260,[1]DSKH!B:E,4,0),"")</f>
        <v>HAU: 0128 833 0267</v>
      </c>
      <c r="L260" s="216">
        <f>4.9+26.2</f>
        <v>31.1</v>
      </c>
      <c r="M260" s="216" t="str">
        <f t="shared" si="5"/>
        <v>TINH LOI UNIQLO- 1098863361 -MAY 03-na002184891</v>
      </c>
      <c r="N260" s="271">
        <f t="shared" ca="1" si="6"/>
        <v>44254.384610648151</v>
      </c>
    </row>
    <row r="261" spans="1:14">
      <c r="A261" s="216" t="str">
        <f>IF(C261&lt;&gt;"",SUBTOTAL(103,$C$8:C261),"")</f>
        <v/>
      </c>
      <c r="B261" s="226">
        <v>43223</v>
      </c>
      <c r="C261" s="216"/>
      <c r="D261" s="216" t="str">
        <f>IF(C261&lt;&gt;"",VLOOKUP(C261,[1]DSKH!B:E,2,0),"")</f>
        <v/>
      </c>
      <c r="E261" s="215"/>
      <c r="F261" s="216"/>
      <c r="G261" s="216" t="str">
        <f>IF(C261&lt;&gt;"",VLOOKUP(C261,DSKH!B:E,3,0),"")</f>
        <v/>
      </c>
      <c r="H261" s="222">
        <v>1098174422</v>
      </c>
      <c r="I261" s="217"/>
      <c r="J261" s="224"/>
      <c r="K261" s="216" t="str">
        <f>IF(C261&lt;&gt;"",VLOOKUP(C261,[1]DSKH!B:E,4,0),"")</f>
        <v/>
      </c>
      <c r="L261" s="216"/>
      <c r="M261" s="216" t="str">
        <f t="shared" si="5"/>
        <v>- 1098174422 -MAY 03-</v>
      </c>
      <c r="N261" s="271" t="str">
        <f t="shared" ca="1" si="6"/>
        <v/>
      </c>
    </row>
    <row r="262" spans="1:14" ht="41.4">
      <c r="A262" s="216">
        <f>IF(C262&lt;&gt;"",SUBTOTAL(103,$C$8:C262),"")</f>
        <v>157</v>
      </c>
      <c r="B262" s="226">
        <v>43223</v>
      </c>
      <c r="C262" s="216" t="s">
        <v>2751</v>
      </c>
      <c r="D262" s="216" t="str">
        <f>IF(C262&lt;&gt;"",VLOOKUP(C262,[1]DSKH!B:E,2,0),"")</f>
        <v>KCN LAI VU, HAI DUONG</v>
      </c>
      <c r="E262" s="215">
        <v>1</v>
      </c>
      <c r="F262" s="216"/>
      <c r="G262" s="216">
        <f>IF(C262&lt;&gt;"",VLOOKUP(C262,DSKH!B:E,3,0),"")</f>
        <v>0</v>
      </c>
      <c r="H262" s="222">
        <v>1098860860</v>
      </c>
      <c r="I262" s="217"/>
      <c r="J262" s="224" t="s">
        <v>3213</v>
      </c>
      <c r="K262" s="216" t="str">
        <f>IF(C262&lt;&gt;"",VLOOKUP(C262,[1]DSKH!B:E,4,0),"")</f>
        <v>MINH 0968 536 659</v>
      </c>
      <c r="L262" s="216">
        <v>2</v>
      </c>
      <c r="M262" s="216" t="str">
        <f t="shared" si="5"/>
        <v>TINH LOI BLOCK 4- 1098860860 -MAY 03-na002184892</v>
      </c>
      <c r="N262" s="271">
        <f t="shared" ca="1" si="6"/>
        <v>44254.384610648151</v>
      </c>
    </row>
    <row r="263" spans="1:14">
      <c r="A263" s="216" t="str">
        <f>IF(C263&lt;&gt;"",SUBTOTAL(103,$C$8:C263),"")</f>
        <v/>
      </c>
      <c r="B263" s="226">
        <v>43223</v>
      </c>
      <c r="C263" s="216"/>
      <c r="D263" s="216" t="str">
        <f>IF(C263&lt;&gt;"",VLOOKUP(C263,[1]DSKH!B:E,2,0),"")</f>
        <v/>
      </c>
      <c r="E263" s="215"/>
      <c r="F263" s="216"/>
      <c r="G263" s="216" t="str">
        <f>IF(C263&lt;&gt;"",VLOOKUP(C263,DSKH!B:E,3,0),"")</f>
        <v/>
      </c>
      <c r="H263" s="222">
        <v>1098826817</v>
      </c>
      <c r="I263" s="217"/>
      <c r="J263" s="224"/>
      <c r="K263" s="216" t="str">
        <f>IF(C263&lt;&gt;"",VLOOKUP(C263,[1]DSKH!B:E,4,0),"")</f>
        <v/>
      </c>
      <c r="L263" s="216"/>
      <c r="M263" s="216" t="str">
        <f t="shared" si="5"/>
        <v>- 1098826817 -MAY 03-</v>
      </c>
      <c r="N263" s="271" t="str">
        <f t="shared" ca="1" si="6"/>
        <v/>
      </c>
    </row>
    <row r="264" spans="1:14">
      <c r="A264" s="216" t="str">
        <f>IF(C264&lt;&gt;"",SUBTOTAL(103,$C$8:C264),"")</f>
        <v/>
      </c>
      <c r="B264" s="226">
        <v>43223</v>
      </c>
      <c r="C264" s="216"/>
      <c r="D264" s="216" t="str">
        <f>IF(C264&lt;&gt;"",VLOOKUP(C264,[1]DSKH!B:E,2,0),"")</f>
        <v/>
      </c>
      <c r="E264" s="215"/>
      <c r="F264" s="216"/>
      <c r="G264" s="216" t="str">
        <f>IF(C264&lt;&gt;"",VLOOKUP(C264,DSKH!B:E,3,0),"")</f>
        <v/>
      </c>
      <c r="H264" s="222">
        <v>1098727981</v>
      </c>
      <c r="I264" s="217"/>
      <c r="J264" s="224"/>
      <c r="K264" s="216" t="str">
        <f>IF(C264&lt;&gt;"",VLOOKUP(C264,[1]DSKH!B:E,4,0),"")</f>
        <v/>
      </c>
      <c r="L264" s="216"/>
      <c r="M264" s="216" t="str">
        <f t="shared" si="5"/>
        <v>- 1098727981 -MAY 03-</v>
      </c>
      <c r="N264" s="271" t="str">
        <f t="shared" ca="1" si="6"/>
        <v/>
      </c>
    </row>
    <row r="265" spans="1:14" ht="41.4">
      <c r="A265" s="216">
        <f>IF(C265&lt;&gt;"",SUBTOTAL(103,$C$8:C265),"")</f>
        <v>158</v>
      </c>
      <c r="B265" s="226">
        <v>43223</v>
      </c>
      <c r="C265" s="216" t="s">
        <v>2701</v>
      </c>
      <c r="D265" s="216" t="str">
        <f>IF(C265&lt;&gt;"",VLOOKUP(C265,[1]DSKH!B:E,2,0),"")</f>
        <v>KCN LAI VU, HAI DUONG</v>
      </c>
      <c r="E265" s="215">
        <v>6</v>
      </c>
      <c r="F265" s="216"/>
      <c r="G265" s="216">
        <f>IF(C265&lt;&gt;"",VLOOKUP(C265,DSKH!B:E,3,0),"")</f>
        <v>0</v>
      </c>
      <c r="H265" s="222">
        <v>1098826977</v>
      </c>
      <c r="I265" s="217"/>
      <c r="J265" s="224" t="s">
        <v>3214</v>
      </c>
      <c r="K265" s="216" t="str">
        <f>IF(C265&lt;&gt;"",VLOOKUP(C265,[1]DSKH!B:E,4,0),"")</f>
        <v>MS DUNG: 0963 528 138</v>
      </c>
      <c r="L265" s="216">
        <f>2+10+14.5+13.7+14+1</f>
        <v>55.2</v>
      </c>
      <c r="M265" s="216" t="str">
        <f t="shared" si="5"/>
        <v>TINH LOI 2 OLD NAVY- 1098826977 -MAY 03-na002184889</v>
      </c>
      <c r="N265" s="271">
        <f t="shared" ca="1" si="6"/>
        <v>44254.384610648151</v>
      </c>
    </row>
    <row r="266" spans="1:14">
      <c r="A266" s="216" t="str">
        <f>IF(C266&lt;&gt;"",SUBTOTAL(103,$C$8:C266),"")</f>
        <v/>
      </c>
      <c r="B266" s="226">
        <v>43223</v>
      </c>
      <c r="C266" s="216"/>
      <c r="D266" s="216" t="str">
        <f>IF(C266&lt;&gt;"",VLOOKUP(C266,[1]DSKH!B:E,2,0),"")</f>
        <v/>
      </c>
      <c r="E266" s="215"/>
      <c r="F266" s="216"/>
      <c r="G266" s="216" t="str">
        <f>IF(C266&lt;&gt;"",VLOOKUP(C266,DSKH!B:E,3,0),"")</f>
        <v/>
      </c>
      <c r="H266" s="222">
        <v>1098836939</v>
      </c>
      <c r="I266" s="217"/>
      <c r="J266" s="224"/>
      <c r="K266" s="216" t="str">
        <f>IF(C266&lt;&gt;"",VLOOKUP(C266,[1]DSKH!B:E,4,0),"")</f>
        <v/>
      </c>
      <c r="L266" s="216"/>
      <c r="M266" s="216" t="str">
        <f t="shared" si="5"/>
        <v>- 1098836939 -MAY 03-</v>
      </c>
      <c r="N266" s="271" t="str">
        <f t="shared" ca="1" si="6"/>
        <v/>
      </c>
    </row>
    <row r="267" spans="1:14">
      <c r="A267" s="216" t="str">
        <f>IF(C267&lt;&gt;"",SUBTOTAL(103,$C$8:C267),"")</f>
        <v/>
      </c>
      <c r="B267" s="226">
        <v>43223</v>
      </c>
      <c r="C267" s="216"/>
      <c r="D267" s="216" t="str">
        <f>IF(C267&lt;&gt;"",VLOOKUP(C267,[1]DSKH!B:E,2,0),"")</f>
        <v/>
      </c>
      <c r="E267" s="215"/>
      <c r="F267" s="216"/>
      <c r="G267" s="216" t="str">
        <f>IF(C267&lt;&gt;"",VLOOKUP(C267,DSKH!B:E,3,0),"")</f>
        <v/>
      </c>
      <c r="H267" s="222">
        <v>1098836001</v>
      </c>
      <c r="I267" s="217"/>
      <c r="J267" s="224"/>
      <c r="K267" s="216" t="str">
        <f>IF(C267&lt;&gt;"",VLOOKUP(C267,[1]DSKH!B:E,4,0),"")</f>
        <v/>
      </c>
      <c r="L267" s="216"/>
      <c r="M267" s="216" t="str">
        <f t="shared" si="5"/>
        <v>- 1098836001 -MAY 03-</v>
      </c>
      <c r="N267" s="271" t="str">
        <f t="shared" ca="1" si="6"/>
        <v/>
      </c>
    </row>
    <row r="268" spans="1:14" ht="41.4">
      <c r="A268" s="216">
        <f>IF(C268&lt;&gt;"",SUBTOTAL(103,$C$8:C268),"")</f>
        <v>159</v>
      </c>
      <c r="B268" s="226">
        <v>43223</v>
      </c>
      <c r="C268" s="216" t="s">
        <v>2088</v>
      </c>
      <c r="D268" s="216" t="str">
        <f>IF(C268&lt;&gt;"",VLOOKUP(C268,[1]DSKH!B:E,2,0),"")</f>
        <v>KCN NAM SACH, HAI DUONG</v>
      </c>
      <c r="E268" s="215">
        <v>7</v>
      </c>
      <c r="F268" s="216"/>
      <c r="G268" s="216">
        <f>IF(C268&lt;&gt;"",VLOOKUP(C268,DSKH!B:E,3,0),"")</f>
        <v>0</v>
      </c>
      <c r="H268" s="222">
        <v>1098877691</v>
      </c>
      <c r="I268" s="217"/>
      <c r="J268" s="224" t="s">
        <v>3215</v>
      </c>
      <c r="K268" s="216" t="str">
        <f>IF(C268&lt;&gt;"",VLOOKUP(C268,[1]DSKH!B:E,4,0),"")</f>
        <v>HOA 0968747693</v>
      </c>
      <c r="L268" s="216">
        <f>0.4+0.4+7.2+1+0.02+0.1+0.02+2.3+11.3</f>
        <v>22.74</v>
      </c>
      <c r="M268" s="216" t="str">
        <f t="shared" si="5"/>
        <v>TINH LOI OLD NAVY- 1098877691 -MAY 03-na002184890</v>
      </c>
      <c r="N268" s="271">
        <f t="shared" ca="1" si="6"/>
        <v>44254.384610648151</v>
      </c>
    </row>
    <row r="269" spans="1:14">
      <c r="A269" s="216" t="str">
        <f>IF(C269&lt;&gt;"",SUBTOTAL(103,$C$8:C269),"")</f>
        <v/>
      </c>
      <c r="B269" s="226">
        <v>43223</v>
      </c>
      <c r="C269" s="216"/>
      <c r="D269" s="216" t="str">
        <f>IF(C269&lt;&gt;"",VLOOKUP(C269,[1]DSKH!B:E,2,0),"")</f>
        <v/>
      </c>
      <c r="E269" s="215"/>
      <c r="F269" s="216"/>
      <c r="G269" s="216" t="str">
        <f>IF(C269&lt;&gt;"",VLOOKUP(C269,DSKH!B:E,3,0),"")</f>
        <v/>
      </c>
      <c r="H269" s="222">
        <v>1098863360</v>
      </c>
      <c r="I269" s="217"/>
      <c r="J269" s="224"/>
      <c r="K269" s="216" t="str">
        <f>IF(C269&lt;&gt;"",VLOOKUP(C269,[1]DSKH!B:E,4,0),"")</f>
        <v/>
      </c>
      <c r="L269" s="216"/>
      <c r="M269" s="216" t="str">
        <f t="shared" si="5"/>
        <v>- 1098863360 -MAY 03-</v>
      </c>
      <c r="N269" s="271" t="str">
        <f t="shared" ca="1" si="6"/>
        <v/>
      </c>
    </row>
    <row r="270" spans="1:14">
      <c r="A270" s="216" t="str">
        <f>IF(C270&lt;&gt;"",SUBTOTAL(103,$C$8:C270),"")</f>
        <v/>
      </c>
      <c r="B270" s="226">
        <v>43223</v>
      </c>
      <c r="C270" s="216"/>
      <c r="D270" s="216" t="str">
        <f>IF(C270&lt;&gt;"",VLOOKUP(C270,[1]DSKH!B:E,2,0),"")</f>
        <v/>
      </c>
      <c r="E270" s="215"/>
      <c r="F270" s="216"/>
      <c r="G270" s="216" t="str">
        <f>IF(C270&lt;&gt;"",VLOOKUP(C270,DSKH!B:E,3,0),"")</f>
        <v/>
      </c>
      <c r="H270" s="222">
        <v>1098883176</v>
      </c>
      <c r="I270" s="217"/>
      <c r="J270" s="224"/>
      <c r="K270" s="216" t="str">
        <f>IF(C270&lt;&gt;"",VLOOKUP(C270,[1]DSKH!B:E,4,0),"")</f>
        <v/>
      </c>
      <c r="L270" s="216"/>
      <c r="M270" s="216" t="str">
        <f t="shared" si="5"/>
        <v>- 1098883176 -MAY 03-</v>
      </c>
      <c r="N270" s="271" t="str">
        <f t="shared" ca="1" si="6"/>
        <v/>
      </c>
    </row>
    <row r="271" spans="1:14">
      <c r="A271" s="216" t="str">
        <f>IF(C271&lt;&gt;"",SUBTOTAL(103,$C$8:C271),"")</f>
        <v/>
      </c>
      <c r="B271" s="226">
        <v>43223</v>
      </c>
      <c r="C271" s="216"/>
      <c r="D271" s="216" t="str">
        <f>IF(C271&lt;&gt;"",VLOOKUP(C271,[1]DSKH!B:E,2,0),"")</f>
        <v/>
      </c>
      <c r="E271" s="215"/>
      <c r="F271" s="216"/>
      <c r="G271" s="216" t="str">
        <f>IF(C271&lt;&gt;"",VLOOKUP(C271,DSKH!B:E,3,0),"")</f>
        <v/>
      </c>
      <c r="H271" s="222">
        <v>1098826624</v>
      </c>
      <c r="I271" s="217"/>
      <c r="J271" s="224"/>
      <c r="K271" s="216" t="str">
        <f>IF(C271&lt;&gt;"",VLOOKUP(C271,[1]DSKH!B:E,4,0),"")</f>
        <v/>
      </c>
      <c r="L271" s="216"/>
      <c r="M271" s="216" t="str">
        <f t="shared" si="5"/>
        <v>- 1098826624 -MAY 03-</v>
      </c>
      <c r="N271" s="271" t="str">
        <f t="shared" ca="1" si="6"/>
        <v/>
      </c>
    </row>
    <row r="272" spans="1:14">
      <c r="A272" s="216" t="str">
        <f>IF(C272&lt;&gt;"",SUBTOTAL(103,$C$8:C272),"")</f>
        <v/>
      </c>
      <c r="B272" s="226">
        <v>43223</v>
      </c>
      <c r="C272" s="216"/>
      <c r="D272" s="216" t="str">
        <f>IF(C272&lt;&gt;"",VLOOKUP(C272,[1]DSKH!B:E,2,0),"")</f>
        <v/>
      </c>
      <c r="E272" s="215"/>
      <c r="F272" s="216"/>
      <c r="G272" s="216" t="str">
        <f>IF(C272&lt;&gt;"",VLOOKUP(C272,DSKH!B:E,3,0),"")</f>
        <v/>
      </c>
      <c r="H272" s="222">
        <v>1098826645</v>
      </c>
      <c r="I272" s="217"/>
      <c r="J272" s="224"/>
      <c r="K272" s="216" t="str">
        <f>IF(C272&lt;&gt;"",VLOOKUP(C272,[1]DSKH!B:E,4,0),"")</f>
        <v/>
      </c>
      <c r="L272" s="216"/>
      <c r="M272" s="216" t="str">
        <f t="shared" si="5"/>
        <v>- 1098826645 -MAY 03-</v>
      </c>
      <c r="N272" s="271" t="str">
        <f t="shared" ca="1" si="6"/>
        <v/>
      </c>
    </row>
    <row r="273" spans="1:14">
      <c r="A273" s="216" t="str">
        <f>IF(C273&lt;&gt;"",SUBTOTAL(103,$C$8:C273),"")</f>
        <v/>
      </c>
      <c r="B273" s="226">
        <v>43223</v>
      </c>
      <c r="C273" s="216"/>
      <c r="D273" s="216" t="str">
        <f>IF(C273&lt;&gt;"",VLOOKUP(C273,[1]DSKH!B:E,2,0),"")</f>
        <v/>
      </c>
      <c r="E273" s="215"/>
      <c r="F273" s="216"/>
      <c r="G273" s="216" t="str">
        <f>IF(C273&lt;&gt;"",VLOOKUP(C273,DSKH!B:E,3,0),"")</f>
        <v/>
      </c>
      <c r="H273" s="222">
        <v>1098707332</v>
      </c>
      <c r="I273" s="217"/>
      <c r="J273" s="224"/>
      <c r="K273" s="216" t="str">
        <f>IF(C273&lt;&gt;"",VLOOKUP(C273,[1]DSKH!B:E,4,0),"")</f>
        <v/>
      </c>
      <c r="L273" s="216"/>
      <c r="M273" s="216" t="str">
        <f t="shared" si="5"/>
        <v>- 1098707332 -MAY 03-</v>
      </c>
      <c r="N273" s="271" t="str">
        <f t="shared" ca="1" si="6"/>
        <v/>
      </c>
    </row>
    <row r="274" spans="1:14">
      <c r="A274" s="216" t="str">
        <f>IF(C274&lt;&gt;"",SUBTOTAL(103,$C$8:C274),"")</f>
        <v/>
      </c>
      <c r="B274" s="226">
        <v>43223</v>
      </c>
      <c r="C274" s="216"/>
      <c r="D274" s="216" t="str">
        <f>IF(C274&lt;&gt;"",VLOOKUP(C274,[1]DSKH!B:E,2,0),"")</f>
        <v/>
      </c>
      <c r="E274" s="215"/>
      <c r="F274" s="216"/>
      <c r="G274" s="216" t="str">
        <f>IF(C274&lt;&gt;"",VLOOKUP(C274,DSKH!B:E,3,0),"")</f>
        <v/>
      </c>
      <c r="H274" s="222">
        <v>1098814465</v>
      </c>
      <c r="I274" s="217"/>
      <c r="J274" s="224"/>
      <c r="K274" s="216" t="str">
        <f>IF(C274&lt;&gt;"",VLOOKUP(C274,[1]DSKH!B:E,4,0),"")</f>
        <v/>
      </c>
      <c r="L274" s="216"/>
      <c r="M274" s="216" t="str">
        <f t="shared" si="5"/>
        <v>- 1098814465 -MAY 03-</v>
      </c>
      <c r="N274" s="271" t="str">
        <f t="shared" ca="1" si="6"/>
        <v/>
      </c>
    </row>
    <row r="275" spans="1:14">
      <c r="A275" s="216" t="str">
        <f>IF(C275&lt;&gt;"",SUBTOTAL(103,$C$8:C275),"")</f>
        <v/>
      </c>
      <c r="B275" s="226">
        <v>43223</v>
      </c>
      <c r="C275" s="216"/>
      <c r="D275" s="216" t="str">
        <f>IF(C275&lt;&gt;"",VLOOKUP(C275,[1]DSKH!B:E,2,0),"")</f>
        <v/>
      </c>
      <c r="E275" s="215"/>
      <c r="F275" s="216"/>
      <c r="G275" s="216" t="str">
        <f>IF(C275&lt;&gt;"",VLOOKUP(C275,DSKH!B:E,3,0),"")</f>
        <v/>
      </c>
      <c r="H275" s="222">
        <v>1098814467</v>
      </c>
      <c r="I275" s="217"/>
      <c r="J275" s="224"/>
      <c r="K275" s="216" t="str">
        <f>IF(C275&lt;&gt;"",VLOOKUP(C275,[1]DSKH!B:E,4,0),"")</f>
        <v/>
      </c>
      <c r="L275" s="216"/>
      <c r="M275" s="216" t="str">
        <f t="shared" si="5"/>
        <v>- 1098814467 -MAY 03-</v>
      </c>
      <c r="N275" s="271" t="str">
        <f t="shared" ca="1" si="6"/>
        <v/>
      </c>
    </row>
    <row r="276" spans="1:14">
      <c r="A276" s="216" t="str">
        <f>IF(C276&lt;&gt;"",SUBTOTAL(103,$C$8:C276),"")</f>
        <v/>
      </c>
      <c r="B276" s="226">
        <v>43223</v>
      </c>
      <c r="C276" s="216"/>
      <c r="D276" s="216" t="str">
        <f>IF(C276&lt;&gt;"",VLOOKUP(C276,[1]DSKH!B:E,2,0),"")</f>
        <v/>
      </c>
      <c r="E276" s="215"/>
      <c r="F276" s="216"/>
      <c r="G276" s="216" t="str">
        <f>IF(C276&lt;&gt;"",VLOOKUP(C276,DSKH!B:E,3,0),"")</f>
        <v/>
      </c>
      <c r="H276" s="222">
        <v>1098850412</v>
      </c>
      <c r="I276" s="217"/>
      <c r="J276" s="224"/>
      <c r="K276" s="216" t="str">
        <f>IF(C276&lt;&gt;"",VLOOKUP(C276,[1]DSKH!B:E,4,0),"")</f>
        <v/>
      </c>
      <c r="L276" s="216"/>
      <c r="M276" s="216" t="str">
        <f t="shared" si="5"/>
        <v>- 1098850412 -MAY 03-</v>
      </c>
      <c r="N276" s="271" t="str">
        <f t="shared" ca="1" si="6"/>
        <v/>
      </c>
    </row>
    <row r="277" spans="1:14" ht="55.2">
      <c r="A277" s="216">
        <f>IF(C277&lt;&gt;"",SUBTOTAL(103,$C$8:C277),"")</f>
        <v>160</v>
      </c>
      <c r="B277" s="226">
        <v>43223</v>
      </c>
      <c r="C277" s="216" t="s">
        <v>2074</v>
      </c>
      <c r="D277" s="216" t="str">
        <f>IF(C277&lt;&gt;"",VLOOKUP(C277,[1]DSKH!B:E,2,0),"")</f>
        <v>KCN LAI VU, HAI DUONG</v>
      </c>
      <c r="E277" s="215">
        <v>4</v>
      </c>
      <c r="F277" s="216"/>
      <c r="G277" s="216" t="str">
        <f>IF(C277&lt;&gt;"",VLOOKUP(C277,DSKH!B:E,3,0),"")</f>
        <v>HANG CHUNG CTU- NEU HANG GAP GIAO TRUOC</v>
      </c>
      <c r="H277" s="222">
        <v>1098860598</v>
      </c>
      <c r="I277" s="217"/>
      <c r="J277" s="224" t="s">
        <v>3216</v>
      </c>
      <c r="K277" s="216" t="str">
        <f>IF(C277&lt;&gt;"",VLOOKUP(C277,[1]DSKH!B:E,4,0),"")</f>
        <v>Hao 0967465293</v>
      </c>
      <c r="L277" s="216">
        <f>1.6+0.4</f>
        <v>2</v>
      </c>
      <c r="M277" s="216" t="str">
        <f t="shared" si="5"/>
        <v>TINH LOI ANN TAYLOR- 1098860598 -MAY 03-na002184887</v>
      </c>
      <c r="N277" s="271">
        <f t="shared" ca="1" si="6"/>
        <v>44254.384610648151</v>
      </c>
    </row>
    <row r="278" spans="1:14">
      <c r="A278" s="216" t="str">
        <f>IF(C278&lt;&gt;"",SUBTOTAL(103,$C$8:C278),"")</f>
        <v/>
      </c>
      <c r="B278" s="226">
        <v>43223</v>
      </c>
      <c r="C278" s="216"/>
      <c r="D278" s="216" t="str">
        <f>IF(C278&lt;&gt;"",VLOOKUP(C278,[1]DSKH!B:E,2,0),"")</f>
        <v/>
      </c>
      <c r="E278" s="215"/>
      <c r="F278" s="216"/>
      <c r="G278" s="216" t="str">
        <f>IF(C278&lt;&gt;"",VLOOKUP(C278,DSKH!B:E,3,0),"")</f>
        <v/>
      </c>
      <c r="H278" s="222">
        <v>1098823822</v>
      </c>
      <c r="I278" s="217"/>
      <c r="J278" s="224"/>
      <c r="K278" s="216" t="str">
        <f>IF(C278&lt;&gt;"",VLOOKUP(C278,[1]DSKH!B:E,4,0),"")</f>
        <v/>
      </c>
      <c r="L278" s="216"/>
      <c r="M278" s="216" t="str">
        <f t="shared" si="5"/>
        <v>- 1098823822 -MAY 03-</v>
      </c>
      <c r="N278" s="271" t="str">
        <f t="shared" ca="1" si="6"/>
        <v/>
      </c>
    </row>
    <row r="279" spans="1:14" ht="55.2">
      <c r="A279" s="216">
        <f>IF(C279&lt;&gt;"",SUBTOTAL(103,$C$8:C279),"")</f>
        <v>161</v>
      </c>
      <c r="B279" s="226">
        <v>43223</v>
      </c>
      <c r="C279" s="216" t="s">
        <v>2081</v>
      </c>
      <c r="D279" s="216" t="str">
        <f>IF(C279&lt;&gt;"",VLOOKUP(C279,[1]DSKH!B:E,2,0),"")</f>
        <v>KCN LAI VU- HAI DUONG</v>
      </c>
      <c r="E279" s="215">
        <v>6</v>
      </c>
      <c r="F279" s="216"/>
      <c r="G279" s="216" t="str">
        <f>IF(C279&lt;&gt;"",VLOOKUP(C279,DSKH!B:E,3,0),"")</f>
        <v>HANG CHUNG CTU- NEU HANG GAP GIAO TRUOC</v>
      </c>
      <c r="H279" s="222">
        <v>1098824717</v>
      </c>
      <c r="I279" s="217"/>
      <c r="J279" s="224" t="s">
        <v>3217</v>
      </c>
      <c r="K279" s="216" t="str">
        <f>IF(C279&lt;&gt;"",VLOOKUP(C279,[1]DSKH!B:E,4,0),"")</f>
        <v>MS NGA: 0987 820 658</v>
      </c>
      <c r="L279" s="216">
        <f>9.1+10.42+11.97+1.66+1.04+1.82</f>
        <v>36.01</v>
      </c>
      <c r="M279" s="216" t="str">
        <f t="shared" si="5"/>
        <v>TINH LOI JC PENNEY- 1098824717 -MAY 03-na002184888</v>
      </c>
      <c r="N279" s="271">
        <f t="shared" ca="1" si="6"/>
        <v>44254.384610648151</v>
      </c>
    </row>
    <row r="280" spans="1:14">
      <c r="A280" s="216" t="str">
        <f>IF(C280&lt;&gt;"",SUBTOTAL(103,$C$8:C280),"")</f>
        <v/>
      </c>
      <c r="B280" s="226">
        <v>43223</v>
      </c>
      <c r="C280" s="216"/>
      <c r="D280" s="216" t="str">
        <f>IF(C280&lt;&gt;"",VLOOKUP(C280,[1]DSKH!B:E,2,0),"")</f>
        <v/>
      </c>
      <c r="E280" s="215"/>
      <c r="F280" s="216"/>
      <c r="G280" s="216" t="str">
        <f>IF(C280&lt;&gt;"",VLOOKUP(C280,DSKH!B:E,3,0),"")</f>
        <v/>
      </c>
      <c r="H280" s="222">
        <v>1098883177</v>
      </c>
      <c r="I280" s="217"/>
      <c r="J280" s="224"/>
      <c r="K280" s="216" t="str">
        <f>IF(C280&lt;&gt;"",VLOOKUP(C280,[1]DSKH!B:E,4,0),"")</f>
        <v/>
      </c>
      <c r="L280" s="216"/>
      <c r="M280" s="216" t="str">
        <f t="shared" si="5"/>
        <v>- 1098883177 -MAY 03-</v>
      </c>
      <c r="N280" s="271" t="str">
        <f t="shared" ca="1" si="6"/>
        <v/>
      </c>
    </row>
    <row r="281" spans="1:14" ht="41.4">
      <c r="A281" s="216">
        <f>IF(C281&lt;&gt;"",SUBTOTAL(103,$C$8:C281),"")</f>
        <v>162</v>
      </c>
      <c r="B281" s="226">
        <v>43223</v>
      </c>
      <c r="C281" s="216" t="s">
        <v>2124</v>
      </c>
      <c r="D281" s="216" t="str">
        <f>IF(C281&lt;&gt;"",VLOOKUP(C281,[1]DSKH!B:E,2,0),"")</f>
        <v>TIEN HOI COMMUNE. DAI TU DISTRICT, THAI NGUYEN</v>
      </c>
      <c r="E281" s="215">
        <v>2</v>
      </c>
      <c r="F281" s="216" t="s">
        <v>2090</v>
      </c>
      <c r="G281" s="216">
        <f>IF(C281&lt;&gt;"",VLOOKUP(C281,DSKH!B:E,3,0),"")</f>
        <v>0</v>
      </c>
      <c r="H281" s="222">
        <v>1098818909</v>
      </c>
      <c r="I281" s="217" t="s">
        <v>2860</v>
      </c>
      <c r="J281" s="224" t="s">
        <v>3218</v>
      </c>
      <c r="K281" s="216" t="str">
        <f>IF(C281&lt;&gt;"",VLOOKUP(C281,[1]DSKH!B:E,4,0),"")</f>
        <v>Ms. Ngọc - 01693029385</v>
      </c>
      <c r="L281" s="216">
        <f>5+7.8</f>
        <v>12.8</v>
      </c>
      <c r="M281" s="216" t="str">
        <f t="shared" si="5"/>
        <v>TNG INVESTMENT- 1098818909 -MAY 03-na002184885</v>
      </c>
      <c r="N281" s="271">
        <f t="shared" ca="1" si="6"/>
        <v>44254.384610648151</v>
      </c>
    </row>
    <row r="282" spans="1:14" ht="27.6">
      <c r="A282" s="216">
        <f>IF(C282&lt;&gt;"",SUBTOTAL(103,$C$8:C282),"")</f>
        <v>163</v>
      </c>
      <c r="B282" s="226">
        <v>43223</v>
      </c>
      <c r="C282" s="216" t="s">
        <v>2546</v>
      </c>
      <c r="D282" s="216" t="str">
        <f>IF(C282&lt;&gt;"",VLOOKUP(C282,[1]DSKH!B:E,2,0),"")</f>
        <v>KCN Đồng Văn, DUy Tiên, Hà Nam</v>
      </c>
      <c r="E282" s="215">
        <v>1</v>
      </c>
      <c r="F282" s="216" t="s">
        <v>2090</v>
      </c>
      <c r="G282" s="216" t="str">
        <f>IF(C282&lt;&gt;"",VLOOKUP(C282,DSKH!B:E,3,0),"")</f>
        <v>NETCO-KHTT</v>
      </c>
      <c r="H282" s="222" t="s">
        <v>3220</v>
      </c>
      <c r="I282" s="217" t="s">
        <v>2860</v>
      </c>
      <c r="J282" s="224" t="s">
        <v>3219</v>
      </c>
      <c r="K282" s="216" t="str">
        <f>IF(C282&lt;&gt;"",VLOOKUP(C282,[1]DSKH!B:E,4,0),"")</f>
        <v>SĐT : 0918 820 286/ 0912 831 566</v>
      </c>
      <c r="L282" s="216">
        <v>0.1</v>
      </c>
      <c r="M282" s="216" t="str">
        <f t="shared" si="5"/>
        <v>YOUME- HB 24140294-1 -MAY 03-na002184886</v>
      </c>
      <c r="N282" s="271">
        <f t="shared" ca="1" si="6"/>
        <v>44254.384610648151</v>
      </c>
    </row>
    <row r="283" spans="1:14" ht="41.4">
      <c r="A283" s="216">
        <f>IF(C283&lt;&gt;"",SUBTOTAL(103,$C$8:C283),"")</f>
        <v>164</v>
      </c>
      <c r="B283" s="226">
        <v>43223</v>
      </c>
      <c r="C283" s="216" t="s">
        <v>1234</v>
      </c>
      <c r="D283" s="216" t="str">
        <f>IF(C283&lt;&gt;"",VLOOKUP(C283,[1]DSKH!B:E,2,0),"")</f>
        <v>216 TRAN THANH NGO ST-KIEN AN DIST-HAI PHONG</v>
      </c>
      <c r="E283" s="215">
        <v>1</v>
      </c>
      <c r="F283" s="216" t="s">
        <v>2090</v>
      </c>
      <c r="G283" s="216" t="str">
        <f>IF(C283&lt;&gt;"",VLOOKUP(C283,DSKH!B:E,3,0),"")</f>
        <v>cho XNK confirm-NETCO-DN#AWB
ghi so DN len Bill</v>
      </c>
      <c r="H283" s="222">
        <v>1098668436</v>
      </c>
      <c r="I283" s="217" t="s">
        <v>2860</v>
      </c>
      <c r="J283" s="224" t="s">
        <v>3221</v>
      </c>
      <c r="K283" s="216" t="str">
        <f>IF(C283&lt;&gt;"",VLOOKUP(C283,[1]DSKH!B:E,4,0),"")</f>
        <v>0169 640 1182- MS HUE</v>
      </c>
      <c r="L283" s="216">
        <v>9.3000000000000007</v>
      </c>
      <c r="M283" s="216" t="str">
        <f t="shared" si="5"/>
        <v>MAY HAI- 1098668436 -MAY 03-na002184883</v>
      </c>
      <c r="N283" s="271">
        <f t="shared" ca="1" si="6"/>
        <v>44254.384610648151</v>
      </c>
    </row>
    <row r="284" spans="1:14" ht="41.4">
      <c r="A284" s="216">
        <f>IF(C284&lt;&gt;"",SUBTOTAL(103,$C$8:C284),"")</f>
        <v>165</v>
      </c>
      <c r="B284" s="226">
        <v>43223</v>
      </c>
      <c r="C284" s="216" t="s">
        <v>2930</v>
      </c>
      <c r="D284" s="216" t="str">
        <f>IF(C284&lt;&gt;"",VLOOKUP(C284,[1]DSKH!B:E,2,0),"")</f>
        <v>Doan Bai Commune- Hiep Hoa Dist
 Bac Giang Province</v>
      </c>
      <c r="E284" s="215">
        <v>1</v>
      </c>
      <c r="F284" s="216"/>
      <c r="G284" s="216">
        <f>IF(C284&lt;&gt;"",VLOOKUP(C284,DSKH!B:E,3,0),"")</f>
        <v>0</v>
      </c>
      <c r="H284" s="222">
        <v>1098861428</v>
      </c>
      <c r="I284" s="217"/>
      <c r="J284" s="224" t="s">
        <v>3222</v>
      </c>
      <c r="K284" s="216" t="str">
        <f>IF(C284&lt;&gt;"",VLOOKUP(C284,[1]DSKH!B:E,4,0),"")</f>
        <v>GIANG: 01687887348</v>
      </c>
      <c r="L284" s="216">
        <v>0.3</v>
      </c>
      <c r="M284" s="216" t="str">
        <f t="shared" si="5"/>
        <v>HA PHONG 4- 1098861428 -MAY 03-na002184884</v>
      </c>
      <c r="N284" s="271">
        <f t="shared" ca="1" si="6"/>
        <v>44254.384610648151</v>
      </c>
    </row>
    <row r="285" spans="1:14" ht="69">
      <c r="A285" s="216">
        <f>IF(C285&lt;&gt;"",SUBTOTAL(103,$C$8:C285),"")</f>
        <v>166</v>
      </c>
      <c r="B285" s="226">
        <v>43223</v>
      </c>
      <c r="C285" s="216" t="s">
        <v>1253</v>
      </c>
      <c r="D285" s="216" t="str">
        <f>IF(C285&lt;&gt;"",VLOOKUP(C285,[1]DSKH!B:E,2,0),"")</f>
        <v>KCN TAM DIEP, TX TAM DIEP, NINH BINH</v>
      </c>
      <c r="E285" s="215">
        <f>5+19+10+1+4+1+1+2+0</f>
        <v>43</v>
      </c>
      <c r="F285" s="216" t="s">
        <v>3093</v>
      </c>
      <c r="G285" s="216" t="str">
        <f>IF(C285&lt;&gt;"",VLOOKUP(C285,DSKH!B:E,3,0),"")</f>
        <v>HANG CHUNG CTU, COMBINE GIAO HANG THU 5 HANG TUAN BANG TRUCK</v>
      </c>
      <c r="H285" s="222">
        <v>1098174097</v>
      </c>
      <c r="I285" s="217"/>
      <c r="J285" s="224" t="s">
        <v>3223</v>
      </c>
      <c r="K285" s="216" t="str">
        <f>IF(C285&lt;&gt;"",VLOOKUP(C285,[1]DSKH!B:E,4,0),"")</f>
        <v>MS LIEN: 0968 217191</v>
      </c>
      <c r="L285" s="216">
        <f>2.28+0.29+0.72+3.4+0.17+19*13+10*16.2+15+3*13.5+12.9+2.8+10+13+3.7+0</f>
        <v>513.76</v>
      </c>
      <c r="M285" s="216" t="str">
        <f t="shared" si="5"/>
        <v>MAY PHOENIX- 1098174097 -MAY 03-na002184881</v>
      </c>
      <c r="N285" s="271">
        <f t="shared" ca="1" si="6"/>
        <v>44254.384610648151</v>
      </c>
    </row>
    <row r="286" spans="1:14">
      <c r="A286" s="216" t="str">
        <f>IF(C286&lt;&gt;"",SUBTOTAL(103,$C$8:C286),"")</f>
        <v/>
      </c>
      <c r="B286" s="226">
        <v>43223</v>
      </c>
      <c r="C286" s="216"/>
      <c r="D286" s="216" t="str">
        <f>IF(C286&lt;&gt;"",VLOOKUP(C286,[1]DSKH!B:E,2,0),"")</f>
        <v/>
      </c>
      <c r="E286" s="215"/>
      <c r="F286" s="216"/>
      <c r="G286" s="216" t="str">
        <f>IF(C286&lt;&gt;"",VLOOKUP(C286,DSKH!B:E,3,0),"")</f>
        <v/>
      </c>
      <c r="H286" s="222">
        <v>1098144165</v>
      </c>
      <c r="I286" s="217"/>
      <c r="J286" s="224"/>
      <c r="K286" s="216" t="str">
        <f>IF(C286&lt;&gt;"",VLOOKUP(C286,[1]DSKH!B:E,4,0),"")</f>
        <v/>
      </c>
      <c r="L286" s="216"/>
      <c r="M286" s="216" t="str">
        <f t="shared" si="5"/>
        <v>- 1098144165 -MAY 03-</v>
      </c>
      <c r="N286" s="271" t="str">
        <f t="shared" ca="1" si="6"/>
        <v/>
      </c>
    </row>
    <row r="287" spans="1:14">
      <c r="A287" s="216" t="str">
        <f>IF(C287&lt;&gt;"",SUBTOTAL(103,$C$8:C287),"")</f>
        <v/>
      </c>
      <c r="B287" s="226">
        <v>43223</v>
      </c>
      <c r="C287" s="216"/>
      <c r="D287" s="216" t="str">
        <f>IF(C287&lt;&gt;"",VLOOKUP(C287,[1]DSKH!B:E,2,0),"")</f>
        <v/>
      </c>
      <c r="E287" s="215"/>
      <c r="F287" s="216"/>
      <c r="G287" s="216" t="str">
        <f>IF(C287&lt;&gt;"",VLOOKUP(C287,DSKH!B:E,3,0),"")</f>
        <v/>
      </c>
      <c r="H287" s="222">
        <v>1098029469</v>
      </c>
      <c r="I287" s="217"/>
      <c r="J287" s="224"/>
      <c r="K287" s="216" t="str">
        <f>IF(C287&lt;&gt;"",VLOOKUP(C287,[1]DSKH!B:E,4,0),"")</f>
        <v/>
      </c>
      <c r="L287" s="216"/>
      <c r="M287" s="216" t="str">
        <f t="shared" si="5"/>
        <v>- 1098029469 -MAY 03-</v>
      </c>
      <c r="N287" s="271" t="str">
        <f t="shared" ca="1" si="6"/>
        <v/>
      </c>
    </row>
    <row r="288" spans="1:14">
      <c r="A288" s="216" t="str">
        <f>IF(C288&lt;&gt;"",SUBTOTAL(103,$C$8:C288),"")</f>
        <v/>
      </c>
      <c r="B288" s="226">
        <v>43223</v>
      </c>
      <c r="C288" s="216"/>
      <c r="D288" s="216" t="str">
        <f>IF(C288&lt;&gt;"",VLOOKUP(C288,[1]DSKH!B:E,2,0),"")</f>
        <v/>
      </c>
      <c r="E288" s="215"/>
      <c r="F288" s="216"/>
      <c r="G288" s="216" t="str">
        <f>IF(C288&lt;&gt;"",VLOOKUP(C288,DSKH!B:E,3,0),"")</f>
        <v/>
      </c>
      <c r="H288" s="222">
        <v>1097817487</v>
      </c>
      <c r="I288" s="217"/>
      <c r="J288" s="224"/>
      <c r="K288" s="216" t="str">
        <f>IF(C288&lt;&gt;"",VLOOKUP(C288,[1]DSKH!B:E,4,0),"")</f>
        <v/>
      </c>
      <c r="L288" s="216"/>
      <c r="M288" s="216" t="str">
        <f t="shared" si="5"/>
        <v>- 1097817487 -MAY 03-</v>
      </c>
      <c r="N288" s="271" t="str">
        <f t="shared" ca="1" si="6"/>
        <v/>
      </c>
    </row>
    <row r="289" spans="1:14">
      <c r="A289" s="216" t="str">
        <f>IF(C289&lt;&gt;"",SUBTOTAL(103,$C$8:C289),"")</f>
        <v/>
      </c>
      <c r="B289" s="226">
        <v>43223</v>
      </c>
      <c r="C289" s="216"/>
      <c r="D289" s="216" t="str">
        <f>IF(C289&lt;&gt;"",VLOOKUP(C289,[1]DSKH!B:E,2,0),"")</f>
        <v/>
      </c>
      <c r="E289" s="215"/>
      <c r="F289" s="216"/>
      <c r="G289" s="216" t="str">
        <f>IF(C289&lt;&gt;"",VLOOKUP(C289,DSKH!B:E,3,0),"")</f>
        <v/>
      </c>
      <c r="H289" s="222">
        <v>1097853156</v>
      </c>
      <c r="I289" s="217"/>
      <c r="J289" s="224"/>
      <c r="K289" s="216" t="str">
        <f>IF(C289&lt;&gt;"",VLOOKUP(C289,[1]DSKH!B:E,4,0),"")</f>
        <v/>
      </c>
      <c r="L289" s="216"/>
      <c r="M289" s="216" t="str">
        <f t="shared" si="5"/>
        <v>- 1097853156 -MAY 03-</v>
      </c>
      <c r="N289" s="271" t="str">
        <f t="shared" ca="1" si="6"/>
        <v/>
      </c>
    </row>
    <row r="290" spans="1:14">
      <c r="A290" s="216" t="str">
        <f>IF(C290&lt;&gt;"",SUBTOTAL(103,$C$8:C290),"")</f>
        <v/>
      </c>
      <c r="B290" s="226">
        <v>43223</v>
      </c>
      <c r="C290" s="216"/>
      <c r="D290" s="216" t="str">
        <f>IF(C290&lt;&gt;"",VLOOKUP(C290,[1]DSKH!B:E,2,0),"")</f>
        <v/>
      </c>
      <c r="E290" s="215"/>
      <c r="F290" s="216"/>
      <c r="G290" s="216" t="str">
        <f>IF(C290&lt;&gt;"",VLOOKUP(C290,DSKH!B:E,3,0),"")</f>
        <v/>
      </c>
      <c r="H290" s="222">
        <v>1097836990</v>
      </c>
      <c r="I290" s="217"/>
      <c r="J290" s="224"/>
      <c r="K290" s="216" t="str">
        <f>IF(C290&lt;&gt;"",VLOOKUP(C290,[1]DSKH!B:E,4,0),"")</f>
        <v/>
      </c>
      <c r="L290" s="216"/>
      <c r="M290" s="216" t="str">
        <f t="shared" si="5"/>
        <v>- 1097836990 -MAY 03-</v>
      </c>
      <c r="N290" s="271" t="str">
        <f t="shared" ca="1" si="6"/>
        <v/>
      </c>
    </row>
    <row r="291" spans="1:14">
      <c r="A291" s="216" t="str">
        <f>IF(C291&lt;&gt;"",SUBTOTAL(103,$C$8:C291),"")</f>
        <v/>
      </c>
      <c r="B291" s="226">
        <v>43223</v>
      </c>
      <c r="C291" s="216"/>
      <c r="D291" s="216" t="str">
        <f>IF(C291&lt;&gt;"",VLOOKUP(C291,[1]DSKH!B:E,2,0),"")</f>
        <v/>
      </c>
      <c r="E291" s="215"/>
      <c r="F291" s="216"/>
      <c r="G291" s="216" t="str">
        <f>IF(C291&lt;&gt;"",VLOOKUP(C291,DSKH!B:E,3,0),"")</f>
        <v/>
      </c>
      <c r="H291" s="222">
        <v>1098021341</v>
      </c>
      <c r="I291" s="217"/>
      <c r="J291" s="224"/>
      <c r="K291" s="216" t="str">
        <f>IF(C291&lt;&gt;"",VLOOKUP(C291,[1]DSKH!B:E,4,0),"")</f>
        <v/>
      </c>
      <c r="L291" s="216"/>
      <c r="M291" s="216" t="str">
        <f t="shared" si="5"/>
        <v>- 1098021341 -MAY 03-</v>
      </c>
      <c r="N291" s="271" t="str">
        <f t="shared" ca="1" si="6"/>
        <v/>
      </c>
    </row>
    <row r="292" spans="1:14" ht="179.4">
      <c r="A292" s="216">
        <f>IF(C292&lt;&gt;"",SUBTOTAL(103,$C$8:C292),"")</f>
        <v>167</v>
      </c>
      <c r="B292" s="226">
        <v>43223</v>
      </c>
      <c r="C292" s="216" t="s">
        <v>2528</v>
      </c>
      <c r="D292" s="216" t="str">
        <f>IF(C292&lt;&gt;"",VLOOKUP(C292,[1]DSKH!B:E,2,0),"")</f>
        <v>Đường đê vòng, Quy Phú, Nam Hồng, Nam Trực, Nam Định</v>
      </c>
      <c r="E292" s="215">
        <v>1</v>
      </c>
      <c r="F292" s="216" t="s">
        <v>2861</v>
      </c>
      <c r="G292" s="216" t="str">
        <f>IF(C292&lt;&gt;"",VLOOKUP(C292,DSKH!B:E,3,0),"")</f>
        <v>NHAN COACH DOI CS GUI MAIL CONFIRM KH DEN LAY, NHAN CON LAI GIAO BINH THUONG, IN PACKING LIST VA BB BAN GIAO MAIL CS GIAO KEM HOA DON SAU KHI GIAO HANG 1 NGAY</v>
      </c>
      <c r="H292" s="222"/>
      <c r="I292" s="217" t="s">
        <v>3224</v>
      </c>
      <c r="J292" s="224" t="s">
        <v>3225</v>
      </c>
      <c r="K292" s="216" t="str">
        <f>IF(C292&lt;&gt;"",VLOOKUP(C292,[1]DSKH!B:E,4,0),"")</f>
        <v>Tuyen Vu (035 0391 6899)</v>
      </c>
      <c r="L292" s="216">
        <v>0.2</v>
      </c>
      <c r="M292" s="216" t="str">
        <f t="shared" si="5"/>
        <v>YAMANI-  -MAY 03-na002184882</v>
      </c>
      <c r="N292" s="271">
        <f t="shared" ca="1" si="6"/>
        <v>44254.384610648151</v>
      </c>
    </row>
    <row r="293" spans="1:14" ht="55.2">
      <c r="A293" s="216">
        <f>IF(C293&lt;&gt;"",SUBTOTAL(103,$C$8:C293),"")</f>
        <v>168</v>
      </c>
      <c r="B293" s="226">
        <v>43223</v>
      </c>
      <c r="C293" s="216" t="s">
        <v>2541</v>
      </c>
      <c r="D293" s="216" t="str">
        <f>IF(C293&lt;&gt;"",VLOOKUP(C293,[1]DSKH!B:E,2,0),"")</f>
        <v>Lot AIII - 1,5 Tan Huong IZ, Tan Huong Ward, Chau Thanh Dist, Tien Giang Province</v>
      </c>
      <c r="E293" s="215">
        <v>1</v>
      </c>
      <c r="F293" s="216"/>
      <c r="G293" s="216">
        <f>IF(C293&lt;&gt;"",VLOOKUP(C293,DSKH!B:E,3,0),"")</f>
        <v>0</v>
      </c>
      <c r="H293" s="222" t="s">
        <v>3227</v>
      </c>
      <c r="I293" s="217" t="s">
        <v>2860</v>
      </c>
      <c r="J293" s="224" t="s">
        <v>3226</v>
      </c>
      <c r="K293" s="216">
        <f>IF(C293&lt;&gt;"",VLOOKUP(C293,[1]DSKH!B:E,4,0),"")</f>
        <v>0</v>
      </c>
      <c r="L293" s="216">
        <v>0.1</v>
      </c>
      <c r="M293" s="216" t="str">
        <f t="shared" ref="M293:M352" si="7">C293&amp;"-"&amp;" "&amp;H293&amp;" "&amp;"-"&amp;"MAY"&amp;" "&amp;"03"&amp;"-"&amp;J293</f>
        <v>YMUV- 1098176582
(DI TRUOC SO#24244730) -MAY 03-na002184879</v>
      </c>
      <c r="N293" s="271">
        <f t="shared" ca="1" si="6"/>
        <v>44254.384610648151</v>
      </c>
    </row>
    <row r="294" spans="1:14" ht="82.8">
      <c r="A294" s="216">
        <f>IF(C294&lt;&gt;"",SUBTOTAL(103,$C$8:C294),"")</f>
        <v>169</v>
      </c>
      <c r="B294" s="226">
        <v>43223</v>
      </c>
      <c r="C294" s="216" t="s">
        <v>2204</v>
      </c>
      <c r="D294" s="216" t="str">
        <f>IF(C294&lt;&gt;"",VLOOKUP(C294,[1]DSKH!B:E,2,0),"")</f>
        <v>BI, BII, BIII, BIV SECTION,  GIAO LONG INDUSTRIAL ZONE PHASE II,AN PHUOC COMMUNE, CHAU THANH DISTRICT, BEN TRE PROVINCE</v>
      </c>
      <c r="E294" s="215">
        <v>20</v>
      </c>
      <c r="F294" s="216"/>
      <c r="G294" s="216">
        <f>IF(C294&lt;&gt;"",VLOOKUP(C294,DSKH!B:E,3,0),"")</f>
        <v>0</v>
      </c>
      <c r="H294" s="222">
        <v>1098849477</v>
      </c>
      <c r="I294" s="217" t="s">
        <v>2860</v>
      </c>
      <c r="J294" s="224" t="s">
        <v>3228</v>
      </c>
      <c r="K294" s="216" t="str">
        <f>IF(C294&lt;&gt;"",VLOOKUP(C294,[1]DSKH!B:E,4,0),"")</f>
        <v>Tel: 84-75- 3635600   Fax: 84-75- 3635601</v>
      </c>
      <c r="L294" s="216">
        <f>1.6+0.4+0.35+15.6+0.3+0.8+0.2+3.7+2+0.8+0.6+0.5+0.45+2.6+1.3+2.6+0.4+2.2</f>
        <v>36.400000000000006</v>
      </c>
      <c r="M294" s="216" t="str">
        <f t="shared" si="7"/>
        <v>UNISOLL- 1098849477 -MAY 03-na002184880</v>
      </c>
      <c r="N294" s="271">
        <f t="shared" ca="1" si="6"/>
        <v>44254.384610648151</v>
      </c>
    </row>
    <row r="295" spans="1:14" ht="96.6">
      <c r="A295" s="216">
        <f>IF(C295&lt;&gt;"",SUBTOTAL(103,$C$8:C295),"")</f>
        <v>170</v>
      </c>
      <c r="B295" s="226">
        <v>43223</v>
      </c>
      <c r="C295" s="216" t="s">
        <v>1225</v>
      </c>
      <c r="D295" s="216" t="str">
        <f>IF(C295&lt;&gt;"",VLOOKUP(C295,[1]DSKH!B:E,2,0),"")</f>
        <v>60-ME NHU-DA NANG</v>
      </c>
      <c r="E295" s="215">
        <v>2</v>
      </c>
      <c r="F295" s="216"/>
      <c r="G295" s="216" t="str">
        <f>IF(C295&lt;&gt;"",VLOOKUP(C295,DSKH!B:E,3,0),"")</f>
        <v>HANG GEN NHAN FIGS CHO EMAIL CONFIRM GIAO HANG CUA CS, KEM PKL CHI TIET (DECATHLON)</v>
      </c>
      <c r="H295" s="222">
        <v>1098824319</v>
      </c>
      <c r="I295" s="217" t="s">
        <v>2860</v>
      </c>
      <c r="J295" s="224" t="s">
        <v>3229</v>
      </c>
      <c r="K295" s="216" t="str">
        <f>IF(C295&lt;&gt;"",VLOOKUP(C295,[1]DSKH!B:E,4,0),"")</f>
        <v>ANH CHAU- KHO PHU LIEU-05113-759249</v>
      </c>
      <c r="L295" s="216">
        <f>3.86+0.4</f>
        <v>4.26</v>
      </c>
      <c r="M295" s="216" t="str">
        <f t="shared" si="7"/>
        <v>MAY 29 03- 1098824319 -MAY 03-na002184877</v>
      </c>
      <c r="N295" s="271">
        <f t="shared" ca="1" si="6"/>
        <v>44254.384610648151</v>
      </c>
    </row>
    <row r="296" spans="1:14">
      <c r="A296" s="216" t="str">
        <f>IF(C296&lt;&gt;"",SUBTOTAL(103,$C$8:C296),"")</f>
        <v/>
      </c>
      <c r="B296" s="226">
        <v>43223</v>
      </c>
      <c r="C296" s="216"/>
      <c r="D296" s="216" t="str">
        <f>IF(C296&lt;&gt;"",VLOOKUP(C296,[1]DSKH!B:E,2,0),"")</f>
        <v/>
      </c>
      <c r="E296" s="215"/>
      <c r="F296" s="216"/>
      <c r="G296" s="216" t="str">
        <f>IF(C296&lt;&gt;"",VLOOKUP(C296,DSKH!B:E,3,0),"")</f>
        <v/>
      </c>
      <c r="H296" s="222" t="s">
        <v>3230</v>
      </c>
      <c r="I296" s="217"/>
      <c r="J296" s="224"/>
      <c r="K296" s="216" t="str">
        <f>IF(C296&lt;&gt;"",VLOOKUP(C296,[1]DSKH!B:E,4,0),"")</f>
        <v/>
      </c>
      <c r="L296" s="216"/>
      <c r="M296" s="216" t="str">
        <f t="shared" si="7"/>
        <v>- HB-23405174 -MAY 03-</v>
      </c>
      <c r="N296" s="271" t="str">
        <f t="shared" ca="1" si="6"/>
        <v/>
      </c>
    </row>
    <row r="297" spans="1:14" ht="42" thickBot="1">
      <c r="A297" s="216">
        <f>IF(C297&lt;&gt;"",SUBTOTAL(103,$C$8:C297),"")</f>
        <v>171</v>
      </c>
      <c r="B297" s="226">
        <v>43223</v>
      </c>
      <c r="C297" s="216" t="s">
        <v>762</v>
      </c>
      <c r="D297" s="216" t="str">
        <f>IF(C297&lt;&gt;"",VLOOKUP(C297,[1]DSKH!B:E,2,0),"")</f>
        <v>KCN TIEN HAI TAY GIANG TIEN HAI THAI BINH</v>
      </c>
      <c r="E297" s="215">
        <v>1</v>
      </c>
      <c r="F297" s="216"/>
      <c r="G297" s="216">
        <f>IF(C297&lt;&gt;"",VLOOKUP(C297,DSKH!B:E,3,0),"")</f>
        <v>0</v>
      </c>
      <c r="H297" s="222" t="s">
        <v>3231</v>
      </c>
      <c r="I297" s="217" t="s">
        <v>2860</v>
      </c>
      <c r="J297" s="224" t="s">
        <v>3232</v>
      </c>
      <c r="K297" s="216" t="str">
        <f>IF(C297&lt;&gt;"",VLOOKUP(C297,[1]DSKH!B:E,4,0),"")</f>
        <v>MS HUONG 0989 581 482</v>
      </c>
      <c r="L297" s="216">
        <v>0.2</v>
      </c>
      <c r="M297" s="216" t="str">
        <f t="shared" si="7"/>
        <v>HA HAE THAI BINH- HB 23356772-1 -MAY 03-na002184878</v>
      </c>
      <c r="N297" s="271">
        <f t="shared" ca="1" si="6"/>
        <v>44254.384610648151</v>
      </c>
    </row>
    <row r="298" spans="1:14" ht="28.5" customHeight="1" thickBot="1">
      <c r="A298" s="216">
        <f>IF(C298&lt;&gt;"",SUBTOTAL(103,$C$8:C298),"")</f>
        <v>172</v>
      </c>
      <c r="B298" s="226">
        <v>43223</v>
      </c>
      <c r="C298" s="216" t="s">
        <v>2932</v>
      </c>
      <c r="D298" s="216" t="str">
        <f>IF(C298&lt;&gt;"",VLOOKUP(C298,[1]DSKH!B:E,2,0),"")</f>
        <v>HOA XA INDUSTRIAL PARK-NAM DINH CITY</v>
      </c>
      <c r="E298" s="215">
        <v>5</v>
      </c>
      <c r="F298" s="216"/>
      <c r="G298" s="216">
        <f>IF(C298&lt;&gt;"",VLOOKUP(C298,DSKH!B:E,3,0),"")</f>
        <v>0</v>
      </c>
      <c r="H298" s="272" t="s">
        <v>3236</v>
      </c>
      <c r="I298" s="217" t="s">
        <v>3240</v>
      </c>
      <c r="J298" s="224" t="s">
        <v>3235</v>
      </c>
      <c r="K298" s="216" t="s">
        <v>3233</v>
      </c>
      <c r="L298" s="216">
        <f>1.4+0.4+3+1.1+0.3</f>
        <v>6.2</v>
      </c>
      <c r="M298" s="216" t="str">
        <f t="shared" si="7"/>
        <v>YOUNGONE PATAGONIA- HB 23427975-2 -MAY 03-na002184875</v>
      </c>
      <c r="N298" s="271">
        <f t="shared" ref="N298:N357" ca="1" si="8">IF(C298&lt;&gt;"",NOW(),"")</f>
        <v>44254.384610648151</v>
      </c>
    </row>
    <row r="299" spans="1:14" ht="16.2" thickBot="1">
      <c r="A299" s="216" t="str">
        <f>IF(C299&lt;&gt;"",SUBTOTAL(103,$C$8:C299),"")</f>
        <v/>
      </c>
      <c r="B299" s="226">
        <v>43223</v>
      </c>
      <c r="C299" s="216"/>
      <c r="D299" s="216" t="str">
        <f>IF(C299&lt;&gt;"",VLOOKUP(C299,[1]DSKH!B:E,2,0),"")</f>
        <v/>
      </c>
      <c r="E299" s="215"/>
      <c r="F299" s="216"/>
      <c r="G299" s="216" t="str">
        <f>IF(C299&lt;&gt;"",VLOOKUP(C299,DSKH!B:E,3,0),"")</f>
        <v/>
      </c>
      <c r="H299" s="273" t="s">
        <v>3237</v>
      </c>
      <c r="I299" s="217"/>
      <c r="J299" s="224"/>
      <c r="K299" s="216" t="str">
        <f>IF(C299&lt;&gt;"",VLOOKUP(C299,[1]DSKH!B:E,4,0),"")</f>
        <v/>
      </c>
      <c r="L299" s="216"/>
      <c r="M299" s="216" t="str">
        <f t="shared" si="7"/>
        <v>- HB 23427942-2 -MAY 03-</v>
      </c>
      <c r="N299" s="271" t="str">
        <f t="shared" ca="1" si="8"/>
        <v/>
      </c>
    </row>
    <row r="300" spans="1:14" ht="16.2" thickBot="1">
      <c r="A300" s="216" t="str">
        <f>IF(C300&lt;&gt;"",SUBTOTAL(103,$C$8:C300),"")</f>
        <v/>
      </c>
      <c r="B300" s="226">
        <v>43223</v>
      </c>
      <c r="C300" s="216"/>
      <c r="D300" s="216" t="str">
        <f>IF(C300&lt;&gt;"",VLOOKUP(C300,[1]DSKH!B:E,2,0),"")</f>
        <v/>
      </c>
      <c r="E300" s="215"/>
      <c r="F300" s="216"/>
      <c r="G300" s="216" t="str">
        <f>IF(C300&lt;&gt;"",VLOOKUP(C300,DSKH!B:E,3,0),"")</f>
        <v/>
      </c>
      <c r="H300" s="273" t="s">
        <v>3238</v>
      </c>
      <c r="I300" s="217"/>
      <c r="J300" s="224"/>
      <c r="K300" s="216" t="str">
        <f>IF(C300&lt;&gt;"",VLOOKUP(C300,[1]DSKH!B:E,4,0),"")</f>
        <v/>
      </c>
      <c r="L300" s="216"/>
      <c r="M300" s="216" t="str">
        <f t="shared" si="7"/>
        <v>- HB 23427946-2 -MAY 03-</v>
      </c>
      <c r="N300" s="271" t="str">
        <f t="shared" ca="1" si="8"/>
        <v/>
      </c>
    </row>
    <row r="301" spans="1:14" ht="16.2" thickBot="1">
      <c r="A301" s="216" t="str">
        <f>IF(C301&lt;&gt;"",SUBTOTAL(103,$C$8:C301),"")</f>
        <v/>
      </c>
      <c r="B301" s="226">
        <v>43223</v>
      </c>
      <c r="C301" s="216"/>
      <c r="D301" s="216" t="str">
        <f>IF(C301&lt;&gt;"",VLOOKUP(C301,[1]DSKH!B:E,2,0),"")</f>
        <v/>
      </c>
      <c r="E301" s="215"/>
      <c r="F301" s="216"/>
      <c r="G301" s="216" t="str">
        <f>IF(C301&lt;&gt;"",VLOOKUP(C301,DSKH!B:E,3,0),"")</f>
        <v/>
      </c>
      <c r="H301" s="273" t="s">
        <v>3239</v>
      </c>
      <c r="I301" s="217"/>
      <c r="J301" s="224"/>
      <c r="K301" s="216" t="str">
        <f>IF(C301&lt;&gt;"",VLOOKUP(C301,[1]DSKH!B:E,4,0),"")</f>
        <v/>
      </c>
      <c r="L301" s="216"/>
      <c r="M301" s="216" t="str">
        <f t="shared" si="7"/>
        <v>- HB 23427979-2 -MAY 03-</v>
      </c>
      <c r="N301" s="271" t="str">
        <f t="shared" ca="1" si="8"/>
        <v/>
      </c>
    </row>
    <row r="302" spans="1:14" ht="16.2" thickBot="1">
      <c r="A302" s="216" t="str">
        <f>IF(C302&lt;&gt;"",SUBTOTAL(103,$C$8:C302),"")</f>
        <v/>
      </c>
      <c r="B302" s="226">
        <v>43223</v>
      </c>
      <c r="C302" s="216"/>
      <c r="D302" s="216" t="str">
        <f>IF(C302&lt;&gt;"",VLOOKUP(C302,[1]DSKH!B:E,2,0),"")</f>
        <v/>
      </c>
      <c r="E302" s="215"/>
      <c r="F302" s="216"/>
      <c r="G302" s="216" t="str">
        <f>IF(C302&lt;&gt;"",VLOOKUP(C302,DSKH!B:E,3,0),"")</f>
        <v/>
      </c>
      <c r="H302" s="273" t="s">
        <v>3234</v>
      </c>
      <c r="I302" s="217"/>
      <c r="J302" s="224"/>
      <c r="K302" s="216" t="str">
        <f>IF(C302&lt;&gt;"",VLOOKUP(C302,[1]DSKH!B:E,4,0),"")</f>
        <v/>
      </c>
      <c r="L302" s="216"/>
      <c r="M302" s="216" t="str">
        <f t="shared" si="7"/>
        <v>- HB 23427980-2 -MAY 03-</v>
      </c>
      <c r="N302" s="271" t="str">
        <f t="shared" ca="1" si="8"/>
        <v/>
      </c>
    </row>
    <row r="303" spans="1:14" ht="27.6">
      <c r="A303" s="216">
        <f>IF(C303&lt;&gt;"",SUBTOTAL(103,$C$8:C303),"")</f>
        <v>173</v>
      </c>
      <c r="B303" s="226">
        <v>43223</v>
      </c>
      <c r="C303" s="216" t="s">
        <v>375</v>
      </c>
      <c r="D303" s="216" t="str">
        <f>IF(C303&lt;&gt;"",VLOOKUP(C303,[1]DSKH!B:E,2,0),"")</f>
        <v>KCN TAN LIEN, VINH BAO, HAI PHONG</v>
      </c>
      <c r="E303" s="215">
        <v>2</v>
      </c>
      <c r="F303" s="216"/>
      <c r="G303" s="216">
        <f>IF(C303&lt;&gt;"",VLOOKUP(C303,DSKH!B:E,3,0),"")</f>
        <v>0</v>
      </c>
      <c r="H303" s="222">
        <v>1098835569</v>
      </c>
      <c r="I303" s="217" t="s">
        <v>2860</v>
      </c>
      <c r="J303" s="224" t="s">
        <v>3241</v>
      </c>
      <c r="K303" s="216">
        <f>IF(C303&lt;&gt;"",VLOOKUP(C303,[1]DSKH!B:E,4,0),"")</f>
        <v>0</v>
      </c>
      <c r="L303" s="216">
        <f>0.9+0.6</f>
        <v>1.5</v>
      </c>
      <c r="M303" s="216" t="str">
        <f t="shared" si="7"/>
        <v>DET 8 3- 1098835569 -MAY 03-na002184876</v>
      </c>
      <c r="N303" s="271">
        <f t="shared" ca="1" si="8"/>
        <v>44254.384610648151</v>
      </c>
    </row>
    <row r="304" spans="1:14" ht="41.4">
      <c r="A304" s="216">
        <f>IF(C304&lt;&gt;"",SUBTOTAL(103,$C$8:C304),"")</f>
        <v>174</v>
      </c>
      <c r="B304" s="226">
        <v>43224</v>
      </c>
      <c r="C304" s="216" t="s">
        <v>1872</v>
      </c>
      <c r="D304" s="216" t="str">
        <f>IF(C304&lt;&gt;"",VLOOKUP(C304,[1]DSKH!B:E,2,0),"")</f>
        <v>864 STREET, BINH TAO HAMLET, TRUNG AN, MY THO, TIEN GIANG</v>
      </c>
      <c r="E304" s="215">
        <v>2</v>
      </c>
      <c r="F304" s="216"/>
      <c r="G304" s="216">
        <f>IF(C304&lt;&gt;"",VLOOKUP(C304,DSKH!B:E,3,0),"")</f>
        <v>0</v>
      </c>
      <c r="H304" s="222">
        <v>1098982406</v>
      </c>
      <c r="I304" s="217" t="s">
        <v>2860</v>
      </c>
      <c r="J304" s="224" t="s">
        <v>3242</v>
      </c>
      <c r="K304" s="216">
        <f>IF(C304&lt;&gt;"",VLOOKUP(C304,[1]DSKH!B:E,4,0),"")</f>
        <v>0</v>
      </c>
      <c r="L304" s="216">
        <f>5+7.3</f>
        <v>12.3</v>
      </c>
      <c r="M304" s="216" t="str">
        <f>C304&amp;"-"&amp;" "&amp;H304&amp;" "&amp;"-"&amp;"MAY"&amp;" "&amp;"04"&amp;"-"&amp;J304</f>
        <v>SONG TIEN- 1098982406 -MAY 04-na002184873</v>
      </c>
      <c r="N304" s="271">
        <f t="shared" ca="1" si="8"/>
        <v>44254.384610648151</v>
      </c>
    </row>
    <row r="305" spans="1:14" ht="27.6">
      <c r="A305" s="216">
        <f>IF(C305&lt;&gt;"",SUBTOTAL(103,$C$8:C305),"")</f>
        <v>175</v>
      </c>
      <c r="B305" s="226">
        <v>43224</v>
      </c>
      <c r="C305" s="216" t="s">
        <v>1003</v>
      </c>
      <c r="D305" s="216" t="str">
        <f>IF(C305&lt;&gt;"",VLOOKUP(C305,[1]DSKH!B:E,2,0),"")</f>
        <v>LONG PHU, PHUOC THAI, LONG THANH, DONG NAI</v>
      </c>
      <c r="E305" s="215">
        <v>1</v>
      </c>
      <c r="F305" s="216"/>
      <c r="G305" s="216">
        <f>IF(C305&lt;&gt;"",VLOOKUP(C305,DSKH!B:E,3,0),"")</f>
        <v>0</v>
      </c>
      <c r="H305" s="222">
        <v>1098882855</v>
      </c>
      <c r="I305" s="217" t="s">
        <v>2860</v>
      </c>
      <c r="J305" s="224" t="s">
        <v>3243</v>
      </c>
      <c r="K305" s="216" t="str">
        <f>IF(C305&lt;&gt;"",VLOOKUP(C305,[1]DSKH!B:E,4,0),"")</f>
        <v>MR VIET 0907 885 545</v>
      </c>
      <c r="L305" s="216">
        <v>1.5</v>
      </c>
      <c r="M305" s="216" t="str">
        <f t="shared" ref="M305:M336" si="9">C305&amp;"-"&amp;" "&amp;H305&amp;" "&amp;"-"&amp;"MAY"&amp;" "&amp;"04"&amp;"-"&amp;J305</f>
        <v>INDO CHINE- 1098882855 -MAY 04-na002184874</v>
      </c>
      <c r="N305" s="271">
        <f t="shared" ca="1" si="8"/>
        <v>44254.384610648151</v>
      </c>
    </row>
    <row r="306" spans="1:14" ht="41.4">
      <c r="A306" s="216">
        <f>IF(C306&lt;&gt;"",SUBTOTAL(103,$C$8:C306),"")</f>
        <v>176</v>
      </c>
      <c r="B306" s="226">
        <v>43224</v>
      </c>
      <c r="C306" s="216" t="s">
        <v>1125</v>
      </c>
      <c r="D306" s="216" t="str">
        <f>IF(C306&lt;&gt;"",VLOOKUP(C306,[1]DSKH!B:E,2,0),"")</f>
        <v>LOT 2.20C, TRA NOC INDUSTRIAL ZONE, CAN THO</v>
      </c>
      <c r="E306" s="215">
        <v>81</v>
      </c>
      <c r="F306" s="216" t="s">
        <v>3245</v>
      </c>
      <c r="G306" s="216">
        <f>IF(C306&lt;&gt;"",VLOOKUP(C306,DSKH!B:E,3,0),"")</f>
        <v>0</v>
      </c>
      <c r="H306" s="222">
        <v>1098882918</v>
      </c>
      <c r="I306" s="217"/>
      <c r="J306" s="224" t="s">
        <v>3244</v>
      </c>
      <c r="K306" s="216" t="str">
        <f>IF(C306&lt;&gt;"",VLOOKUP(C306,[1]DSKH!B:E,4,0),"")</f>
        <v>0710 3844 1026
MR GU WEN JUN 0919 978 816</v>
      </c>
      <c r="L306" s="216">
        <v>220.62</v>
      </c>
      <c r="M306" s="216" t="str">
        <f t="shared" si="9"/>
        <v>KWONG LUNG MEKO- 1098882918 -MAY 04-na002184871</v>
      </c>
      <c r="N306" s="271">
        <f t="shared" ca="1" si="8"/>
        <v>44254.384610648151</v>
      </c>
    </row>
    <row r="307" spans="1:14">
      <c r="A307" s="216" t="str">
        <f>IF(C307&lt;&gt;"",SUBTOTAL(103,$C$8:C307),"")</f>
        <v/>
      </c>
      <c r="B307" s="226">
        <v>43224</v>
      </c>
      <c r="C307" s="216"/>
      <c r="D307" s="216" t="str">
        <f>IF(C307&lt;&gt;"",VLOOKUP(C307,[1]DSKH!B:E,2,0),"")</f>
        <v/>
      </c>
      <c r="E307" s="215"/>
      <c r="F307" s="216"/>
      <c r="G307" s="216" t="str">
        <f>IF(C307&lt;&gt;"",VLOOKUP(C307,DSKH!B:E,3,0),"")</f>
        <v/>
      </c>
      <c r="H307" s="222">
        <v>1098882942</v>
      </c>
      <c r="I307" s="217"/>
      <c r="J307" s="224"/>
      <c r="K307" s="216" t="str">
        <f>IF(C307&lt;&gt;"",VLOOKUP(C307,[1]DSKH!B:E,4,0),"")</f>
        <v/>
      </c>
      <c r="L307" s="216"/>
      <c r="M307" s="216" t="str">
        <f t="shared" si="9"/>
        <v>- 1098882942 -MAY 04-</v>
      </c>
      <c r="N307" s="271" t="str">
        <f t="shared" ca="1" si="8"/>
        <v/>
      </c>
    </row>
    <row r="308" spans="1:14">
      <c r="A308" s="216" t="str">
        <f>IF(C308&lt;&gt;"",SUBTOTAL(103,$C$8:C308),"")</f>
        <v/>
      </c>
      <c r="B308" s="226">
        <v>43224</v>
      </c>
      <c r="C308" s="216"/>
      <c r="D308" s="216" t="str">
        <f>IF(C308&lt;&gt;"",VLOOKUP(C308,[1]DSKH!B:E,2,0),"")</f>
        <v/>
      </c>
      <c r="E308" s="215"/>
      <c r="F308" s="216"/>
      <c r="G308" s="216" t="str">
        <f>IF(C308&lt;&gt;"",VLOOKUP(C308,DSKH!B:E,3,0),"")</f>
        <v/>
      </c>
      <c r="H308" s="222">
        <v>1098873709</v>
      </c>
      <c r="I308" s="217"/>
      <c r="J308" s="224"/>
      <c r="K308" s="216" t="str">
        <f>IF(C308&lt;&gt;"",VLOOKUP(C308,[1]DSKH!B:E,4,0),"")</f>
        <v/>
      </c>
      <c r="L308" s="216"/>
      <c r="M308" s="216" t="str">
        <f t="shared" si="9"/>
        <v>- 1098873709 -MAY 04-</v>
      </c>
      <c r="N308" s="271" t="str">
        <f t="shared" ca="1" si="8"/>
        <v/>
      </c>
    </row>
    <row r="309" spans="1:14">
      <c r="A309" s="216" t="str">
        <f>IF(C309&lt;&gt;"",SUBTOTAL(103,$C$8:C309),"")</f>
        <v/>
      </c>
      <c r="B309" s="226">
        <v>43224</v>
      </c>
      <c r="C309" s="216"/>
      <c r="D309" s="216" t="str">
        <f>IF(C309&lt;&gt;"",VLOOKUP(C309,[1]DSKH!B:E,2,0),"")</f>
        <v/>
      </c>
      <c r="E309" s="215"/>
      <c r="F309" s="216"/>
      <c r="G309" s="216" t="str">
        <f>IF(C309&lt;&gt;"",VLOOKUP(C309,DSKH!B:E,3,0),"")</f>
        <v/>
      </c>
      <c r="H309" s="222">
        <v>1098858727</v>
      </c>
      <c r="I309" s="217"/>
      <c r="J309" s="224"/>
      <c r="K309" s="216" t="str">
        <f>IF(C309&lt;&gt;"",VLOOKUP(C309,[1]DSKH!B:E,4,0),"")</f>
        <v/>
      </c>
      <c r="L309" s="216"/>
      <c r="M309" s="216" t="str">
        <f t="shared" si="9"/>
        <v>- 1098858727 -MAY 04-</v>
      </c>
      <c r="N309" s="271" t="str">
        <f t="shared" ca="1" si="8"/>
        <v/>
      </c>
    </row>
    <row r="310" spans="1:14">
      <c r="A310" s="216" t="str">
        <f>IF(C310&lt;&gt;"",SUBTOTAL(103,$C$8:C310),"")</f>
        <v/>
      </c>
      <c r="B310" s="226">
        <v>43224</v>
      </c>
      <c r="C310" s="216"/>
      <c r="D310" s="216" t="str">
        <f>IF(C310&lt;&gt;"",VLOOKUP(C310,[1]DSKH!B:E,2,0),"")</f>
        <v/>
      </c>
      <c r="E310" s="215"/>
      <c r="F310" s="216"/>
      <c r="G310" s="216" t="str">
        <f>IF(C310&lt;&gt;"",VLOOKUP(C310,DSKH!B:E,3,0),"")</f>
        <v/>
      </c>
      <c r="H310" s="222">
        <v>1098838142</v>
      </c>
      <c r="I310" s="217"/>
      <c r="J310" s="224"/>
      <c r="K310" s="216" t="str">
        <f>IF(C310&lt;&gt;"",VLOOKUP(C310,[1]DSKH!B:E,4,0),"")</f>
        <v/>
      </c>
      <c r="L310" s="216"/>
      <c r="M310" s="216" t="str">
        <f t="shared" si="9"/>
        <v>- 1098838142 -MAY 04-</v>
      </c>
      <c r="N310" s="271" t="str">
        <f t="shared" ca="1" si="8"/>
        <v/>
      </c>
    </row>
    <row r="311" spans="1:14" ht="55.2">
      <c r="A311" s="216">
        <f>IF(C311&lt;&gt;"",SUBTOTAL(103,$C$8:C311),"")</f>
        <v>177</v>
      </c>
      <c r="B311" s="226">
        <v>43224</v>
      </c>
      <c r="C311" s="216" t="s">
        <v>1518</v>
      </c>
      <c r="D311" s="216" t="str">
        <f>IF(C311&lt;&gt;"",VLOOKUP(C311,[1]DSKH!B:E,2,0),"")</f>
        <v>LO M, DUONG SO 3, KCN HOA KHANH, P. HOA KHANH BAC, LIEN CHIEU, DA NANG</v>
      </c>
      <c r="E311" s="215">
        <v>2</v>
      </c>
      <c r="F311" s="216"/>
      <c r="G311" s="216">
        <f>IF(C311&lt;&gt;"",VLOOKUP(C311,DSKH!B:E,3,0),"")</f>
        <v>0</v>
      </c>
      <c r="H311" s="222">
        <v>1098887424</v>
      </c>
      <c r="I311" s="217"/>
      <c r="J311" s="224" t="s">
        <v>3246</v>
      </c>
      <c r="K311" s="216" t="str">
        <f>IF(C311&lt;&gt;"",VLOOKUP(C311,[1]DSKH!B:E,4,0),"")</f>
        <v>MS SUONG: 0905 267 641</v>
      </c>
      <c r="L311" s="216">
        <v>10.199999999999999</v>
      </c>
      <c r="M311" s="216" t="str">
        <f t="shared" si="9"/>
        <v>PHONG PHU CN DA NANG- 1098887424 -MAY 04-na002184872</v>
      </c>
      <c r="N311" s="271">
        <f t="shared" ca="1" si="8"/>
        <v>44254.384610648151</v>
      </c>
    </row>
    <row r="312" spans="1:14">
      <c r="A312" s="216"/>
      <c r="B312" s="226">
        <v>43224</v>
      </c>
      <c r="C312" s="216"/>
      <c r="D312" s="216"/>
      <c r="E312" s="215"/>
      <c r="F312" s="216"/>
      <c r="G312" s="216"/>
      <c r="H312" s="222">
        <v>1098887563</v>
      </c>
      <c r="I312" s="217"/>
      <c r="J312" s="224"/>
      <c r="K312" s="216"/>
      <c r="L312" s="216"/>
      <c r="M312" s="216"/>
      <c r="N312" s="271"/>
    </row>
    <row r="313" spans="1:14" ht="41.4">
      <c r="A313" s="216">
        <f>IF(C313&lt;&gt;"",SUBTOTAL(103,$C$8:C313),"")</f>
        <v>178</v>
      </c>
      <c r="B313" s="226">
        <v>43224</v>
      </c>
      <c r="C313" s="216" t="s">
        <v>1815</v>
      </c>
      <c r="D313" s="216" t="str">
        <f>IF(C313&lt;&gt;"",VLOOKUP(C313,[1]DSKH!B:E,2,0),"")</f>
        <v>KM 6, DUONG 39, VU NINH, KIEN XUONG, THAI BINH</v>
      </c>
      <c r="E313" s="215">
        <v>3</v>
      </c>
      <c r="F313" s="216"/>
      <c r="G313" s="216">
        <f>IF(C313&lt;&gt;"",VLOOKUP(C313,DSKH!B:E,3,0),"")</f>
        <v>0</v>
      </c>
      <c r="H313" s="222">
        <v>1098871956</v>
      </c>
      <c r="I313" s="217"/>
      <c r="J313" s="224" t="s">
        <v>3247</v>
      </c>
      <c r="K313" s="216" t="str">
        <f>IF(C313&lt;&gt;"",VLOOKUP(C313,[1]DSKH!B:E,4,0),"")</f>
        <v>Tôn Nhung – 0904 160 149</v>
      </c>
      <c r="L313" s="216">
        <f>4.16+20.2+4.34</f>
        <v>28.7</v>
      </c>
      <c r="M313" s="216" t="str">
        <f t="shared" si="9"/>
        <v>SON HA THAI BINH- 1098871956 -MAY 04-na002184869</v>
      </c>
      <c r="N313" s="271">
        <f t="shared" ca="1" si="8"/>
        <v>44254.384610648151</v>
      </c>
    </row>
    <row r="314" spans="1:14" ht="41.4">
      <c r="A314" s="216">
        <f>IF(C314&lt;&gt;"",SUBTOTAL(103,$C$8:C314),"")</f>
        <v>179</v>
      </c>
      <c r="B314" s="226">
        <v>43224</v>
      </c>
      <c r="C314" s="216" t="s">
        <v>1234</v>
      </c>
      <c r="D314" s="216" t="str">
        <f>IF(C314&lt;&gt;"",VLOOKUP(C314,[1]DSKH!B:E,2,0),"")</f>
        <v>216 TRAN THANH NGO ST-KIEN AN DIST-HAI PHONG</v>
      </c>
      <c r="E314" s="215">
        <v>6</v>
      </c>
      <c r="F314" s="216"/>
      <c r="G314" s="216" t="str">
        <f>IF(C314&lt;&gt;"",VLOOKUP(C314,DSKH!B:E,3,0),"")</f>
        <v>cho XNK confirm-NETCO-DN#AWB
ghi so DN len Bill</v>
      </c>
      <c r="H314" s="222">
        <v>1098871389</v>
      </c>
      <c r="I314" s="217"/>
      <c r="J314" s="224" t="s">
        <v>3248</v>
      </c>
      <c r="K314" s="216" t="str">
        <f>IF(C314&lt;&gt;"",VLOOKUP(C314,[1]DSKH!B:E,4,0),"")</f>
        <v>0169 640 1182- MS HUE</v>
      </c>
      <c r="L314" s="216">
        <f>18.9+1.2</f>
        <v>20.099999999999998</v>
      </c>
      <c r="M314" s="216" t="str">
        <f t="shared" si="9"/>
        <v>MAY HAI- 1098871389 -MAY 04-na002184870</v>
      </c>
      <c r="N314" s="271">
        <f t="shared" ca="1" si="8"/>
        <v>44254.384610648151</v>
      </c>
    </row>
    <row r="315" spans="1:14">
      <c r="A315" s="216" t="str">
        <f>IF(C315&lt;&gt;"",SUBTOTAL(103,$C$8:C315),"")</f>
        <v/>
      </c>
      <c r="B315" s="226">
        <v>43224</v>
      </c>
      <c r="C315" s="216"/>
      <c r="D315" s="216" t="str">
        <f>IF(C315&lt;&gt;"",VLOOKUP(C315,[1]DSKH!B:E,2,0),"")</f>
        <v/>
      </c>
      <c r="E315" s="215"/>
      <c r="F315" s="216"/>
      <c r="G315" s="216" t="str">
        <f>IF(C315&lt;&gt;"",VLOOKUP(C315,DSKH!B:E,3,0),"")</f>
        <v/>
      </c>
      <c r="H315" s="222">
        <v>1098874884</v>
      </c>
      <c r="I315" s="217"/>
      <c r="J315" s="224"/>
      <c r="K315" s="216" t="str">
        <f>IF(C315&lt;&gt;"",VLOOKUP(C315,[1]DSKH!B:E,4,0),"")</f>
        <v/>
      </c>
      <c r="L315" s="216"/>
      <c r="M315" s="216" t="str">
        <f t="shared" si="9"/>
        <v>- 1098874884 -MAY 04-</v>
      </c>
      <c r="N315" s="271" t="str">
        <f t="shared" ca="1" si="8"/>
        <v/>
      </c>
    </row>
    <row r="316" spans="1:14" ht="82.8">
      <c r="A316" s="216">
        <f>IF(C316&lt;&gt;"",SUBTOTAL(103,$C$8:C316),"")</f>
        <v>180</v>
      </c>
      <c r="B316" s="226">
        <v>43224</v>
      </c>
      <c r="C316" s="216" t="s">
        <v>2204</v>
      </c>
      <c r="D316" s="216" t="str">
        <f>IF(C316&lt;&gt;"",VLOOKUP(C316,[1]DSKH!B:E,2,0),"")</f>
        <v>BI, BII, BIII, BIV SECTION,  GIAO LONG INDUSTRIAL ZONE PHASE II,AN PHUOC COMMUNE, CHAU THANH DISTRICT, BEN TRE PROVINCE</v>
      </c>
      <c r="E316" s="215">
        <v>6</v>
      </c>
      <c r="F316" s="216"/>
      <c r="G316" s="216">
        <f>IF(C316&lt;&gt;"",VLOOKUP(C316,DSKH!B:E,3,0),"")</f>
        <v>0</v>
      </c>
      <c r="H316" s="222">
        <v>1098982351</v>
      </c>
      <c r="I316" s="217" t="s">
        <v>2860</v>
      </c>
      <c r="J316" s="224" t="s">
        <v>3249</v>
      </c>
      <c r="K316" s="216" t="str">
        <f>IF(C316&lt;&gt;"",VLOOKUP(C316,[1]DSKH!B:E,4,0),"")</f>
        <v>Tel: 84-75- 3635600   Fax: 84-75- 3635601</v>
      </c>
      <c r="L316" s="216">
        <f>2*8.3+7.9+1.5+8.4+4.4</f>
        <v>38.799999999999997</v>
      </c>
      <c r="M316" s="216" t="str">
        <f t="shared" si="9"/>
        <v>UNISOLL- 1098982351 -MAY 04-na002184867</v>
      </c>
      <c r="N316" s="271">
        <f t="shared" ca="1" si="8"/>
        <v>44254.384610648151</v>
      </c>
    </row>
    <row r="317" spans="1:14" ht="41.4">
      <c r="A317" s="216">
        <f>IF(C317&lt;&gt;"",SUBTOTAL(103,$C$8:C317),"")</f>
        <v>181</v>
      </c>
      <c r="B317" s="226">
        <v>43224</v>
      </c>
      <c r="C317" s="216" t="s">
        <v>2150</v>
      </c>
      <c r="D317" s="216" t="str">
        <f>IF(C317&lt;&gt;"",VLOOKUP(C317,[1]DSKH!B:E,2,0),"")</f>
        <v>SONG CONG 3, KHU B, KCN SONG CONG, THAI NGUYEN</v>
      </c>
      <c r="E317" s="215">
        <v>9</v>
      </c>
      <c r="F317" s="216"/>
      <c r="G317" s="216">
        <f>IF(C317&lt;&gt;"",VLOOKUP(C317,DSKH!B:E,3,0),"")</f>
        <v>0</v>
      </c>
      <c r="H317" s="222">
        <v>1098873957</v>
      </c>
      <c r="I317" s="217"/>
      <c r="J317" s="224" t="s">
        <v>3250</v>
      </c>
      <c r="K317" s="216" t="str">
        <f>IF(C317&lt;&gt;"",VLOOKUP(C317,[1]DSKH!B:E,4,0),"")</f>
        <v>THANH TRA: 0169 266 1597</v>
      </c>
      <c r="L317" s="216">
        <f>0.6+0.7+1.3+0.7</f>
        <v>3.3</v>
      </c>
      <c r="M317" s="216" t="str">
        <f t="shared" si="9"/>
        <v>TNG SONG CONG 3- 1098873957 -MAY 04-na002184868</v>
      </c>
      <c r="N317" s="271">
        <f t="shared" ca="1" si="8"/>
        <v>44254.384610648151</v>
      </c>
    </row>
    <row r="318" spans="1:14">
      <c r="A318" s="216" t="str">
        <f>IF(C318&lt;&gt;"",SUBTOTAL(103,$C$8:C318),"")</f>
        <v/>
      </c>
      <c r="B318" s="226">
        <v>43224</v>
      </c>
      <c r="C318" s="216"/>
      <c r="D318" s="216" t="str">
        <f>IF(C318&lt;&gt;"",VLOOKUP(C318,[1]DSKH!B:E,2,0),"")</f>
        <v/>
      </c>
      <c r="E318" s="215"/>
      <c r="F318" s="216"/>
      <c r="G318" s="216" t="str">
        <f>IF(C318&lt;&gt;"",VLOOKUP(C318,DSKH!B:E,3,0),"")</f>
        <v/>
      </c>
      <c r="H318" s="222">
        <v>1098887610</v>
      </c>
      <c r="I318" s="217"/>
      <c r="J318" s="224"/>
      <c r="K318" s="216" t="str">
        <f>IF(C318&lt;&gt;"",VLOOKUP(C318,[1]DSKH!B:E,4,0),"")</f>
        <v/>
      </c>
      <c r="L318" s="216"/>
      <c r="M318" s="216" t="str">
        <f t="shared" si="9"/>
        <v>- 1098887610 -MAY 04-</v>
      </c>
      <c r="N318" s="271" t="str">
        <f t="shared" ca="1" si="8"/>
        <v/>
      </c>
    </row>
    <row r="319" spans="1:14" ht="41.4">
      <c r="A319" s="216">
        <f>IF(C319&lt;&gt;"",SUBTOTAL(103,$C$8:C319),"")</f>
        <v>182</v>
      </c>
      <c r="B319" s="226">
        <v>43224</v>
      </c>
      <c r="C319" s="216" t="s">
        <v>1845</v>
      </c>
      <c r="D319" s="216" t="str">
        <f>IF(C319&lt;&gt;"",VLOOKUP(C319,[1]DSKH!B:E,2,0),"")</f>
        <v>DUONG 10-LOC HA-NAM DINH</v>
      </c>
      <c r="E319" s="215">
        <v>1</v>
      </c>
      <c r="F319" s="216"/>
      <c r="G319" s="216">
        <f>IF(C319&lt;&gt;"",VLOOKUP(C319,DSKH!B:E,3,0),"")</f>
        <v>0</v>
      </c>
      <c r="H319" s="222">
        <v>1098989249</v>
      </c>
      <c r="I319" s="217"/>
      <c r="J319" s="224" t="s">
        <v>3251</v>
      </c>
      <c r="K319" s="216" t="str">
        <f>IF(C319&lt;&gt;"",VLOOKUP(C319,[1]DSKH!B:E,4,0),"")</f>
        <v>BONNY- 0918 428 398</v>
      </c>
      <c r="L319" s="216">
        <v>0.44</v>
      </c>
      <c r="M319" s="216" t="str">
        <f t="shared" si="9"/>
        <v>SONG HONG COLUMBIA VAT- 1098989249 -MAY 04-na002184865</v>
      </c>
      <c r="N319" s="271">
        <f t="shared" ca="1" si="8"/>
        <v>44254.384610648151</v>
      </c>
    </row>
    <row r="320" spans="1:14" ht="41.4">
      <c r="A320" s="216">
        <f>IF(C320&lt;&gt;"",SUBTOTAL(103,$C$8:C320),"")</f>
        <v>183</v>
      </c>
      <c r="B320" s="226">
        <v>43224</v>
      </c>
      <c r="C320" s="216" t="s">
        <v>2334</v>
      </c>
      <c r="D320" s="216" t="str">
        <f>IF(C320&lt;&gt;"",VLOOKUP(C320,[1]DSKH!B:E,2,0),"")</f>
        <v>Khu 6, Go Don, Xa Huong Lung, Huyen Cam Khe, , Tinh Phu tho</v>
      </c>
      <c r="E320" s="215">
        <v>4</v>
      </c>
      <c r="F320" s="216" t="s">
        <v>2090</v>
      </c>
      <c r="G320" s="216">
        <f>IF(C320&lt;&gt;"",VLOOKUP(C320,DSKH!B:E,3,0),"")</f>
        <v>0</v>
      </c>
      <c r="H320" s="222">
        <v>1098969976</v>
      </c>
      <c r="I320" s="217" t="s">
        <v>2860</v>
      </c>
      <c r="J320" s="224" t="s">
        <v>3252</v>
      </c>
      <c r="K320" s="216">
        <f>IF(C320&lt;&gt;"",VLOOKUP(C320,[1]DSKH!B:E,4,0),"")</f>
        <v>0</v>
      </c>
      <c r="L320" s="216">
        <f>7+7+2.8+0.88</f>
        <v>17.68</v>
      </c>
      <c r="M320" s="216" t="str">
        <f t="shared" si="9"/>
        <v>VINA CKGF- 1098969976 -MAY 04-na002184866</v>
      </c>
      <c r="N320" s="271">
        <f t="shared" ca="1" si="8"/>
        <v>44254.384610648151</v>
      </c>
    </row>
    <row r="321" spans="1:14" ht="96.6">
      <c r="A321" s="216">
        <f>IF(C321&lt;&gt;"",SUBTOTAL(103,$C$8:C321),"")</f>
        <v>184</v>
      </c>
      <c r="B321" s="226">
        <v>43224</v>
      </c>
      <c r="C321" s="216" t="s">
        <v>1225</v>
      </c>
      <c r="D321" s="216" t="str">
        <f>IF(C321&lt;&gt;"",VLOOKUP(C321,[1]DSKH!B:E,2,0),"")</f>
        <v>60-ME NHU-DA NANG</v>
      </c>
      <c r="E321" s="215">
        <v>10</v>
      </c>
      <c r="F321" s="216"/>
      <c r="G321" s="216" t="str">
        <f>IF(C321&lt;&gt;"",VLOOKUP(C321,DSKH!B:E,3,0),"")</f>
        <v>HANG GEN NHAN FIGS CHO EMAIL CONFIRM GIAO HANG CUA CS, KEM PKL CHI TIET (DECATHLON)</v>
      </c>
      <c r="H321" s="222">
        <v>1098873728</v>
      </c>
      <c r="I321" s="217"/>
      <c r="J321" s="224" t="s">
        <v>3253</v>
      </c>
      <c r="K321" s="216" t="str">
        <f>IF(C321&lt;&gt;"",VLOOKUP(C321,[1]DSKH!B:E,4,0),"")</f>
        <v>ANH CHAU- KHO PHU LIEU-05113-759249</v>
      </c>
      <c r="L321" s="216">
        <f>0.2+1.86+4.1+6.6+5.5+11.4+9.2+9.2+7.8+4</f>
        <v>59.86</v>
      </c>
      <c r="M321" s="216" t="str">
        <f t="shared" si="9"/>
        <v>MAY 29 03- 1098873728 -MAY 04-na002184863</v>
      </c>
      <c r="N321" s="271">
        <f t="shared" ca="1" si="8"/>
        <v>44254.384610648151</v>
      </c>
    </row>
    <row r="322" spans="1:14">
      <c r="A322" s="216" t="str">
        <f>IF(C322&lt;&gt;"",SUBTOTAL(103,$C$8:C322),"")</f>
        <v/>
      </c>
      <c r="B322" s="226">
        <v>43224</v>
      </c>
      <c r="C322" s="216"/>
      <c r="D322" s="216" t="str">
        <f>IF(C322&lt;&gt;"",VLOOKUP(C322,[1]DSKH!B:E,2,0),"")</f>
        <v/>
      </c>
      <c r="E322" s="215"/>
      <c r="F322" s="216"/>
      <c r="G322" s="216" t="str">
        <f>IF(C322&lt;&gt;"",VLOOKUP(C322,DSKH!B:E,3,0),"")</f>
        <v/>
      </c>
      <c r="H322" s="222">
        <v>1098897786</v>
      </c>
      <c r="I322" s="217"/>
      <c r="J322" s="224"/>
      <c r="K322" s="216" t="str">
        <f>IF(C322&lt;&gt;"",VLOOKUP(C322,[1]DSKH!B:E,4,0),"")</f>
        <v/>
      </c>
      <c r="L322" s="216"/>
      <c r="M322" s="216" t="str">
        <f t="shared" si="9"/>
        <v>- 1098897786 -MAY 04-</v>
      </c>
      <c r="N322" s="271" t="str">
        <f t="shared" ca="1" si="8"/>
        <v/>
      </c>
    </row>
    <row r="323" spans="1:14">
      <c r="A323" s="216" t="str">
        <f>IF(C323&lt;&gt;"",SUBTOTAL(103,$C$8:C323),"")</f>
        <v/>
      </c>
      <c r="B323" s="226">
        <v>43224</v>
      </c>
      <c r="C323" s="216"/>
      <c r="D323" s="216" t="str">
        <f>IF(C323&lt;&gt;"",VLOOKUP(C323,[1]DSKH!B:E,2,0),"")</f>
        <v/>
      </c>
      <c r="E323" s="215"/>
      <c r="F323" s="216"/>
      <c r="G323" s="216" t="str">
        <f>IF(C323&lt;&gt;"",VLOOKUP(C323,DSKH!B:E,3,0),"")</f>
        <v/>
      </c>
      <c r="H323" s="222">
        <v>1098882810</v>
      </c>
      <c r="I323" s="217"/>
      <c r="J323" s="224"/>
      <c r="K323" s="216" t="str">
        <f>IF(C323&lt;&gt;"",VLOOKUP(C323,[1]DSKH!B:E,4,0),"")</f>
        <v/>
      </c>
      <c r="L323" s="216"/>
      <c r="M323" s="216" t="str">
        <f t="shared" si="9"/>
        <v>- 1098882810 -MAY 04-</v>
      </c>
      <c r="N323" s="271" t="str">
        <f t="shared" ca="1" si="8"/>
        <v/>
      </c>
    </row>
    <row r="324" spans="1:14">
      <c r="A324" s="216" t="str">
        <f>IF(C324&lt;&gt;"",SUBTOTAL(103,$C$8:C324),"")</f>
        <v/>
      </c>
      <c r="B324" s="226">
        <v>43224</v>
      </c>
      <c r="C324" s="216"/>
      <c r="D324" s="216" t="str">
        <f>IF(C324&lt;&gt;"",VLOOKUP(C324,[1]DSKH!B:E,2,0),"")</f>
        <v/>
      </c>
      <c r="E324" s="215"/>
      <c r="F324" s="216"/>
      <c r="G324" s="216" t="str">
        <f>IF(C324&lt;&gt;"",VLOOKUP(C324,DSKH!B:E,3,0),"")</f>
        <v/>
      </c>
      <c r="H324" s="222">
        <v>1098908251</v>
      </c>
      <c r="I324" s="217"/>
      <c r="J324" s="224"/>
      <c r="K324" s="216" t="str">
        <f>IF(C324&lt;&gt;"",VLOOKUP(C324,[1]DSKH!B:E,4,0),"")</f>
        <v/>
      </c>
      <c r="L324" s="216"/>
      <c r="M324" s="216" t="str">
        <f t="shared" si="9"/>
        <v>- 1098908251 -MAY 04-</v>
      </c>
      <c r="N324" s="271" t="str">
        <f t="shared" ca="1" si="8"/>
        <v/>
      </c>
    </row>
    <row r="325" spans="1:14" ht="55.2">
      <c r="A325" s="216">
        <f>IF(C325&lt;&gt;"",SUBTOTAL(103,$C$8:C325),"")</f>
        <v>185</v>
      </c>
      <c r="B325" s="226">
        <v>43224</v>
      </c>
      <c r="C325" s="216" t="s">
        <v>295</v>
      </c>
      <c r="D325" s="216" t="str">
        <f>IF(C325&lt;&gt;"",VLOOKUP(C325,[1]DSKH!B:E,2,0),"")</f>
        <v>PHONG 505 TANG 5, 83B, PHO LY THUONG KIET, TRAN HUNG DAO, HOAN KIEM, HA NOI</v>
      </c>
      <c r="E325" s="215">
        <v>1</v>
      </c>
      <c r="F325" s="216"/>
      <c r="G325" s="216">
        <f>IF(C325&lt;&gt;"",VLOOKUP(C325,DSKH!B:E,3,0),"")</f>
        <v>0</v>
      </c>
      <c r="H325" s="222">
        <v>1098839875</v>
      </c>
      <c r="I325" s="217"/>
      <c r="J325" s="224" t="s">
        <v>3254</v>
      </c>
      <c r="K325" s="216">
        <f>IF(C325&lt;&gt;"",VLOOKUP(C325,[1]DSKH!B:E,4,0),"")</f>
        <v>0</v>
      </c>
      <c r="L325" s="216">
        <f>0.1</f>
        <v>0.1</v>
      </c>
      <c r="M325" s="216" t="str">
        <f t="shared" si="9"/>
        <v>CP SAN XUAT THE THAO- 1098839875 -MAY 04-na002184864</v>
      </c>
      <c r="N325" s="271">
        <f t="shared" ca="1" si="8"/>
        <v>44254.384610648151</v>
      </c>
    </row>
    <row r="326" spans="1:14" ht="41.4">
      <c r="A326" s="216">
        <f>IF(C326&lt;&gt;"",SUBTOTAL(103,$C$8:C326),"")</f>
        <v>186</v>
      </c>
      <c r="B326" s="226">
        <v>43224</v>
      </c>
      <c r="C326" s="216" t="s">
        <v>471</v>
      </c>
      <c r="D326" s="216" t="str">
        <f>IF(C326&lt;&gt;"",VLOOKUP(C326,[1]DSKH!B:E,2,0),"")</f>
        <v>KCN LUONG SON, HOA SON, LUONG SON, HOA BINH</v>
      </c>
      <c r="E326" s="215">
        <v>3</v>
      </c>
      <c r="F326" s="216"/>
      <c r="G326" s="216">
        <f>IF(C326&lt;&gt;"",VLOOKUP(C326,DSKH!B:E,3,0),"")</f>
        <v>0</v>
      </c>
      <c r="H326" s="222">
        <v>1098835128</v>
      </c>
      <c r="I326" s="217"/>
      <c r="J326" s="224" t="s">
        <v>3255</v>
      </c>
      <c r="K326" s="216" t="str">
        <f>IF(C326&lt;&gt;"",VLOOKUP(C326,[1]DSKH!B:E,4,0),"")</f>
        <v>MS HOA: 0972 706 082</v>
      </c>
      <c r="L326" s="216">
        <f>11.4+4.4+1.4</f>
        <v>17.2</v>
      </c>
      <c r="M326" s="216" t="str">
        <f t="shared" si="9"/>
        <v>ESQUEL HOA BINH- 1098835128 -MAY 04-na002184861</v>
      </c>
      <c r="N326" s="271">
        <f t="shared" ca="1" si="8"/>
        <v>44254.384610648151</v>
      </c>
    </row>
    <row r="327" spans="1:14" ht="27.6">
      <c r="A327" s="216">
        <f>IF(C327&lt;&gt;"",SUBTOTAL(103,$C$8:C327),"")</f>
        <v>187</v>
      </c>
      <c r="B327" s="226">
        <v>43224</v>
      </c>
      <c r="C327" s="216" t="s">
        <v>156</v>
      </c>
      <c r="D327" s="216" t="str">
        <f>IF(C327&lt;&gt;"",VLOOKUP(C327,[1]DSKH!B:E,2,0),"")</f>
        <v>164 TON DUC THANG ST-DONG DA DIST- HANOI</v>
      </c>
      <c r="E327" s="215">
        <v>1</v>
      </c>
      <c r="F327" s="216"/>
      <c r="G327" s="216">
        <f>IF(C327&lt;&gt;"",VLOOKUP(C327,DSKH!B:E,3,0),"")</f>
        <v>0</v>
      </c>
      <c r="H327" s="222">
        <v>1098824344</v>
      </c>
      <c r="I327" s="217"/>
      <c r="J327" s="224" t="s">
        <v>3256</v>
      </c>
      <c r="K327" s="216" t="str">
        <f>IF(C327&lt;&gt;"",VLOOKUP(C327,[1]DSKH!B:E,4,0),"")</f>
        <v>MS YEN/BICH THAO-4 732198</v>
      </c>
      <c r="L327" s="216">
        <f>1.7</f>
        <v>1.7</v>
      </c>
      <c r="M327" s="216" t="str">
        <f t="shared" si="9"/>
        <v>ARKSUN- 1098824344 -MAY 04-na002184862</v>
      </c>
      <c r="N327" s="271">
        <f t="shared" ca="1" si="8"/>
        <v>44254.384610648151</v>
      </c>
    </row>
    <row r="328" spans="1:14" ht="41.4">
      <c r="A328" s="216">
        <f>IF(C328&lt;&gt;"",SUBTOTAL(103,$C$8:C328),"")</f>
        <v>188</v>
      </c>
      <c r="B328" s="226">
        <v>43224</v>
      </c>
      <c r="C328" s="216" t="s">
        <v>2687</v>
      </c>
      <c r="D328" s="216" t="str">
        <f>IF(C328&lt;&gt;"",VLOOKUP(C328,[1]DSKH!B:E,2,0),"")</f>
        <v>XA THIEU DO, HUYEN THIEU HOA, TINH THANH HOA</v>
      </c>
      <c r="E328" s="215">
        <v>1</v>
      </c>
      <c r="F328" s="216"/>
      <c r="G328" s="216">
        <f>IF(C328&lt;&gt;"",VLOOKUP(C328,DSKH!B:E,3,0),"")</f>
        <v>0</v>
      </c>
      <c r="H328" s="222">
        <v>1098502350</v>
      </c>
      <c r="I328" s="217"/>
      <c r="J328" s="224" t="s">
        <v>3257</v>
      </c>
      <c r="K328" s="216">
        <f>IF(C328&lt;&gt;"",VLOOKUP(C328,[1]DSKH!B:E,4,0),"")</f>
        <v>0</v>
      </c>
      <c r="L328" s="216">
        <v>0.8</v>
      </c>
      <c r="M328" s="216" t="str">
        <f t="shared" si="9"/>
        <v>THIEU DO- 1098502350 -MAY 04-na002184859</v>
      </c>
      <c r="N328" s="271">
        <f t="shared" ca="1" si="8"/>
        <v>44254.384610648151</v>
      </c>
    </row>
    <row r="329" spans="1:14" ht="55.2">
      <c r="A329" s="216">
        <f>IF(C329&lt;&gt;"",SUBTOTAL(103,$C$8:C329),"")</f>
        <v>189</v>
      </c>
      <c r="B329" s="226">
        <v>43224</v>
      </c>
      <c r="C329" s="216" t="s">
        <v>1518</v>
      </c>
      <c r="D329" s="216" t="str">
        <f>IF(C329&lt;&gt;"",VLOOKUP(C329,[1]DSKH!B:E,2,0),"")</f>
        <v>LO M, DUONG SO 3, KCN HOA KHANH, P. HOA KHANH BAC, LIEN CHIEU, DA NANG</v>
      </c>
      <c r="E329" s="215">
        <v>1</v>
      </c>
      <c r="F329" s="216"/>
      <c r="G329" s="216">
        <f>IF(C329&lt;&gt;"",VLOOKUP(C329,DSKH!B:E,3,0),"")</f>
        <v>0</v>
      </c>
      <c r="H329" s="222">
        <v>1098826322</v>
      </c>
      <c r="I329" s="217"/>
      <c r="J329" s="224" t="s">
        <v>3258</v>
      </c>
      <c r="K329" s="216" t="str">
        <f>IF(C329&lt;&gt;"",VLOOKUP(C329,[1]DSKH!B:E,4,0),"")</f>
        <v>MS SUONG: 0905 267 641</v>
      </c>
      <c r="L329" s="216">
        <v>0.02</v>
      </c>
      <c r="M329" s="216" t="str">
        <f t="shared" si="9"/>
        <v>PHONG PHU CN DA NANG- 1098826322 -MAY 04-na002184860</v>
      </c>
      <c r="N329" s="271">
        <f t="shared" ca="1" si="8"/>
        <v>44254.384610648151</v>
      </c>
    </row>
    <row r="330" spans="1:14" ht="41.4">
      <c r="A330" s="216">
        <f>IF(C330&lt;&gt;"",SUBTOTAL(103,$C$8:C330),"")</f>
        <v>190</v>
      </c>
      <c r="B330" s="226">
        <v>43224</v>
      </c>
      <c r="C330" s="216" t="s">
        <v>1845</v>
      </c>
      <c r="D330" s="216" t="str">
        <f>IF(C330&lt;&gt;"",VLOOKUP(C330,[1]DSKH!B:E,2,0),"")</f>
        <v>DUONG 10-LOC HA-NAM DINH</v>
      </c>
      <c r="E330" s="215">
        <v>1</v>
      </c>
      <c r="F330" s="216"/>
      <c r="G330" s="216">
        <f>IF(C330&lt;&gt;"",VLOOKUP(C330,DSKH!B:E,3,0),"")</f>
        <v>0</v>
      </c>
      <c r="H330" s="222">
        <v>1098823987</v>
      </c>
      <c r="I330" s="217"/>
      <c r="J330" s="224" t="s">
        <v>3259</v>
      </c>
      <c r="K330" s="216" t="str">
        <f>IF(C330&lt;&gt;"",VLOOKUP(C330,[1]DSKH!B:E,4,0),"")</f>
        <v>BONNY- 0918 428 398</v>
      </c>
      <c r="L330" s="216">
        <f>1.64</f>
        <v>1.64</v>
      </c>
      <c r="M330" s="216" t="str">
        <f t="shared" si="9"/>
        <v>SONG HONG COLUMBIA VAT- 1098823987 -MAY 04-na002184857</v>
      </c>
      <c r="N330" s="271">
        <f t="shared" ca="1" si="8"/>
        <v>44254.384610648151</v>
      </c>
    </row>
    <row r="331" spans="1:14" ht="55.2">
      <c r="A331" s="216">
        <f>IF(C331&lt;&gt;"",SUBTOTAL(103,$C$8:C331),"")</f>
        <v>191</v>
      </c>
      <c r="B331" s="226">
        <v>43224</v>
      </c>
      <c r="C331" s="216" t="s">
        <v>811</v>
      </c>
      <c r="D331" s="216" t="str">
        <f>IF(C331&lt;&gt;"",VLOOKUP(C331,[1]DSKH!B:E,2,0),"")</f>
        <v>TO 1, KDC PHUONG LUNG, HUNG DAO, DUONG KINH, HAI PHONG</v>
      </c>
      <c r="E331" s="215">
        <v>3</v>
      </c>
      <c r="F331" s="216"/>
      <c r="G331" s="216" t="str">
        <f>IF(C331&lt;&gt;"",VLOOKUP(C331,DSKH!B:E,3,0),"")</f>
        <v>chung HD</v>
      </c>
      <c r="H331" s="222">
        <v>1098824213</v>
      </c>
      <c r="I331" s="217"/>
      <c r="J331" s="224" t="s">
        <v>3260</v>
      </c>
      <c r="K331" s="216" t="str">
        <f>IF(C331&lt;&gt;"",VLOOKUP(C331,[1]DSKH!B:E,4,0),"")</f>
        <v>MR CHUNG : 0936 185 442</v>
      </c>
      <c r="L331" s="216">
        <f>7.5+6.2+7.65</f>
        <v>21.35</v>
      </c>
      <c r="M331" s="216" t="str">
        <f t="shared" si="9"/>
        <v>HAI PHONG- 1098824213 -MAY 04-na002184858</v>
      </c>
      <c r="N331" s="271">
        <f t="shared" ca="1" si="8"/>
        <v>44254.384610648151</v>
      </c>
    </row>
    <row r="332" spans="1:14" ht="27.6">
      <c r="A332" s="216">
        <f>IF(C332&lt;&gt;"",SUBTOTAL(103,$C$8:C332),"")</f>
        <v>192</v>
      </c>
      <c r="B332" s="226">
        <v>43224</v>
      </c>
      <c r="C332" s="216" t="s">
        <v>1414</v>
      </c>
      <c r="D332" s="216" t="str">
        <f>IF(C332&lt;&gt;"",VLOOKUP(C332,[1]DSKH!B:E,2,0),"")</f>
        <v>PHO NOI, XA NGHIA HIEP, YEN MY, HUNG YEN</v>
      </c>
      <c r="E332" s="215">
        <v>1</v>
      </c>
      <c r="F332" s="216"/>
      <c r="G332" s="216">
        <f>IF(C332&lt;&gt;"",VLOOKUP(C332,DSKH!B:E,3,0),"")</f>
        <v>0</v>
      </c>
      <c r="H332" s="222">
        <v>1098824315</v>
      </c>
      <c r="I332" s="217"/>
      <c r="J332" s="224" t="s">
        <v>3261</v>
      </c>
      <c r="K332" s="216" t="str">
        <f>IF(C332&lt;&gt;"",VLOOKUP(C332,[1]DSKH!B:E,4,0),"")</f>
        <v>LE: 0982 526 853</v>
      </c>
      <c r="L332" s="216">
        <v>3.4</v>
      </c>
      <c r="M332" s="216" t="str">
        <f t="shared" si="9"/>
        <v>NGOC TE- 1098824315 -MAY 04-na002184855</v>
      </c>
      <c r="N332" s="271">
        <f t="shared" ca="1" si="8"/>
        <v>44254.384610648151</v>
      </c>
    </row>
    <row r="333" spans="1:14" ht="41.4">
      <c r="A333" s="216">
        <f>IF(C333&lt;&gt;"",SUBTOTAL(103,$C$8:C333),"")</f>
        <v>193</v>
      </c>
      <c r="B333" s="226">
        <v>43224</v>
      </c>
      <c r="C333" s="216" t="s">
        <v>2096</v>
      </c>
      <c r="D333" s="216" t="str">
        <f>IF(C333&lt;&gt;"",VLOOKUP(C333,[1]DSKH!B:E,2,0),"")</f>
        <v>DUONG TS 13, KCN TIEN SON, TUONG GIANG, TU SON, BAC NINH</v>
      </c>
      <c r="E333" s="215">
        <v>1</v>
      </c>
      <c r="F333" s="216"/>
      <c r="G333" s="216">
        <f>IF(C333&lt;&gt;"",VLOOKUP(C333,DSKH!B:E,3,0),"")</f>
        <v>0</v>
      </c>
      <c r="H333" s="222">
        <v>1098824210</v>
      </c>
      <c r="I333" s="217"/>
      <c r="J333" s="224" t="s">
        <v>3262</v>
      </c>
      <c r="K333" s="216" t="str">
        <f>IF(C333&lt;&gt;"",VLOOKUP(C333,[1]DSKH!B:E,4,0),"")</f>
        <v>NGOC LAN: 0975 852 685</v>
      </c>
      <c r="L333" s="216">
        <v>6.75</v>
      </c>
      <c r="M333" s="216" t="str">
        <f t="shared" si="9"/>
        <v>TISU- 1098824210 -MAY 04-na002184856</v>
      </c>
      <c r="N333" s="271">
        <f t="shared" ca="1" si="8"/>
        <v>44254.384610648151</v>
      </c>
    </row>
    <row r="334" spans="1:14" ht="41.4">
      <c r="A334" s="216">
        <f>IF(C334&lt;&gt;"",SUBTOTAL(103,$C$8:C334),"")</f>
        <v>194</v>
      </c>
      <c r="B334" s="226">
        <v>43224</v>
      </c>
      <c r="C334" s="216" t="s">
        <v>2381</v>
      </c>
      <c r="D334" s="216" t="str">
        <f>IF(C334&lt;&gt;"",VLOOKUP(C334,[1]DSKH!B:E,2,0),"")</f>
        <v>LO A8, CUM CN LA HA, THI TRAN LA HA, TU NGHIA, QUANG NGAI</v>
      </c>
      <c r="E334" s="215">
        <v>2</v>
      </c>
      <c r="F334" s="216"/>
      <c r="G334" s="216">
        <f>IF(C334&lt;&gt;"",VLOOKUP(C334,DSKH!B:E,3,0),"")</f>
        <v>0</v>
      </c>
      <c r="H334" s="222">
        <v>1098709961</v>
      </c>
      <c r="I334" s="217"/>
      <c r="J334" s="224" t="s">
        <v>3263</v>
      </c>
      <c r="K334" s="216" t="str">
        <f>IF(C334&lt;&gt;"",VLOOKUP(C334,[1]DSKH!B:E,4,0),"")</f>
        <v>MR VU: 0936 383 610</v>
      </c>
      <c r="L334" s="216">
        <f>3.7+2.8+0</f>
        <v>6.5</v>
      </c>
      <c r="M334" s="216" t="str">
        <f t="shared" si="9"/>
        <v>VINATEX TU NGHIA- 1098709961 -MAY 04-na002184853</v>
      </c>
      <c r="N334" s="271">
        <f t="shared" ca="1" si="8"/>
        <v>44254.384610648151</v>
      </c>
    </row>
    <row r="335" spans="1:14" ht="41.4">
      <c r="A335" s="216">
        <f>IF(C335&lt;&gt;"",SUBTOTAL(103,$C$8:C335),"")</f>
        <v>195</v>
      </c>
      <c r="B335" s="226">
        <v>43224</v>
      </c>
      <c r="C335" s="216" t="s">
        <v>744</v>
      </c>
      <c r="D335" s="216" t="str">
        <f>IF(C335&lt;&gt;"",VLOOKUP(C335,[1]DSKH!B:E,2,0),"")</f>
        <v>NGA TU DINH TRAM-HONG THAI-VIET YEN-BAC GIANG</v>
      </c>
      <c r="E335" s="215">
        <v>2</v>
      </c>
      <c r="F335" s="216" t="s">
        <v>2861</v>
      </c>
      <c r="G335" s="216">
        <f>IF(C335&lt;&gt;"",VLOOKUP(C335,DSKH!B:E,3,0),"")</f>
        <v>0</v>
      </c>
      <c r="H335" s="222">
        <v>1098863152</v>
      </c>
      <c r="I335" s="217"/>
      <c r="J335" s="224" t="s">
        <v>3264</v>
      </c>
      <c r="K335" s="216" t="str">
        <f>IF(C335&lt;&gt;"",VLOOKUP(C335,[1]DSKH!B:E,4,0),"")</f>
        <v>Giao Ha Bac 1 - Mr.Thanh: 0978.491.357/ Mr. Duong: 0936.228.933</v>
      </c>
      <c r="L335" s="216">
        <v>0.5</v>
      </c>
      <c r="M335" s="216" t="str">
        <f t="shared" si="9"/>
        <v>HA BAC 1- 1098863152 -MAY 04-na002184854</v>
      </c>
      <c r="N335" s="271">
        <f t="shared" ca="1" si="8"/>
        <v>44254.384610648151</v>
      </c>
    </row>
    <row r="336" spans="1:14" ht="55.2">
      <c r="A336" s="216">
        <f>IF(C336&lt;&gt;"",SUBTOTAL(103,$C$8:C336),"")</f>
        <v>196</v>
      </c>
      <c r="B336" s="226">
        <v>43224</v>
      </c>
      <c r="C336" s="216" t="s">
        <v>1756</v>
      </c>
      <c r="D336" s="216" t="str">
        <f>IF(C336&lt;&gt;"",VLOOKUP(C336,[1]DSKH!B:E,2,0),"")</f>
        <v>THUY VAN IZ-LOT 10-VIET TRI-PHU THO</v>
      </c>
      <c r="E336" s="215">
        <v>15</v>
      </c>
      <c r="F336" s="216" t="s">
        <v>2090</v>
      </c>
      <c r="G336" s="216">
        <f>IF(C336&lt;&gt;"",VLOOKUP(C336,DSKH!B:E,3,0),"")</f>
        <v>0</v>
      </c>
      <c r="H336" s="222">
        <v>1098748427</v>
      </c>
      <c r="I336" s="217" t="s">
        <v>3266</v>
      </c>
      <c r="J336" s="224" t="s">
        <v>3265</v>
      </c>
      <c r="K336" s="216" t="str">
        <f>IF(C336&lt;&gt;"",VLOOKUP(C336,[1]DSKH!B:E,4,0),"")</f>
        <v>TUAN: 0942 935 662</v>
      </c>
      <c r="L336" s="216">
        <f>1.3+1.6+2.4+0.1</f>
        <v>5.4</v>
      </c>
      <c r="M336" s="216" t="str">
        <f t="shared" si="9"/>
        <v>SESHIN- 1098748427 -MAY 04-na002184851</v>
      </c>
      <c r="N336" s="271">
        <f t="shared" ca="1" si="8"/>
        <v>44254.384610648151</v>
      </c>
    </row>
    <row r="337" spans="1:14">
      <c r="A337" s="216"/>
      <c r="B337" s="226"/>
      <c r="C337" s="216"/>
      <c r="D337" s="216"/>
      <c r="E337" s="215"/>
      <c r="F337" s="216"/>
      <c r="G337" s="216"/>
      <c r="H337" s="222">
        <v>1098675207</v>
      </c>
      <c r="I337" s="217"/>
      <c r="J337" s="224"/>
      <c r="K337" s="216"/>
      <c r="L337" s="216"/>
      <c r="M337" s="216"/>
      <c r="N337" s="271"/>
    </row>
    <row r="338" spans="1:14" ht="55.2">
      <c r="A338" s="216">
        <f>IF(C338&lt;&gt;"",SUBTOTAL(103,$C$8:C338),"")</f>
        <v>197</v>
      </c>
      <c r="B338" s="226">
        <v>43224</v>
      </c>
      <c r="C338" s="216" t="s">
        <v>2523</v>
      </c>
      <c r="D338" s="216" t="str">
        <f>IF(C338&lt;&gt;"",VLOOKUP(C338,[1]DSKH!B:E,2,0),"")</f>
        <v>NO F5, F6, F7, F8, F9, F10 KCN BAC DONG PHU, TAN PHU, DONG PHU, BINH PHUOC</v>
      </c>
      <c r="E338" s="215">
        <v>7</v>
      </c>
      <c r="F338" s="216"/>
      <c r="G338" s="216" t="str">
        <f>IF(C338&lt;&gt;"",VLOOKUP(C338,DSKH!B:E,3,0),"")</f>
        <v>CTU</v>
      </c>
      <c r="H338" s="222">
        <v>1098684405</v>
      </c>
      <c r="I338" s="217" t="s">
        <v>3267</v>
      </c>
      <c r="J338" s="224" t="s">
        <v>3268</v>
      </c>
      <c r="K338" s="216" t="str">
        <f>IF(C338&lt;&gt;"",VLOOKUP(C338,[1]DSKH!B:E,4,0),"")</f>
        <v>QUYNH ANH: 0935 471 807</v>
      </c>
      <c r="L338" s="216">
        <f>5.5+9.2+8.2+2.5+9.9+5.4+8.6</f>
        <v>49.3</v>
      </c>
      <c r="M338" s="216" t="str">
        <f t="shared" si="7"/>
        <v>YAKJIN SAIGON- 1098684405 -MAY 03-na002184852</v>
      </c>
      <c r="N338" s="271">
        <f t="shared" ca="1" si="8"/>
        <v>44254.384610648151</v>
      </c>
    </row>
    <row r="339" spans="1:14">
      <c r="A339" s="216" t="str">
        <f>IF(C339&lt;&gt;"",SUBTOTAL(103,$C$8:C339),"")</f>
        <v/>
      </c>
      <c r="B339" s="226">
        <v>43224</v>
      </c>
      <c r="C339" s="216"/>
      <c r="D339" s="216" t="str">
        <f>IF(C339&lt;&gt;"",VLOOKUP(C339,[1]DSKH!B:E,2,0),"")</f>
        <v/>
      </c>
      <c r="E339" s="215"/>
      <c r="F339" s="216"/>
      <c r="G339" s="216" t="str">
        <f>IF(C339&lt;&gt;"",VLOOKUP(C339,DSKH!B:E,3,0),"")</f>
        <v/>
      </c>
      <c r="H339" s="222">
        <v>1098682664</v>
      </c>
      <c r="I339" s="217"/>
      <c r="J339" s="224"/>
      <c r="K339" s="216" t="str">
        <f>IF(C339&lt;&gt;"",VLOOKUP(C339,[1]DSKH!B:E,4,0),"")</f>
        <v/>
      </c>
      <c r="L339" s="216"/>
      <c r="M339" s="216" t="str">
        <f t="shared" si="7"/>
        <v>- 1098682664 -MAY 03-</v>
      </c>
      <c r="N339" s="271" t="str">
        <f t="shared" ca="1" si="8"/>
        <v/>
      </c>
    </row>
    <row r="340" spans="1:14">
      <c r="A340" s="216" t="str">
        <f>IF(C340&lt;&gt;"",SUBTOTAL(103,$C$8:C340),"")</f>
        <v/>
      </c>
      <c r="B340" s="226">
        <v>43224</v>
      </c>
      <c r="C340" s="216"/>
      <c r="D340" s="216" t="str">
        <f>IF(C340&lt;&gt;"",VLOOKUP(C340,[1]DSKH!B:E,2,0),"")</f>
        <v/>
      </c>
      <c r="E340" s="215"/>
      <c r="F340" s="216"/>
      <c r="G340" s="216" t="str">
        <f>IF(C340&lt;&gt;"",VLOOKUP(C340,DSKH!B:E,3,0),"")</f>
        <v/>
      </c>
      <c r="H340" s="222">
        <v>1098682663</v>
      </c>
      <c r="I340" s="217"/>
      <c r="J340" s="224"/>
      <c r="K340" s="216" t="str">
        <f>IF(C340&lt;&gt;"",VLOOKUP(C340,[1]DSKH!B:E,4,0),"")</f>
        <v/>
      </c>
      <c r="L340" s="216"/>
      <c r="M340" s="216" t="str">
        <f t="shared" si="7"/>
        <v>- 1098682663 -MAY 03-</v>
      </c>
      <c r="N340" s="271" t="str">
        <f t="shared" ca="1" si="8"/>
        <v/>
      </c>
    </row>
    <row r="341" spans="1:14">
      <c r="A341" s="216" t="str">
        <f>IF(C341&lt;&gt;"",SUBTOTAL(103,$C$8:C341),"")</f>
        <v/>
      </c>
      <c r="B341" s="226">
        <v>43224</v>
      </c>
      <c r="C341" s="216"/>
      <c r="D341" s="216" t="str">
        <f>IF(C341&lt;&gt;"",VLOOKUP(C341,[1]DSKH!B:E,2,0),"")</f>
        <v/>
      </c>
      <c r="E341" s="215"/>
      <c r="F341" s="216"/>
      <c r="G341" s="216" t="str">
        <f>IF(C341&lt;&gt;"",VLOOKUP(C341,DSKH!B:E,3,0),"")</f>
        <v/>
      </c>
      <c r="H341" s="222">
        <v>1098682662</v>
      </c>
      <c r="I341" s="217"/>
      <c r="J341" s="224"/>
      <c r="K341" s="216" t="str">
        <f>IF(C341&lt;&gt;"",VLOOKUP(C341,[1]DSKH!B:E,4,0),"")</f>
        <v/>
      </c>
      <c r="L341" s="216"/>
      <c r="M341" s="216" t="str">
        <f t="shared" si="7"/>
        <v>- 1098682662 -MAY 03-</v>
      </c>
      <c r="N341" s="271" t="str">
        <f t="shared" ca="1" si="8"/>
        <v/>
      </c>
    </row>
    <row r="342" spans="1:14" ht="41.4">
      <c r="A342" s="216">
        <f>IF(C342&lt;&gt;"",SUBTOTAL(103,$C$8:C342),"")</f>
        <v>198</v>
      </c>
      <c r="B342" s="226">
        <v>43224</v>
      </c>
      <c r="C342" s="216" t="s">
        <v>2568</v>
      </c>
      <c r="D342" s="216" t="str">
        <f>IF(C342&lt;&gt;"",VLOOKUP(C342,[1]DSKH!B:E,2,0),"")</f>
        <v>PLOT D6, KCN MY TRUNG, MY LOC, NAM DINH</v>
      </c>
      <c r="E342" s="215">
        <v>7</v>
      </c>
      <c r="F342" s="216" t="s">
        <v>2090</v>
      </c>
      <c r="G342" s="216" t="str">
        <f>IF(C342&lt;&gt;"",VLOOKUP(C342,DSKH!B:E,3,0),"")</f>
        <v>HANG CHUNG CTU</v>
      </c>
      <c r="H342" s="222" t="s">
        <v>3269</v>
      </c>
      <c r="I342" s="217" t="s">
        <v>2860</v>
      </c>
      <c r="J342" s="224" t="s">
        <v>3276</v>
      </c>
      <c r="K342" s="216" t="str">
        <f>IF(C342&lt;&gt;"",VLOOKUP(C342,[1]DSKH!B:E,4,0),"")</f>
        <v>THUY: 0350 3819 198</v>
      </c>
      <c r="L342" s="216">
        <f>0.1+0.2+0.1+0.1+0.2+0.1+0.1+0</f>
        <v>0.89999999999999991</v>
      </c>
      <c r="M342" s="216" t="str">
        <f t="shared" si="7"/>
        <v>YSS- HB23250041-3 -MAY 03-na002184850</v>
      </c>
      <c r="N342" s="271">
        <f t="shared" ca="1" si="8"/>
        <v>44254.384610648151</v>
      </c>
    </row>
    <row r="343" spans="1:14">
      <c r="A343" s="216" t="str">
        <f>IF(C343&lt;&gt;"",SUBTOTAL(103,$C$8:C343),"")</f>
        <v/>
      </c>
      <c r="B343" s="226">
        <v>43224</v>
      </c>
      <c r="C343" s="216"/>
      <c r="D343" s="216" t="str">
        <f>IF(C343&lt;&gt;"",VLOOKUP(C343,[1]DSKH!B:E,2,0),"")</f>
        <v/>
      </c>
      <c r="E343" s="215"/>
      <c r="F343" s="216"/>
      <c r="G343" s="216" t="str">
        <f>IF(C343&lt;&gt;"",VLOOKUP(C343,DSKH!B:E,3,0),"")</f>
        <v/>
      </c>
      <c r="H343" s="222" t="s">
        <v>3270</v>
      </c>
      <c r="I343" s="217"/>
      <c r="J343" s="224"/>
      <c r="K343" s="216" t="str">
        <f>IF(C343&lt;&gt;"",VLOOKUP(C343,[1]DSKH!B:E,4,0),"")</f>
        <v/>
      </c>
      <c r="L343" s="216"/>
      <c r="M343" s="216" t="str">
        <f t="shared" si="7"/>
        <v>- HB22522027-7 -MAY 03-</v>
      </c>
      <c r="N343" s="271" t="str">
        <f t="shared" ca="1" si="8"/>
        <v/>
      </c>
    </row>
    <row r="344" spans="1:14">
      <c r="A344" s="216" t="str">
        <f>IF(C344&lt;&gt;"",SUBTOTAL(103,$C$8:C344),"")</f>
        <v/>
      </c>
      <c r="B344" s="226">
        <v>43224</v>
      </c>
      <c r="C344" s="216"/>
      <c r="D344" s="216" t="str">
        <f>IF(C344&lt;&gt;"",VLOOKUP(C344,[1]DSKH!B:E,2,0),"")</f>
        <v/>
      </c>
      <c r="E344" s="215"/>
      <c r="F344" s="216"/>
      <c r="G344" s="216" t="str">
        <f>IF(C344&lt;&gt;"",VLOOKUP(C344,DSKH!B:E,3,0),"")</f>
        <v/>
      </c>
      <c r="H344" s="222" t="s">
        <v>3271</v>
      </c>
      <c r="I344" s="217"/>
      <c r="J344" s="224"/>
      <c r="K344" s="216" t="str">
        <f>IF(C344&lt;&gt;"",VLOOKUP(C344,[1]DSKH!B:E,4,0),"")</f>
        <v/>
      </c>
      <c r="L344" s="216"/>
      <c r="M344" s="216" t="str">
        <f t="shared" si="7"/>
        <v>- HB23767318-1 -MAY 03-</v>
      </c>
      <c r="N344" s="271" t="str">
        <f t="shared" ca="1" si="8"/>
        <v/>
      </c>
    </row>
    <row r="345" spans="1:14">
      <c r="A345" s="216" t="str">
        <f>IF(C345&lt;&gt;"",SUBTOTAL(103,$C$8:C345),"")</f>
        <v/>
      </c>
      <c r="B345" s="226">
        <v>43224</v>
      </c>
      <c r="C345" s="216"/>
      <c r="D345" s="216" t="str">
        <f>IF(C345&lt;&gt;"",VLOOKUP(C345,[1]DSKH!B:E,2,0),"")</f>
        <v/>
      </c>
      <c r="E345" s="215"/>
      <c r="F345" s="216"/>
      <c r="G345" s="216" t="str">
        <f>IF(C345&lt;&gt;"",VLOOKUP(C345,DSKH!B:E,3,0),"")</f>
        <v/>
      </c>
      <c r="H345" s="222" t="s">
        <v>3272</v>
      </c>
      <c r="I345" s="217"/>
      <c r="J345" s="224"/>
      <c r="K345" s="216" t="str">
        <f>IF(C345&lt;&gt;"",VLOOKUP(C345,[1]DSKH!B:E,4,0),"")</f>
        <v/>
      </c>
      <c r="L345" s="216"/>
      <c r="M345" s="216" t="str">
        <f t="shared" si="7"/>
        <v>- HB23767318-2 -MAY 03-</v>
      </c>
      <c r="N345" s="271" t="str">
        <f t="shared" ca="1" si="8"/>
        <v/>
      </c>
    </row>
    <row r="346" spans="1:14">
      <c r="A346" s="216" t="str">
        <f>IF(C346&lt;&gt;"",SUBTOTAL(103,$C$8:C346),"")</f>
        <v/>
      </c>
      <c r="B346" s="226">
        <v>43224</v>
      </c>
      <c r="C346" s="216"/>
      <c r="D346" s="216" t="str">
        <f>IF(C346&lt;&gt;"",VLOOKUP(C346,[1]DSKH!B:E,2,0),"")</f>
        <v/>
      </c>
      <c r="E346" s="215"/>
      <c r="F346" s="216"/>
      <c r="G346" s="216" t="str">
        <f>IF(C346&lt;&gt;"",VLOOKUP(C346,DSKH!B:E,3,0),"")</f>
        <v/>
      </c>
      <c r="H346" s="222" t="s">
        <v>3273</v>
      </c>
      <c r="I346" s="217"/>
      <c r="J346" s="224"/>
      <c r="K346" s="216" t="str">
        <f>IF(C346&lt;&gt;"",VLOOKUP(C346,[1]DSKH!B:E,4,0),"")</f>
        <v/>
      </c>
      <c r="L346" s="216"/>
      <c r="M346" s="216" t="str">
        <f t="shared" si="7"/>
        <v>- HB23767306-3 -MAY 03-</v>
      </c>
      <c r="N346" s="271" t="str">
        <f t="shared" ca="1" si="8"/>
        <v/>
      </c>
    </row>
    <row r="347" spans="1:14">
      <c r="A347" s="216" t="str">
        <f>IF(C347&lt;&gt;"",SUBTOTAL(103,$C$8:C347),"")</f>
        <v/>
      </c>
      <c r="B347" s="226">
        <v>43224</v>
      </c>
      <c r="C347" s="216"/>
      <c r="D347" s="216" t="str">
        <f>IF(C347&lt;&gt;"",VLOOKUP(C347,[1]DSKH!B:E,2,0),"")</f>
        <v/>
      </c>
      <c r="E347" s="215"/>
      <c r="F347" s="216"/>
      <c r="G347" s="216" t="str">
        <f>IF(C347&lt;&gt;"",VLOOKUP(C347,DSKH!B:E,3,0),"")</f>
        <v/>
      </c>
      <c r="H347" s="222" t="s">
        <v>3274</v>
      </c>
      <c r="I347" s="217"/>
      <c r="J347" s="224"/>
      <c r="K347" s="216" t="str">
        <f>IF(C347&lt;&gt;"",VLOOKUP(C347,[1]DSKH!B:E,4,0),"")</f>
        <v/>
      </c>
      <c r="L347" s="216"/>
      <c r="M347" s="216" t="str">
        <f t="shared" si="7"/>
        <v>- HB23767306-1 -MAY 03-</v>
      </c>
      <c r="N347" s="271" t="str">
        <f t="shared" ca="1" si="8"/>
        <v/>
      </c>
    </row>
    <row r="348" spans="1:14">
      <c r="A348" s="216" t="str">
        <f>IF(C348&lt;&gt;"",SUBTOTAL(103,$C$8:C348),"")</f>
        <v/>
      </c>
      <c r="B348" s="226">
        <v>43224</v>
      </c>
      <c r="C348" s="216"/>
      <c r="D348" s="216" t="str">
        <f>IF(C348&lt;&gt;"",VLOOKUP(C348,[1]DSKH!B:E,2,0),"")</f>
        <v/>
      </c>
      <c r="E348" s="215"/>
      <c r="F348" s="216"/>
      <c r="G348" s="216" t="str">
        <f>IF(C348&lt;&gt;"",VLOOKUP(C348,DSKH!B:E,3,0),"")</f>
        <v/>
      </c>
      <c r="H348" s="222" t="s">
        <v>3275</v>
      </c>
      <c r="I348" s="217"/>
      <c r="J348" s="224"/>
      <c r="K348" s="216" t="str">
        <f>IF(C348&lt;&gt;"",VLOOKUP(C348,[1]DSKH!B:E,4,0),"")</f>
        <v/>
      </c>
      <c r="L348" s="216"/>
      <c r="M348" s="216" t="str">
        <f t="shared" si="7"/>
        <v>- HB23767306-4 -MAY 03-</v>
      </c>
      <c r="N348" s="271" t="str">
        <f t="shared" ca="1" si="8"/>
        <v/>
      </c>
    </row>
    <row r="349" spans="1:14" ht="55.2">
      <c r="A349" s="216">
        <f>IF(C349&lt;&gt;"",SUBTOTAL(103,$C$8:C349),"")</f>
        <v>199</v>
      </c>
      <c r="B349" s="226">
        <v>43224</v>
      </c>
      <c r="C349" s="216" t="s">
        <v>746</v>
      </c>
      <c r="D349" s="216" t="str">
        <f>IF(C349&lt;&gt;"",VLOOKUP(C349,[1]DSKH!B:E,2,0),"")</f>
        <v>NGA TU DINH TRAM-HONG THAI-VIET YEN-BAC GIANG</v>
      </c>
      <c r="E349" s="215">
        <v>16</v>
      </c>
      <c r="F349" s="216"/>
      <c r="G349" s="216">
        <f>IF(C349&lt;&gt;"",VLOOKUP(C349,DSKH!B:E,3,0),"")</f>
        <v>0</v>
      </c>
      <c r="H349" s="222">
        <v>1098849445</v>
      </c>
      <c r="I349" s="217" t="s">
        <v>3152</v>
      </c>
      <c r="J349" s="224" t="s">
        <v>3277</v>
      </c>
      <c r="K349" s="216" t="str">
        <f>IF(C349&lt;&gt;"",VLOOKUP(C349,[1]DSKH!B:E,4,0),"")</f>
        <v>MR BINH 0915181104</v>
      </c>
      <c r="L349" s="216">
        <v>35.270000000000003</v>
      </c>
      <c r="M349" s="216" t="str">
        <f t="shared" si="7"/>
        <v>HA BAC 2- 1098849445 -MAY 03-na002184849</v>
      </c>
      <c r="N349" s="271">
        <f t="shared" ca="1" si="8"/>
        <v>44254.384610648151</v>
      </c>
    </row>
    <row r="350" spans="1:14">
      <c r="A350" s="216" t="str">
        <f>IF(C350&lt;&gt;"",SUBTOTAL(103,$C$8:C350),"")</f>
        <v/>
      </c>
      <c r="B350" s="226">
        <v>43224</v>
      </c>
      <c r="C350" s="216"/>
      <c r="D350" s="216" t="str">
        <f>IF(C350&lt;&gt;"",VLOOKUP(C350,[1]DSKH!B:E,2,0),"")</f>
        <v/>
      </c>
      <c r="E350" s="215"/>
      <c r="F350" s="216"/>
      <c r="G350" s="216" t="str">
        <f>IF(C350&lt;&gt;"",VLOOKUP(C350,DSKH!B:E,3,0),"")</f>
        <v/>
      </c>
      <c r="H350" s="222">
        <v>1098833064</v>
      </c>
      <c r="I350" s="217"/>
      <c r="J350" s="224"/>
      <c r="K350" s="216" t="str">
        <f>IF(C350&lt;&gt;"",VLOOKUP(C350,[1]DSKH!B:E,4,0),"")</f>
        <v/>
      </c>
      <c r="L350" s="216"/>
      <c r="M350" s="216" t="str">
        <f t="shared" si="7"/>
        <v>- 1098833064 -MAY 03-</v>
      </c>
      <c r="N350" s="271" t="str">
        <f t="shared" ca="1" si="8"/>
        <v/>
      </c>
    </row>
    <row r="351" spans="1:14">
      <c r="A351" s="216" t="str">
        <f>IF(C351&lt;&gt;"",SUBTOTAL(103,$C$8:C351),"")</f>
        <v/>
      </c>
      <c r="B351" s="226">
        <v>43224</v>
      </c>
      <c r="C351" s="216"/>
      <c r="D351" s="216" t="str">
        <f>IF(C351&lt;&gt;"",VLOOKUP(C351,[1]DSKH!B:E,2,0),"")</f>
        <v/>
      </c>
      <c r="E351" s="215"/>
      <c r="F351" s="216"/>
      <c r="G351" s="216" t="str">
        <f>IF(C351&lt;&gt;"",VLOOKUP(C351,DSKH!B:E,3,0),"")</f>
        <v/>
      </c>
      <c r="H351" s="222">
        <v>1098849444</v>
      </c>
      <c r="I351" s="217"/>
      <c r="J351" s="224"/>
      <c r="K351" s="216" t="str">
        <f>IF(C351&lt;&gt;"",VLOOKUP(C351,[1]DSKH!B:E,4,0),"")</f>
        <v/>
      </c>
      <c r="L351" s="216"/>
      <c r="M351" s="216" t="str">
        <f t="shared" si="7"/>
        <v>- 1098849444 -MAY 03-</v>
      </c>
      <c r="N351" s="271" t="str">
        <f t="shared" ca="1" si="8"/>
        <v/>
      </c>
    </row>
    <row r="352" spans="1:14">
      <c r="A352" s="216" t="str">
        <f>IF(C352&lt;&gt;"",SUBTOTAL(103,$C$8:C352),"")</f>
        <v/>
      </c>
      <c r="B352" s="226">
        <v>43224</v>
      </c>
      <c r="C352" s="216"/>
      <c r="D352" s="216" t="str">
        <f>IF(C352&lt;&gt;"",VLOOKUP(C352,[1]DSKH!B:E,2,0),"")</f>
        <v/>
      </c>
      <c r="E352" s="215"/>
      <c r="F352" s="216"/>
      <c r="G352" s="216" t="str">
        <f>IF(C352&lt;&gt;"",VLOOKUP(C352,DSKH!B:E,3,0),"")</f>
        <v/>
      </c>
      <c r="H352" s="222">
        <v>1098849441</v>
      </c>
      <c r="I352" s="217"/>
      <c r="J352" s="224"/>
      <c r="K352" s="216" t="str">
        <f>IF(C352&lt;&gt;"",VLOOKUP(C352,[1]DSKH!B:E,4,0),"")</f>
        <v/>
      </c>
      <c r="L352" s="216"/>
      <c r="M352" s="216" t="str">
        <f t="shared" si="7"/>
        <v>- 1098849441 -MAY 03-</v>
      </c>
      <c r="N352" s="271" t="str">
        <f t="shared" ca="1" si="8"/>
        <v/>
      </c>
    </row>
    <row r="353" spans="1:14">
      <c r="A353" s="216" t="str">
        <f>IF(C353&lt;&gt;"",SUBTOTAL(103,$C$8:C353),"")</f>
        <v/>
      </c>
      <c r="B353" s="226">
        <v>43224</v>
      </c>
      <c r="C353" s="216"/>
      <c r="D353" s="216" t="str">
        <f>IF(C353&lt;&gt;"",VLOOKUP(C353,[1]DSKH!B:E,2,0),"")</f>
        <v/>
      </c>
      <c r="E353" s="215"/>
      <c r="F353" s="216"/>
      <c r="G353" s="216" t="str">
        <f>IF(C353&lt;&gt;"",VLOOKUP(C353,DSKH!B:E,3,0),"")</f>
        <v/>
      </c>
      <c r="H353" s="222">
        <v>1098849446</v>
      </c>
      <c r="I353" s="217"/>
      <c r="J353" s="224"/>
      <c r="K353" s="216" t="str">
        <f>IF(C353&lt;&gt;"",VLOOKUP(C353,[1]DSKH!B:E,4,0),"")</f>
        <v/>
      </c>
      <c r="L353" s="216"/>
      <c r="M353" s="216" t="str">
        <f t="shared" ref="M353:M399" si="10">C353&amp;"-"&amp;" "&amp;H353&amp;" "&amp;"-"&amp;"MAY"&amp;" "&amp;"03"&amp;"-"&amp;J353</f>
        <v>- 1098849446 -MAY 03-</v>
      </c>
      <c r="N353" s="271" t="str">
        <f t="shared" ca="1" si="8"/>
        <v/>
      </c>
    </row>
    <row r="354" spans="1:14">
      <c r="A354" s="216" t="str">
        <f>IF(C354&lt;&gt;"",SUBTOTAL(103,$C$8:C354),"")</f>
        <v/>
      </c>
      <c r="B354" s="226">
        <v>43224</v>
      </c>
      <c r="C354" s="216"/>
      <c r="D354" s="216" t="str">
        <f>IF(C354&lt;&gt;"",VLOOKUP(C354,[1]DSKH!B:E,2,0),"")</f>
        <v/>
      </c>
      <c r="E354" s="215"/>
      <c r="F354" s="216"/>
      <c r="G354" s="216" t="str">
        <f>IF(C354&lt;&gt;"",VLOOKUP(C354,DSKH!B:E,3,0),"")</f>
        <v/>
      </c>
      <c r="H354" s="222">
        <v>1098882893</v>
      </c>
      <c r="I354" s="217"/>
      <c r="J354" s="224"/>
      <c r="K354" s="216" t="str">
        <f>IF(C354&lt;&gt;"",VLOOKUP(C354,[1]DSKH!B:E,4,0),"")</f>
        <v/>
      </c>
      <c r="L354" s="216"/>
      <c r="M354" s="216" t="str">
        <f t="shared" si="10"/>
        <v>- 1098882893 -MAY 03-</v>
      </c>
      <c r="N354" s="271" t="str">
        <f t="shared" ca="1" si="8"/>
        <v/>
      </c>
    </row>
    <row r="355" spans="1:14" ht="41.4">
      <c r="A355" s="216">
        <f>IF(C355&lt;&gt;"",SUBTOTAL(103,$C$8:C355),"")</f>
        <v>200</v>
      </c>
      <c r="B355" s="226">
        <v>43224</v>
      </c>
      <c r="C355" s="216" t="s">
        <v>2930</v>
      </c>
      <c r="D355" s="216" t="str">
        <f>IF(C355&lt;&gt;"",VLOOKUP(C355,[1]DSKH!B:E,2,0),"")</f>
        <v>Doan Bai Commune- Hiep Hoa Dist
 Bac Giang Province</v>
      </c>
      <c r="E355" s="215">
        <v>2</v>
      </c>
      <c r="F355" s="216"/>
      <c r="G355" s="216">
        <f>IF(C355&lt;&gt;"",VLOOKUP(C355,DSKH!B:E,3,0),"")</f>
        <v>0</v>
      </c>
      <c r="H355" s="222">
        <v>1099003193</v>
      </c>
      <c r="I355" s="217" t="s">
        <v>2860</v>
      </c>
      <c r="J355" s="224" t="s">
        <v>3278</v>
      </c>
      <c r="K355" s="216" t="str">
        <f>IF(C355&lt;&gt;"",VLOOKUP(C355,[1]DSKH!B:E,4,0),"")</f>
        <v>GIANG: 01687887348</v>
      </c>
      <c r="L355" s="216">
        <f>0.7+0.8</f>
        <v>1.5</v>
      </c>
      <c r="M355" s="216" t="str">
        <f t="shared" si="10"/>
        <v>HA PHONG 4- 1099003193 -MAY 03-na002184847</v>
      </c>
      <c r="N355" s="271">
        <f t="shared" ca="1" si="8"/>
        <v>44254.384610648151</v>
      </c>
    </row>
    <row r="356" spans="1:14">
      <c r="A356" s="216" t="str">
        <f>IF(C356&lt;&gt;"",SUBTOTAL(103,$C$8:C356),"")</f>
        <v/>
      </c>
      <c r="B356" s="226">
        <v>43224</v>
      </c>
      <c r="C356" s="216"/>
      <c r="D356" s="216" t="str">
        <f>IF(C356&lt;&gt;"",VLOOKUP(C356,[1]DSKH!B:E,2,0),"")</f>
        <v/>
      </c>
      <c r="E356" s="215"/>
      <c r="F356" s="216"/>
      <c r="G356" s="216" t="str">
        <f>IF(C356&lt;&gt;"",VLOOKUP(C356,DSKH!B:E,3,0),"")</f>
        <v/>
      </c>
      <c r="H356" s="222">
        <v>1099003190</v>
      </c>
      <c r="I356" s="217"/>
      <c r="J356" s="224"/>
      <c r="K356" s="216" t="str">
        <f>IF(C356&lt;&gt;"",VLOOKUP(C356,[1]DSKH!B:E,4,0),"")</f>
        <v/>
      </c>
      <c r="L356" s="216"/>
      <c r="M356" s="216" t="str">
        <f t="shared" si="10"/>
        <v>- 1099003190 -MAY 03-</v>
      </c>
      <c r="N356" s="271" t="str">
        <f t="shared" ca="1" si="8"/>
        <v/>
      </c>
    </row>
    <row r="357" spans="1:14" ht="41.4">
      <c r="A357" s="216">
        <f>IF(C357&lt;&gt;"",SUBTOTAL(103,$C$8:C357),"")</f>
        <v>201</v>
      </c>
      <c r="B357" s="226">
        <v>43224</v>
      </c>
      <c r="C357" s="216" t="s">
        <v>2146</v>
      </c>
      <c r="D357" s="216" t="str">
        <f>IF(C357&lt;&gt;"",VLOOKUP(C357,[1]DSKH!B:E,2,0),"")</f>
        <v>SONG CONG 2, KHU B, KCN SONG CONG, THAI NGUYEN</v>
      </c>
      <c r="E357" s="215">
        <v>6</v>
      </c>
      <c r="F357" s="216"/>
      <c r="G357" s="216">
        <f>IF(C357&lt;&gt;"",VLOOKUP(C357,DSKH!B:E,3,0),"")</f>
        <v>0</v>
      </c>
      <c r="H357" s="222">
        <v>1098999024</v>
      </c>
      <c r="I357" s="217"/>
      <c r="J357" s="224" t="s">
        <v>3279</v>
      </c>
      <c r="K357" s="216" t="str">
        <f>IF(C357&lt;&gt;"",VLOOKUP(C357,[1]DSKH!B:E,4,0),"")</f>
        <v>PHUONG: 0280 3509 724</v>
      </c>
      <c r="L357" s="216">
        <f>1.6+6.8</f>
        <v>8.4</v>
      </c>
      <c r="M357" s="216" t="str">
        <f t="shared" si="10"/>
        <v>TNG SONG CONG 2- 1098999024 -MAY 03-na002184848</v>
      </c>
      <c r="N357" s="271">
        <f t="shared" ca="1" si="8"/>
        <v>44254.384610648151</v>
      </c>
    </row>
    <row r="358" spans="1:14">
      <c r="A358" s="216" t="str">
        <f>IF(C358&lt;&gt;"",SUBTOTAL(103,$C$8:C358),"")</f>
        <v/>
      </c>
      <c r="B358" s="226">
        <v>43224</v>
      </c>
      <c r="C358" s="216"/>
      <c r="D358" s="216" t="str">
        <f>IF(C358&lt;&gt;"",VLOOKUP(C358,[1]DSKH!B:E,2,0),"")</f>
        <v/>
      </c>
      <c r="E358" s="215"/>
      <c r="F358" s="216"/>
      <c r="G358" s="216" t="str">
        <f>IF(C358&lt;&gt;"",VLOOKUP(C358,DSKH!B:E,3,0),"")</f>
        <v/>
      </c>
      <c r="H358" s="222">
        <v>1098999142</v>
      </c>
      <c r="I358" s="217"/>
      <c r="J358" s="224"/>
      <c r="K358" s="216" t="str">
        <f>IF(C358&lt;&gt;"",VLOOKUP(C358,[1]DSKH!B:E,4,0),"")</f>
        <v/>
      </c>
      <c r="L358" s="216"/>
      <c r="M358" s="216" t="str">
        <f t="shared" si="10"/>
        <v>- 1098999142 -MAY 03-</v>
      </c>
      <c r="N358" s="271" t="str">
        <f t="shared" ref="N358:N399" ca="1" si="11">IF(C358&lt;&gt;"",NOW(),"")</f>
        <v/>
      </c>
    </row>
    <row r="359" spans="1:14" ht="41.4">
      <c r="A359" s="216">
        <f>IF(C359&lt;&gt;"",SUBTOTAL(103,$C$8:C359),"")</f>
        <v>202</v>
      </c>
      <c r="B359" s="226">
        <v>43224</v>
      </c>
      <c r="C359" s="216" t="s">
        <v>2701</v>
      </c>
      <c r="D359" s="216" t="str">
        <f>IF(C359&lt;&gt;"",VLOOKUP(C359,[1]DSKH!B:E,2,0),"")</f>
        <v>KCN LAI VU, HAI DUONG</v>
      </c>
      <c r="E359" s="215">
        <f>1+11</f>
        <v>12</v>
      </c>
      <c r="F359" s="216" t="s">
        <v>2090</v>
      </c>
      <c r="G359" s="216">
        <f>IF(C359&lt;&gt;"",VLOOKUP(C359,DSKH!B:E,3,0),"")</f>
        <v>0</v>
      </c>
      <c r="H359" s="222">
        <v>1098999653</v>
      </c>
      <c r="I359" s="217" t="s">
        <v>2860</v>
      </c>
      <c r="J359" s="224" t="s">
        <v>3280</v>
      </c>
      <c r="K359" s="216" t="str">
        <f>IF(C359&lt;&gt;"",VLOOKUP(C359,[1]DSKH!B:E,4,0),"")</f>
        <v>MS DUNG: 0963 528 138</v>
      </c>
      <c r="L359" s="216">
        <f>5*16.2+3.1+16.7+2.7+2.7+14.5+10+13.2</f>
        <v>143.89999999999998</v>
      </c>
      <c r="M359" s="216" t="str">
        <f t="shared" si="10"/>
        <v>TINH LOI 2 OLD NAVY- 1098999653 -MAY 03-na002185200</v>
      </c>
      <c r="N359" s="271">
        <f t="shared" ca="1" si="11"/>
        <v>44254.384610648151</v>
      </c>
    </row>
    <row r="360" spans="1:14">
      <c r="A360" s="216" t="str">
        <f>IF(C360&lt;&gt;"",SUBTOTAL(103,$C$8:C360),"")</f>
        <v/>
      </c>
      <c r="B360" s="226">
        <v>43224</v>
      </c>
      <c r="C360" s="216"/>
      <c r="D360" s="216" t="str">
        <f>IF(C360&lt;&gt;"",VLOOKUP(C360,[1]DSKH!B:E,2,0),"")</f>
        <v/>
      </c>
      <c r="E360" s="215"/>
      <c r="F360" s="216"/>
      <c r="G360" s="216" t="str">
        <f>IF(C360&lt;&gt;"",VLOOKUP(C360,DSKH!B:E,3,0),"")</f>
        <v/>
      </c>
      <c r="H360" s="222">
        <v>1098993163</v>
      </c>
      <c r="I360" s="217"/>
      <c r="J360" s="224"/>
      <c r="K360" s="216" t="str">
        <f>IF(C360&lt;&gt;"",VLOOKUP(C360,[1]DSKH!B:E,4,0),"")</f>
        <v/>
      </c>
      <c r="L360" s="216"/>
      <c r="M360" s="216" t="str">
        <f t="shared" si="10"/>
        <v>- 1098993163 -MAY 03-</v>
      </c>
      <c r="N360" s="271" t="str">
        <f t="shared" ca="1" si="11"/>
        <v/>
      </c>
    </row>
    <row r="361" spans="1:14" ht="41.4">
      <c r="A361" s="216">
        <f>IF(C361&lt;&gt;"",SUBTOTAL(103,$C$8:C361),"")</f>
        <v>203</v>
      </c>
      <c r="B361" s="226">
        <v>43224</v>
      </c>
      <c r="C361" s="216" t="s">
        <v>2150</v>
      </c>
      <c r="D361" s="216" t="str">
        <f>IF(C361&lt;&gt;"",VLOOKUP(C361,[1]DSKH!B:E,2,0),"")</f>
        <v>SONG CONG 3, KHU B, KCN SONG CONG, THAI NGUYEN</v>
      </c>
      <c r="E361" s="215">
        <v>4</v>
      </c>
      <c r="F361" s="216"/>
      <c r="G361" s="216">
        <f>IF(C361&lt;&gt;"",VLOOKUP(C361,DSKH!B:E,3,0),"")</f>
        <v>0</v>
      </c>
      <c r="H361" s="222">
        <v>1098999274</v>
      </c>
      <c r="I361" s="217" t="s">
        <v>2860</v>
      </c>
      <c r="J361" s="224" t="s">
        <v>3281</v>
      </c>
      <c r="K361" s="216" t="str">
        <f>IF(C361&lt;&gt;"",VLOOKUP(C361,[1]DSKH!B:E,4,0),"")</f>
        <v>THANH TRA: 0169 266 1597</v>
      </c>
      <c r="L361" s="216">
        <f>2.9</f>
        <v>2.9</v>
      </c>
      <c r="M361" s="216" t="str">
        <f t="shared" si="10"/>
        <v>TNG SONG CONG 3- 1098999274 -MAY 03-na002185197</v>
      </c>
      <c r="N361" s="271">
        <f t="shared" ca="1" si="11"/>
        <v>44254.384610648151</v>
      </c>
    </row>
    <row r="362" spans="1:14" ht="27.6">
      <c r="A362" s="216">
        <f>IF(C362&lt;&gt;"",SUBTOTAL(103,$C$8:C362),"")</f>
        <v>204</v>
      </c>
      <c r="B362" s="226">
        <v>43224</v>
      </c>
      <c r="C362" s="216" t="s">
        <v>2135</v>
      </c>
      <c r="D362" s="216" t="str">
        <f>IF(C362&lt;&gt;"",VLOOKUP(C362,[1]DSKH!B:E,2,0),"")</f>
        <v>KHA SON, PHU BINH, THAI NGUYEN</v>
      </c>
      <c r="E362" s="215">
        <v>8</v>
      </c>
      <c r="F362" s="216"/>
      <c r="G362" s="216">
        <f>IF(C362&lt;&gt;"",VLOOKUP(C362,DSKH!B:E,3,0),"")</f>
        <v>0</v>
      </c>
      <c r="H362" s="222">
        <v>1098999164</v>
      </c>
      <c r="I362" s="217" t="s">
        <v>2860</v>
      </c>
      <c r="J362" s="224" t="s">
        <v>3282</v>
      </c>
      <c r="K362" s="216" t="str">
        <f>IF(C362&lt;&gt;"",VLOOKUP(C362,[1]DSKH!B:E,4,0),"")</f>
        <v>MR LANH 0987731294</v>
      </c>
      <c r="L362" s="216">
        <f>6.6+17.2+4.3+17+3.9+1+5.5+3.3</f>
        <v>58.79999999999999</v>
      </c>
      <c r="M362" s="216" t="str">
        <f t="shared" si="10"/>
        <v>TNG PHU BINH 1- 1098999164 -MAY 03-na002185198</v>
      </c>
      <c r="N362" s="271">
        <f t="shared" ca="1" si="11"/>
        <v>44254.384610648151</v>
      </c>
    </row>
    <row r="363" spans="1:14" ht="27.6">
      <c r="A363" s="216">
        <f>IF(C363&lt;&gt;"",SUBTOTAL(103,$C$8:C363),"")</f>
        <v>205</v>
      </c>
      <c r="B363" s="226">
        <v>43224</v>
      </c>
      <c r="C363" s="216" t="s">
        <v>1329</v>
      </c>
      <c r="D363" s="216" t="str">
        <f>IF(C363&lt;&gt;"",VLOOKUP(C363,[1]DSKH!B:E,2,0),"")</f>
        <v>KCN NGUYEN DUC CANH- THAI BINH</v>
      </c>
      <c r="E363" s="215">
        <v>1</v>
      </c>
      <c r="F363" s="216" t="s">
        <v>2090</v>
      </c>
      <c r="G363" s="216">
        <f>IF(C363&lt;&gt;"",VLOOKUP(C363,DSKH!B:E,3,0),"")</f>
        <v>0</v>
      </c>
      <c r="H363" s="222">
        <v>1099016333</v>
      </c>
      <c r="I363" s="217" t="s">
        <v>2860</v>
      </c>
      <c r="J363" s="224" t="s">
        <v>3283</v>
      </c>
      <c r="K363" s="216" t="str">
        <f>IF(C363&lt;&gt;"",VLOOKUP(C363,[1]DSKH!B:E,4,0),"")</f>
        <v>MS NGOC: 0974 856 259</v>
      </c>
      <c r="L363" s="216">
        <v>0.12</v>
      </c>
      <c r="M363" s="216" t="str">
        <f t="shared" si="10"/>
        <v>MXP- 1099016333 -MAY 03-na002185195</v>
      </c>
      <c r="N363" s="271">
        <f t="shared" ca="1" si="11"/>
        <v>44254.384610648151</v>
      </c>
    </row>
    <row r="364" spans="1:14" ht="27.6">
      <c r="A364" s="216">
        <f>IF(C364&lt;&gt;"",SUBTOTAL(103,$C$8:C364),"")</f>
        <v>206</v>
      </c>
      <c r="B364" s="226">
        <v>43224</v>
      </c>
      <c r="C364" s="216" t="s">
        <v>1372</v>
      </c>
      <c r="D364" s="216" t="str">
        <f>IF(C364&lt;&gt;"",VLOOKUP(C364,[1]DSKH!B:E,2,0),"")</f>
        <v xml:space="preserve"> 510 TRUONG CHINH STR-NAM DINH</v>
      </c>
      <c r="E364" s="215">
        <v>2</v>
      </c>
      <c r="F364" s="216"/>
      <c r="G364" s="216">
        <f>IF(C364&lt;&gt;"",VLOOKUP(C364,DSKH!B:E,3,0),"")</f>
        <v>0</v>
      </c>
      <c r="H364" s="222">
        <v>1098835040</v>
      </c>
      <c r="I364" s="217"/>
      <c r="J364" s="224" t="s">
        <v>3284</v>
      </c>
      <c r="K364" s="216" t="str">
        <f>IF(C364&lt;&gt;"",VLOOKUP(C364,[1]DSKH!B:E,4,0),"")</f>
        <v>Mr. D Tien Dung-350-649563-HIEU- 0983 740 929</v>
      </c>
      <c r="L364" s="216">
        <f>0.35+0.18</f>
        <v>0.53</v>
      </c>
      <c r="M364" s="216" t="str">
        <f t="shared" si="10"/>
        <v>NAM HA- 1098835040 -MAY 03-na002185196</v>
      </c>
      <c r="N364" s="271">
        <f t="shared" ca="1" si="11"/>
        <v>44254.384610648151</v>
      </c>
    </row>
    <row r="365" spans="1:14" ht="41.4">
      <c r="A365" s="216">
        <f>IF(C365&lt;&gt;"",SUBTOTAL(103,$C$8:C365),"")</f>
        <v>207</v>
      </c>
      <c r="B365" s="226">
        <v>43224</v>
      </c>
      <c r="C365" s="216" t="s">
        <v>1591</v>
      </c>
      <c r="D365" s="216" t="str">
        <f>IF(C365&lt;&gt;"",VLOOKUP(C365,[1]DSKH!B:E,2,0),"")</f>
        <v>KM 14, THANG LOI, AN HUNG,
AN DUONG, HAI PHONG</v>
      </c>
      <c r="E365" s="215">
        <v>1</v>
      </c>
      <c r="F365" s="216" t="s">
        <v>2090</v>
      </c>
      <c r="G365" s="216" t="str">
        <f>IF(C365&lt;&gt;"",VLOOKUP(C365,DSKH!B:E,3,0),"")</f>
        <v>HANG CHO XNK CONFIRM</v>
      </c>
      <c r="H365" s="222">
        <v>1099000597</v>
      </c>
      <c r="I365" s="217" t="s">
        <v>2860</v>
      </c>
      <c r="J365" s="224" t="s">
        <v>3285</v>
      </c>
      <c r="K365" s="216" t="str">
        <f>IF(C365&lt;&gt;"",VLOOKUP(C365,[1]DSKH!B:E,4,0),"")</f>
        <v>0912 950 692- MS CHI</v>
      </c>
      <c r="L365" s="216">
        <v>1</v>
      </c>
      <c r="M365" s="216" t="str">
        <f t="shared" si="10"/>
        <v>PIT VINA- 1099000597 -MAY 03-na002185193</v>
      </c>
      <c r="N365" s="271">
        <f t="shared" ca="1" si="11"/>
        <v>44254.384610648151</v>
      </c>
    </row>
    <row r="366" spans="1:14" ht="55.2">
      <c r="A366" s="216">
        <f>IF(C366&lt;&gt;"",SUBTOTAL(103,$C$8:C366),"")</f>
        <v>208</v>
      </c>
      <c r="B366" s="226">
        <v>43224</v>
      </c>
      <c r="C366" s="216" t="s">
        <v>154</v>
      </c>
      <c r="D366" s="216" t="str">
        <f>IF(C366&lt;&gt;"",VLOOKUP(C366,[1]DSKH!B:E,2,0),"")</f>
        <v>TANG 3A TOA NHA PCCC1 MY DINH PLAZA 138 TRAN BINH TU LIEM, HA NOI</v>
      </c>
      <c r="E366" s="215">
        <v>3</v>
      </c>
      <c r="F366" s="216"/>
      <c r="G366" s="216">
        <f>IF(C366&lt;&gt;"",VLOOKUP(C366,DSKH!B:E,3,0),"")</f>
        <v>0</v>
      </c>
      <c r="H366" s="222">
        <v>1098822816</v>
      </c>
      <c r="I366" s="217"/>
      <c r="J366" s="224" t="s">
        <v>3286</v>
      </c>
      <c r="K366" s="216">
        <f>IF(C366&lt;&gt;"",VLOOKUP(C366,[1]DSKH!B:E,4,0),"")</f>
        <v>0</v>
      </c>
      <c r="L366" s="216">
        <f>11.2+23.2+1.34</f>
        <v>35.74</v>
      </c>
      <c r="M366" s="216" t="str">
        <f t="shared" si="10"/>
        <v>APPAREL TECH VN- 1098822816 -MAY 03-na002185194</v>
      </c>
      <c r="N366" s="271">
        <f t="shared" ca="1" si="11"/>
        <v>44254.384610648151</v>
      </c>
    </row>
    <row r="367" spans="1:14">
      <c r="A367" s="216" t="str">
        <f>IF(C367&lt;&gt;"",SUBTOTAL(103,$C$8:C367),"")</f>
        <v/>
      </c>
      <c r="B367" s="226">
        <v>43224</v>
      </c>
      <c r="C367" s="216"/>
      <c r="D367" s="216" t="str">
        <f>IF(C367&lt;&gt;"",VLOOKUP(C367,[1]DSKH!B:E,2,0),"")</f>
        <v/>
      </c>
      <c r="E367" s="215"/>
      <c r="F367" s="216"/>
      <c r="G367" s="216" t="str">
        <f>IF(C367&lt;&gt;"",VLOOKUP(C367,DSKH!B:E,3,0),"")</f>
        <v/>
      </c>
      <c r="H367" s="222">
        <v>1098822907</v>
      </c>
      <c r="I367" s="217"/>
      <c r="J367" s="224"/>
      <c r="K367" s="216" t="str">
        <f>IF(C367&lt;&gt;"",VLOOKUP(C367,[1]DSKH!B:E,4,0),"")</f>
        <v/>
      </c>
      <c r="L367" s="216"/>
      <c r="M367" s="216" t="str">
        <f t="shared" si="10"/>
        <v>- 1098822907 -MAY 03-</v>
      </c>
      <c r="N367" s="271" t="str">
        <f t="shared" ca="1" si="11"/>
        <v/>
      </c>
    </row>
    <row r="368" spans="1:14" ht="41.4">
      <c r="A368" s="216">
        <f>IF(C368&lt;&gt;"",SUBTOTAL(103,$C$8:C368),"")</f>
        <v>209</v>
      </c>
      <c r="B368" s="226">
        <v>43224</v>
      </c>
      <c r="C368" s="216" t="s">
        <v>1723</v>
      </c>
      <c r="D368" s="216" t="str">
        <f>IF(C368&lt;&gt;"",VLOOKUP(C368,[1]DSKH!B:E,2,0),"")</f>
        <v>Nga 3 Truong Son An Lao Hai Phong</v>
      </c>
      <c r="E368" s="215">
        <v>1</v>
      </c>
      <c r="F368" s="216"/>
      <c r="G368" s="216">
        <f>IF(C368&lt;&gt;"",VLOOKUP(C368,DSKH!B:E,3,0),"")</f>
        <v>0</v>
      </c>
      <c r="H368" s="222">
        <v>1099000387</v>
      </c>
      <c r="I368" s="217"/>
      <c r="J368" s="224" t="s">
        <v>3287</v>
      </c>
      <c r="K368" s="216" t="str">
        <f>IF(C368&lt;&gt;"",VLOOKUP(C368,[1]DSKH!B:E,4,0),"")</f>
        <v xml:space="preserve">Em Luyen kho vat lieu sdt :0936 862 057 + Em Thanh sdt :01678 120 979 </v>
      </c>
      <c r="L368" s="216">
        <v>0.12</v>
      </c>
      <c r="M368" s="216" t="str">
        <f t="shared" si="10"/>
        <v>SAO VANG CLARKS- 1099000387 -MAY 03-na002185191</v>
      </c>
      <c r="N368" s="271">
        <f t="shared" ca="1" si="11"/>
        <v>44254.384610648151</v>
      </c>
    </row>
    <row r="369" spans="1:14" ht="41.4">
      <c r="A369" s="216">
        <f>IF(C369&lt;&gt;"",SUBTOTAL(103,$C$8:C369),"")</f>
        <v>210</v>
      </c>
      <c r="B369" s="226">
        <v>43224</v>
      </c>
      <c r="C369" s="216" t="s">
        <v>746</v>
      </c>
      <c r="D369" s="216" t="str">
        <f>IF(C369&lt;&gt;"",VLOOKUP(C369,[1]DSKH!B:E,2,0),"")</f>
        <v>NGA TU DINH TRAM-HONG THAI-VIET YEN-BAC GIANG</v>
      </c>
      <c r="E369" s="215">
        <v>13</v>
      </c>
      <c r="F369" s="216"/>
      <c r="G369" s="216">
        <f>IF(C369&lt;&gt;"",VLOOKUP(C369,DSKH!B:E,3,0),"")</f>
        <v>0</v>
      </c>
      <c r="H369" s="222">
        <v>1098988210</v>
      </c>
      <c r="I369" s="217" t="s">
        <v>2860</v>
      </c>
      <c r="J369" s="224" t="s">
        <v>3288</v>
      </c>
      <c r="K369" s="216" t="str">
        <f>IF(C369&lt;&gt;"",VLOOKUP(C369,[1]DSKH!B:E,4,0),"")</f>
        <v>MR BINH 0915181104</v>
      </c>
      <c r="L369" s="216">
        <f>5*8.8+8.4+5.4+2*8.5+5</f>
        <v>79.8</v>
      </c>
      <c r="M369" s="216" t="str">
        <f t="shared" si="10"/>
        <v>HA BAC 2- 1098988210 -MAY 03-na002185192</v>
      </c>
      <c r="N369" s="271">
        <f t="shared" ca="1" si="11"/>
        <v>44254.384610648151</v>
      </c>
    </row>
    <row r="370" spans="1:14">
      <c r="A370" s="216" t="str">
        <f>IF(C370&lt;&gt;"",SUBTOTAL(103,$C$8:C370),"")</f>
        <v/>
      </c>
      <c r="B370" s="226">
        <v>43224</v>
      </c>
      <c r="C370" s="216"/>
      <c r="D370" s="216" t="str">
        <f>IF(C370&lt;&gt;"",VLOOKUP(C370,[1]DSKH!B:E,2,0),"")</f>
        <v/>
      </c>
      <c r="E370" s="215"/>
      <c r="F370" s="216"/>
      <c r="G370" s="216" t="str">
        <f>IF(C370&lt;&gt;"",VLOOKUP(C370,DSKH!B:E,3,0),"")</f>
        <v/>
      </c>
      <c r="H370" s="222">
        <v>1099000281</v>
      </c>
      <c r="I370" s="217"/>
      <c r="J370" s="224"/>
      <c r="K370" s="216" t="str">
        <f>IF(C370&lt;&gt;"",VLOOKUP(C370,[1]DSKH!B:E,4,0),"")</f>
        <v/>
      </c>
      <c r="L370" s="216"/>
      <c r="M370" s="216" t="str">
        <f t="shared" si="10"/>
        <v>- 1099000281 -MAY 03-</v>
      </c>
      <c r="N370" s="271" t="str">
        <f t="shared" ca="1" si="11"/>
        <v/>
      </c>
    </row>
    <row r="371" spans="1:14" ht="41.4">
      <c r="A371" s="216">
        <f>IF(C371&lt;&gt;"",SUBTOTAL(103,$C$8:C371),"")</f>
        <v>211</v>
      </c>
      <c r="B371" s="226">
        <v>43224</v>
      </c>
      <c r="C371" s="216" t="s">
        <v>631</v>
      </c>
      <c r="D371" s="216" t="str">
        <f>IF(C371&lt;&gt;"",VLOOKUP(C371,[1]DSKH!B:E,2,0),"")</f>
        <v>KM 30, DUONG SO 5, XA BACH SAM, MY HAO, HUNG YEN</v>
      </c>
      <c r="E371" s="215">
        <v>6</v>
      </c>
      <c r="F371" s="216"/>
      <c r="G371" s="216">
        <f>IF(C371&lt;&gt;"",VLOOKUP(C371,DSKH!B:E,3,0),"")</f>
        <v>0</v>
      </c>
      <c r="H371" s="222">
        <v>1098891447</v>
      </c>
      <c r="I371" s="217"/>
      <c r="J371" s="224" t="s">
        <v>3289</v>
      </c>
      <c r="K371" s="216" t="str">
        <f>IF(C371&lt;&gt;"",VLOOKUP(C371,[1]DSKH!B:E,4,0),"")</f>
        <v>MS HAU: 0904 348 881</v>
      </c>
      <c r="L371" s="216">
        <f>2.6+29+7+25.6+18.4+19</f>
        <v>101.6</v>
      </c>
      <c r="M371" s="216" t="str">
        <f t="shared" si="10"/>
        <v>GG- 1098891447 -MAY 03-na002185189</v>
      </c>
      <c r="N371" s="271">
        <f t="shared" ca="1" si="11"/>
        <v>44254.384610648151</v>
      </c>
    </row>
    <row r="372" spans="1:14" ht="41.4">
      <c r="A372" s="216">
        <f>IF(C372&lt;&gt;"",SUBTOTAL(103,$C$8:C372),"")</f>
        <v>212</v>
      </c>
      <c r="B372" s="226">
        <v>43224</v>
      </c>
      <c r="C372" s="216" t="s">
        <v>2586</v>
      </c>
      <c r="D372" s="216" t="str">
        <f>IF(C372&lt;&gt;"",VLOOKUP(C372,[1]DSKH!B:E,2,0),"")</f>
        <v>SO 15, DUONG 7, VSIP BAC NINH, PHU CHAN, TU SON, BAC NINH</v>
      </c>
      <c r="E372" s="215">
        <v>85</v>
      </c>
      <c r="F372" s="216" t="s">
        <v>2861</v>
      </c>
      <c r="G372" s="216">
        <f>IF(C372&lt;&gt;"",VLOOKUP(C372,DSKH!B:E,3,0),"")</f>
        <v>0</v>
      </c>
      <c r="H372" s="222">
        <v>1098141827</v>
      </c>
      <c r="I372" s="217" t="s">
        <v>2860</v>
      </c>
      <c r="J372" s="224" t="s">
        <v>3290</v>
      </c>
      <c r="K372" s="216">
        <f>IF(C372&lt;&gt;"",VLOOKUP(C372,[1]DSKH!B:E,4,0),"")</f>
        <v>0</v>
      </c>
      <c r="L372" s="216">
        <f>63.48</f>
        <v>63.48</v>
      </c>
      <c r="M372" s="216" t="str">
        <f t="shared" si="10"/>
        <v>MAPLE CHI NHANH PEONY- 1098141827 -MAY 03-na002185190</v>
      </c>
      <c r="N372" s="271">
        <f t="shared" ca="1" si="11"/>
        <v>44254.384610648151</v>
      </c>
    </row>
    <row r="373" spans="1:14" ht="41.4">
      <c r="A373" s="216">
        <f>IF(C373&lt;&gt;"",SUBTOTAL(103,$C$8:C373),"")</f>
        <v>213</v>
      </c>
      <c r="B373" s="226">
        <v>43224</v>
      </c>
      <c r="C373" s="216" t="s">
        <v>1397</v>
      </c>
      <c r="D373" s="216" t="str">
        <f>IF(C373&lt;&gt;"",VLOOKUP(C373,[1]DSKH!B:E,2,0),"")</f>
        <v>PLOT XN2-3, KCN DAI AN, HAI DUONG</v>
      </c>
      <c r="E373" s="215">
        <v>6</v>
      </c>
      <c r="F373" s="216" t="s">
        <v>2090</v>
      </c>
      <c r="G373" s="216" t="str">
        <f>IF(C373&lt;&gt;"",VLOOKUP(C373,DSKH!B:E,3,0),"")</f>
        <v>HANG CHUNG CTU</v>
      </c>
      <c r="H373" s="222">
        <v>1099000353</v>
      </c>
      <c r="I373" s="217" t="s">
        <v>2860</v>
      </c>
      <c r="J373" s="224" t="s">
        <v>3291</v>
      </c>
      <c r="K373" s="216" t="str">
        <f>IF(C373&lt;&gt;"",VLOOKUP(C373,[1]DSKH!B:E,4,0),"")</f>
        <v>HIEU 098 378 6458</v>
      </c>
      <c r="L373" s="216">
        <f>0.25+2.1+0.2+4.5+0.3+2</f>
        <v>9.3500000000000014</v>
      </c>
      <c r="M373" s="216" t="str">
        <f t="shared" si="10"/>
        <v>NAMYANG DELTA- 1099000353 -MAY 03-na002185187</v>
      </c>
      <c r="N373" s="271">
        <f t="shared" ca="1" si="11"/>
        <v>44254.384610648151</v>
      </c>
    </row>
    <row r="374" spans="1:14" ht="41.4">
      <c r="A374" s="216">
        <f>IF(C374&lt;&gt;"",SUBTOTAL(103,$C$8:C374),"")</f>
        <v>214</v>
      </c>
      <c r="B374" s="226">
        <v>43224</v>
      </c>
      <c r="C374" s="216" t="s">
        <v>1759</v>
      </c>
      <c r="D374" s="216" t="str">
        <f>IF(C374&lt;&gt;"",VLOOKUP(C374,[1]DSKH!B:E,2,0),"")</f>
        <v>Khe Xoan Hamlet – Doi Can commune – Tuyen Quang City</v>
      </c>
      <c r="E374" s="215">
        <v>1</v>
      </c>
      <c r="F374" s="216" t="s">
        <v>2090</v>
      </c>
      <c r="G374" s="216">
        <f>IF(C374&lt;&gt;"",VLOOKUP(C374,DSKH!B:E,3,0),"")</f>
        <v>0</v>
      </c>
      <c r="H374" s="222">
        <v>1099003947</v>
      </c>
      <c r="I374" s="217" t="s">
        <v>2860</v>
      </c>
      <c r="J374" s="224" t="s">
        <v>3292</v>
      </c>
      <c r="K374" s="216" t="str">
        <f>IF(C374&lt;&gt;"",VLOOKUP(C374,[1]DSKH!B:E,4,0),"")</f>
        <v xml:space="preserve"> Khanh:  +84 273 898301~2</v>
      </c>
      <c r="L374" s="216">
        <v>0.4</v>
      </c>
      <c r="M374" s="216" t="str">
        <f t="shared" si="10"/>
        <v>SESHIN VN2- 1099003947 -MAY 03-na002185188</v>
      </c>
      <c r="N374" s="271">
        <f t="shared" ca="1" si="11"/>
        <v>44254.384610648151</v>
      </c>
    </row>
    <row r="375" spans="1:14" ht="41.4">
      <c r="A375" s="216">
        <f>IF(C375&lt;&gt;"",SUBTOTAL(103,$C$8:C375),"")</f>
        <v>215</v>
      </c>
      <c r="B375" s="226">
        <v>43224</v>
      </c>
      <c r="C375" s="216" t="s">
        <v>2701</v>
      </c>
      <c r="D375" s="216" t="str">
        <f>IF(C375&lt;&gt;"",VLOOKUP(C375,[1]DSKH!B:E,2,0),"")</f>
        <v>KCN LAI VU, HAI DUONG</v>
      </c>
      <c r="E375" s="215">
        <v>1</v>
      </c>
      <c r="F375" s="216"/>
      <c r="G375" s="216">
        <f>IF(C375&lt;&gt;"",VLOOKUP(C375,DSKH!B:E,3,0),"")</f>
        <v>0</v>
      </c>
      <c r="H375" s="222">
        <v>1099023885</v>
      </c>
      <c r="I375" s="217" t="s">
        <v>2860</v>
      </c>
      <c r="J375" s="224" t="s">
        <v>3293</v>
      </c>
      <c r="K375" s="216" t="str">
        <f>IF(C375&lt;&gt;"",VLOOKUP(C375,[1]DSKH!B:E,4,0),"")</f>
        <v>MS DUNG: 0963 528 138</v>
      </c>
      <c r="L375" s="216">
        <v>1</v>
      </c>
      <c r="M375" s="216" t="str">
        <f t="shared" si="10"/>
        <v>TINH LOI 2 OLD NAVY- 1099023885 -MAY 03-na002185185</v>
      </c>
      <c r="N375" s="271">
        <f t="shared" ca="1" si="11"/>
        <v>44254.384610648151</v>
      </c>
    </row>
    <row r="376" spans="1:14">
      <c r="A376" s="216" t="str">
        <f>IF(C376&lt;&gt;"",SUBTOTAL(103,$C$8:C376),"")</f>
        <v/>
      </c>
      <c r="B376" s="226">
        <v>43224</v>
      </c>
      <c r="C376" s="216"/>
      <c r="D376" s="216" t="str">
        <f>IF(C376&lt;&gt;"",VLOOKUP(C376,[1]DSKH!B:E,2,0),"")</f>
        <v/>
      </c>
      <c r="E376" s="215"/>
      <c r="F376" s="216"/>
      <c r="G376" s="216" t="str">
        <f>IF(C376&lt;&gt;"",VLOOKUP(C376,DSKH!B:E,3,0),"")</f>
        <v/>
      </c>
      <c r="H376" s="222">
        <v>1099023891</v>
      </c>
      <c r="I376" s="217"/>
      <c r="J376" s="224"/>
      <c r="K376" s="216" t="str">
        <f>IF(C376&lt;&gt;"",VLOOKUP(C376,[1]DSKH!B:E,4,0),"")</f>
        <v/>
      </c>
      <c r="L376" s="216"/>
      <c r="M376" s="216" t="str">
        <f t="shared" si="10"/>
        <v>- 1099023891 -MAY 03-</v>
      </c>
      <c r="N376" s="271" t="str">
        <f t="shared" ca="1" si="11"/>
        <v/>
      </c>
    </row>
    <row r="377" spans="1:14">
      <c r="A377" s="216" t="str">
        <f>IF(C377&lt;&gt;"",SUBTOTAL(103,$C$8:C377),"")</f>
        <v/>
      </c>
      <c r="B377" s="226">
        <v>43224</v>
      </c>
      <c r="C377" s="216"/>
      <c r="D377" s="216" t="str">
        <f>IF(C377&lt;&gt;"",VLOOKUP(C377,[1]DSKH!B:E,2,0),"")</f>
        <v/>
      </c>
      <c r="E377" s="215"/>
      <c r="F377" s="216"/>
      <c r="G377" s="216" t="str">
        <f>IF(C377&lt;&gt;"",VLOOKUP(C377,DSKH!B:E,3,0),"")</f>
        <v/>
      </c>
      <c r="H377" s="222">
        <v>1099023888</v>
      </c>
      <c r="I377" s="217"/>
      <c r="J377" s="224"/>
      <c r="K377" s="216" t="str">
        <f>IF(C377&lt;&gt;"",VLOOKUP(C377,[1]DSKH!B:E,4,0),"")</f>
        <v/>
      </c>
      <c r="L377" s="216"/>
      <c r="M377" s="216" t="str">
        <f t="shared" si="10"/>
        <v>- 1099023888 -MAY 03-</v>
      </c>
      <c r="N377" s="271" t="str">
        <f t="shared" ca="1" si="11"/>
        <v/>
      </c>
    </row>
    <row r="378" spans="1:14">
      <c r="A378" s="216" t="str">
        <f>IF(C378&lt;&gt;"",SUBTOTAL(103,$C$8:C378),"")</f>
        <v/>
      </c>
      <c r="B378" s="226">
        <v>43224</v>
      </c>
      <c r="C378" s="216"/>
      <c r="D378" s="216" t="str">
        <f>IF(C378&lt;&gt;"",VLOOKUP(C378,[1]DSKH!B:E,2,0),"")</f>
        <v/>
      </c>
      <c r="E378" s="215"/>
      <c r="F378" s="216"/>
      <c r="G378" s="216" t="str">
        <f>IF(C378&lt;&gt;"",VLOOKUP(C378,DSKH!B:E,3,0),"")</f>
        <v/>
      </c>
      <c r="H378" s="222">
        <v>1099023886</v>
      </c>
      <c r="I378" s="217"/>
      <c r="J378" s="224"/>
      <c r="K378" s="216" t="str">
        <f>IF(C378&lt;&gt;"",VLOOKUP(C378,[1]DSKH!B:E,4,0),"")</f>
        <v/>
      </c>
      <c r="L378" s="216"/>
      <c r="M378" s="216" t="str">
        <f t="shared" si="10"/>
        <v>- 1099023886 -MAY 03-</v>
      </c>
      <c r="N378" s="271" t="str">
        <f t="shared" ca="1" si="11"/>
        <v/>
      </c>
    </row>
    <row r="379" spans="1:14" ht="41.4">
      <c r="A379" s="216">
        <f>IF(C379&lt;&gt;"",SUBTOTAL(103,$C$8:C379),"")</f>
        <v>216</v>
      </c>
      <c r="B379" s="226">
        <v>43224</v>
      </c>
      <c r="C379" s="216" t="s">
        <v>1982</v>
      </c>
      <c r="D379" s="216" t="str">
        <f>IF(C379&lt;&gt;"",VLOOKUP(C379,[1]DSKH!B:E,2,0),"")</f>
        <v>327 TO 45, HOANG VAN THU, HOANG MAI, HA NOI</v>
      </c>
      <c r="E379" s="215">
        <v>2</v>
      </c>
      <c r="F379" s="216"/>
      <c r="G379" s="216">
        <f>IF(C379&lt;&gt;"",VLOOKUP(C379,DSKH!B:E,3,0),"")</f>
        <v>0</v>
      </c>
      <c r="H379" s="222">
        <v>1099021830</v>
      </c>
      <c r="I379" s="217" t="s">
        <v>2860</v>
      </c>
      <c r="J379" s="224" t="s">
        <v>3294</v>
      </c>
      <c r="K379" s="216" t="str">
        <f>IF(C379&lt;&gt;"",VLOOKUP(C379,[1]DSKH!B:E,4,0),"")</f>
        <v>HOA 0966 356 988</v>
      </c>
      <c r="L379" s="216">
        <f>1.22+0.4</f>
        <v>1.62</v>
      </c>
      <c r="M379" s="216" t="str">
        <f t="shared" si="10"/>
        <v>THANG LONG SHOES- 1099021830 -MAY 03-na002185186</v>
      </c>
      <c r="N379" s="271">
        <f t="shared" ca="1" si="11"/>
        <v>44254.384610648151</v>
      </c>
    </row>
    <row r="380" spans="1:14">
      <c r="A380" s="216" t="str">
        <f>IF(C380&lt;&gt;"",SUBTOTAL(103,$C$8:C380),"")</f>
        <v/>
      </c>
      <c r="B380" s="226">
        <v>43224</v>
      </c>
      <c r="C380" s="216"/>
      <c r="D380" s="216" t="str">
        <f>IF(C380&lt;&gt;"",VLOOKUP(C380,[1]DSKH!B:E,2,0),"")</f>
        <v/>
      </c>
      <c r="E380" s="215"/>
      <c r="F380" s="216"/>
      <c r="G380" s="216" t="str">
        <f>IF(C380&lt;&gt;"",VLOOKUP(C380,DSKH!B:E,3,0),"")</f>
        <v/>
      </c>
      <c r="H380" s="222">
        <v>1099021829</v>
      </c>
      <c r="I380" s="217"/>
      <c r="J380" s="224"/>
      <c r="K380" s="216" t="str">
        <f>IF(C380&lt;&gt;"",VLOOKUP(C380,[1]DSKH!B:E,4,0),"")</f>
        <v/>
      </c>
      <c r="L380" s="216"/>
      <c r="M380" s="216" t="str">
        <f t="shared" si="10"/>
        <v>- 1099021829 -MAY 03-</v>
      </c>
      <c r="N380" s="271" t="str">
        <f t="shared" ca="1" si="11"/>
        <v/>
      </c>
    </row>
    <row r="381" spans="1:14" ht="27.6">
      <c r="A381" s="216">
        <f>IF(C381&lt;&gt;"",SUBTOTAL(103,$C$8:C381),"")</f>
        <v>217</v>
      </c>
      <c r="B381" s="226">
        <v>43224</v>
      </c>
      <c r="C381" s="216" t="s">
        <v>2526</v>
      </c>
      <c r="D381" s="216" t="str">
        <f>IF(C381&lt;&gt;"",VLOOKUP(C381,[1]DSKH!B:E,2,0),"")</f>
        <v>NO.B6,THUY VAN IZ,VIET TRI,PHU THO,VIET NAM</v>
      </c>
      <c r="E381" s="215">
        <v>1</v>
      </c>
      <c r="F381" s="216"/>
      <c r="G381" s="216" t="str">
        <f>IF(C381&lt;&gt;"",VLOOKUP(C381,DSKH!B:E,3,0),"")</f>
        <v>CTU</v>
      </c>
      <c r="H381" s="222">
        <v>1099016334</v>
      </c>
      <c r="I381" s="217" t="s">
        <v>2860</v>
      </c>
      <c r="J381" s="224" t="s">
        <v>3295</v>
      </c>
      <c r="K381" s="216" t="str">
        <f>IF(C381&lt;&gt;"",VLOOKUP(C381,[1]DSKH!B:E,4,0),"")</f>
        <v>QUYNH ANH: 0935 471 807</v>
      </c>
      <c r="L381" s="216">
        <v>1.7</v>
      </c>
      <c r="M381" s="216" t="str">
        <f t="shared" si="10"/>
        <v>YAKJIN VIETNAM- 1099016334 -MAY 03-na002185183</v>
      </c>
      <c r="N381" s="271">
        <f t="shared" ca="1" si="11"/>
        <v>44254.384610648151</v>
      </c>
    </row>
    <row r="382" spans="1:14" ht="55.2">
      <c r="A382" s="216">
        <f>IF(C382&lt;&gt;"",SUBTOTAL(103,$C$8:C382),"")</f>
        <v>218</v>
      </c>
      <c r="B382" s="226">
        <v>43224</v>
      </c>
      <c r="C382" s="216" t="s">
        <v>383</v>
      </c>
      <c r="D382" s="216" t="str">
        <f>IF(C382&lt;&gt;"",VLOOKUP(C382,[1]DSKH!B:E,2,0),"")</f>
        <v>ADD. TAODOI INDUSTRY AREA, THUA TOWN, LUONG TAI DISTRICT, BACNINH PROVINCE</v>
      </c>
      <c r="E382" s="215">
        <v>2</v>
      </c>
      <c r="F382" s="216"/>
      <c r="G382" s="216" t="str">
        <f>IF(C382&lt;&gt;"",VLOOKUP(C382,DSKH!B:E,3,0),"")</f>
        <v>KHDL</v>
      </c>
      <c r="H382" s="222">
        <v>1098855196</v>
      </c>
      <c r="I382" s="217" t="s">
        <v>2860</v>
      </c>
      <c r="J382" s="224" t="s">
        <v>3296</v>
      </c>
      <c r="K382" s="216">
        <f>IF(C382&lt;&gt;"",VLOOKUP(C382,[1]DSKH!B:E,4,0),"")</f>
        <v>0</v>
      </c>
      <c r="L382" s="216">
        <f>10.4+2.6</f>
        <v>13</v>
      </c>
      <c r="M382" s="216" t="str">
        <f t="shared" si="10"/>
        <v>DHA BAC NINH- 1098855196 -MAY 03-na002185184</v>
      </c>
      <c r="N382" s="271">
        <f t="shared" ca="1" si="11"/>
        <v>44254.384610648151</v>
      </c>
    </row>
    <row r="383" spans="1:14" ht="27.6">
      <c r="A383" s="216">
        <f>IF(C383&lt;&gt;"",SUBTOTAL(103,$C$8:C383),"")</f>
        <v>219</v>
      </c>
      <c r="B383" s="226">
        <v>43224</v>
      </c>
      <c r="C383" s="216" t="s">
        <v>1498</v>
      </c>
      <c r="D383" s="216" t="str">
        <f>IF(C383&lt;&gt;"",VLOOKUP(C383,[1]DSKH!B:E,2,0),"")</f>
        <v>VAN DINH, UNG HOA, HA NOI</v>
      </c>
      <c r="E383" s="215">
        <v>3</v>
      </c>
      <c r="F383" s="216"/>
      <c r="G383" s="216">
        <f>IF(C383&lt;&gt;"",VLOOKUP(C383,DSKH!B:E,3,0),"")</f>
        <v>0</v>
      </c>
      <c r="H383" s="222">
        <v>1098732299</v>
      </c>
      <c r="I383" s="217" t="s">
        <v>2860</v>
      </c>
      <c r="J383" s="224" t="s">
        <v>3297</v>
      </c>
      <c r="K383" s="216" t="str">
        <f>IF(C383&lt;&gt;"",VLOOKUP(C383,[1]DSKH!B:E,4,0),"")</f>
        <v>MR HOA: 0903 434 076</v>
      </c>
      <c r="L383" s="216">
        <f>0.6+0.28</f>
        <v>0.88</v>
      </c>
      <c r="M383" s="216" t="str">
        <f t="shared" si="10"/>
        <v>PEARL VINA- 1098732299 -MAY 03-na002185181</v>
      </c>
      <c r="N383" s="271">
        <f t="shared" ca="1" si="11"/>
        <v>44254.384610648151</v>
      </c>
    </row>
    <row r="384" spans="1:14">
      <c r="A384" s="216" t="str">
        <f>IF(C384&lt;&gt;"",SUBTOTAL(103,$C$8:C384),"")</f>
        <v/>
      </c>
      <c r="B384" s="226">
        <v>43224</v>
      </c>
      <c r="C384" s="216"/>
      <c r="D384" s="216" t="str">
        <f>IF(C384&lt;&gt;"",VLOOKUP(C384,[1]DSKH!B:E,2,0),"")</f>
        <v/>
      </c>
      <c r="E384" s="215"/>
      <c r="F384" s="216"/>
      <c r="G384" s="216" t="str">
        <f>IF(C384&lt;&gt;"",VLOOKUP(C384,DSKH!B:E,3,0),"")</f>
        <v/>
      </c>
      <c r="H384" s="222">
        <v>1097842923</v>
      </c>
      <c r="I384" s="217"/>
      <c r="J384" s="224"/>
      <c r="K384" s="216" t="str">
        <f>IF(C384&lt;&gt;"",VLOOKUP(C384,[1]DSKH!B:E,4,0),"")</f>
        <v/>
      </c>
      <c r="L384" s="216"/>
      <c r="M384" s="216" t="str">
        <f t="shared" si="10"/>
        <v>- 1097842923 -MAY 03-</v>
      </c>
      <c r="N384" s="271" t="str">
        <f t="shared" ca="1" si="11"/>
        <v/>
      </c>
    </row>
    <row r="385" spans="1:14" ht="41.4">
      <c r="A385" s="216">
        <f>IF(C385&lt;&gt;"",SUBTOTAL(103,$C$8:C385),"")</f>
        <v>220</v>
      </c>
      <c r="B385" s="226">
        <v>43224</v>
      </c>
      <c r="C385" s="216" t="s">
        <v>744</v>
      </c>
      <c r="D385" s="216" t="str">
        <f>IF(C385&lt;&gt;"",VLOOKUP(C385,[1]DSKH!B:E,2,0),"")</f>
        <v>NGA TU DINH TRAM-HONG THAI-VIET YEN-BAC GIANG</v>
      </c>
      <c r="E385" s="215">
        <v>5</v>
      </c>
      <c r="F385" s="216"/>
      <c r="G385" s="216">
        <f>IF(C385&lt;&gt;"",VLOOKUP(C385,DSKH!B:E,3,0),"")</f>
        <v>0</v>
      </c>
      <c r="H385" s="222">
        <v>1098998409</v>
      </c>
      <c r="I385" s="217" t="s">
        <v>2860</v>
      </c>
      <c r="J385" s="224" t="s">
        <v>3298</v>
      </c>
      <c r="K385" s="216" t="str">
        <f>IF(C385&lt;&gt;"",VLOOKUP(C385,[1]DSKH!B:E,4,0),"")</f>
        <v>Giao Ha Bac 1 - Mr.Thanh: 0978.491.357/ Mr. Duong: 0936.228.933</v>
      </c>
      <c r="L385" s="216">
        <f>16.4+1.2</f>
        <v>17.599999999999998</v>
      </c>
      <c r="M385" s="216" t="str">
        <f t="shared" si="10"/>
        <v>HA BAC 1- 1098998409 -MAY 03-na002185182</v>
      </c>
      <c r="N385" s="271">
        <f t="shared" ca="1" si="11"/>
        <v>44254.384610648151</v>
      </c>
    </row>
    <row r="386" spans="1:14" ht="27.6">
      <c r="A386" s="216">
        <f>IF(C386&lt;&gt;"",SUBTOTAL(103,$C$8:C386),"")</f>
        <v>221</v>
      </c>
      <c r="B386" s="226">
        <v>43224</v>
      </c>
      <c r="C386" s="216" t="s">
        <v>410</v>
      </c>
      <c r="D386" s="216" t="str">
        <f>IF(C386&lt;&gt;"",VLOOKUP(C386,[1]DSKH!B:E,2,0),"")</f>
        <v>LONG TAN, DAT DO,BA RIA VUNG TAU</v>
      </c>
      <c r="E386" s="215">
        <v>1</v>
      </c>
      <c r="F386" s="216"/>
      <c r="G386" s="216" t="str">
        <f>IF(C386&lt;&gt;"",VLOOKUP(C386,DSKH!B:E,3,0),"")</f>
        <v>HANG GIAO TRUOC</v>
      </c>
      <c r="H386" s="222">
        <v>1098855197</v>
      </c>
      <c r="I386" s="217"/>
      <c r="J386" s="224" t="s">
        <v>3299</v>
      </c>
      <c r="K386" s="216" t="str">
        <f>IF(C386&lt;&gt;"",VLOOKUP(C386,[1]DSKH!B:E,4,0),"")</f>
        <v>MS VY: 0933 150 071</v>
      </c>
      <c r="L386" s="216">
        <v>1.5</v>
      </c>
      <c r="M386" s="216" t="str">
        <f t="shared" si="10"/>
        <v>DONG IN- 1098855197 -MAY 03-na002185179</v>
      </c>
      <c r="N386" s="271">
        <f t="shared" ca="1" si="11"/>
        <v>44254.384610648151</v>
      </c>
    </row>
    <row r="387" spans="1:14" ht="41.4">
      <c r="A387" s="216">
        <f>IF(C387&lt;&gt;"",SUBTOTAL(103,$C$8:C387),"")</f>
        <v>222</v>
      </c>
      <c r="B387" s="226">
        <v>43224</v>
      </c>
      <c r="C387" s="216" t="s">
        <v>746</v>
      </c>
      <c r="D387" s="216" t="str">
        <f>IF(C387&lt;&gt;"",VLOOKUP(C387,[1]DSKH!B:E,2,0),"")</f>
        <v>NGA TU DINH TRAM-HONG THAI-VIET YEN-BAC GIANG</v>
      </c>
      <c r="E387" s="215">
        <v>1</v>
      </c>
      <c r="F387" s="216"/>
      <c r="G387" s="216">
        <f>IF(C387&lt;&gt;"",VLOOKUP(C387,DSKH!B:E,3,0),"")</f>
        <v>0</v>
      </c>
      <c r="H387" s="222">
        <v>1099033752</v>
      </c>
      <c r="I387" s="217" t="s">
        <v>2860</v>
      </c>
      <c r="J387" s="224" t="s">
        <v>3300</v>
      </c>
      <c r="K387" s="216" t="str">
        <f>IF(C387&lt;&gt;"",VLOOKUP(C387,[1]DSKH!B:E,4,0),"")</f>
        <v>MR BINH 0915181104</v>
      </c>
      <c r="L387" s="216">
        <v>0.1</v>
      </c>
      <c r="M387" s="216" t="str">
        <f t="shared" si="10"/>
        <v>HA BAC 2- 1099033752 -MAY 03-na002185180</v>
      </c>
      <c r="N387" s="271">
        <f t="shared" ca="1" si="11"/>
        <v>44254.384610648151</v>
      </c>
    </row>
    <row r="388" spans="1:14" ht="41.4">
      <c r="A388" s="216">
        <f>IF(C388&lt;&gt;"",SUBTOTAL(103,$C$8:C388),"")</f>
        <v>223</v>
      </c>
      <c r="B388" s="226">
        <v>43224</v>
      </c>
      <c r="C388" s="216" t="s">
        <v>430</v>
      </c>
      <c r="D388" s="216" t="str">
        <f>IF(C388&lt;&gt;"",VLOOKUP(C388,[1]DSKH!B:E,2,0),"")</f>
        <v>LO 15-16 KCX LINH TRUNG III, TRANG BANG, TAY NINH</v>
      </c>
      <c r="E388" s="215">
        <v>1</v>
      </c>
      <c r="F388" s="216"/>
      <c r="G388" s="216">
        <f>IF(C388&lt;&gt;"",VLOOKUP(C388,DSKH!B:E,3,0),"")</f>
        <v>0</v>
      </c>
      <c r="H388" s="222">
        <v>1098822282</v>
      </c>
      <c r="I388" s="217"/>
      <c r="J388" s="224" t="s">
        <v>3301</v>
      </c>
      <c r="K388" s="216">
        <f>IF(C388&lt;&gt;"",VLOOKUP(C388,[1]DSKH!B:E,4,0),"")</f>
        <v>0</v>
      </c>
      <c r="L388" s="216">
        <v>1</v>
      </c>
      <c r="M388" s="216" t="str">
        <f t="shared" si="10"/>
        <v>DOU POWER- 1098822282 -MAY 03-na002185177</v>
      </c>
      <c r="N388" s="271">
        <f t="shared" ca="1" si="11"/>
        <v>44254.384610648151</v>
      </c>
    </row>
    <row r="389" spans="1:14" ht="82.8">
      <c r="A389" s="216">
        <f>IF(C389&lt;&gt;"",SUBTOTAL(103,$C$8:C389),"")</f>
        <v>224</v>
      </c>
      <c r="B389" s="226">
        <v>43224</v>
      </c>
      <c r="C389" s="216" t="s">
        <v>2204</v>
      </c>
      <c r="D389" s="216" t="str">
        <f>IF(C389&lt;&gt;"",VLOOKUP(C389,[1]DSKH!B:E,2,0),"")</f>
        <v>BI, BII, BIII, BIV SECTION,  GIAO LONG INDUSTRIAL ZONE PHASE II,AN PHUOC COMMUNE, CHAU THANH DISTRICT, BEN TRE PROVINCE</v>
      </c>
      <c r="E389" s="215">
        <v>3</v>
      </c>
      <c r="F389" s="216"/>
      <c r="G389" s="216">
        <f>IF(C389&lt;&gt;"",VLOOKUP(C389,DSKH!B:E,3,0),"")</f>
        <v>0</v>
      </c>
      <c r="H389" s="222">
        <v>1099003187</v>
      </c>
      <c r="I389" s="217" t="s">
        <v>2860</v>
      </c>
      <c r="J389" s="224" t="s">
        <v>3302</v>
      </c>
      <c r="K389" s="216" t="str">
        <f>IF(C389&lt;&gt;"",VLOOKUP(C389,[1]DSKH!B:E,4,0),"")</f>
        <v>Tel: 84-75- 3635600   Fax: 84-75- 3635601</v>
      </c>
      <c r="L389" s="216">
        <f>0.25+0.3</f>
        <v>0.55000000000000004</v>
      </c>
      <c r="M389" s="216" t="str">
        <f t="shared" si="10"/>
        <v>UNISOLL- 1099003187 -MAY 03-na002185178</v>
      </c>
      <c r="N389" s="271">
        <f t="shared" ca="1" si="11"/>
        <v>44254.384610648151</v>
      </c>
    </row>
    <row r="390" spans="1:14" ht="41.4">
      <c r="A390" s="216">
        <f>IF(C390&lt;&gt;"",SUBTOTAL(103,$C$8:C390),"")</f>
        <v>225</v>
      </c>
      <c r="B390" s="226">
        <v>43224</v>
      </c>
      <c r="C390" s="216" t="s">
        <v>2930</v>
      </c>
      <c r="D390" s="216" t="str">
        <f>IF(C390&lt;&gt;"",VLOOKUP(C390,[1]DSKH!B:E,2,0),"")</f>
        <v>Doan Bai Commune- Hiep Hoa Dist
 Bac Giang Province</v>
      </c>
      <c r="E390" s="215">
        <v>12</v>
      </c>
      <c r="F390" s="216"/>
      <c r="G390" s="216">
        <f>IF(C390&lt;&gt;"",VLOOKUP(C390,DSKH!B:E,3,0),"")</f>
        <v>0</v>
      </c>
      <c r="H390" s="222">
        <v>1098833743</v>
      </c>
      <c r="I390" s="217"/>
      <c r="J390" s="224" t="s">
        <v>3303</v>
      </c>
      <c r="K390" s="216" t="str">
        <f>IF(C390&lt;&gt;"",VLOOKUP(C390,[1]DSKH!B:E,4,0),"")</f>
        <v>GIANG: 01687887348</v>
      </c>
      <c r="L390" s="216">
        <f>0.7+0.3+3.4*2+0.8+0.7+2.1+1.2+0.8+9.8+9.6</f>
        <v>32.799999999999997</v>
      </c>
      <c r="M390" s="216" t="str">
        <f t="shared" si="10"/>
        <v>HA PHONG 4- 1098833743 -MAY 03-na002185175</v>
      </c>
      <c r="N390" s="271">
        <f t="shared" ca="1" si="11"/>
        <v>44254.384610648151</v>
      </c>
    </row>
    <row r="391" spans="1:14">
      <c r="A391" s="216" t="str">
        <f>IF(C391&lt;&gt;"",SUBTOTAL(103,$C$8:C391),"")</f>
        <v/>
      </c>
      <c r="B391" s="226">
        <v>43224</v>
      </c>
      <c r="C391" s="216"/>
      <c r="D391" s="216" t="str">
        <f>IF(C391&lt;&gt;"",VLOOKUP(C391,[1]DSKH!B:E,2,0),"")</f>
        <v/>
      </c>
      <c r="E391" s="215"/>
      <c r="F391" s="216"/>
      <c r="G391" s="216" t="str">
        <f>IF(C391&lt;&gt;"",VLOOKUP(C391,DSKH!B:E,3,0),"")</f>
        <v/>
      </c>
      <c r="H391" s="222">
        <v>1098849462</v>
      </c>
      <c r="I391" s="217"/>
      <c r="J391" s="224"/>
      <c r="K391" s="216" t="str">
        <f>IF(C391&lt;&gt;"",VLOOKUP(C391,[1]DSKH!B:E,4,0),"")</f>
        <v/>
      </c>
      <c r="L391" s="216"/>
      <c r="M391" s="216" t="str">
        <f t="shared" si="10"/>
        <v>- 1098849462 -MAY 03-</v>
      </c>
      <c r="N391" s="271" t="str">
        <f t="shared" ca="1" si="11"/>
        <v/>
      </c>
    </row>
    <row r="392" spans="1:14">
      <c r="A392" s="216" t="str">
        <f>IF(C392&lt;&gt;"",SUBTOTAL(103,$C$8:C392),"")</f>
        <v/>
      </c>
      <c r="B392" s="226">
        <v>43224</v>
      </c>
      <c r="C392" s="216"/>
      <c r="D392" s="216" t="str">
        <f>IF(C392&lt;&gt;"",VLOOKUP(C392,[1]DSKH!B:E,2,0),"")</f>
        <v/>
      </c>
      <c r="E392" s="215"/>
      <c r="F392" s="216"/>
      <c r="G392" s="216" t="str">
        <f>IF(C392&lt;&gt;"",VLOOKUP(C392,DSKH!B:E,3,0),"")</f>
        <v/>
      </c>
      <c r="H392" s="222">
        <v>1098849459</v>
      </c>
      <c r="I392" s="217"/>
      <c r="J392" s="224"/>
      <c r="K392" s="216" t="str">
        <f>IF(C392&lt;&gt;"",VLOOKUP(C392,[1]DSKH!B:E,4,0),"")</f>
        <v/>
      </c>
      <c r="L392" s="216"/>
      <c r="M392" s="216" t="str">
        <f t="shared" si="10"/>
        <v>- 1098849459 -MAY 03-</v>
      </c>
      <c r="N392" s="271" t="str">
        <f t="shared" ca="1" si="11"/>
        <v/>
      </c>
    </row>
    <row r="393" spans="1:14" ht="41.4">
      <c r="A393" s="216">
        <f>IF(C393&lt;&gt;"",SUBTOTAL(103,$C$8:C393),"")</f>
        <v>226</v>
      </c>
      <c r="B393" s="226">
        <v>43224</v>
      </c>
      <c r="C393" s="216" t="s">
        <v>2931</v>
      </c>
      <c r="D393" s="216" t="str">
        <f>IF(C393&lt;&gt;"",VLOOKUP(C393,[1]DSKH!B:E,2,0),"")</f>
        <v>Doan Bai Commune- Hiep Hoa Dist
 Bac Giang Province</v>
      </c>
      <c r="E393" s="215">
        <f>2+14</f>
        <v>16</v>
      </c>
      <c r="F393" s="216"/>
      <c r="G393" s="216">
        <f>IF(C393&lt;&gt;"",VLOOKUP(C393,DSKH!B:E,3,0),"")</f>
        <v>0</v>
      </c>
      <c r="H393" s="222">
        <v>1098832588</v>
      </c>
      <c r="I393" s="217"/>
      <c r="J393" s="224" t="s">
        <v>3304</v>
      </c>
      <c r="K393" s="216" t="str">
        <f>IF(C393&lt;&gt;"",VLOOKUP(C393,[1]DSKH!B:E,4,0),"")</f>
        <v>MS. VAN  ANH: 0166 8064 718</v>
      </c>
      <c r="L393" s="216">
        <f>1.2+0.62+17.5+10+2.6+5+12.8+9.1+16+18.3+9.2+18.4+16.8+18.2+9+12.9+0</f>
        <v>177.62</v>
      </c>
      <c r="M393" s="216" t="str">
        <f t="shared" si="10"/>
        <v>HA PHONG 3- 1098832588 -MAY 03-na002185176</v>
      </c>
      <c r="N393" s="271">
        <f t="shared" ca="1" si="11"/>
        <v>44254.384610648151</v>
      </c>
    </row>
    <row r="394" spans="1:14">
      <c r="A394" s="216"/>
      <c r="B394" s="226"/>
      <c r="C394" s="216"/>
      <c r="D394" s="216"/>
      <c r="E394" s="215"/>
      <c r="F394" s="216"/>
      <c r="G394" s="216"/>
      <c r="H394" s="222">
        <v>1098836548</v>
      </c>
      <c r="I394" s="217"/>
      <c r="J394" s="224"/>
      <c r="K394" s="216"/>
      <c r="L394" s="216"/>
      <c r="M394" s="216"/>
      <c r="N394" s="271"/>
    </row>
    <row r="395" spans="1:14">
      <c r="A395" s="216" t="str">
        <f>IF(C395&lt;&gt;"",SUBTOTAL(103,$C$8:C395),"")</f>
        <v/>
      </c>
      <c r="B395" s="226">
        <v>43224</v>
      </c>
      <c r="C395" s="216"/>
      <c r="D395" s="216" t="str">
        <f>IF(C395&lt;&gt;"",VLOOKUP(C395,[1]DSKH!B:E,2,0),"")</f>
        <v/>
      </c>
      <c r="E395" s="215"/>
      <c r="F395" s="216"/>
      <c r="G395" s="216" t="str">
        <f>IF(C395&lt;&gt;"",VLOOKUP(C395,DSKH!B:E,3,0),"")</f>
        <v/>
      </c>
      <c r="H395" s="222">
        <v>1098836518</v>
      </c>
      <c r="I395" s="217"/>
      <c r="J395" s="224"/>
      <c r="K395" s="216" t="str">
        <f>IF(C395&lt;&gt;"",VLOOKUP(C395,[1]DSKH!B:E,4,0),"")</f>
        <v/>
      </c>
      <c r="L395" s="216"/>
      <c r="M395" s="216" t="str">
        <f t="shared" si="10"/>
        <v>- 1098836518 -MAY 03-</v>
      </c>
      <c r="N395" s="271" t="str">
        <f t="shared" ca="1" si="11"/>
        <v/>
      </c>
    </row>
    <row r="396" spans="1:14" ht="41.4">
      <c r="A396" s="216">
        <f>IF(C396&lt;&gt;"",SUBTOTAL(103,$C$8:C396),"")</f>
        <v>227</v>
      </c>
      <c r="B396" s="226">
        <v>43224</v>
      </c>
      <c r="C396" s="216" t="s">
        <v>2929</v>
      </c>
      <c r="D396" s="216" t="str">
        <f>IF(C396&lt;&gt;"",VLOOKUP(C396,[1]DSKH!B:E,2,0),"")</f>
        <v>Doan Bai Commune- Hiep Hoa Dist
 Bac Giang Province</v>
      </c>
      <c r="E396" s="215">
        <v>9</v>
      </c>
      <c r="F396" s="216"/>
      <c r="G396" s="216">
        <f>IF(C396&lt;&gt;"",VLOOKUP(C396,DSKH!B:E,3,0),"")</f>
        <v>0</v>
      </c>
      <c r="H396" s="222">
        <v>1098849436</v>
      </c>
      <c r="I396" s="217"/>
      <c r="J396" s="224" t="s">
        <v>3305</v>
      </c>
      <c r="K396" s="216" t="str">
        <f>IF(C396&lt;&gt;"",VLOOKUP(C396,[1]DSKH!B:E,4,0),"")</f>
        <v>MS.NA: 097 8894 809</v>
      </c>
      <c r="L396" s="216">
        <f>0.95+0.6+0.2+0.6+0.55+0.25+0.26+0.5+0.2</f>
        <v>4.1099999999999994</v>
      </c>
      <c r="M396" s="216" t="str">
        <f t="shared" si="10"/>
        <v>HA PHONG 1- 1098849436 -MAY 03-na002185173</v>
      </c>
      <c r="N396" s="271">
        <f t="shared" ca="1" si="11"/>
        <v>44254.384610648151</v>
      </c>
    </row>
    <row r="397" spans="1:14" ht="27.6">
      <c r="A397" s="216">
        <f>IF(C397&lt;&gt;"",SUBTOTAL(103,$C$8:C397),"")</f>
        <v>228</v>
      </c>
      <c r="B397" s="226">
        <v>43224</v>
      </c>
      <c r="C397" s="216" t="s">
        <v>1756</v>
      </c>
      <c r="D397" s="216" t="str">
        <f>IF(C397&lt;&gt;"",VLOOKUP(C397,[1]DSKH!B:E,2,0),"")</f>
        <v>THUY VAN IZ-LOT 10-VIET TRI-PHU THO</v>
      </c>
      <c r="E397" s="215">
        <v>1</v>
      </c>
      <c r="F397" s="216"/>
      <c r="G397" s="216">
        <f>IF(C397&lt;&gt;"",VLOOKUP(C397,DSKH!B:E,3,0),"")</f>
        <v>0</v>
      </c>
      <c r="H397" s="222">
        <v>1098882884</v>
      </c>
      <c r="I397" s="217"/>
      <c r="J397" s="224" t="s">
        <v>3306</v>
      </c>
      <c r="K397" s="216" t="str">
        <f>IF(C397&lt;&gt;"",VLOOKUP(C397,[1]DSKH!B:E,4,0),"")</f>
        <v>TUAN: 0942 935 662</v>
      </c>
      <c r="L397" s="216">
        <v>0.2</v>
      </c>
      <c r="M397" s="216" t="str">
        <f t="shared" si="10"/>
        <v>SESHIN- 1098882884 -MAY 03-na002185174</v>
      </c>
      <c r="N397" s="271">
        <f t="shared" ca="1" si="11"/>
        <v>44254.384610648151</v>
      </c>
    </row>
    <row r="398" spans="1:14" ht="69">
      <c r="A398" s="216">
        <f>IF(C398&lt;&gt;"",SUBTOTAL(103,$C$8:C398),"")</f>
        <v>229</v>
      </c>
      <c r="B398" s="226">
        <v>43224</v>
      </c>
      <c r="C398" s="216" t="s">
        <v>1663</v>
      </c>
      <c r="D398" s="216" t="str">
        <f>IF(C398&lt;&gt;"",VLOOKUP(C398,[1]DSKH!B:E,2,0),"")</f>
        <v>So 9, Duong Dong Tay, VSIP Hai Phong, Huyen Thuy Nguyen, thuoc KKT Dinh Vu, Cat Hai, Hai Phong, Viet Nam</v>
      </c>
      <c r="E398" s="215">
        <f>7+13+9+1+2+2</f>
        <v>34</v>
      </c>
      <c r="F398" s="216" t="s">
        <v>2090</v>
      </c>
      <c r="G398" s="216">
        <f>IF(C398&lt;&gt;"",VLOOKUP(C398,DSKH!B:E,3,0),"")</f>
        <v>0</v>
      </c>
      <c r="H398" s="222">
        <v>1097405635</v>
      </c>
      <c r="I398" s="217" t="s">
        <v>2860</v>
      </c>
      <c r="J398" s="224" t="s">
        <v>3307</v>
      </c>
      <c r="K398" s="216">
        <f>IF(C398&lt;&gt;"",VLOOKUP(C398,[1]DSKH!B:E,4,0),"")</f>
        <v>0</v>
      </c>
      <c r="L398" s="216">
        <f>8.5+1.8+0.25+0.64+0.5+1.8+2*19.8+17.2+1.6+1.6+20+10.2+1.6+0.1+1.3+1.4+6.6+5.5+1.7+1.4+1.2+1.2+0.6+8.4+8.3+4.4+4+1+1.8+0.35+0.38+1.4+0</f>
        <v>156.32000000000002</v>
      </c>
      <c r="M398" s="216" t="str">
        <f t="shared" si="10"/>
        <v>REGINA MIRACLE- 1097405635 -MAY 03-na002185171</v>
      </c>
      <c r="N398" s="271">
        <f t="shared" ca="1" si="11"/>
        <v>44254.384610648151</v>
      </c>
    </row>
    <row r="399" spans="1:14">
      <c r="A399" s="216" t="str">
        <f>IF(C399&lt;&gt;"",SUBTOTAL(103,$C$8:C399),"")</f>
        <v/>
      </c>
      <c r="B399" s="226">
        <v>43224</v>
      </c>
      <c r="C399" s="216"/>
      <c r="D399" s="216" t="str">
        <f>IF(C399&lt;&gt;"",VLOOKUP(C399,[1]DSKH!B:E,2,0),"")</f>
        <v/>
      </c>
      <c r="E399" s="215"/>
      <c r="F399" s="216"/>
      <c r="G399" s="216" t="str">
        <f>IF(C399&lt;&gt;"",VLOOKUP(C399,DSKH!B:E,3,0),"")</f>
        <v/>
      </c>
      <c r="H399" s="222">
        <v>1099000385</v>
      </c>
      <c r="I399" s="217"/>
      <c r="J399" s="224"/>
      <c r="K399" s="216" t="str">
        <f>IF(C399&lt;&gt;"",VLOOKUP(C399,[1]DSKH!B:E,4,0),"")</f>
        <v/>
      </c>
      <c r="L399" s="216"/>
      <c r="M399" s="216" t="str">
        <f t="shared" si="10"/>
        <v>- 1099000385 -MAY 03-</v>
      </c>
      <c r="N399" s="271" t="str">
        <f t="shared" ca="1" si="11"/>
        <v/>
      </c>
    </row>
    <row r="400" spans="1:14">
      <c r="A400" s="216" t="str">
        <f>IF(C400&lt;&gt;"",SUBTOTAL(103,$C$8:C400),"")</f>
        <v/>
      </c>
      <c r="B400" s="226">
        <v>43224</v>
      </c>
      <c r="C400" s="216"/>
      <c r="D400" s="216" t="str">
        <f>IF(C400&lt;&gt;"",VLOOKUP(C400,[1]DSKH!B:E,2,0),"")</f>
        <v/>
      </c>
      <c r="E400" s="215"/>
      <c r="F400" s="216"/>
      <c r="G400" s="216" t="str">
        <f>IF(C400&lt;&gt;"",VLOOKUP(C400,DSKH!B:E,3,0),"")</f>
        <v/>
      </c>
      <c r="H400" s="222">
        <v>1097233659</v>
      </c>
      <c r="I400" s="217"/>
      <c r="J400" s="224"/>
      <c r="K400" s="216" t="str">
        <f>IF(C400&lt;&gt;"",VLOOKUP(C400,[1]DSKH!B:E,4,0),"")</f>
        <v/>
      </c>
      <c r="L400" s="216"/>
      <c r="M400" s="216" t="str">
        <f t="shared" ref="M400:M428" si="12">C400&amp;"-"&amp;" "&amp;H400&amp;" "&amp;"-"&amp;"MAY"&amp;" "&amp;"03"&amp;"-"&amp;J400</f>
        <v>- 1097233659 -MAY 03-</v>
      </c>
    </row>
    <row r="401" spans="1:13">
      <c r="A401" s="216" t="str">
        <f>IF(C401&lt;&gt;"",SUBTOTAL(103,$C$8:C401),"")</f>
        <v/>
      </c>
      <c r="B401" s="226">
        <v>43224</v>
      </c>
      <c r="C401" s="216"/>
      <c r="D401" s="216" t="str">
        <f>IF(C401&lt;&gt;"",VLOOKUP(C401,[1]DSKH!B:E,2,0),"")</f>
        <v/>
      </c>
      <c r="E401" s="215"/>
      <c r="F401" s="216"/>
      <c r="G401" s="216" t="str">
        <f>IF(C401&lt;&gt;"",VLOOKUP(C401,DSKH!B:E,3,0),"")</f>
        <v/>
      </c>
      <c r="H401" s="222">
        <v>1097979516</v>
      </c>
      <c r="I401" s="217"/>
      <c r="J401" s="224"/>
      <c r="K401" s="216" t="str">
        <f>IF(C401&lt;&gt;"",VLOOKUP(C401,[1]DSKH!B:E,4,0),"")</f>
        <v/>
      </c>
      <c r="L401" s="216"/>
      <c r="M401" s="216" t="str">
        <f t="shared" si="12"/>
        <v>- 1097979516 -MAY 03-</v>
      </c>
    </row>
    <row r="402" spans="1:13">
      <c r="A402" s="216" t="str">
        <f>IF(C402&lt;&gt;"",SUBTOTAL(103,$C$8:C402),"")</f>
        <v/>
      </c>
      <c r="B402" s="226">
        <v>43224</v>
      </c>
      <c r="C402" s="216"/>
      <c r="D402" s="216" t="str">
        <f>IF(C402&lt;&gt;"",VLOOKUP(C402,[1]DSKH!B:E,2,0),"")</f>
        <v/>
      </c>
      <c r="E402" s="215"/>
      <c r="F402" s="216"/>
      <c r="G402" s="216" t="str">
        <f>IF(C402&lt;&gt;"",VLOOKUP(C402,DSKH!B:E,3,0),"")</f>
        <v/>
      </c>
      <c r="H402" s="222">
        <v>1098750176</v>
      </c>
      <c r="I402" s="217"/>
      <c r="J402" s="224"/>
      <c r="K402" s="216" t="str">
        <f>IF(C402&lt;&gt;"",VLOOKUP(C402,[1]DSKH!B:E,4,0),"")</f>
        <v/>
      </c>
      <c r="L402" s="216"/>
      <c r="M402" s="216" t="str">
        <f t="shared" si="12"/>
        <v>- 1098750176 -MAY 03-</v>
      </c>
    </row>
    <row r="403" spans="1:13">
      <c r="A403" s="216" t="str">
        <f>IF(C403&lt;&gt;"",SUBTOTAL(103,$C$8:C403),"")</f>
        <v/>
      </c>
      <c r="B403" s="226">
        <v>43224</v>
      </c>
      <c r="C403" s="216"/>
      <c r="D403" s="216" t="str">
        <f>IF(C403&lt;&gt;"",VLOOKUP(C403,[1]DSKH!B:E,2,0),"")</f>
        <v/>
      </c>
      <c r="E403" s="215"/>
      <c r="F403" s="216"/>
      <c r="G403" s="216" t="str">
        <f>IF(C403&lt;&gt;"",VLOOKUP(C403,DSKH!B:E,3,0),"")</f>
        <v/>
      </c>
      <c r="H403" s="222">
        <v>1097837036</v>
      </c>
      <c r="I403" s="217"/>
      <c r="J403" s="224"/>
      <c r="K403" s="216" t="str">
        <f>IF(C403&lt;&gt;"",VLOOKUP(C403,[1]DSKH!B:E,4,0),"")</f>
        <v/>
      </c>
      <c r="L403" s="216"/>
      <c r="M403" s="216" t="str">
        <f t="shared" si="12"/>
        <v>- 1097837036 -MAY 03-</v>
      </c>
    </row>
    <row r="404" spans="1:13">
      <c r="A404" s="216" t="str">
        <f>IF(C404&lt;&gt;"",SUBTOTAL(103,$C$8:C404),"")</f>
        <v/>
      </c>
      <c r="B404" s="226">
        <v>43224</v>
      </c>
      <c r="C404" s="216"/>
      <c r="D404" s="216" t="str">
        <f>IF(C404&lt;&gt;"",VLOOKUP(C404,[1]DSKH!B:E,2,0),"")</f>
        <v/>
      </c>
      <c r="E404" s="215"/>
      <c r="F404" s="216"/>
      <c r="G404" s="216" t="str">
        <f>IF(C404&lt;&gt;"",VLOOKUP(C404,DSKH!B:E,3,0),"")</f>
        <v/>
      </c>
      <c r="H404" s="222">
        <v>1098670036</v>
      </c>
      <c r="I404" s="217"/>
      <c r="J404" s="224"/>
      <c r="K404" s="216" t="str">
        <f>IF(C404&lt;&gt;"",VLOOKUP(C404,[1]DSKH!B:E,4,0),"")</f>
        <v/>
      </c>
      <c r="L404" s="216"/>
      <c r="M404" s="216" t="str">
        <f t="shared" si="12"/>
        <v>- 1098670036 -MAY 03-</v>
      </c>
    </row>
    <row r="405" spans="1:13">
      <c r="A405" s="216" t="str">
        <f>IF(C405&lt;&gt;"",SUBTOTAL(103,$C$8:C405),"")</f>
        <v/>
      </c>
      <c r="B405" s="226">
        <v>43224</v>
      </c>
      <c r="C405" s="216"/>
      <c r="D405" s="216" t="str">
        <f>IF(C405&lt;&gt;"",VLOOKUP(C405,[1]DSKH!B:E,2,0),"")</f>
        <v/>
      </c>
      <c r="E405" s="215"/>
      <c r="F405" s="216"/>
      <c r="G405" s="216" t="str">
        <f>IF(C405&lt;&gt;"",VLOOKUP(C405,DSKH!B:E,3,0),"")</f>
        <v/>
      </c>
      <c r="H405" s="222">
        <v>1097792989</v>
      </c>
      <c r="I405" s="217"/>
      <c r="J405" s="224"/>
      <c r="K405" s="216" t="str">
        <f>IF(C405&lt;&gt;"",VLOOKUP(C405,[1]DSKH!B:E,4,0),"")</f>
        <v/>
      </c>
      <c r="L405" s="216"/>
      <c r="M405" s="216" t="str">
        <f t="shared" si="12"/>
        <v>- 1097792989 -MAY 03-</v>
      </c>
    </row>
    <row r="406" spans="1:13">
      <c r="A406" s="216" t="str">
        <f>IF(C406&lt;&gt;"",SUBTOTAL(103,$C$8:C406),"")</f>
        <v/>
      </c>
      <c r="B406" s="226">
        <v>43224</v>
      </c>
      <c r="C406" s="216"/>
      <c r="D406" s="216" t="str">
        <f>IF(C406&lt;&gt;"",VLOOKUP(C406,[1]DSKH!B:E,2,0),"")</f>
        <v/>
      </c>
      <c r="E406" s="215"/>
      <c r="F406" s="216"/>
      <c r="G406" s="216" t="str">
        <f>IF(C406&lt;&gt;"",VLOOKUP(C406,DSKH!B:E,3,0),"")</f>
        <v/>
      </c>
      <c r="H406" s="222">
        <v>1098872449</v>
      </c>
      <c r="I406" s="217"/>
      <c r="J406" s="224"/>
      <c r="K406" s="216" t="str">
        <f>IF(C406&lt;&gt;"",VLOOKUP(C406,[1]DSKH!B:E,4,0),"")</f>
        <v/>
      </c>
      <c r="L406" s="216"/>
      <c r="M406" s="216" t="str">
        <f t="shared" si="12"/>
        <v>- 1098872449 -MAY 03-</v>
      </c>
    </row>
    <row r="407" spans="1:13">
      <c r="A407" s="216" t="str">
        <f>IF(C407&lt;&gt;"",SUBTOTAL(103,$C$8:C407),"")</f>
        <v/>
      </c>
      <c r="B407" s="226">
        <v>43224</v>
      </c>
      <c r="C407" s="216"/>
      <c r="D407" s="216" t="str">
        <f>IF(C407&lt;&gt;"",VLOOKUP(C407,[1]DSKH!B:E,2,0),"")</f>
        <v/>
      </c>
      <c r="E407" s="215"/>
      <c r="F407" s="216"/>
      <c r="G407" s="216" t="str">
        <f>IF(C407&lt;&gt;"",VLOOKUP(C407,DSKH!B:E,3,0),"")</f>
        <v/>
      </c>
      <c r="H407" s="222">
        <v>1098668903</v>
      </c>
      <c r="I407" s="217"/>
      <c r="J407" s="224"/>
      <c r="K407" s="216" t="str">
        <f>IF(C407&lt;&gt;"",VLOOKUP(C407,[1]DSKH!B:E,4,0),"")</f>
        <v/>
      </c>
      <c r="L407" s="216"/>
      <c r="M407" s="216" t="str">
        <f t="shared" si="12"/>
        <v>- 1098668903 -MAY 03-</v>
      </c>
    </row>
    <row r="408" spans="1:13" ht="41.4">
      <c r="A408" s="216">
        <f>IF(C408&lt;&gt;"",SUBTOTAL(103,$C$8:C408),"")</f>
        <v>230</v>
      </c>
      <c r="B408" s="226">
        <v>43224</v>
      </c>
      <c r="C408" s="216" t="s">
        <v>152</v>
      </c>
      <c r="D408" s="216" t="str">
        <f>IF(C408&lt;&gt;"",VLOOKUP(C408,[1]DSKH!B:E,2,0),"")</f>
        <v>VINH LONG, VINH LOC, THANH HOA</v>
      </c>
      <c r="E408" s="215">
        <v>4</v>
      </c>
      <c r="F408" s="216"/>
      <c r="G408" s="216">
        <f>IF(C408&lt;&gt;"",VLOOKUP(C408,DSKH!B:E,3,0),"")</f>
        <v>0</v>
      </c>
      <c r="H408" s="222">
        <v>1098822594</v>
      </c>
      <c r="I408" s="217"/>
      <c r="J408" s="224" t="s">
        <v>3308</v>
      </c>
      <c r="K408" s="216" t="str">
        <f>IF(C408&lt;&gt;"",VLOOKUP(C408,[1]DSKH!B:E,4,0),"")</f>
        <v>NONG 0918.981.539</v>
      </c>
      <c r="L408" s="216">
        <f>8.8+1.42+0.56+0.54</f>
        <v>11.32</v>
      </c>
      <c r="M408" s="216" t="str">
        <f t="shared" si="12"/>
        <v>APPAREL TECH VINH LOC- 1098822594 -MAY 03-na002185172</v>
      </c>
    </row>
    <row r="409" spans="1:13">
      <c r="A409" s="216" t="str">
        <f>IF(C409&lt;&gt;"",SUBTOTAL(103,$C$8:C409),"")</f>
        <v/>
      </c>
      <c r="B409" s="226">
        <v>43224</v>
      </c>
      <c r="C409" s="216"/>
      <c r="D409" s="216" t="str">
        <f>IF(C409&lt;&gt;"",VLOOKUP(C409,[1]DSKH!B:E,2,0),"")</f>
        <v/>
      </c>
      <c r="E409" s="215"/>
      <c r="F409" s="216"/>
      <c r="G409" s="216" t="str">
        <f>IF(C409&lt;&gt;"",VLOOKUP(C409,DSKH!B:E,3,0),"")</f>
        <v/>
      </c>
      <c r="H409" s="222">
        <v>1098857533</v>
      </c>
      <c r="I409" s="217"/>
      <c r="J409" s="224"/>
      <c r="K409" s="216" t="str">
        <f>IF(C409&lt;&gt;"",VLOOKUP(C409,[1]DSKH!B:E,4,0),"")</f>
        <v/>
      </c>
      <c r="L409" s="216"/>
      <c r="M409" s="216" t="str">
        <f t="shared" si="12"/>
        <v>- 1098857533 -MAY 03-</v>
      </c>
    </row>
    <row r="410" spans="1:13" ht="96.6">
      <c r="A410" s="216">
        <f>IF(C410&lt;&gt;"",SUBTOTAL(103,$C$8:C410),"")</f>
        <v>231</v>
      </c>
      <c r="B410" s="226">
        <v>43224</v>
      </c>
      <c r="C410" s="216" t="s">
        <v>1225</v>
      </c>
      <c r="D410" s="216" t="str">
        <f>IF(C410&lt;&gt;"",VLOOKUP(C410,[1]DSKH!B:E,2,0),"")</f>
        <v>60-ME NHU-DA NANG</v>
      </c>
      <c r="E410" s="215">
        <v>4</v>
      </c>
      <c r="F410" s="216"/>
      <c r="G410" s="216" t="str">
        <f>IF(C410&lt;&gt;"",VLOOKUP(C410,DSKH!B:E,3,0),"")</f>
        <v>HANG GEN NHAN FIGS CHO EMAIL CONFIRM GIAO HANG CUA CS, KEM PKL CHI TIET (DECATHLON)</v>
      </c>
      <c r="H410" s="222">
        <v>1098988041</v>
      </c>
      <c r="I410" s="217"/>
      <c r="J410" s="224" t="s">
        <v>3309</v>
      </c>
      <c r="K410" s="216" t="str">
        <f>IF(C410&lt;&gt;"",VLOOKUP(C410,[1]DSKH!B:E,4,0),"")</f>
        <v>ANH CHAU- KHO PHU LIEU-05113-759249</v>
      </c>
      <c r="L410" s="216">
        <f>8+8.4+5.2+7.4</f>
        <v>29</v>
      </c>
      <c r="M410" s="216" t="str">
        <f t="shared" si="12"/>
        <v>MAY 29 03- 1098988041 -MAY 03-na002185169</v>
      </c>
    </row>
    <row r="411" spans="1:13" ht="82.8">
      <c r="A411" s="216">
        <f>IF(C411&lt;&gt;"",SUBTOTAL(103,$C$8:C411),"")</f>
        <v>232</v>
      </c>
      <c r="B411" s="226">
        <v>43224</v>
      </c>
      <c r="C411" s="216" t="s">
        <v>1720</v>
      </c>
      <c r="D411" s="216" t="str">
        <f>IF(C411&lt;&gt;"",VLOOKUP(C411,[1]DSKH!B:E,2,0),"")</f>
        <v>Chi nhanh Cong Ty TNHH SAO VANG
Khu PhúThanh Tây- Phương Yên Thanh,
thi xa Uong Bi,tinh Quang Ninh</v>
      </c>
      <c r="E411" s="215">
        <v>1</v>
      </c>
      <c r="F411" s="216"/>
      <c r="G411" s="216">
        <f>IF(C411&lt;&gt;"",VLOOKUP(C411,DSKH!B:E,3,0),"")</f>
        <v>0</v>
      </c>
      <c r="H411" s="222">
        <v>1098856856</v>
      </c>
      <c r="I411" s="217"/>
      <c r="J411" s="224" t="s">
        <v>3310</v>
      </c>
      <c r="K411" s="216" t="str">
        <f>IF(C411&lt;&gt;"",VLOOKUP(C411,[1]DSKH!B:E,4,0),"")</f>
        <v>HOA
DT:0988 11 0026</v>
      </c>
      <c r="L411" s="216">
        <v>5.9</v>
      </c>
      <c r="M411" s="216" t="str">
        <f t="shared" si="12"/>
        <v>SAO VANG- 1098856856 -MAY 03-na002185170</v>
      </c>
    </row>
    <row r="412" spans="1:13" ht="55.2">
      <c r="A412" s="216">
        <f>IF(C412&lt;&gt;"",SUBTOTAL(103,$C$8:C412),"")</f>
        <v>233</v>
      </c>
      <c r="B412" s="226">
        <v>43224</v>
      </c>
      <c r="C412" s="216" t="s">
        <v>136</v>
      </c>
      <c r="D412" s="216" t="str">
        <f>IF(C412&lt;&gt;"",VLOOKUP(C412,[1]DSKH!B:E,2,0),"")</f>
        <v>Lot 79,  Long Jiang Industrial Park, Tan Lap 1 Village, Tan Phuoc District, Tien Giang Province</v>
      </c>
      <c r="E412" s="215">
        <v>1</v>
      </c>
      <c r="F412" s="216"/>
      <c r="G412" s="216">
        <f>IF(C412&lt;&gt;"",VLOOKUP(C412,DSKH!B:E,3,0),"")</f>
        <v>0</v>
      </c>
      <c r="H412" s="222">
        <v>1098886878</v>
      </c>
      <c r="I412" s="217"/>
      <c r="J412" s="224" t="s">
        <v>3311</v>
      </c>
      <c r="K412" s="216" t="str">
        <f>IF(C412&lt;&gt;"",VLOOKUP(C412,[1]DSKH!B:E,4,0),"")</f>
        <v xml:space="preserve">Holly Nguyen +84 073 651 9999 Ext: 2105 </v>
      </c>
      <c r="L412" s="216">
        <v>0.2</v>
      </c>
      <c r="M412" s="216" t="str">
        <f t="shared" si="12"/>
        <v>Apache Footwear- 1098886878 -MAY 03-na002185167</v>
      </c>
    </row>
    <row r="413" spans="1:13" ht="41.4">
      <c r="A413" s="216">
        <f>IF(C413&lt;&gt;"",SUBTOTAL(103,$C$8:C413),"")</f>
        <v>234</v>
      </c>
      <c r="B413" s="226">
        <v>43224</v>
      </c>
      <c r="C413" s="216" t="s">
        <v>1247</v>
      </c>
      <c r="D413" s="216" t="str">
        <f>IF(C413&lt;&gt;"",VLOOKUP(C413,[1]DSKH!B:E,2,0),"")</f>
        <v>Thôn: Bằng, xã Nghĩa Hòa, Huyện Lạng Giang, tỉnh Bắc Giang</v>
      </c>
      <c r="E413" s="215">
        <v>1</v>
      </c>
      <c r="F413" s="216" t="s">
        <v>2861</v>
      </c>
      <c r="G413" s="216">
        <f>IF(C413&lt;&gt;"",VLOOKUP(C413,DSKH!B:E,3,0),"")</f>
        <v>0</v>
      </c>
      <c r="H413" s="222">
        <v>1098998359</v>
      </c>
      <c r="I413" s="217" t="s">
        <v>2860</v>
      </c>
      <c r="J413" s="224" t="s">
        <v>3312</v>
      </c>
      <c r="K413" s="216">
        <f>IF(C413&lt;&gt;"",VLOOKUP(C413,[1]DSKH!B:E,4,0),"")</f>
        <v>0</v>
      </c>
      <c r="L413" s="216">
        <v>0.3</v>
      </c>
      <c r="M413" s="216" t="str">
        <f t="shared" si="12"/>
        <v>MAY LANG GIANG- 1098998359 -MAY 03-na002185168</v>
      </c>
    </row>
    <row r="414" spans="1:13" ht="41.4">
      <c r="A414" s="216">
        <f>IF(C414&lt;&gt;"",SUBTOTAL(103,$C$8:C414),"")</f>
        <v>235</v>
      </c>
      <c r="B414" s="226">
        <v>43224</v>
      </c>
      <c r="C414" s="216" t="s">
        <v>2307</v>
      </c>
      <c r="D414" s="216" t="str">
        <f>IF(C414&lt;&gt;"",VLOOKUP(C414,[1]DSKH!B:E,2,0),"")</f>
        <v>Thon Giao Cu trung, xa Dong Son, huyen Nam Truc, Nam Dinh</v>
      </c>
      <c r="E414" s="215">
        <v>2</v>
      </c>
      <c r="F414" s="216"/>
      <c r="G414" s="216">
        <f>IF(C414&lt;&gt;"",VLOOKUP(C414,DSKH!B:E,3,0),"")</f>
        <v>0</v>
      </c>
      <c r="H414" s="222">
        <v>1098989356</v>
      </c>
      <c r="I414" s="217" t="s">
        <v>2860</v>
      </c>
      <c r="J414" s="224" t="s">
        <v>3313</v>
      </c>
      <c r="K414" s="216">
        <f>IF(C414&lt;&gt;"",VLOOKUP(C414,[1]DSKH!B:E,4,0),"")</f>
        <v>0</v>
      </c>
      <c r="L414" s="216">
        <f>3.1</f>
        <v>3.1</v>
      </c>
      <c r="M414" s="216" t="str">
        <f t="shared" si="12"/>
        <v>VIET PAN PACIFIC NAM DINH- 1098989356 -MAY 03-na002185165</v>
      </c>
    </row>
    <row r="415" spans="1:13" ht="41.4">
      <c r="A415" s="216">
        <f>IF(C415&lt;&gt;"",SUBTOTAL(103,$C$8:C415),"")</f>
        <v>236</v>
      </c>
      <c r="B415" s="226">
        <v>43224</v>
      </c>
      <c r="C415" s="216" t="s">
        <v>1759</v>
      </c>
      <c r="D415" s="216" t="str">
        <f>IF(C415&lt;&gt;"",VLOOKUP(C415,[1]DSKH!B:E,2,0),"")</f>
        <v>Khe Xoan Hamlet – Doi Can commune – Tuyen Quang City</v>
      </c>
      <c r="E415" s="215">
        <v>2</v>
      </c>
      <c r="F415" s="216" t="s">
        <v>2090</v>
      </c>
      <c r="G415" s="216">
        <f>IF(C415&lt;&gt;"",VLOOKUP(C415,DSKH!B:E,3,0),"")</f>
        <v>0</v>
      </c>
      <c r="H415" s="222">
        <v>1098989965</v>
      </c>
      <c r="I415" s="217" t="s">
        <v>2860</v>
      </c>
      <c r="J415" s="224" t="s">
        <v>3314</v>
      </c>
      <c r="K415" s="216" t="str">
        <f>IF(C415&lt;&gt;"",VLOOKUP(C415,[1]DSKH!B:E,4,0),"")</f>
        <v xml:space="preserve"> Khanh:  +84 273 898301~2</v>
      </c>
      <c r="L415" s="216">
        <f>1.5</f>
        <v>1.5</v>
      </c>
      <c r="M415" s="216" t="str">
        <f t="shared" si="12"/>
        <v>SESHIN VN2- 1098989965 -MAY 03-na002185166</v>
      </c>
    </row>
    <row r="416" spans="1:13" ht="41.4">
      <c r="A416" s="216">
        <f>IF(C416&lt;&gt;"",SUBTOTAL(103,$C$8:C416),"")</f>
        <v>237</v>
      </c>
      <c r="B416" s="226">
        <v>43224</v>
      </c>
      <c r="C416" s="216" t="s">
        <v>2930</v>
      </c>
      <c r="D416" s="216" t="str">
        <f>IF(C416&lt;&gt;"",VLOOKUP(C416,[1]DSKH!B:E,2,0),"")</f>
        <v>Doan Bai Commune- Hiep Hoa Dist
 Bac Giang Province</v>
      </c>
      <c r="E416" s="215">
        <v>1</v>
      </c>
      <c r="F416" s="216" t="s">
        <v>2090</v>
      </c>
      <c r="G416" s="216">
        <f>IF(C416&lt;&gt;"",VLOOKUP(C416,DSKH!B:E,3,0),"")</f>
        <v>0</v>
      </c>
      <c r="H416" s="222">
        <v>1098990010</v>
      </c>
      <c r="I416" s="217" t="s">
        <v>2860</v>
      </c>
      <c r="J416" s="224" t="s">
        <v>3315</v>
      </c>
      <c r="K416" s="216" t="str">
        <f>IF(C416&lt;&gt;"",VLOOKUP(C416,[1]DSKH!B:E,4,0),"")</f>
        <v>GIANG: 01687887348</v>
      </c>
      <c r="L416" s="216">
        <v>0.4</v>
      </c>
      <c r="M416" s="216" t="str">
        <f t="shared" si="12"/>
        <v>HA PHONG 4- 1098990010 -MAY 03-na002185163</v>
      </c>
    </row>
    <row r="417" spans="1:13" ht="41.4">
      <c r="A417" s="216">
        <f>IF(C417&lt;&gt;"",SUBTOTAL(103,$C$8:C417),"")</f>
        <v>238</v>
      </c>
      <c r="B417" s="226">
        <v>43224</v>
      </c>
      <c r="C417" s="216" t="s">
        <v>2175</v>
      </c>
      <c r="D417" s="216" t="str">
        <f>IF(C417&lt;&gt;"",VLOOKUP(C417,[1]DSKH!B:E,2,0),"")</f>
        <v>402 ST- HOA NGHIA-DUONG KINH-HAI PHONG</v>
      </c>
      <c r="E417" s="215">
        <v>7</v>
      </c>
      <c r="F417" s="216"/>
      <c r="G417" s="216">
        <f>IF(C417&lt;&gt;"",VLOOKUP(C417,DSKH!B:E,3,0),"")</f>
        <v>0</v>
      </c>
      <c r="H417" s="222">
        <v>1098891448</v>
      </c>
      <c r="I417" s="217"/>
      <c r="J417" s="224" t="s">
        <v>3316</v>
      </c>
      <c r="K417" s="216" t="str">
        <f>IF(C417&lt;&gt;"",VLOOKUP(C417,[1]DSKH!B:E,4,0),"")</f>
        <v>MR BINH: 0904 659 810</v>
      </c>
      <c r="L417" s="216">
        <f>0.9+2.1+0.42+2.2+6+0</f>
        <v>11.620000000000001</v>
      </c>
      <c r="M417" s="216" t="str">
        <f t="shared" si="12"/>
        <v>TRUONG SON GARMENT- 1098891448 -MAY 03-na002185164</v>
      </c>
    </row>
    <row r="418" spans="1:13">
      <c r="A418" s="216" t="str">
        <f>IF(C418&lt;&gt;"",SUBTOTAL(103,$C$8:C418),"")</f>
        <v/>
      </c>
      <c r="B418" s="226">
        <v>43224</v>
      </c>
      <c r="C418" s="216"/>
      <c r="D418" s="216" t="str">
        <f>IF(C418&lt;&gt;"",VLOOKUP(C418,[1]DSKH!B:E,2,0),"")</f>
        <v/>
      </c>
      <c r="E418" s="215"/>
      <c r="F418" s="216"/>
      <c r="G418" s="216" t="str">
        <f>IF(C418&lt;&gt;"",VLOOKUP(C418,DSKH!B:E,3,0),"")</f>
        <v/>
      </c>
      <c r="H418" s="222">
        <v>1098886863</v>
      </c>
      <c r="I418" s="217"/>
      <c r="J418" s="224"/>
      <c r="K418" s="216" t="str">
        <f>IF(C418&lt;&gt;"",VLOOKUP(C418,[1]DSKH!B:E,4,0),"")</f>
        <v/>
      </c>
      <c r="L418" s="216"/>
      <c r="M418" s="216" t="str">
        <f t="shared" si="12"/>
        <v>- 1098886863 -MAY 03-</v>
      </c>
    </row>
    <row r="419" spans="1:13">
      <c r="A419" s="216" t="str">
        <f>IF(C419&lt;&gt;"",SUBTOTAL(103,$C$8:C419),"")</f>
        <v/>
      </c>
      <c r="B419" s="226">
        <v>43224</v>
      </c>
      <c r="C419" s="216"/>
      <c r="D419" s="216" t="str">
        <f>IF(C419&lt;&gt;"",VLOOKUP(C419,[1]DSKH!B:E,2,0),"")</f>
        <v/>
      </c>
      <c r="E419" s="215"/>
      <c r="F419" s="216"/>
      <c r="G419" s="216" t="str">
        <f>IF(C419&lt;&gt;"",VLOOKUP(C419,DSKH!B:E,3,0),"")</f>
        <v/>
      </c>
      <c r="H419" s="222">
        <v>1098821984</v>
      </c>
      <c r="I419" s="217"/>
      <c r="J419" s="224"/>
      <c r="K419" s="216" t="str">
        <f>IF(C419&lt;&gt;"",VLOOKUP(C419,[1]DSKH!B:E,4,0),"")</f>
        <v/>
      </c>
      <c r="L419" s="216"/>
      <c r="M419" s="216" t="str">
        <f t="shared" si="12"/>
        <v>- 1098821984 -MAY 03-</v>
      </c>
    </row>
    <row r="420" spans="1:13">
      <c r="A420" s="216" t="str">
        <f>IF(C420&lt;&gt;"",SUBTOTAL(103,$C$8:C420),"")</f>
        <v/>
      </c>
      <c r="B420" s="226">
        <v>43224</v>
      </c>
      <c r="C420" s="216"/>
      <c r="D420" s="216" t="str">
        <f>IF(C420&lt;&gt;"",VLOOKUP(C420,[1]DSKH!B:E,2,0),"")</f>
        <v/>
      </c>
      <c r="E420" s="215"/>
      <c r="F420" s="216"/>
      <c r="G420" s="216" t="str">
        <f>IF(C420&lt;&gt;"",VLOOKUP(C420,DSKH!B:E,3,0),"")</f>
        <v/>
      </c>
      <c r="H420" s="222">
        <v>1098977398</v>
      </c>
      <c r="I420" s="217"/>
      <c r="J420" s="224"/>
      <c r="K420" s="216" t="str">
        <f>IF(C420&lt;&gt;"",VLOOKUP(C420,[1]DSKH!B:E,4,0),"")</f>
        <v/>
      </c>
      <c r="L420" s="216"/>
      <c r="M420" s="216" t="str">
        <f t="shared" si="12"/>
        <v>- 1098977398 -MAY 03-</v>
      </c>
    </row>
    <row r="421" spans="1:13">
      <c r="A421" s="216" t="str">
        <f>IF(C421&lt;&gt;"",SUBTOTAL(103,$C$8:C421),"")</f>
        <v/>
      </c>
      <c r="B421" s="226">
        <v>43224</v>
      </c>
      <c r="C421" s="216"/>
      <c r="D421" s="216" t="str">
        <f>IF(C421&lt;&gt;"",VLOOKUP(C421,[1]DSKH!B:E,2,0),"")</f>
        <v/>
      </c>
      <c r="E421" s="215"/>
      <c r="F421" s="216"/>
      <c r="G421" s="216" t="str">
        <f>IF(C421&lt;&gt;"",VLOOKUP(C421,DSKH!B:E,3,0),"")</f>
        <v/>
      </c>
      <c r="H421" s="222">
        <v>1098835478</v>
      </c>
      <c r="I421" s="217"/>
      <c r="J421" s="224"/>
      <c r="K421" s="216" t="str">
        <f>IF(C421&lt;&gt;"",VLOOKUP(C421,[1]DSKH!B:E,4,0),"")</f>
        <v/>
      </c>
      <c r="L421" s="216"/>
      <c r="M421" s="216" t="str">
        <f t="shared" si="12"/>
        <v>- 1098835478 -MAY 03-</v>
      </c>
    </row>
    <row r="422" spans="1:13" ht="41.4">
      <c r="A422" s="216">
        <f>IF(C422&lt;&gt;"",SUBTOTAL(103,$C$8:C422),"")</f>
        <v>239</v>
      </c>
      <c r="B422" s="226">
        <v>43224</v>
      </c>
      <c r="C422" s="216" t="s">
        <v>981</v>
      </c>
      <c r="D422" s="216" t="str">
        <f>IF(C422&lt;&gt;"",VLOOKUP(C422,[1]DSKH!B:E,2,0),"")</f>
        <v>KM 24-HIGHWAY 5-DI SU-MY HAO-HUNG YEN</v>
      </c>
      <c r="E422" s="215">
        <v>2</v>
      </c>
      <c r="F422" s="216" t="s">
        <v>2090</v>
      </c>
      <c r="G422" s="216" t="str">
        <f>IF(C422&lt;&gt;"",VLOOKUP(C422,DSKH!B:E,3,0),"")</f>
        <v>PHO TO BILL GUI KEM CHO KH</v>
      </c>
      <c r="H422" s="222">
        <v>1099009344</v>
      </c>
      <c r="I422" s="217"/>
      <c r="J422" s="224" t="s">
        <v>3317</v>
      </c>
      <c r="K422" s="216" t="str">
        <f>IF(C422&lt;&gt;"",VLOOKUP(C422,[1]DSKH!B:E,4,0),"")</f>
        <v xml:space="preserve">0321 944045-321-943-458 
0914 720 887- CHI MAI
</v>
      </c>
      <c r="L422" s="216">
        <v>0.5</v>
      </c>
      <c r="M422" s="216" t="str">
        <f t="shared" si="12"/>
        <v>HUNG LONG- 1099009344 -MAY 03-na002185161</v>
      </c>
    </row>
    <row r="423" spans="1:13" ht="41.4">
      <c r="A423" s="216">
        <f>IF(C423&lt;&gt;"",SUBTOTAL(103,$C$8:C423),"")</f>
        <v>240</v>
      </c>
      <c r="B423" s="226">
        <v>43224</v>
      </c>
      <c r="C423" s="216" t="s">
        <v>430</v>
      </c>
      <c r="D423" s="216" t="str">
        <f>IF(C423&lt;&gt;"",VLOOKUP(C423,[1]DSKH!B:E,2,0),"")</f>
        <v>LO 15-16 KCX LINH TRUNG III, TRANG BANG, TAY NINH</v>
      </c>
      <c r="E423" s="215">
        <v>1</v>
      </c>
      <c r="F423" s="216"/>
      <c r="G423" s="216">
        <f>IF(C423&lt;&gt;"",VLOOKUP(C423,DSKH!B:E,3,0),"")</f>
        <v>0</v>
      </c>
      <c r="H423" s="222">
        <v>1098897798</v>
      </c>
      <c r="I423" s="217"/>
      <c r="J423" s="224" t="s">
        <v>3318</v>
      </c>
      <c r="K423" s="216">
        <f>IF(C423&lt;&gt;"",VLOOKUP(C423,[1]DSKH!B:E,4,0),"")</f>
        <v>0</v>
      </c>
      <c r="L423" s="216">
        <v>0.3</v>
      </c>
      <c r="M423" s="216" t="str">
        <f t="shared" si="12"/>
        <v>DOU POWER- 1098897798 -MAY 03-na002185162</v>
      </c>
    </row>
    <row r="424" spans="1:13" ht="69">
      <c r="A424" s="216">
        <f>IF(C424&lt;&gt;"",SUBTOTAL(103,$C$8:C424),"")</f>
        <v>241</v>
      </c>
      <c r="B424" s="226">
        <v>43224</v>
      </c>
      <c r="C424" s="216" t="s">
        <v>794</v>
      </c>
      <c r="D424" s="216" t="str">
        <f>IF(C424&lt;&gt;"",VLOOKUP(C424,[1]DSKH!B:E,2,0),"")</f>
        <v>BA DONG, BINH MINH, BINH GIANG, HAI DUONG</v>
      </c>
      <c r="E424" s="215">
        <v>2</v>
      </c>
      <c r="F424" s="216" t="s">
        <v>2090</v>
      </c>
      <c r="G424" s="216" t="str">
        <f>IF(C424&lt;&gt;"",VLOOKUP(C424,DSKH!B:E,3,0),"")</f>
        <v>NHAN TARGET CHO CS CONFIRM MAIL FW HANJIN HOAC DAESUN</v>
      </c>
      <c r="H424" s="222">
        <v>1099042511</v>
      </c>
      <c r="I424" s="217" t="s">
        <v>2860</v>
      </c>
      <c r="J424" s="224" t="s">
        <v>3319</v>
      </c>
      <c r="K424" s="216" t="str">
        <f>IF(C424&lt;&gt;"",VLOOKUP(C424,[1]DSKH!B:E,4,0),"")</f>
        <v>MS DUYEN: 0985 939 862</v>
      </c>
      <c r="L424" s="216">
        <f>0.26+0.06</f>
        <v>0.32</v>
      </c>
      <c r="M424" s="216" t="str">
        <f t="shared" si="12"/>
        <v>HAI ANH TEX- 1099042511 -MAY 03-na002185159</v>
      </c>
    </row>
    <row r="425" spans="1:13">
      <c r="A425" s="216" t="str">
        <f>IF(C425&lt;&gt;"",SUBTOTAL(103,$C$8:C425),"")</f>
        <v/>
      </c>
      <c r="B425" s="226">
        <v>43224</v>
      </c>
      <c r="C425" s="216"/>
      <c r="D425" s="216" t="str">
        <f>IF(C425&lt;&gt;"",VLOOKUP(C425,[1]DSKH!B:E,2,0),"")</f>
        <v/>
      </c>
      <c r="E425" s="215"/>
      <c r="F425" s="216"/>
      <c r="G425" s="216" t="str">
        <f>IF(C425&lt;&gt;"",VLOOKUP(C425,DSKH!B:E,3,0),"")</f>
        <v/>
      </c>
      <c r="H425" s="222">
        <v>1099042514</v>
      </c>
      <c r="I425" s="217"/>
      <c r="J425" s="224"/>
      <c r="K425" s="216" t="str">
        <f>IF(C425&lt;&gt;"",VLOOKUP(C425,[1]DSKH!B:E,4,0),"")</f>
        <v/>
      </c>
      <c r="L425" s="216"/>
      <c r="M425" s="216" t="str">
        <f t="shared" si="12"/>
        <v>- 1099042514 -MAY 03-</v>
      </c>
    </row>
    <row r="426" spans="1:13" ht="69">
      <c r="A426" s="216">
        <f>IF(C426&lt;&gt;"",SUBTOTAL(103,$C$8:C426),"")</f>
        <v>242</v>
      </c>
      <c r="B426" s="226">
        <v>43224</v>
      </c>
      <c r="C426" s="216" t="s">
        <v>455</v>
      </c>
      <c r="D426" s="216" t="str">
        <f>IF(C426&lt;&gt;"",VLOOKUP(C426,[1]DSKH!B:E,2,0),"")</f>
        <v>LÔ IX-1, IX-2, IX-3, IX-4 KCN MỸ XUÂN B1- TIẾN HÙNG, 
XÃ MỸ XUÂN, HUYỆN TÂN THÀNH, BRVT</v>
      </c>
      <c r="E426" s="215">
        <v>18</v>
      </c>
      <c r="F426" s="216"/>
      <c r="G426" s="216" t="str">
        <f>IF(C426&lt;&gt;"",VLOOKUP(C426,DSKH!B:E,3,0),"")</f>
        <v>CHO XNK CONFIRM</v>
      </c>
      <c r="H426" s="222">
        <v>1098129338</v>
      </c>
      <c r="I426" s="217"/>
      <c r="J426" s="224" t="s">
        <v>3320</v>
      </c>
      <c r="K426" s="216" t="str">
        <f>IF(C426&lt;&gt;"",VLOOKUP(C426,[1]DSKH!B:E,4,0),"")</f>
        <v>MS KIEU: 0169 408 4737</v>
      </c>
      <c r="L426" s="216">
        <f>0.16+0.6+0.6+0.1+0.44+0.24+0.94+0.24*2+0.56+1.12+0.14+0.9+0.7+0.34+0.24+0.34</f>
        <v>7.8999999999999995</v>
      </c>
      <c r="M426" s="216" t="str">
        <f t="shared" si="12"/>
        <v>E TOP- 1098129338 -MAY 03-na002185160</v>
      </c>
    </row>
    <row r="427" spans="1:13">
      <c r="A427" s="216" t="str">
        <f>IF(C427&lt;&gt;"",SUBTOTAL(103,$C$8:C427),"")</f>
        <v/>
      </c>
      <c r="B427" s="226">
        <v>43224</v>
      </c>
      <c r="C427" s="216"/>
      <c r="D427" s="216" t="str">
        <f>IF(C427&lt;&gt;"",VLOOKUP(C427,[1]DSKH!B:E,2,0),"")</f>
        <v/>
      </c>
      <c r="E427" s="215"/>
      <c r="F427" s="216"/>
      <c r="G427" s="216" t="str">
        <f>IF(C427&lt;&gt;"",VLOOKUP(C427,DSKH!B:E,3,0),"")</f>
        <v/>
      </c>
      <c r="H427" s="222">
        <v>1097999908</v>
      </c>
      <c r="I427" s="217"/>
      <c r="J427" s="224"/>
      <c r="K427" s="216" t="str">
        <f>IF(C427&lt;&gt;"",VLOOKUP(C427,[1]DSKH!B:E,4,0),"")</f>
        <v/>
      </c>
      <c r="L427" s="216"/>
      <c r="M427" s="216" t="str">
        <f t="shared" si="12"/>
        <v>- 1097999908 -MAY 03-</v>
      </c>
    </row>
    <row r="428" spans="1:13" ht="41.4">
      <c r="A428" s="216">
        <f>IF(C428&lt;&gt;"",SUBTOTAL(103,$C$8:C428),"")</f>
        <v>243</v>
      </c>
      <c r="B428" s="226">
        <v>43224</v>
      </c>
      <c r="C428" s="216" t="s">
        <v>1145</v>
      </c>
      <c r="D428" s="216" t="str">
        <f>IF(C428&lt;&gt;"",VLOOKUP(C428,[1]DSKH!B:E,2,0),"")</f>
        <v>LOT24-6 RD-TRANG BANG IZ-TRANG BANG-TAY NINH</v>
      </c>
      <c r="E428" s="215">
        <v>5</v>
      </c>
      <c r="F428" s="216"/>
      <c r="G428" s="216">
        <f>IF(C428&lt;&gt;"",VLOOKUP(C428,DSKH!B:E,3,0),"")</f>
        <v>0</v>
      </c>
      <c r="H428" s="222">
        <v>1098143905</v>
      </c>
      <c r="I428" s="217" t="s">
        <v>3323</v>
      </c>
      <c r="J428" s="224" t="s">
        <v>3321</v>
      </c>
      <c r="K428" s="216" t="s">
        <v>3322</v>
      </c>
      <c r="L428" s="216">
        <f>0.2+0.9+0.1+2.2</f>
        <v>3.4000000000000004</v>
      </c>
      <c r="M428" s="216" t="str">
        <f t="shared" si="12"/>
        <v>LANG HAM- 1098143905 -MAY 03-na002185157</v>
      </c>
    </row>
    <row r="429" spans="1:13">
      <c r="A429" s="216" t="str">
        <f>IF(C429&lt;&gt;"",SUBTOTAL(103,$C$8:C429),"")</f>
        <v/>
      </c>
      <c r="B429" s="226">
        <v>43224</v>
      </c>
      <c r="C429" s="216"/>
      <c r="D429" s="216" t="str">
        <f>IF(C429&lt;&gt;"",VLOOKUP(C429,[1]DSKH!B:E,2,0),"")</f>
        <v/>
      </c>
      <c r="E429" s="215"/>
      <c r="F429" s="216"/>
      <c r="G429" s="216" t="str">
        <f>IF(C429&lt;&gt;"",VLOOKUP(C429,DSKH!B:E,3,0),"")</f>
        <v/>
      </c>
      <c r="H429" s="222">
        <v>1098175909</v>
      </c>
      <c r="I429" s="217"/>
      <c r="J429" s="224"/>
      <c r="K429" s="216" t="str">
        <f>IF(C429&lt;&gt;"",VLOOKUP(C429,[1]DSKH!B:E,4,0),"")</f>
        <v/>
      </c>
      <c r="L429" s="216"/>
      <c r="M429" s="216" t="str">
        <f t="shared" ref="M429:M453" si="13">C429&amp;"-"&amp;" "&amp;H429&amp;" "&amp;"-"&amp;"MAY"&amp;" "&amp;"03"&amp;"-"&amp;J429</f>
        <v>- 1098175909 -MAY 03-</v>
      </c>
    </row>
    <row r="430" spans="1:13" ht="41.4">
      <c r="A430" s="216">
        <f>IF(C430&lt;&gt;"",SUBTOTAL(103,$C$8:C430),"")</f>
        <v>244</v>
      </c>
      <c r="B430" s="226">
        <v>43224</v>
      </c>
      <c r="C430" s="216" t="s">
        <v>1602</v>
      </c>
      <c r="D430" s="216" t="str">
        <f>IF(C430&lt;&gt;"",VLOOKUP(C430,[1]DSKH!B:E,2,0),"")</f>
        <v>KM 52- HIGH WAY No. 5, VIET NAM, CAM THUONG, TP. HAI DUONG</v>
      </c>
      <c r="E430" s="215">
        <v>2</v>
      </c>
      <c r="F430" s="216"/>
      <c r="G430" s="216" t="str">
        <f>IF(C430&lt;&gt;"",VLOOKUP(C430,DSKH!B:E,3,0),"")</f>
        <v>CHUNG HD</v>
      </c>
      <c r="H430" s="222">
        <v>1098836081</v>
      </c>
      <c r="I430" s="217" t="s">
        <v>2860</v>
      </c>
      <c r="J430" s="224" t="s">
        <v>3324</v>
      </c>
      <c r="K430" s="216" t="str">
        <f>IF(C430&lt;&gt;"",VLOOKUP(C430,[1]DSKH!B:E,4,0),"")</f>
        <v>Đt: 0320. 3845. 187 (Máy lẻ: 222)
0985 793 138- MS NHIEN</v>
      </c>
      <c r="L430" s="216">
        <v>35</v>
      </c>
      <c r="M430" s="216" t="str">
        <f t="shared" si="13"/>
        <v>PNG- 1098836081 -MAY 03-na002185158</v>
      </c>
    </row>
    <row r="431" spans="1:13" ht="41.4">
      <c r="A431" s="216">
        <f>IF(C431&lt;&gt;"",SUBTOTAL(103,$C$8:C431),"")</f>
        <v>245</v>
      </c>
      <c r="B431" s="226">
        <v>43224</v>
      </c>
      <c r="C431" s="216" t="s">
        <v>2919</v>
      </c>
      <c r="D431" s="216" t="str">
        <f>IF(C431&lt;&gt;"",VLOOKUP(C431,[1]DSKH!B:E,2,0),"")</f>
        <v>LO BIV, CI-10, KCN TAN HUONG, CHAU THANH, TIEN GIANG</v>
      </c>
      <c r="E431" s="215">
        <v>1</v>
      </c>
      <c r="F431" s="216" t="s">
        <v>2090</v>
      </c>
      <c r="G431" s="216">
        <f>IF(C431&lt;&gt;"",VLOOKUP(C431,DSKH!B:E,3,0),"")</f>
        <v>0</v>
      </c>
      <c r="H431" s="222">
        <v>1099043584</v>
      </c>
      <c r="I431" s="217" t="s">
        <v>2860</v>
      </c>
      <c r="J431" s="224" t="s">
        <v>3325</v>
      </c>
      <c r="K431" s="216" t="str">
        <f>IF(C431&lt;&gt;"",VLOOKUP(C431,[1]DSKH!B:E,4,0),"")</f>
        <v>CUONG 0906945724</v>
      </c>
      <c r="L431" s="216">
        <v>0.12</v>
      </c>
      <c r="M431" s="216" t="str">
        <f t="shared" si="13"/>
        <v>DU DUC RFID- 1099043584 -MAY 03-na002185155</v>
      </c>
    </row>
    <row r="432" spans="1:13" ht="96.6">
      <c r="A432" s="216">
        <f>IF(C432&lt;&gt;"",SUBTOTAL(103,$C$8:C432),"")</f>
        <v>246</v>
      </c>
      <c r="B432" s="226">
        <v>43224</v>
      </c>
      <c r="C432" s="216" t="s">
        <v>1225</v>
      </c>
      <c r="D432" s="216" t="str">
        <f>IF(C432&lt;&gt;"",VLOOKUP(C432,[1]DSKH!B:E,2,0),"")</f>
        <v>60-ME NHU-DA NANG</v>
      </c>
      <c r="E432" s="215">
        <v>4</v>
      </c>
      <c r="F432" s="216" t="s">
        <v>2090</v>
      </c>
      <c r="G432" s="216" t="str">
        <f>IF(C432&lt;&gt;"",VLOOKUP(C432,DSKH!B:E,3,0),"")</f>
        <v>HANG GEN NHAN FIGS CHO EMAIL CONFIRM GIAO HANG CUA CS, KEM PKL CHI TIET (DECATHLON)</v>
      </c>
      <c r="H432" s="222">
        <v>1099046253</v>
      </c>
      <c r="I432" s="217" t="s">
        <v>2860</v>
      </c>
      <c r="J432" s="224" t="s">
        <v>3326</v>
      </c>
      <c r="K432" s="216" t="str">
        <f>IF(C432&lt;&gt;"",VLOOKUP(C432,[1]DSKH!B:E,4,0),"")</f>
        <v>ANH CHAU- KHO PHU LIEU-05113-759249</v>
      </c>
      <c r="L432" s="216">
        <f>0.3+18+15.6+5</f>
        <v>38.9</v>
      </c>
      <c r="M432" s="216" t="str">
        <f t="shared" si="13"/>
        <v>MAY 29 03- 1099046253 -MAY 03-na002185156</v>
      </c>
    </row>
    <row r="433" spans="1:13">
      <c r="A433" s="216" t="str">
        <f>IF(C433&lt;&gt;"",SUBTOTAL(103,$C$8:C433),"")</f>
        <v/>
      </c>
      <c r="B433" s="226">
        <v>43224</v>
      </c>
      <c r="C433" s="216"/>
      <c r="D433" s="216" t="str">
        <f>IF(C433&lt;&gt;"",VLOOKUP(C433,[1]DSKH!B:E,2,0),"")</f>
        <v/>
      </c>
      <c r="E433" s="215"/>
      <c r="F433" s="216"/>
      <c r="G433" s="216" t="str">
        <f>IF(C433&lt;&gt;"",VLOOKUP(C433,DSKH!B:E,3,0),"")</f>
        <v/>
      </c>
      <c r="H433" s="222">
        <v>1099035740</v>
      </c>
      <c r="I433" s="217"/>
      <c r="J433" s="224"/>
      <c r="K433" s="216" t="str">
        <f>IF(C433&lt;&gt;"",VLOOKUP(C433,[1]DSKH!B:E,4,0),"")</f>
        <v/>
      </c>
      <c r="L433" s="216"/>
      <c r="M433" s="216" t="str">
        <f t="shared" si="13"/>
        <v>- 1099035740 -MAY 03-</v>
      </c>
    </row>
    <row r="434" spans="1:13" ht="96.6">
      <c r="A434" s="216">
        <f>IF(C434&lt;&gt;"",SUBTOTAL(103,$C$8:C434),"")</f>
        <v>247</v>
      </c>
      <c r="B434" s="226">
        <v>43224</v>
      </c>
      <c r="C434" s="216" t="s">
        <v>1225</v>
      </c>
      <c r="D434" s="216" t="str">
        <f>IF(C434&lt;&gt;"",VLOOKUP(C434,[1]DSKH!B:E,2,0),"")</f>
        <v>60-ME NHU-DA NANG</v>
      </c>
      <c r="E434" s="215">
        <v>1</v>
      </c>
      <c r="F434" s="216"/>
      <c r="G434" s="216" t="str">
        <f>IF(C434&lt;&gt;"",VLOOKUP(C434,DSKH!B:E,3,0),"")</f>
        <v>HANG GEN NHAN FIGS CHO EMAIL CONFIRM GIAO HANG CUA CS, KEM PKL CHI TIET (DECATHLON)</v>
      </c>
      <c r="H434" s="222">
        <v>2370675</v>
      </c>
      <c r="I434" s="217" t="s">
        <v>3327</v>
      </c>
      <c r="J434" s="224" t="s">
        <v>3328</v>
      </c>
      <c r="K434" s="216" t="str">
        <f>IF(C434&lt;&gt;"",VLOOKUP(C434,[1]DSKH!B:E,4,0),"")</f>
        <v>ANH CHAU- KHO PHU LIEU-05113-759249</v>
      </c>
      <c r="L434" s="216">
        <v>0.1</v>
      </c>
      <c r="M434" s="216" t="str">
        <f t="shared" si="13"/>
        <v>MAY 29 03- 2370675 -MAY 03-na002185153</v>
      </c>
    </row>
    <row r="435" spans="1:13">
      <c r="A435" s="216" t="str">
        <f>IF(C435&lt;&gt;"",SUBTOTAL(103,$C$8:C435),"")</f>
        <v/>
      </c>
      <c r="B435" s="226">
        <v>43224</v>
      </c>
      <c r="C435" s="216"/>
      <c r="D435" s="216" t="str">
        <f>IF(C435&lt;&gt;"",VLOOKUP(C435,[1]DSKH!B:E,2,0),"")</f>
        <v/>
      </c>
      <c r="E435" s="215"/>
      <c r="F435" s="216"/>
      <c r="G435" s="216" t="str">
        <f>IF(C435&lt;&gt;"",VLOOKUP(C435,DSKH!B:E,3,0),"")</f>
        <v/>
      </c>
      <c r="H435" s="222">
        <v>2370680</v>
      </c>
      <c r="I435" s="217"/>
      <c r="J435" s="224"/>
      <c r="K435" s="216" t="str">
        <f>IF(C435&lt;&gt;"",VLOOKUP(C435,[1]DSKH!B:E,4,0),"")</f>
        <v/>
      </c>
      <c r="L435" s="216"/>
      <c r="M435" s="216" t="str">
        <f t="shared" si="13"/>
        <v>- 2370680 -MAY 03-</v>
      </c>
    </row>
    <row r="436" spans="1:13" ht="124.2">
      <c r="A436" s="216">
        <f>IF(C436&lt;&gt;"",SUBTOTAL(103,$C$8:C436),"")</f>
        <v>248</v>
      </c>
      <c r="B436" s="226">
        <v>43224</v>
      </c>
      <c r="C436" s="216" t="s">
        <v>2835</v>
      </c>
      <c r="D436" s="216" t="str">
        <f>IF(C436&lt;&gt;"",VLOOKUP(C436,[1]DSKH!B:E,2,0),"")</f>
        <v>LO C1, KCN BINH HOA, XA BINH HOA, CHAU THANH, AN GIANG</v>
      </c>
      <c r="E436" s="215">
        <v>1</v>
      </c>
      <c r="F436" s="216" t="s">
        <v>2090</v>
      </c>
      <c r="G436" s="216" t="str">
        <f>IF(C436&lt;&gt;"",VLOOKUP(C436,DSKH!B:E,3,0),"")</f>
        <v>NHAN NIKE CHO CS CONFIRM MAIL MOI GIAO HANG- GIAO BANG NETCO
IN PKL TU MAIL CUA CS, KEM THEO DE GIAO HANG</v>
      </c>
      <c r="H436" s="222"/>
      <c r="I436" s="217" t="s">
        <v>3330</v>
      </c>
      <c r="J436" s="224" t="s">
        <v>3329</v>
      </c>
      <c r="K436" s="216">
        <f>IF(C436&lt;&gt;"",VLOOKUP(C436,[1]DSKH!B:E,4,0),"")</f>
        <v>0</v>
      </c>
      <c r="L436" s="216">
        <v>0.2</v>
      </c>
      <c r="M436" s="216" t="str">
        <f t="shared" si="13"/>
        <v>NV APPAREL-  -MAY 03-na002185154</v>
      </c>
    </row>
    <row r="437" spans="1:13" ht="41.4">
      <c r="A437" s="216">
        <f>IF(C437&lt;&gt;"",SUBTOTAL(103,$C$8:C437),"")</f>
        <v>249</v>
      </c>
      <c r="B437" s="226">
        <v>43224</v>
      </c>
      <c r="C437" s="216" t="s">
        <v>2092</v>
      </c>
      <c r="D437" s="216" t="str">
        <f>IF(C437&lt;&gt;"",VLOOKUP(C437,[1]DSKH!B:E,2,0),"")</f>
        <v>KCN LAI VU, HAI DUONG</v>
      </c>
      <c r="E437" s="215">
        <v>41</v>
      </c>
      <c r="F437" s="216"/>
      <c r="G437" s="216">
        <f>IF(C437&lt;&gt;"",VLOOKUP(C437,DSKH!B:E,3,0),"")</f>
        <v>0</v>
      </c>
      <c r="H437" s="222">
        <v>1099011973</v>
      </c>
      <c r="I437" s="217"/>
      <c r="J437" s="224" t="s">
        <v>3331</v>
      </c>
      <c r="K437" s="216" t="str">
        <f>IF(C437&lt;&gt;"",VLOOKUP(C437,[1]DSKH!B:E,4,0),"")</f>
        <v>HAU: 0128 833 0267</v>
      </c>
      <c r="L437" s="216">
        <f>415.5+0.4</f>
        <v>415.9</v>
      </c>
      <c r="M437" s="216" t="str">
        <f t="shared" si="13"/>
        <v>TINH LOI UNIQLO- 1099011973 -MAY 03-na002185151</v>
      </c>
    </row>
    <row r="438" spans="1:13">
      <c r="A438" s="216" t="str">
        <f>IF(C438&lt;&gt;"",SUBTOTAL(103,$C$8:C438),"")</f>
        <v/>
      </c>
      <c r="B438" s="226">
        <v>43224</v>
      </c>
      <c r="C438" s="216"/>
      <c r="D438" s="216" t="str">
        <f>IF(C438&lt;&gt;"",VLOOKUP(C438,[1]DSKH!B:E,2,0),"")</f>
        <v/>
      </c>
      <c r="E438" s="215"/>
      <c r="F438" s="216"/>
      <c r="G438" s="216" t="str">
        <f>IF(C438&lt;&gt;"",VLOOKUP(C438,DSKH!B:E,3,0),"")</f>
        <v/>
      </c>
      <c r="H438" s="222">
        <v>1099049311</v>
      </c>
      <c r="I438" s="217"/>
      <c r="J438" s="224"/>
      <c r="K438" s="216" t="str">
        <f>IF(C438&lt;&gt;"",VLOOKUP(C438,[1]DSKH!B:E,4,0),"")</f>
        <v/>
      </c>
      <c r="L438" s="216"/>
      <c r="M438" s="216" t="str">
        <f t="shared" si="13"/>
        <v>- 1099049311 -MAY 03-</v>
      </c>
    </row>
    <row r="439" spans="1:13" ht="41.4">
      <c r="A439" s="216">
        <f>IF(C439&lt;&gt;"",SUBTOTAL(103,$C$8:C439),"")</f>
        <v>250</v>
      </c>
      <c r="B439" s="226">
        <v>43224</v>
      </c>
      <c r="C439" s="216" t="s">
        <v>1334</v>
      </c>
      <c r="D439" s="216" t="str">
        <f>IF(C439&lt;&gt;"",VLOOKUP(C439,[1]DSKH!B:E,2,0),"")</f>
        <v>CUM CN XUAN QUANG, DONG XUAN, DONG HUNG, THAI BINH</v>
      </c>
      <c r="E439" s="215">
        <v>5</v>
      </c>
      <c r="F439" s="216"/>
      <c r="G439" s="216">
        <f>IF(C439&lt;&gt;"",VLOOKUP(C439,DSKH!B:E,3,0),"")</f>
        <v>0</v>
      </c>
      <c r="H439" s="222">
        <v>1099010197</v>
      </c>
      <c r="I439" s="217"/>
      <c r="J439" s="224" t="s">
        <v>3332</v>
      </c>
      <c r="K439" s="216" t="str">
        <f>IF(C439&lt;&gt;"",VLOOKUP(C439,[1]DSKH!B:E,4,0),"")</f>
        <v>CHI BICH 0936171499</v>
      </c>
      <c r="L439" s="216">
        <f>22+18+21.5+15.2+0.2</f>
        <v>76.900000000000006</v>
      </c>
      <c r="M439" s="216" t="str">
        <f t="shared" si="13"/>
        <v>MXP8- 1099010197 -MAY 03-na002185152</v>
      </c>
    </row>
    <row r="440" spans="1:13" ht="41.4">
      <c r="A440" s="216">
        <f>IF(C440&lt;&gt;"",SUBTOTAL(103,$C$8:C440),"")</f>
        <v>251</v>
      </c>
      <c r="B440" s="226">
        <v>43224</v>
      </c>
      <c r="C440" s="216" t="s">
        <v>2701</v>
      </c>
      <c r="D440" s="216" t="str">
        <f>IF(C440&lt;&gt;"",VLOOKUP(C440,[1]DSKH!B:E,2,0),"")</f>
        <v>KCN LAI VU, HAI DUONG</v>
      </c>
      <c r="E440" s="215">
        <v>1</v>
      </c>
      <c r="F440" s="216"/>
      <c r="G440" s="216">
        <f>IF(C440&lt;&gt;"",VLOOKUP(C440,DSKH!B:E,3,0),"")</f>
        <v>0</v>
      </c>
      <c r="H440" s="222">
        <v>1099048518</v>
      </c>
      <c r="I440" s="217" t="s">
        <v>2860</v>
      </c>
      <c r="J440" s="224" t="s">
        <v>3333</v>
      </c>
      <c r="K440" s="216" t="str">
        <f>IF(C440&lt;&gt;"",VLOOKUP(C440,[1]DSKH!B:E,4,0),"")</f>
        <v>MS DUNG: 0963 528 138</v>
      </c>
      <c r="L440" s="216">
        <v>9.1999999999999993</v>
      </c>
      <c r="M440" s="216" t="str">
        <f t="shared" si="13"/>
        <v>TINH LOI 2 OLD NAVY- 1099048518 -MAY 03-na002185149</v>
      </c>
    </row>
    <row r="441" spans="1:13" ht="41.4">
      <c r="A441" s="216">
        <f>IF(C441&lt;&gt;"",SUBTOTAL(103,$C$8:C441),"")</f>
        <v>252</v>
      </c>
      <c r="B441" s="226">
        <v>43224</v>
      </c>
      <c r="C441" s="216" t="s">
        <v>2919</v>
      </c>
      <c r="D441" s="216" t="str">
        <f>IF(C441&lt;&gt;"",VLOOKUP(C441,[1]DSKH!B:E,2,0),"")</f>
        <v>LO BIV, CI-10, KCN TAN HUONG, CHAU THANH, TIEN GIANG</v>
      </c>
      <c r="E441" s="215">
        <v>31</v>
      </c>
      <c r="F441" s="216"/>
      <c r="G441" s="216">
        <f>IF(C441&lt;&gt;"",VLOOKUP(C441,DSKH!B:E,3,0),"")</f>
        <v>0</v>
      </c>
      <c r="H441" s="222">
        <v>1099002599</v>
      </c>
      <c r="I441" s="217"/>
      <c r="J441" s="224" t="s">
        <v>3334</v>
      </c>
      <c r="K441" s="216" t="str">
        <f>IF(C441&lt;&gt;"",VLOOKUP(C441,[1]DSKH!B:E,4,0),"")</f>
        <v>CUONG 0906945724</v>
      </c>
      <c r="L441" s="216">
        <f>6.36+0.16</f>
        <v>6.5200000000000005</v>
      </c>
      <c r="M441" s="216" t="str">
        <f t="shared" si="13"/>
        <v>DU DUC RFID- 1099002599 -MAY 03-na002185150</v>
      </c>
    </row>
    <row r="442" spans="1:13">
      <c r="A442" s="216" t="str">
        <f>IF(C442&lt;&gt;"",SUBTOTAL(103,$C$8:C442),"")</f>
        <v/>
      </c>
      <c r="B442" s="226">
        <v>43224</v>
      </c>
      <c r="C442" s="216"/>
      <c r="D442" s="216" t="str">
        <f>IF(C442&lt;&gt;"",VLOOKUP(C442,[1]DSKH!B:E,2,0),"")</f>
        <v/>
      </c>
      <c r="E442" s="215"/>
      <c r="F442" s="216"/>
      <c r="G442" s="216" t="str">
        <f>IF(C442&lt;&gt;"",VLOOKUP(C442,DSKH!B:E,3,0),"")</f>
        <v/>
      </c>
      <c r="H442" s="222">
        <v>1099044467</v>
      </c>
      <c r="I442" s="217"/>
      <c r="J442" s="224"/>
      <c r="K442" s="216" t="str">
        <f>IF(C442&lt;&gt;"",VLOOKUP(C442,[1]DSKH!B:E,4,0),"")</f>
        <v/>
      </c>
      <c r="L442" s="216"/>
      <c r="M442" s="216" t="str">
        <f t="shared" si="13"/>
        <v>- 1099044467 -MAY 03-</v>
      </c>
    </row>
    <row r="443" spans="1:13" ht="41.4">
      <c r="A443" s="216">
        <f>IF(C443&lt;&gt;"",SUBTOTAL(103,$C$8:C443),"")</f>
        <v>253</v>
      </c>
      <c r="B443" s="226">
        <v>43224</v>
      </c>
      <c r="C443" s="216" t="s">
        <v>437</v>
      </c>
      <c r="D443" s="216" t="str">
        <f>IF(C443&lt;&gt;"",VLOOKUP(C443,[1]DSKH!B:E,2,0),"")</f>
        <v>LO BIV, CI-10, KCN TAN HUONG, CHAU THANH, TIEN GIANG</v>
      </c>
      <c r="E443" s="215">
        <f>19+21</f>
        <v>40</v>
      </c>
      <c r="F443" s="216"/>
      <c r="G443" s="216">
        <f>IF(C443&lt;&gt;"",VLOOKUP(C443,DSKH!B:E,3,0),"")</f>
        <v>0</v>
      </c>
      <c r="H443" s="222">
        <v>1098877493</v>
      </c>
      <c r="I443" s="217"/>
      <c r="J443" s="224" t="s">
        <v>3335</v>
      </c>
      <c r="K443" s="216" t="str">
        <f>IF(C443&lt;&gt;"",VLOOKUP(C443,[1]DSKH!B:E,4,0),"")</f>
        <v>MY QUYEN 01689119259</v>
      </c>
      <c r="L443" s="216">
        <v>140</v>
      </c>
      <c r="M443" s="216" t="str">
        <f t="shared" si="13"/>
        <v>DU DUC- 1098877493 -MAY 03-na002185147</v>
      </c>
    </row>
    <row r="444" spans="1:13">
      <c r="A444" s="216" t="str">
        <f>IF(C444&lt;&gt;"",SUBTOTAL(103,$C$8:C444),"")</f>
        <v/>
      </c>
      <c r="B444" s="226">
        <v>43224</v>
      </c>
      <c r="C444" s="216"/>
      <c r="D444" s="216" t="str">
        <f>IF(C444&lt;&gt;"",VLOOKUP(C444,[1]DSKH!B:E,2,0),"")</f>
        <v/>
      </c>
      <c r="E444" s="215"/>
      <c r="F444" s="216"/>
      <c r="G444" s="216" t="str">
        <f>IF(C444&lt;&gt;"",VLOOKUP(C444,DSKH!B:E,3,0),"")</f>
        <v/>
      </c>
      <c r="H444" s="222">
        <v>1098988033</v>
      </c>
      <c r="I444" s="217"/>
      <c r="J444" s="224"/>
      <c r="K444" s="216" t="str">
        <f>IF(C444&lt;&gt;"",VLOOKUP(C444,[1]DSKH!B:E,4,0),"")</f>
        <v/>
      </c>
      <c r="L444" s="216"/>
      <c r="M444" s="216" t="str">
        <f t="shared" si="13"/>
        <v>- 1098988033 -MAY 03-</v>
      </c>
    </row>
    <row r="445" spans="1:13" ht="69">
      <c r="A445" s="216">
        <f>IF(C445&lt;&gt;"",SUBTOTAL(103,$C$8:C445),"")</f>
        <v>254</v>
      </c>
      <c r="B445" s="226">
        <v>43224</v>
      </c>
      <c r="C445" s="216" t="s">
        <v>2431</v>
      </c>
      <c r="D445" s="216" t="str">
        <f>IF(C445&lt;&gt;"",VLOOKUP(C445,[1]DSKH!B:E,2,0),"")</f>
        <v>KCN DONG XUYEN-P. RACH DUA-TP VUNG TAU</v>
      </c>
      <c r="E445" s="215">
        <f>21+18</f>
        <v>39</v>
      </c>
      <c r="F445" s="216"/>
      <c r="G445" s="216">
        <f>IF(C445&lt;&gt;"",VLOOKUP(C445,DSKH!B:E,3,0),"")</f>
        <v>0</v>
      </c>
      <c r="H445" s="222">
        <v>1098874524</v>
      </c>
      <c r="I445" s="217"/>
      <c r="J445" s="224" t="s">
        <v>3336</v>
      </c>
      <c r="K445" s="216" t="str">
        <f>IF(C445&lt;&gt;"",VLOOKUP(C445,[1]DSKH!B:E,4,0),"")</f>
        <v>CLARK-THAO(lan-0938414697
ROPORT:HANG-64-612002
WOL:ms huynh-bpdh- 0933 714 959</v>
      </c>
      <c r="L445" s="216">
        <v>10.95</v>
      </c>
      <c r="M445" s="216" t="str">
        <f t="shared" si="13"/>
        <v>VN SHOE- 1098874524 -MAY 03-na002185148</v>
      </c>
    </row>
    <row r="446" spans="1:13">
      <c r="A446" s="216" t="str">
        <f>IF(C446&lt;&gt;"",SUBTOTAL(103,$C$8:C446),"")</f>
        <v/>
      </c>
      <c r="B446" s="226">
        <v>43224</v>
      </c>
      <c r="C446" s="216"/>
      <c r="D446" s="216" t="str">
        <f>IF(C446&lt;&gt;"",VLOOKUP(C446,[1]DSKH!B:E,2,0),"")</f>
        <v/>
      </c>
      <c r="E446" s="215"/>
      <c r="F446" s="216"/>
      <c r="G446" s="216" t="str">
        <f>IF(C446&lt;&gt;"",VLOOKUP(C446,DSKH!B:E,3,0),"")</f>
        <v/>
      </c>
      <c r="H446" s="222">
        <v>1098996609</v>
      </c>
      <c r="I446" s="217"/>
      <c r="J446" s="224"/>
      <c r="K446" s="216" t="str">
        <f>IF(C446&lt;&gt;"",VLOOKUP(C446,[1]DSKH!B:E,4,0),"")</f>
        <v/>
      </c>
      <c r="L446" s="216"/>
      <c r="M446" s="216" t="str">
        <f t="shared" si="13"/>
        <v>- 1098996609 -MAY 03-</v>
      </c>
    </row>
    <row r="447" spans="1:13">
      <c r="A447" s="216" t="str">
        <f>IF(C447&lt;&gt;"",SUBTOTAL(103,$C$8:C447),"")</f>
        <v/>
      </c>
      <c r="B447" s="226">
        <v>43224</v>
      </c>
      <c r="C447" s="216"/>
      <c r="D447" s="216" t="str">
        <f>IF(C447&lt;&gt;"",VLOOKUP(C447,[1]DSKH!B:E,2,0),"")</f>
        <v/>
      </c>
      <c r="E447" s="215"/>
      <c r="F447" s="216"/>
      <c r="G447" s="216" t="str">
        <f>IF(C447&lt;&gt;"",VLOOKUP(C447,DSKH!B:E,3,0),"")</f>
        <v/>
      </c>
      <c r="H447" s="222">
        <v>1098877353</v>
      </c>
      <c r="I447" s="217"/>
      <c r="J447" s="224"/>
      <c r="K447" s="216" t="str">
        <f>IF(C447&lt;&gt;"",VLOOKUP(C447,[1]DSKH!B:E,4,0),"")</f>
        <v/>
      </c>
      <c r="L447" s="216"/>
      <c r="M447" s="216" t="str">
        <f t="shared" si="13"/>
        <v>- 1098877353 -MAY 03-</v>
      </c>
    </row>
    <row r="448" spans="1:13">
      <c r="A448" s="216" t="str">
        <f>IF(C448&lt;&gt;"",SUBTOTAL(103,$C$8:C448),"")</f>
        <v/>
      </c>
      <c r="B448" s="226">
        <v>43224</v>
      </c>
      <c r="C448" s="216"/>
      <c r="D448" s="216" t="str">
        <f>IF(C448&lt;&gt;"",VLOOKUP(C448,[1]DSKH!B:E,2,0),"")</f>
        <v/>
      </c>
      <c r="E448" s="215"/>
      <c r="F448" s="216"/>
      <c r="G448" s="216" t="str">
        <f>IF(C448&lt;&gt;"",VLOOKUP(C448,DSKH!B:E,3,0),"")</f>
        <v/>
      </c>
      <c r="H448" s="222">
        <v>1098996608</v>
      </c>
      <c r="I448" s="217"/>
      <c r="J448" s="224"/>
      <c r="K448" s="216" t="str">
        <f>IF(C448&lt;&gt;"",VLOOKUP(C448,[1]DSKH!B:E,4,0),"")</f>
        <v/>
      </c>
      <c r="L448" s="216"/>
      <c r="M448" s="216" t="str">
        <f t="shared" si="13"/>
        <v>- 1098996608 -MAY 03-</v>
      </c>
    </row>
    <row r="449" spans="1:13">
      <c r="A449" s="216" t="str">
        <f>IF(C449&lt;&gt;"",SUBTOTAL(103,$C$8:C449),"")</f>
        <v/>
      </c>
      <c r="B449" s="226">
        <v>43224</v>
      </c>
      <c r="C449" s="216"/>
      <c r="D449" s="216" t="str">
        <f>IF(C449&lt;&gt;"",VLOOKUP(C449,[1]DSKH!B:E,2,0),"")</f>
        <v/>
      </c>
      <c r="E449" s="215"/>
      <c r="F449" s="216"/>
      <c r="G449" s="216" t="str">
        <f>IF(C449&lt;&gt;"",VLOOKUP(C449,DSKH!B:E,3,0),"")</f>
        <v/>
      </c>
      <c r="H449" s="222">
        <v>1098996607</v>
      </c>
      <c r="I449" s="217"/>
      <c r="J449" s="224"/>
      <c r="K449" s="216" t="str">
        <f>IF(C449&lt;&gt;"",VLOOKUP(C449,[1]DSKH!B:E,4,0),"")</f>
        <v/>
      </c>
      <c r="L449" s="216"/>
      <c r="M449" s="216" t="str">
        <f t="shared" si="13"/>
        <v>- 1098996607 -MAY 03-</v>
      </c>
    </row>
    <row r="450" spans="1:13">
      <c r="A450" s="216" t="str">
        <f>IF(C450&lt;&gt;"",SUBTOTAL(103,$C$8:C450),"")</f>
        <v/>
      </c>
      <c r="B450" s="226">
        <v>43224</v>
      </c>
      <c r="C450" s="216"/>
      <c r="D450" s="216" t="str">
        <f>IF(C450&lt;&gt;"",VLOOKUP(C450,[1]DSKH!B:E,2,0),"")</f>
        <v/>
      </c>
      <c r="E450" s="215"/>
      <c r="F450" s="216"/>
      <c r="G450" s="216" t="str">
        <f>IF(C450&lt;&gt;"",VLOOKUP(C450,DSKH!B:E,3,0),"")</f>
        <v/>
      </c>
      <c r="H450" s="222">
        <v>1098996606</v>
      </c>
      <c r="I450" s="217"/>
      <c r="J450" s="224"/>
      <c r="K450" s="216" t="str">
        <f>IF(C450&lt;&gt;"",VLOOKUP(C450,[1]DSKH!B:E,4,0),"")</f>
        <v/>
      </c>
      <c r="L450" s="216"/>
      <c r="M450" s="216" t="str">
        <f t="shared" si="13"/>
        <v>- 1098996606 -MAY 03-</v>
      </c>
    </row>
    <row r="451" spans="1:13">
      <c r="A451" s="216" t="str">
        <f>IF(C451&lt;&gt;"",SUBTOTAL(103,$C$8:C451),"")</f>
        <v/>
      </c>
      <c r="B451" s="226">
        <v>43224</v>
      </c>
      <c r="C451" s="216"/>
      <c r="D451" s="216" t="str">
        <f>IF(C451&lt;&gt;"",VLOOKUP(C451,[1]DSKH!B:E,2,0),"")</f>
        <v/>
      </c>
      <c r="E451" s="215"/>
      <c r="F451" s="216"/>
      <c r="G451" s="216" t="str">
        <f>IF(C451&lt;&gt;"",VLOOKUP(C451,DSKH!B:E,3,0),"")</f>
        <v/>
      </c>
      <c r="H451" s="222">
        <v>1098996605</v>
      </c>
      <c r="I451" s="217"/>
      <c r="J451" s="224"/>
      <c r="K451" s="216" t="str">
        <f>IF(C451&lt;&gt;"",VLOOKUP(C451,[1]DSKH!B:E,4,0),"")</f>
        <v/>
      </c>
      <c r="L451" s="216"/>
      <c r="M451" s="216" t="str">
        <f t="shared" si="13"/>
        <v>- 1098996605 -MAY 03-</v>
      </c>
    </row>
    <row r="452" spans="1:13">
      <c r="A452" s="216" t="str">
        <f>IF(C452&lt;&gt;"",SUBTOTAL(103,$C$8:C452),"")</f>
        <v/>
      </c>
      <c r="B452" s="226">
        <v>43224</v>
      </c>
      <c r="C452" s="216"/>
      <c r="D452" s="216" t="str">
        <f>IF(C452&lt;&gt;"",VLOOKUP(C452,[1]DSKH!B:E,2,0),"")</f>
        <v/>
      </c>
      <c r="E452" s="215"/>
      <c r="F452" s="216"/>
      <c r="G452" s="216" t="str">
        <f>IF(C452&lt;&gt;"",VLOOKUP(C452,DSKH!B:E,3,0),"")</f>
        <v/>
      </c>
      <c r="H452" s="222">
        <v>1098996604</v>
      </c>
      <c r="I452" s="217"/>
      <c r="J452" s="224"/>
      <c r="K452" s="216" t="str">
        <f>IF(C452&lt;&gt;"",VLOOKUP(C452,[1]DSKH!B:E,4,0),"")</f>
        <v/>
      </c>
      <c r="L452" s="216"/>
      <c r="M452" s="216" t="str">
        <f t="shared" si="13"/>
        <v>- 1098996604 -MAY 03-</v>
      </c>
    </row>
    <row r="453" spans="1:13">
      <c r="A453" s="216" t="str">
        <f>IF(C453&lt;&gt;"",SUBTOTAL(103,$C$8:C453),"")</f>
        <v/>
      </c>
      <c r="B453" s="226">
        <v>43224</v>
      </c>
      <c r="C453" s="216"/>
      <c r="D453" s="216" t="str">
        <f>IF(C453&lt;&gt;"",VLOOKUP(C453,[1]DSKH!B:E,2,0),"")</f>
        <v/>
      </c>
      <c r="E453" s="215"/>
      <c r="F453" s="216"/>
      <c r="G453" s="216" t="str">
        <f>IF(C453&lt;&gt;"",VLOOKUP(C453,DSKH!B:E,3,0),"")</f>
        <v/>
      </c>
      <c r="H453" s="222">
        <v>1098996603</v>
      </c>
      <c r="I453" s="217"/>
      <c r="J453" s="224"/>
      <c r="K453" s="216" t="str">
        <f>IF(C453&lt;&gt;"",VLOOKUP(C453,[1]DSKH!B:E,4,0),"")</f>
        <v/>
      </c>
      <c r="L453" s="216"/>
      <c r="M453" s="216" t="str">
        <f t="shared" si="13"/>
        <v>- 1098996603 -MAY 03-</v>
      </c>
    </row>
    <row r="454" spans="1:13">
      <c r="A454" s="216" t="str">
        <f>IF(C454&lt;&gt;"",SUBTOTAL(103,$C$8:C454),"")</f>
        <v/>
      </c>
      <c r="B454" s="226">
        <v>43224</v>
      </c>
      <c r="C454" s="216"/>
      <c r="D454" s="216" t="str">
        <f>IF(C454&lt;&gt;"",VLOOKUP(C454,[1]DSKH!B:E,2,0),"")</f>
        <v/>
      </c>
      <c r="E454" s="215"/>
      <c r="F454" s="216"/>
      <c r="G454" s="216" t="str">
        <f>IF(C454&lt;&gt;"",VLOOKUP(C454,DSKH!B:E,3,0),"")</f>
        <v/>
      </c>
      <c r="H454" s="222">
        <v>1098875985</v>
      </c>
      <c r="I454" s="217"/>
      <c r="J454" s="224"/>
      <c r="K454" s="216" t="str">
        <f>IF(C454&lt;&gt;"",VLOOKUP(C454,[1]DSKH!B:E,4,0),"")</f>
        <v/>
      </c>
      <c r="L454" s="216"/>
      <c r="M454" s="216" t="str">
        <f t="shared" ref="M454:M495" si="14">C454&amp;"-"&amp;" "&amp;H454&amp;" "&amp;"-"&amp;"MAY"&amp;" "&amp;"03"&amp;"-"&amp;J454</f>
        <v>- 1098875985 -MAY 03-</v>
      </c>
    </row>
    <row r="455" spans="1:13">
      <c r="A455" s="216" t="str">
        <f>IF(C455&lt;&gt;"",SUBTOTAL(103,$C$8:C455),"")</f>
        <v/>
      </c>
      <c r="B455" s="226">
        <v>43224</v>
      </c>
      <c r="C455" s="216"/>
      <c r="D455" s="216" t="str">
        <f>IF(C455&lt;&gt;"",VLOOKUP(C455,[1]DSKH!B:E,2,0),"")</f>
        <v/>
      </c>
      <c r="E455" s="215"/>
      <c r="F455" s="216"/>
      <c r="G455" s="216" t="str">
        <f>IF(C455&lt;&gt;"",VLOOKUP(C455,DSKH!B:E,3,0),"")</f>
        <v/>
      </c>
      <c r="H455" s="222">
        <v>1098874389</v>
      </c>
      <c r="I455" s="217"/>
      <c r="J455" s="224"/>
      <c r="K455" s="216" t="str">
        <f>IF(C455&lt;&gt;"",VLOOKUP(C455,[1]DSKH!B:E,4,0),"")</f>
        <v/>
      </c>
      <c r="L455" s="216"/>
      <c r="M455" s="216" t="str">
        <f t="shared" si="14"/>
        <v>- 1098874389 -MAY 03-</v>
      </c>
    </row>
    <row r="456" spans="1:13">
      <c r="A456" s="216" t="str">
        <f>IF(C456&lt;&gt;"",SUBTOTAL(103,$C$8:C456),"")</f>
        <v/>
      </c>
      <c r="B456" s="226">
        <v>43224</v>
      </c>
      <c r="C456" s="216"/>
      <c r="D456" s="216" t="str">
        <f>IF(C456&lt;&gt;"",VLOOKUP(C456,[1]DSKH!B:E,2,0),"")</f>
        <v/>
      </c>
      <c r="E456" s="215"/>
      <c r="F456" s="216"/>
      <c r="G456" s="216" t="str">
        <f>IF(C456&lt;&gt;"",VLOOKUP(C456,DSKH!B:E,3,0),"")</f>
        <v/>
      </c>
      <c r="H456" s="222">
        <v>1098996602</v>
      </c>
      <c r="I456" s="217"/>
      <c r="J456" s="224"/>
      <c r="K456" s="216" t="str">
        <f>IF(C456&lt;&gt;"",VLOOKUP(C456,[1]DSKH!B:E,4,0),"")</f>
        <v/>
      </c>
      <c r="L456" s="216"/>
      <c r="M456" s="216" t="str">
        <f t="shared" si="14"/>
        <v>- 1098996602 -MAY 03-</v>
      </c>
    </row>
    <row r="457" spans="1:13">
      <c r="A457" s="216" t="str">
        <f>IF(C457&lt;&gt;"",SUBTOTAL(103,$C$8:C457),"")</f>
        <v/>
      </c>
      <c r="B457" s="226">
        <v>43224</v>
      </c>
      <c r="C457" s="216"/>
      <c r="D457" s="216" t="str">
        <f>IF(C457&lt;&gt;"",VLOOKUP(C457,[1]DSKH!B:E,2,0),"")</f>
        <v/>
      </c>
      <c r="E457" s="215"/>
      <c r="F457" s="216"/>
      <c r="G457" s="216" t="str">
        <f>IF(C457&lt;&gt;"",VLOOKUP(C457,DSKH!B:E,3,0),"")</f>
        <v/>
      </c>
      <c r="H457" s="222">
        <v>1098996601</v>
      </c>
      <c r="I457" s="217"/>
      <c r="J457" s="224"/>
      <c r="K457" s="216" t="str">
        <f>IF(C457&lt;&gt;"",VLOOKUP(C457,[1]DSKH!B:E,4,0),"")</f>
        <v/>
      </c>
      <c r="L457" s="216"/>
      <c r="M457" s="216" t="str">
        <f t="shared" si="14"/>
        <v>- 1098996601 -MAY 03-</v>
      </c>
    </row>
    <row r="458" spans="1:13">
      <c r="A458" s="216" t="str">
        <f>IF(C458&lt;&gt;"",SUBTOTAL(103,$C$8:C458),"")</f>
        <v/>
      </c>
      <c r="B458" s="226">
        <v>43224</v>
      </c>
      <c r="C458" s="216"/>
      <c r="D458" s="216" t="str">
        <f>IF(C458&lt;&gt;"",VLOOKUP(C458,[1]DSKH!B:E,2,0),"")</f>
        <v/>
      </c>
      <c r="E458" s="215"/>
      <c r="F458" s="216"/>
      <c r="G458" s="216" t="str">
        <f>IF(C458&lt;&gt;"",VLOOKUP(C458,DSKH!B:E,3,0),"")</f>
        <v/>
      </c>
      <c r="H458" s="222">
        <v>1098871045</v>
      </c>
      <c r="I458" s="217"/>
      <c r="J458" s="224"/>
      <c r="K458" s="216" t="str">
        <f>IF(C458&lt;&gt;"",VLOOKUP(C458,[1]DSKH!B:E,4,0),"")</f>
        <v/>
      </c>
      <c r="L458" s="216"/>
      <c r="M458" s="216" t="str">
        <f t="shared" si="14"/>
        <v>- 1098871045 -MAY 03-</v>
      </c>
    </row>
    <row r="459" spans="1:13">
      <c r="A459" s="216" t="str">
        <f>IF(C459&lt;&gt;"",SUBTOTAL(103,$C$8:C459),"")</f>
        <v/>
      </c>
      <c r="B459" s="226">
        <v>43224</v>
      </c>
      <c r="C459" s="216"/>
      <c r="D459" s="216" t="str">
        <f>IF(C459&lt;&gt;"",VLOOKUP(C459,[1]DSKH!B:E,2,0),"")</f>
        <v/>
      </c>
      <c r="E459" s="215"/>
      <c r="F459" s="216"/>
      <c r="G459" s="216" t="str">
        <f>IF(C459&lt;&gt;"",VLOOKUP(C459,DSKH!B:E,3,0),"")</f>
        <v/>
      </c>
      <c r="H459" s="222">
        <v>1098871739</v>
      </c>
      <c r="I459" s="217"/>
      <c r="J459" s="224"/>
      <c r="K459" s="216" t="str">
        <f>IF(C459&lt;&gt;"",VLOOKUP(C459,[1]DSKH!B:E,4,0),"")</f>
        <v/>
      </c>
      <c r="L459" s="216"/>
      <c r="M459" s="216" t="str">
        <f t="shared" si="14"/>
        <v>- 1098871739 -MAY 03-</v>
      </c>
    </row>
    <row r="460" spans="1:13">
      <c r="A460" s="216" t="str">
        <f>IF(C460&lt;&gt;"",SUBTOTAL(103,$C$8:C460),"")</f>
        <v/>
      </c>
      <c r="B460" s="226">
        <v>43224</v>
      </c>
      <c r="C460" s="216"/>
      <c r="D460" s="216" t="str">
        <f>IF(C460&lt;&gt;"",VLOOKUP(C460,[1]DSKH!B:E,2,0),"")</f>
        <v/>
      </c>
      <c r="E460" s="215"/>
      <c r="F460" s="216"/>
      <c r="G460" s="216" t="str">
        <f>IF(C460&lt;&gt;"",VLOOKUP(C460,DSKH!B:E,3,0),"")</f>
        <v/>
      </c>
      <c r="H460" s="222">
        <v>1098874386</v>
      </c>
      <c r="I460" s="217"/>
      <c r="J460" s="224"/>
      <c r="K460" s="216" t="str">
        <f>IF(C460&lt;&gt;"",VLOOKUP(C460,[1]DSKH!B:E,4,0),"")</f>
        <v/>
      </c>
      <c r="L460" s="216"/>
      <c r="M460" s="216" t="str">
        <f t="shared" si="14"/>
        <v>- 1098874386 -MAY 03-</v>
      </c>
    </row>
    <row r="461" spans="1:13">
      <c r="A461" s="216" t="str">
        <f>IF(C461&lt;&gt;"",SUBTOTAL(103,$C$8:C461),"")</f>
        <v/>
      </c>
      <c r="B461" s="226">
        <v>43224</v>
      </c>
      <c r="C461" s="216"/>
      <c r="D461" s="216" t="str">
        <f>IF(C461&lt;&gt;"",VLOOKUP(C461,[1]DSKH!B:E,2,0),"")</f>
        <v/>
      </c>
      <c r="E461" s="215"/>
      <c r="F461" s="216"/>
      <c r="G461" s="216" t="str">
        <f>IF(C461&lt;&gt;"",VLOOKUP(C461,DSKH!B:E,3,0),"")</f>
        <v/>
      </c>
      <c r="H461" s="222">
        <v>1098871148</v>
      </c>
      <c r="I461" s="217"/>
      <c r="J461" s="224"/>
      <c r="K461" s="216" t="str">
        <f>IF(C461&lt;&gt;"",VLOOKUP(C461,[1]DSKH!B:E,4,0),"")</f>
        <v/>
      </c>
      <c r="L461" s="216"/>
      <c r="M461" s="216" t="str">
        <f t="shared" si="14"/>
        <v>- 1098871148 -MAY 03-</v>
      </c>
    </row>
    <row r="462" spans="1:13">
      <c r="A462" s="216" t="str">
        <f>IF(C462&lt;&gt;"",SUBTOTAL(103,$C$8:C462),"")</f>
        <v/>
      </c>
      <c r="B462" s="226">
        <v>43224</v>
      </c>
      <c r="C462" s="216"/>
      <c r="D462" s="216" t="str">
        <f>IF(C462&lt;&gt;"",VLOOKUP(C462,[1]DSKH!B:E,2,0),"")</f>
        <v/>
      </c>
      <c r="E462" s="215"/>
      <c r="F462" s="216"/>
      <c r="G462" s="216" t="str">
        <f>IF(C462&lt;&gt;"",VLOOKUP(C462,DSKH!B:E,3,0),"")</f>
        <v/>
      </c>
      <c r="H462" s="222">
        <v>1098996600</v>
      </c>
      <c r="I462" s="217"/>
      <c r="J462" s="224"/>
      <c r="K462" s="216" t="str">
        <f>IF(C462&lt;&gt;"",VLOOKUP(C462,[1]DSKH!B:E,4,0),"")</f>
        <v/>
      </c>
      <c r="L462" s="216"/>
      <c r="M462" s="216" t="str">
        <f t="shared" si="14"/>
        <v>- 1098996600 -MAY 03-</v>
      </c>
    </row>
    <row r="463" spans="1:13">
      <c r="A463" s="216" t="str">
        <f>IF(C463&lt;&gt;"",SUBTOTAL(103,$C$8:C463),"")</f>
        <v/>
      </c>
      <c r="B463" s="226">
        <v>43224</v>
      </c>
      <c r="C463" s="216"/>
      <c r="D463" s="216" t="str">
        <f>IF(C463&lt;&gt;"",VLOOKUP(C463,[1]DSKH!B:E,2,0),"")</f>
        <v/>
      </c>
      <c r="E463" s="215"/>
      <c r="F463" s="216"/>
      <c r="G463" s="216" t="str">
        <f>IF(C463&lt;&gt;"",VLOOKUP(C463,DSKH!B:E,3,0),"")</f>
        <v/>
      </c>
      <c r="H463" s="222">
        <v>1098871646</v>
      </c>
      <c r="I463" s="217"/>
      <c r="J463" s="224"/>
      <c r="K463" s="216" t="str">
        <f>IF(C463&lt;&gt;"",VLOOKUP(C463,[1]DSKH!B:E,4,0),"")</f>
        <v/>
      </c>
      <c r="L463" s="216"/>
      <c r="M463" s="216" t="str">
        <f t="shared" si="14"/>
        <v>- 1098871646 -MAY 03-</v>
      </c>
    </row>
    <row r="464" spans="1:13">
      <c r="A464" s="216" t="str">
        <f>IF(C464&lt;&gt;"",SUBTOTAL(103,$C$8:C464),"")</f>
        <v/>
      </c>
      <c r="B464" s="226">
        <v>43224</v>
      </c>
      <c r="C464" s="216"/>
      <c r="D464" s="216" t="str">
        <f>IF(C464&lt;&gt;"",VLOOKUP(C464,[1]DSKH!B:E,2,0),"")</f>
        <v/>
      </c>
      <c r="E464" s="215"/>
      <c r="F464" s="216"/>
      <c r="G464" s="216" t="str">
        <f>IF(C464&lt;&gt;"",VLOOKUP(C464,DSKH!B:E,3,0),"")</f>
        <v/>
      </c>
      <c r="H464" s="222">
        <v>1098996599</v>
      </c>
      <c r="I464" s="217"/>
      <c r="J464" s="224"/>
      <c r="K464" s="216" t="str">
        <f>IF(C464&lt;&gt;"",VLOOKUP(C464,[1]DSKH!B:E,4,0),"")</f>
        <v/>
      </c>
      <c r="L464" s="216"/>
      <c r="M464" s="216" t="str">
        <f t="shared" si="14"/>
        <v>- 1098996599 -MAY 03-</v>
      </c>
    </row>
    <row r="465" spans="1:13">
      <c r="A465" s="216" t="str">
        <f>IF(C465&lt;&gt;"",SUBTOTAL(103,$C$8:C465),"")</f>
        <v/>
      </c>
      <c r="B465" s="226">
        <v>43224</v>
      </c>
      <c r="C465" s="216"/>
      <c r="D465" s="216" t="str">
        <f>IF(C465&lt;&gt;"",VLOOKUP(C465,[1]DSKH!B:E,2,0),"")</f>
        <v/>
      </c>
      <c r="E465" s="215"/>
      <c r="F465" s="216"/>
      <c r="G465" s="216" t="str">
        <f>IF(C465&lt;&gt;"",VLOOKUP(C465,DSKH!B:E,3,0),"")</f>
        <v/>
      </c>
      <c r="H465" s="222">
        <v>1098876042</v>
      </c>
      <c r="I465" s="217"/>
      <c r="J465" s="224"/>
      <c r="K465" s="216" t="str">
        <f>IF(C465&lt;&gt;"",VLOOKUP(C465,[1]DSKH!B:E,4,0),"")</f>
        <v/>
      </c>
      <c r="L465" s="216"/>
      <c r="M465" s="216" t="str">
        <f t="shared" si="14"/>
        <v>- 1098876042 -MAY 03-</v>
      </c>
    </row>
    <row r="466" spans="1:13">
      <c r="A466" s="216" t="str">
        <f>IF(C466&lt;&gt;"",SUBTOTAL(103,$C$8:C466),"")</f>
        <v/>
      </c>
      <c r="B466" s="226">
        <v>43224</v>
      </c>
      <c r="C466" s="216"/>
      <c r="D466" s="216" t="str">
        <f>IF(C466&lt;&gt;"",VLOOKUP(C466,[1]DSKH!B:E,2,0),"")</f>
        <v/>
      </c>
      <c r="E466" s="215"/>
      <c r="F466" s="216"/>
      <c r="G466" s="216" t="str">
        <f>IF(C466&lt;&gt;"",VLOOKUP(C466,DSKH!B:E,3,0),"")</f>
        <v/>
      </c>
      <c r="H466" s="222">
        <v>1098996598</v>
      </c>
      <c r="I466" s="217"/>
      <c r="J466" s="224"/>
      <c r="K466" s="216" t="str">
        <f>IF(C466&lt;&gt;"",VLOOKUP(C466,[1]DSKH!B:E,4,0),"")</f>
        <v/>
      </c>
      <c r="L466" s="216"/>
      <c r="M466" s="216" t="str">
        <f t="shared" si="14"/>
        <v>- 1098996598 -MAY 03-</v>
      </c>
    </row>
    <row r="467" spans="1:13">
      <c r="A467" s="216" t="str">
        <f>IF(C467&lt;&gt;"",SUBTOTAL(103,$C$8:C467),"")</f>
        <v/>
      </c>
      <c r="B467" s="226">
        <v>43224</v>
      </c>
      <c r="C467" s="216"/>
      <c r="D467" s="216" t="str">
        <f>IF(C467&lt;&gt;"",VLOOKUP(C467,[1]DSKH!B:E,2,0),"")</f>
        <v/>
      </c>
      <c r="E467" s="215"/>
      <c r="F467" s="216"/>
      <c r="G467" s="216" t="str">
        <f>IF(C467&lt;&gt;"",VLOOKUP(C467,DSKH!B:E,3,0),"")</f>
        <v/>
      </c>
      <c r="H467" s="222">
        <v>1098871648</v>
      </c>
      <c r="I467" s="217"/>
      <c r="J467" s="224"/>
      <c r="K467" s="216" t="str">
        <f>IF(C467&lt;&gt;"",VLOOKUP(C467,[1]DSKH!B:E,4,0),"")</f>
        <v/>
      </c>
      <c r="L467" s="216"/>
      <c r="M467" s="216" t="str">
        <f t="shared" si="14"/>
        <v>- 1098871648 -MAY 03-</v>
      </c>
    </row>
    <row r="468" spans="1:13">
      <c r="A468" s="216" t="str">
        <f>IF(C468&lt;&gt;"",SUBTOTAL(103,$C$8:C468),"")</f>
        <v/>
      </c>
      <c r="B468" s="226">
        <v>43224</v>
      </c>
      <c r="C468" s="216"/>
      <c r="D468" s="216" t="str">
        <f>IF(C468&lt;&gt;"",VLOOKUP(C468,[1]DSKH!B:E,2,0),"")</f>
        <v/>
      </c>
      <c r="E468" s="215"/>
      <c r="F468" s="216"/>
      <c r="G468" s="216" t="str">
        <f>IF(C468&lt;&gt;"",VLOOKUP(C468,DSKH!B:E,3,0),"")</f>
        <v/>
      </c>
      <c r="H468" s="222">
        <v>1098996597</v>
      </c>
      <c r="I468" s="217"/>
      <c r="J468" s="224"/>
      <c r="K468" s="216" t="str">
        <f>IF(C468&lt;&gt;"",VLOOKUP(C468,[1]DSKH!B:E,4,0),"")</f>
        <v/>
      </c>
      <c r="L468" s="216"/>
      <c r="M468" s="216" t="str">
        <f t="shared" si="14"/>
        <v>- 1098996597 -MAY 03-</v>
      </c>
    </row>
    <row r="469" spans="1:13">
      <c r="A469" s="216" t="str">
        <f>IF(C469&lt;&gt;"",SUBTOTAL(103,$C$8:C469),"")</f>
        <v/>
      </c>
      <c r="B469" s="226">
        <v>43224</v>
      </c>
      <c r="C469" s="216"/>
      <c r="D469" s="216" t="str">
        <f>IF(C469&lt;&gt;"",VLOOKUP(C469,[1]DSKH!B:E,2,0),"")</f>
        <v/>
      </c>
      <c r="E469" s="215"/>
      <c r="F469" s="216"/>
      <c r="G469" s="216" t="str">
        <f>IF(C469&lt;&gt;"",VLOOKUP(C469,DSKH!B:E,3,0),"")</f>
        <v/>
      </c>
      <c r="H469" s="222">
        <v>1098996596</v>
      </c>
      <c r="I469" s="217"/>
      <c r="J469" s="224"/>
      <c r="K469" s="216" t="str">
        <f>IF(C469&lt;&gt;"",VLOOKUP(C469,[1]DSKH!B:E,4,0),"")</f>
        <v/>
      </c>
      <c r="L469" s="216"/>
      <c r="M469" s="216" t="str">
        <f t="shared" si="14"/>
        <v>- 1098996596 -MAY 03-</v>
      </c>
    </row>
    <row r="470" spans="1:13">
      <c r="A470" s="216" t="str">
        <f>IF(C470&lt;&gt;"",SUBTOTAL(103,$C$8:C470),"")</f>
        <v/>
      </c>
      <c r="B470" s="226">
        <v>43224</v>
      </c>
      <c r="C470" s="216"/>
      <c r="D470" s="216" t="str">
        <f>IF(C470&lt;&gt;"",VLOOKUP(C470,[1]DSKH!B:E,2,0),"")</f>
        <v/>
      </c>
      <c r="E470" s="215"/>
      <c r="F470" s="216"/>
      <c r="G470" s="216" t="str">
        <f>IF(C470&lt;&gt;"",VLOOKUP(C470,DSKH!B:E,3,0),"")</f>
        <v/>
      </c>
      <c r="H470" s="222">
        <v>1098996595</v>
      </c>
      <c r="I470" s="217"/>
      <c r="J470" s="224"/>
      <c r="K470" s="216" t="str">
        <f>IF(C470&lt;&gt;"",VLOOKUP(C470,[1]DSKH!B:E,4,0),"")</f>
        <v/>
      </c>
      <c r="L470" s="216"/>
      <c r="M470" s="216" t="str">
        <f t="shared" si="14"/>
        <v>- 1098996595 -MAY 03-</v>
      </c>
    </row>
    <row r="471" spans="1:13">
      <c r="A471" s="216" t="str">
        <f>IF(C471&lt;&gt;"",SUBTOTAL(103,$C$8:C471),"")</f>
        <v/>
      </c>
      <c r="B471" s="226">
        <v>43224</v>
      </c>
      <c r="C471" s="216"/>
      <c r="D471" s="216" t="str">
        <f>IF(C471&lt;&gt;"",VLOOKUP(C471,[1]DSKH!B:E,2,0),"")</f>
        <v/>
      </c>
      <c r="E471" s="215"/>
      <c r="F471" s="216"/>
      <c r="G471" s="216" t="str">
        <f>IF(C471&lt;&gt;"",VLOOKUP(C471,DSKH!B:E,3,0),"")</f>
        <v/>
      </c>
      <c r="H471" s="222">
        <v>1098871276</v>
      </c>
      <c r="I471" s="217"/>
      <c r="J471" s="224"/>
      <c r="K471" s="216" t="str">
        <f>IF(C471&lt;&gt;"",VLOOKUP(C471,[1]DSKH!B:E,4,0),"")</f>
        <v/>
      </c>
      <c r="L471" s="216"/>
      <c r="M471" s="216" t="str">
        <f t="shared" si="14"/>
        <v>- 1098871276 -MAY 03-</v>
      </c>
    </row>
    <row r="472" spans="1:13">
      <c r="A472" s="216" t="str">
        <f>IF(C472&lt;&gt;"",SUBTOTAL(103,$C$8:C472),"")</f>
        <v/>
      </c>
      <c r="B472" s="226">
        <v>43224</v>
      </c>
      <c r="C472" s="216"/>
      <c r="D472" s="216" t="str">
        <f>IF(C472&lt;&gt;"",VLOOKUP(C472,[1]DSKH!B:E,2,0),"")</f>
        <v/>
      </c>
      <c r="E472" s="215"/>
      <c r="F472" s="216"/>
      <c r="G472" s="216" t="str">
        <f>IF(C472&lt;&gt;"",VLOOKUP(C472,DSKH!B:E,3,0),"")</f>
        <v/>
      </c>
      <c r="H472" s="222">
        <v>1098996594</v>
      </c>
      <c r="I472" s="217"/>
      <c r="J472" s="224"/>
      <c r="K472" s="216" t="str">
        <f>IF(C472&lt;&gt;"",VLOOKUP(C472,[1]DSKH!B:E,4,0),"")</f>
        <v/>
      </c>
      <c r="L472" s="216"/>
      <c r="M472" s="216" t="str">
        <f t="shared" si="14"/>
        <v>- 1098996594 -MAY 03-</v>
      </c>
    </row>
    <row r="473" spans="1:13">
      <c r="A473" s="216" t="str">
        <f>IF(C473&lt;&gt;"",SUBTOTAL(103,$C$8:C473),"")</f>
        <v/>
      </c>
      <c r="B473" s="226">
        <v>43224</v>
      </c>
      <c r="C473" s="216"/>
      <c r="D473" s="216" t="str">
        <f>IF(C473&lt;&gt;"",VLOOKUP(C473,[1]DSKH!B:E,2,0),"")</f>
        <v/>
      </c>
      <c r="E473" s="215"/>
      <c r="F473" s="216"/>
      <c r="G473" s="216" t="str">
        <f>IF(C473&lt;&gt;"",VLOOKUP(C473,DSKH!B:E,3,0),"")</f>
        <v/>
      </c>
      <c r="H473" s="222">
        <v>1098996593</v>
      </c>
      <c r="I473" s="217"/>
      <c r="J473" s="224"/>
      <c r="K473" s="216" t="str">
        <f>IF(C473&lt;&gt;"",VLOOKUP(C473,[1]DSKH!B:E,4,0),"")</f>
        <v/>
      </c>
      <c r="L473" s="216"/>
      <c r="M473" s="216" t="str">
        <f t="shared" si="14"/>
        <v>- 1098996593 -MAY 03-</v>
      </c>
    </row>
    <row r="474" spans="1:13">
      <c r="A474" s="216" t="str">
        <f>IF(C474&lt;&gt;"",SUBTOTAL(103,$C$8:C474),"")</f>
        <v/>
      </c>
      <c r="B474" s="226">
        <v>43224</v>
      </c>
      <c r="C474" s="216"/>
      <c r="D474" s="216" t="str">
        <f>IF(C474&lt;&gt;"",VLOOKUP(C474,[1]DSKH!B:E,2,0),"")</f>
        <v/>
      </c>
      <c r="E474" s="215"/>
      <c r="F474" s="216"/>
      <c r="G474" s="216" t="str">
        <f>IF(C474&lt;&gt;"",VLOOKUP(C474,DSKH!B:E,3,0),"")</f>
        <v/>
      </c>
      <c r="H474" s="222">
        <v>1098871044</v>
      </c>
      <c r="I474" s="217"/>
      <c r="J474" s="224"/>
      <c r="K474" s="216" t="str">
        <f>IF(C474&lt;&gt;"",VLOOKUP(C474,[1]DSKH!B:E,4,0),"")</f>
        <v/>
      </c>
      <c r="L474" s="216"/>
      <c r="M474" s="216" t="str">
        <f t="shared" si="14"/>
        <v>- 1098871044 -MAY 03-</v>
      </c>
    </row>
    <row r="475" spans="1:13">
      <c r="A475" s="216" t="str">
        <f>IF(C475&lt;&gt;"",SUBTOTAL(103,$C$8:C475),"")</f>
        <v/>
      </c>
      <c r="B475" s="226">
        <v>43224</v>
      </c>
      <c r="C475" s="216"/>
      <c r="D475" s="216" t="str">
        <f>IF(C475&lt;&gt;"",VLOOKUP(C475,[1]DSKH!B:E,2,0),"")</f>
        <v/>
      </c>
      <c r="E475" s="215"/>
      <c r="F475" s="216"/>
      <c r="G475" s="216" t="str">
        <f>IF(C475&lt;&gt;"",VLOOKUP(C475,DSKH!B:E,3,0),"")</f>
        <v/>
      </c>
      <c r="H475" s="222">
        <v>1098996592</v>
      </c>
      <c r="I475" s="217"/>
      <c r="J475" s="224"/>
      <c r="K475" s="216" t="str">
        <f>IF(C475&lt;&gt;"",VLOOKUP(C475,[1]DSKH!B:E,4,0),"")</f>
        <v/>
      </c>
      <c r="L475" s="216"/>
      <c r="M475" s="216" t="str">
        <f t="shared" si="14"/>
        <v>- 1098996592 -MAY 03-</v>
      </c>
    </row>
    <row r="476" spans="1:13">
      <c r="A476" s="216" t="str">
        <f>IF(C476&lt;&gt;"",SUBTOTAL(103,$C$8:C476),"")</f>
        <v/>
      </c>
      <c r="B476" s="226">
        <v>43224</v>
      </c>
      <c r="C476" s="216"/>
      <c r="D476" s="216" t="str">
        <f>IF(C476&lt;&gt;"",VLOOKUP(C476,[1]DSKH!B:E,2,0),"")</f>
        <v/>
      </c>
      <c r="E476" s="215"/>
      <c r="F476" s="216"/>
      <c r="G476" s="216" t="str">
        <f>IF(C476&lt;&gt;"",VLOOKUP(C476,DSKH!B:E,3,0),"")</f>
        <v/>
      </c>
      <c r="H476" s="222">
        <v>1098996591</v>
      </c>
      <c r="I476" s="217"/>
      <c r="J476" s="224"/>
      <c r="K476" s="216" t="str">
        <f>IF(C476&lt;&gt;"",VLOOKUP(C476,[1]DSKH!B:E,4,0),"")</f>
        <v/>
      </c>
      <c r="L476" s="216"/>
      <c r="M476" s="216" t="str">
        <f t="shared" si="14"/>
        <v>- 1098996591 -MAY 03-</v>
      </c>
    </row>
    <row r="477" spans="1:13">
      <c r="A477" s="216" t="str">
        <f>IF(C477&lt;&gt;"",SUBTOTAL(103,$C$8:C477),"")</f>
        <v/>
      </c>
      <c r="B477" s="226">
        <v>43224</v>
      </c>
      <c r="C477" s="216"/>
      <c r="D477" s="216" t="str">
        <f>IF(C477&lt;&gt;"",VLOOKUP(C477,[1]DSKH!B:E,2,0),"")</f>
        <v/>
      </c>
      <c r="E477" s="215"/>
      <c r="F477" s="216"/>
      <c r="G477" s="216" t="str">
        <f>IF(C477&lt;&gt;"",VLOOKUP(C477,DSKH!B:E,3,0),"")</f>
        <v/>
      </c>
      <c r="H477" s="222">
        <v>1098873707</v>
      </c>
      <c r="I477" s="217"/>
      <c r="J477" s="224"/>
      <c r="K477" s="216" t="str">
        <f>IF(C477&lt;&gt;"",VLOOKUP(C477,[1]DSKH!B:E,4,0),"")</f>
        <v/>
      </c>
      <c r="L477" s="216"/>
      <c r="M477" s="216" t="str">
        <f t="shared" si="14"/>
        <v>- 1098873707 -MAY 03-</v>
      </c>
    </row>
    <row r="478" spans="1:13">
      <c r="A478" s="216" t="str">
        <f>IF(C478&lt;&gt;"",SUBTOTAL(103,$C$8:C478),"")</f>
        <v/>
      </c>
      <c r="B478" s="226">
        <v>43224</v>
      </c>
      <c r="C478" s="216"/>
      <c r="D478" s="216" t="str">
        <f>IF(C478&lt;&gt;"",VLOOKUP(C478,[1]DSKH!B:E,2,0),"")</f>
        <v/>
      </c>
      <c r="E478" s="215"/>
      <c r="F478" s="216"/>
      <c r="G478" s="216" t="str">
        <f>IF(C478&lt;&gt;"",VLOOKUP(C478,DSKH!B:E,3,0),"")</f>
        <v/>
      </c>
      <c r="H478" s="222">
        <v>1098873706</v>
      </c>
      <c r="I478" s="217"/>
      <c r="J478" s="224"/>
      <c r="K478" s="216" t="str">
        <f>IF(C478&lt;&gt;"",VLOOKUP(C478,[1]DSKH!B:E,4,0),"")</f>
        <v/>
      </c>
      <c r="L478" s="216"/>
      <c r="M478" s="216" t="str">
        <f t="shared" si="14"/>
        <v>- 1098873706 -MAY 03-</v>
      </c>
    </row>
    <row r="479" spans="1:13">
      <c r="A479" s="216" t="str">
        <f>IF(C479&lt;&gt;"",SUBTOTAL(103,$C$8:C479),"")</f>
        <v/>
      </c>
      <c r="B479" s="226">
        <v>43224</v>
      </c>
      <c r="C479" s="216"/>
      <c r="D479" s="216" t="str">
        <f>IF(C479&lt;&gt;"",VLOOKUP(C479,[1]DSKH!B:E,2,0),"")</f>
        <v/>
      </c>
      <c r="E479" s="215"/>
      <c r="F479" s="216"/>
      <c r="G479" s="216" t="str">
        <f>IF(C479&lt;&gt;"",VLOOKUP(C479,DSKH!B:E,3,0),"")</f>
        <v/>
      </c>
      <c r="H479" s="222">
        <v>1098874295</v>
      </c>
      <c r="I479" s="217"/>
      <c r="J479" s="224"/>
      <c r="K479" s="216" t="str">
        <f>IF(C479&lt;&gt;"",VLOOKUP(C479,[1]DSKH!B:E,4,0),"")</f>
        <v/>
      </c>
      <c r="L479" s="216"/>
      <c r="M479" s="216" t="str">
        <f t="shared" si="14"/>
        <v>- 1098874295 -MAY 03-</v>
      </c>
    </row>
    <row r="480" spans="1:13">
      <c r="A480" s="216" t="str">
        <f>IF(C480&lt;&gt;"",SUBTOTAL(103,$C$8:C480),"")</f>
        <v/>
      </c>
      <c r="B480" s="226">
        <v>43224</v>
      </c>
      <c r="C480" s="216"/>
      <c r="D480" s="216" t="str">
        <f>IF(C480&lt;&gt;"",VLOOKUP(C480,[1]DSKH!B:E,2,0),"")</f>
        <v/>
      </c>
      <c r="E480" s="215"/>
      <c r="F480" s="216"/>
      <c r="G480" s="216" t="str">
        <f>IF(C480&lt;&gt;"",VLOOKUP(C480,DSKH!B:E,3,0),"")</f>
        <v/>
      </c>
      <c r="H480" s="222">
        <v>1098876188</v>
      </c>
      <c r="I480" s="217"/>
      <c r="J480" s="224"/>
      <c r="K480" s="216" t="str">
        <f>IF(C480&lt;&gt;"",VLOOKUP(C480,[1]DSKH!B:E,4,0),"")</f>
        <v/>
      </c>
      <c r="L480" s="216"/>
      <c r="M480" s="216" t="str">
        <f t="shared" si="14"/>
        <v>- 1098876188 -MAY 03-</v>
      </c>
    </row>
    <row r="481" spans="1:13">
      <c r="A481" s="216" t="str">
        <f>IF(C481&lt;&gt;"",SUBTOTAL(103,$C$8:C481),"")</f>
        <v/>
      </c>
      <c r="B481" s="226">
        <v>43224</v>
      </c>
      <c r="C481" s="216"/>
      <c r="D481" s="216" t="str">
        <f>IF(C481&lt;&gt;"",VLOOKUP(C481,[1]DSKH!B:E,2,0),"")</f>
        <v/>
      </c>
      <c r="E481" s="215"/>
      <c r="F481" s="216"/>
      <c r="G481" s="216" t="str">
        <f>IF(C481&lt;&gt;"",VLOOKUP(C481,DSKH!B:E,3,0),"")</f>
        <v/>
      </c>
      <c r="H481" s="222">
        <v>1098996590</v>
      </c>
      <c r="I481" s="217"/>
      <c r="J481" s="224"/>
      <c r="K481" s="216" t="str">
        <f>IF(C481&lt;&gt;"",VLOOKUP(C481,[1]DSKH!B:E,4,0),"")</f>
        <v/>
      </c>
      <c r="L481" s="216"/>
      <c r="M481" s="216" t="str">
        <f t="shared" si="14"/>
        <v>- 1098996590 -MAY 03-</v>
      </c>
    </row>
    <row r="482" spans="1:13">
      <c r="A482" s="216" t="str">
        <f>IF(C482&lt;&gt;"",SUBTOTAL(103,$C$8:C482),"")</f>
        <v/>
      </c>
      <c r="B482" s="226">
        <v>43224</v>
      </c>
      <c r="C482" s="216"/>
      <c r="D482" s="216" t="str">
        <f>IF(C482&lt;&gt;"",VLOOKUP(C482,[1]DSKH!B:E,2,0),"")</f>
        <v/>
      </c>
      <c r="E482" s="215"/>
      <c r="F482" s="216"/>
      <c r="G482" s="216" t="str">
        <f>IF(C482&lt;&gt;"",VLOOKUP(C482,DSKH!B:E,3,0),"")</f>
        <v/>
      </c>
      <c r="H482" s="222">
        <v>1098996589</v>
      </c>
      <c r="I482" s="217"/>
      <c r="J482" s="224"/>
      <c r="K482" s="216" t="str">
        <f>IF(C482&lt;&gt;"",VLOOKUP(C482,[1]DSKH!B:E,4,0),"")</f>
        <v/>
      </c>
      <c r="L482" s="216"/>
      <c r="M482" s="216" t="str">
        <f t="shared" si="14"/>
        <v>- 1098996589 -MAY 03-</v>
      </c>
    </row>
    <row r="483" spans="1:13">
      <c r="A483" s="216" t="str">
        <f>IF(C483&lt;&gt;"",SUBTOTAL(103,$C$8:C483),"")</f>
        <v/>
      </c>
      <c r="B483" s="226">
        <v>43224</v>
      </c>
      <c r="C483" s="216"/>
      <c r="D483" s="216" t="str">
        <f>IF(C483&lt;&gt;"",VLOOKUP(C483,[1]DSKH!B:E,2,0),"")</f>
        <v/>
      </c>
      <c r="E483" s="215"/>
      <c r="F483" s="216"/>
      <c r="G483" s="216" t="str">
        <f>IF(C483&lt;&gt;"",VLOOKUP(C483,DSKH!B:E,3,0),"")</f>
        <v/>
      </c>
      <c r="H483" s="222">
        <v>1098875937</v>
      </c>
      <c r="I483" s="217"/>
      <c r="J483" s="224"/>
      <c r="K483" s="216" t="str">
        <f>IF(C483&lt;&gt;"",VLOOKUP(C483,[1]DSKH!B:E,4,0),"")</f>
        <v/>
      </c>
      <c r="L483" s="216"/>
      <c r="M483" s="216" t="str">
        <f t="shared" si="14"/>
        <v>- 1098875937 -MAY 03-</v>
      </c>
    </row>
    <row r="484" spans="1:13" ht="41.4">
      <c r="A484" s="216">
        <f>IF(C484&lt;&gt;"",SUBTOTAL(103,$C$8:C484),"")</f>
        <v>255</v>
      </c>
      <c r="B484" s="226">
        <v>43224</v>
      </c>
      <c r="C484" s="216" t="s">
        <v>998</v>
      </c>
      <c r="D484" s="216" t="str">
        <f>IF(C484&lt;&gt;"",VLOOKUP(C484,[1]DSKH!B:E,2,0),"")</f>
        <v>DUONG SO 3 - KCN AN DON, P AN HAI BAC, Q. SON TRA, DA NANG</v>
      </c>
      <c r="E484" s="215">
        <v>1</v>
      </c>
      <c r="F484" s="216"/>
      <c r="G484" s="216">
        <f>IF(C484&lt;&gt;"",VLOOKUP(C484,DSKH!B:E,3,0),"")</f>
        <v>0</v>
      </c>
      <c r="H484" s="222">
        <v>1099046439</v>
      </c>
      <c r="I484" s="217" t="s">
        <v>2860</v>
      </c>
      <c r="J484" s="224" t="s">
        <v>3337</v>
      </c>
      <c r="K484" s="216" t="str">
        <f>IF(C484&lt;&gt;"",VLOOKUP(C484,[1]DSKH!B:E,4,0),"")</f>
        <v>CHI THANH: 0905471005</v>
      </c>
      <c r="L484" s="216">
        <v>6.6</v>
      </c>
      <c r="M484" s="216" t="str">
        <f t="shared" si="14"/>
        <v>HUU NGHI DA NANG- 1099046439 -MAY 03-na002185145</v>
      </c>
    </row>
    <row r="485" spans="1:13" ht="96.6">
      <c r="A485" s="216">
        <f>IF(C485&lt;&gt;"",SUBTOTAL(103,$C$8:C485),"")</f>
        <v>256</v>
      </c>
      <c r="B485" s="226">
        <v>43224</v>
      </c>
      <c r="C485" s="216" t="s">
        <v>1777</v>
      </c>
      <c r="D485" s="216" t="str">
        <f>IF(C485&lt;&gt;"",VLOOKUP(C485,[1]DSKH!B:E,2,0),"")</f>
        <v>Thon Tan Ly, xa Thanh Tam, huyen Thach Thanh, tinh Thanh Hoa</v>
      </c>
      <c r="E485" s="215">
        <v>4</v>
      </c>
      <c r="F485" s="216" t="s">
        <v>2090</v>
      </c>
      <c r="G485" s="216" t="str">
        <f>IF(C485&lt;&gt;"",VLOOKUP(C485,DSKH!B:E,3,0),"")</f>
        <v>CHO CS CONFIRM SHIPMODE (WALMART LH CS MILEY, NHAN TARGET LH CS JUDY)</v>
      </c>
      <c r="H485" s="222">
        <v>1099028823</v>
      </c>
      <c r="I485" s="217" t="s">
        <v>2860</v>
      </c>
      <c r="J485" s="224" t="s">
        <v>3338</v>
      </c>
      <c r="K485" s="216">
        <f>IF(C485&lt;&gt;"",VLOOKUP(C485,[1]DSKH!B:E,4,0),"")</f>
        <v>0</v>
      </c>
      <c r="L485" s="216">
        <f>47.6</f>
        <v>47.6</v>
      </c>
      <c r="M485" s="216" t="str">
        <f t="shared" si="14"/>
        <v>SH VINA- 1099028823 -MAY 03-na002185146</v>
      </c>
    </row>
    <row r="486" spans="1:13">
      <c r="A486" s="216" t="str">
        <f>IF(C486&lt;&gt;"",SUBTOTAL(103,$C$8:C486),"")</f>
        <v/>
      </c>
      <c r="B486" s="226">
        <v>43224</v>
      </c>
      <c r="C486" s="216"/>
      <c r="D486" s="216" t="str">
        <f>IF(C486&lt;&gt;"",VLOOKUP(C486,[1]DSKH!B:E,2,0),"")</f>
        <v/>
      </c>
      <c r="E486" s="215"/>
      <c r="F486" s="216"/>
      <c r="G486" s="216" t="str">
        <f>IF(C486&lt;&gt;"",VLOOKUP(C486,DSKH!B:E,3,0),"")</f>
        <v/>
      </c>
      <c r="H486" s="222">
        <v>1099023882</v>
      </c>
      <c r="I486" s="217"/>
      <c r="J486" s="224"/>
      <c r="K486" s="216" t="str">
        <f>IF(C486&lt;&gt;"",VLOOKUP(C486,[1]DSKH!B:E,4,0),"")</f>
        <v/>
      </c>
      <c r="L486" s="216"/>
      <c r="M486" s="216" t="str">
        <f t="shared" si="14"/>
        <v>- 1099023882 -MAY 03-</v>
      </c>
    </row>
    <row r="487" spans="1:13" ht="96.6">
      <c r="A487" s="216">
        <f>IF(C487&lt;&gt;"",SUBTOTAL(103,$C$8:C487),"")</f>
        <v>257</v>
      </c>
      <c r="B487" s="226">
        <v>43224</v>
      </c>
      <c r="C487" s="216" t="s">
        <v>1792</v>
      </c>
      <c r="D487" s="216" t="str">
        <f>IF(C487&lt;&gt;"",VLOOKUP(C487,[1]DSKH!B:E,2,0),"")</f>
        <v>NGUYEN GON VILLAGE,, CAI DAN WARD, SONG CONG TOWN, THAI NGUYEN PROVINCE</v>
      </c>
      <c r="E487" s="215">
        <v>1</v>
      </c>
      <c r="F487" s="216" t="s">
        <v>2090</v>
      </c>
      <c r="G487" s="216" t="str">
        <f>IF(C487&lt;&gt;"",VLOOKUP(C487,DSKH!B:E,3,0),"")</f>
        <v>NEU CO NOTE GIAO BAROM, BOOK BAROM MAIL, SAU 2H CHUYEN SANG NGAY MAI BOOK</v>
      </c>
      <c r="H487" s="222" t="s">
        <v>3340</v>
      </c>
      <c r="I487" s="217" t="s">
        <v>2860</v>
      </c>
      <c r="J487" s="224" t="s">
        <v>3339</v>
      </c>
      <c r="K487" s="216" t="str">
        <f>IF(C487&lt;&gt;"",VLOOKUP(C487,[1]DSKH!B:E,4,0),"")</f>
        <v>Cloudy 0978998609</v>
      </c>
      <c r="L487" s="216">
        <v>0.14000000000000001</v>
      </c>
      <c r="M487" s="216" t="str">
        <f t="shared" si="14"/>
        <v>SHINWON EBENEZER HA NOI- HB23728717-6 -MAY 03-na002185143</v>
      </c>
    </row>
    <row r="488" spans="1:13" ht="41.4">
      <c r="A488" s="216">
        <f>IF(C488&lt;&gt;"",SUBTOTAL(103,$C$8:C488),"")</f>
        <v>258</v>
      </c>
      <c r="B488" s="226">
        <v>43224</v>
      </c>
      <c r="C488" s="216" t="s">
        <v>2927</v>
      </c>
      <c r="D488" s="216" t="str">
        <f>IF(C488&lt;&gt;"",VLOOKUP(C488,[1]DSKH!B:E,2,0),"")</f>
        <v>Lo B8, KCN Que Vo, P.Van Duong, Tp.Bac Ninh, Bac Ninh</v>
      </c>
      <c r="E488" s="215">
        <v>2</v>
      </c>
      <c r="F488" s="216" t="s">
        <v>2090</v>
      </c>
      <c r="G488" s="216">
        <f>IF(C488&lt;&gt;"",VLOOKUP(C488,DSKH!B:E,3,0),"")</f>
        <v>0</v>
      </c>
      <c r="H488" s="222">
        <v>1098872445</v>
      </c>
      <c r="I488" s="217" t="s">
        <v>2860</v>
      </c>
      <c r="J488" s="224" t="s">
        <v>3341</v>
      </c>
      <c r="K488" s="216" t="str">
        <f>IF(C488&lt;&gt;"",VLOOKUP(C488,[1]DSKH!B:E,4,0),"")</f>
        <v xml:space="preserve"> Ms Nga 01632.455.666 </v>
      </c>
      <c r="L488" s="216">
        <f>16.6+0.24</f>
        <v>16.84</v>
      </c>
      <c r="M488" s="216" t="str">
        <f t="shared" si="14"/>
        <v>SAMPO VINA- 1098872445 -MAY 03-na002185144</v>
      </c>
    </row>
    <row r="489" spans="1:13">
      <c r="A489" s="216" t="str">
        <f>IF(C489&lt;&gt;"",SUBTOTAL(103,$C$8:C489),"")</f>
        <v/>
      </c>
      <c r="B489" s="226">
        <v>43224</v>
      </c>
      <c r="C489" s="216"/>
      <c r="D489" s="216" t="str">
        <f>IF(C489&lt;&gt;"",VLOOKUP(C489,[1]DSKH!B:E,2,0),"")</f>
        <v/>
      </c>
      <c r="E489" s="215"/>
      <c r="F489" s="216"/>
      <c r="G489" s="216" t="str">
        <f>IF(C489&lt;&gt;"",VLOOKUP(C489,DSKH!B:E,3,0),"")</f>
        <v/>
      </c>
      <c r="H489" s="222">
        <v>1098995637</v>
      </c>
      <c r="I489" s="217"/>
      <c r="J489" s="224"/>
      <c r="K489" s="216" t="str">
        <f>IF(C489&lt;&gt;"",VLOOKUP(C489,[1]DSKH!B:E,4,0),"")</f>
        <v/>
      </c>
      <c r="L489" s="216"/>
      <c r="M489" s="216" t="str">
        <f t="shared" si="14"/>
        <v>- 1098995637 -MAY 03-</v>
      </c>
    </row>
    <row r="490" spans="1:13" ht="41.4">
      <c r="A490" s="216">
        <f>IF(C490&lt;&gt;"",SUBTOTAL(103,$C$8:C490),"")</f>
        <v>259</v>
      </c>
      <c r="B490" s="226">
        <v>43224</v>
      </c>
      <c r="C490" s="216" t="s">
        <v>822</v>
      </c>
      <c r="D490" s="216" t="str">
        <f>IF(C490&lt;&gt;"",VLOOKUP(C490,[1]DSKH!B:E,2,0),"")</f>
        <v>CUM CN NAM GIANG, HUYEN NAM DAN, NGHE AN</v>
      </c>
      <c r="E490" s="215">
        <v>6</v>
      </c>
      <c r="F490" s="216" t="s">
        <v>3342</v>
      </c>
      <c r="G490" s="216">
        <f>IF(C490&lt;&gt;"",VLOOKUP(C490,DSKH!B:E,3,0),"")</f>
        <v>0</v>
      </c>
      <c r="H490" s="222">
        <v>1098732409</v>
      </c>
      <c r="I490" s="217"/>
      <c r="J490" s="224" t="s">
        <v>3343</v>
      </c>
      <c r="K490" s="216" t="str">
        <f>IF(C490&lt;&gt;"",VLOOKUP(C490,[1]DSKH!B:E,4,0),"")</f>
        <v>MR THANH 0166 650 4728</v>
      </c>
      <c r="L490" s="216">
        <v>84.8</v>
      </c>
      <c r="M490" s="216" t="str">
        <f t="shared" si="14"/>
        <v>HAI VINA KIM LIEN- 1098732409 -MAY 03-na002185141</v>
      </c>
    </row>
    <row r="491" spans="1:13" ht="41.4">
      <c r="A491" s="216">
        <f>IF(C491&lt;&gt;"",SUBTOTAL(103,$C$8:C491),"")</f>
        <v>260</v>
      </c>
      <c r="B491" s="226">
        <v>43224</v>
      </c>
      <c r="C491" s="216" t="s">
        <v>1247</v>
      </c>
      <c r="D491" s="216" t="str">
        <f>IF(C491&lt;&gt;"",VLOOKUP(C491,[1]DSKH!B:E,2,0),"")</f>
        <v>Thôn: Bằng, xã Nghĩa Hòa, Huyện Lạng Giang, tỉnh Bắc Giang</v>
      </c>
      <c r="E491" s="215">
        <v>6</v>
      </c>
      <c r="F491" s="216" t="s">
        <v>2090</v>
      </c>
      <c r="G491" s="216">
        <f>IF(C491&lt;&gt;"",VLOOKUP(C491,DSKH!B:E,3,0),"")</f>
        <v>0</v>
      </c>
      <c r="H491" s="222">
        <v>1098128249</v>
      </c>
      <c r="I491" s="217" t="s">
        <v>2860</v>
      </c>
      <c r="J491" s="224" t="s">
        <v>3344</v>
      </c>
      <c r="K491" s="216">
        <f>IF(C491&lt;&gt;"",VLOOKUP(C491,[1]DSKH!B:E,4,0),"")</f>
        <v>0</v>
      </c>
      <c r="L491" s="216">
        <f>15+1.2+1.2+1+1.2</f>
        <v>19.599999999999998</v>
      </c>
      <c r="M491" s="216" t="str">
        <f t="shared" si="14"/>
        <v>MAY LANG GIANG- 1098128249 -MAY 03-na002185142</v>
      </c>
    </row>
    <row r="492" spans="1:13">
      <c r="A492" s="216" t="str">
        <f>IF(C492&lt;&gt;"",SUBTOTAL(103,$C$8:C492),"")</f>
        <v/>
      </c>
      <c r="B492" s="226">
        <v>43224</v>
      </c>
      <c r="C492" s="216"/>
      <c r="D492" s="216" t="str">
        <f>IF(C492&lt;&gt;"",VLOOKUP(C492,[1]DSKH!B:E,2,0),"")</f>
        <v/>
      </c>
      <c r="E492" s="215"/>
      <c r="F492" s="216"/>
      <c r="G492" s="216" t="str">
        <f>IF(C492&lt;&gt;"",VLOOKUP(C492,DSKH!B:E,3,0),"")</f>
        <v/>
      </c>
      <c r="H492" s="222">
        <v>1098683728</v>
      </c>
      <c r="I492" s="217"/>
      <c r="J492" s="224"/>
      <c r="K492" s="216" t="str">
        <f>IF(C492&lt;&gt;"",VLOOKUP(C492,[1]DSKH!B:E,4,0),"")</f>
        <v/>
      </c>
      <c r="L492" s="216"/>
      <c r="M492" s="216" t="str">
        <f t="shared" si="14"/>
        <v>- 1098683728 -MAY 03-</v>
      </c>
    </row>
    <row r="493" spans="1:13" ht="82.8">
      <c r="A493" s="216">
        <f>IF(C493&lt;&gt;"",SUBTOTAL(103,$C$8:C493),"")</f>
        <v>261</v>
      </c>
      <c r="B493" s="226">
        <v>43224</v>
      </c>
      <c r="C493" s="216" t="s">
        <v>2204</v>
      </c>
      <c r="D493" s="216" t="str">
        <f>IF(C493&lt;&gt;"",VLOOKUP(C493,[1]DSKH!B:E,2,0),"")</f>
        <v>BI, BII, BIII, BIV SECTION,  GIAO LONG INDUSTRIAL ZONE PHASE II,AN PHUOC COMMUNE, CHAU THANH DISTRICT, BEN TRE PROVINCE</v>
      </c>
      <c r="E493" s="215">
        <v>1</v>
      </c>
      <c r="F493" s="216"/>
      <c r="G493" s="216">
        <f>IF(C493&lt;&gt;"",VLOOKUP(C493,DSKH!B:E,3,0),"")</f>
        <v>0</v>
      </c>
      <c r="H493" s="222">
        <v>1098871056</v>
      </c>
      <c r="I493" s="217" t="s">
        <v>2860</v>
      </c>
      <c r="J493" s="224" t="s">
        <v>3345</v>
      </c>
      <c r="K493" s="216" t="str">
        <f>IF(C493&lt;&gt;"",VLOOKUP(C493,[1]DSKH!B:E,4,0),"")</f>
        <v>Tel: 84-75- 3635600   Fax: 84-75- 3635601</v>
      </c>
      <c r="L493" s="216">
        <v>1.4</v>
      </c>
      <c r="M493" s="216" t="str">
        <f t="shared" si="14"/>
        <v>UNISOLL- 1098871056 -MAY 03-NA002185139</v>
      </c>
    </row>
    <row r="494" spans="1:13" ht="55.2">
      <c r="A494" s="216">
        <f>IF(C494&lt;&gt;"",SUBTOTAL(103,$C$8:C494),"")</f>
        <v>262</v>
      </c>
      <c r="B494" s="226">
        <v>43224</v>
      </c>
      <c r="C494" s="216" t="s">
        <v>2523</v>
      </c>
      <c r="D494" s="216" t="str">
        <f>IF(C494&lt;&gt;"",VLOOKUP(C494,[1]DSKH!B:E,2,0),"")</f>
        <v>NO F5, F6, F7, F8, F9, F10 KCN BAC DONG PHU, TAN PHU, DONG PHU, BINH PHUOC</v>
      </c>
      <c r="E494" s="215">
        <v>2</v>
      </c>
      <c r="F494" s="216"/>
      <c r="G494" s="216" t="str">
        <f>IF(C494&lt;&gt;"",VLOOKUP(C494,DSKH!B:E,3,0),"")</f>
        <v>CTU</v>
      </c>
      <c r="H494" s="222">
        <v>1098972523</v>
      </c>
      <c r="I494" s="217" t="s">
        <v>2860</v>
      </c>
      <c r="J494" s="224" t="s">
        <v>3346</v>
      </c>
      <c r="K494" s="216" t="str">
        <f>IF(C494&lt;&gt;"",VLOOKUP(C494,[1]DSKH!B:E,4,0),"")</f>
        <v>QUYNH ANH: 0935 471 807</v>
      </c>
      <c r="L494" s="216">
        <f>4.7+3.8</f>
        <v>8.5</v>
      </c>
      <c r="M494" s="216" t="str">
        <f t="shared" si="14"/>
        <v>YAKJIN SAIGON- 1098972523 -MAY 03-na002185140</v>
      </c>
    </row>
    <row r="495" spans="1:13" ht="41.4">
      <c r="A495" s="216">
        <f>IF(C495&lt;&gt;"",SUBTOTAL(103,$C$8:C495),"")</f>
        <v>263</v>
      </c>
      <c r="B495" s="226">
        <v>43224</v>
      </c>
      <c r="C495" s="216" t="s">
        <v>2929</v>
      </c>
      <c r="D495" s="216" t="str">
        <f>IF(C495&lt;&gt;"",VLOOKUP(C495,[1]DSKH!B:E,2,0),"")</f>
        <v>Doan Bai Commune- Hiep Hoa Dist
 Bac Giang Province</v>
      </c>
      <c r="E495" s="215">
        <v>2</v>
      </c>
      <c r="F495" s="216" t="s">
        <v>2090</v>
      </c>
      <c r="G495" s="216">
        <f>IF(C495&lt;&gt;"",VLOOKUP(C495,DSKH!B:E,3,0),"")</f>
        <v>0</v>
      </c>
      <c r="H495" s="222">
        <v>1098988417</v>
      </c>
      <c r="I495" s="217" t="s">
        <v>2860</v>
      </c>
      <c r="J495" s="224" t="s">
        <v>3347</v>
      </c>
      <c r="K495" s="216" t="str">
        <f>IF(C495&lt;&gt;"",VLOOKUP(C495,[1]DSKH!B:E,4,0),"")</f>
        <v>MS.NA: 097 8894 809</v>
      </c>
      <c r="L495" s="216">
        <f>1.9+1.5</f>
        <v>3.4</v>
      </c>
      <c r="M495" s="216" t="str">
        <f t="shared" si="14"/>
        <v>HA PHONG 1- 1098988417 -MAY 03-na002185137</v>
      </c>
    </row>
    <row r="496" spans="1:13" ht="55.2">
      <c r="A496" s="216">
        <f>IF(C496&lt;&gt;"",SUBTOTAL(103,$C$8:C496),"")</f>
        <v>264</v>
      </c>
      <c r="B496" s="226">
        <v>43224</v>
      </c>
      <c r="C496" s="216" t="s">
        <v>1477</v>
      </c>
      <c r="D496" s="216" t="str">
        <f>IF(C496&lt;&gt;"",VLOOKUP(C496,[1]DSKH!B:E,2,0),"")</f>
        <v>Lo G9- mot phan lo G2, G3, G8, duong N-1, KCN Bao Minh,  huyen Vu Ban, tinh Nam Dinh</v>
      </c>
      <c r="E496" s="215">
        <v>1</v>
      </c>
      <c r="F496" s="216" t="s">
        <v>2090</v>
      </c>
      <c r="G496" s="216">
        <f>IF(C496&lt;&gt;"",VLOOKUP(C496,DSKH!B:E,3,0),"")</f>
        <v>0</v>
      </c>
      <c r="H496" s="222" t="s">
        <v>3348</v>
      </c>
      <c r="I496" s="217" t="s">
        <v>2860</v>
      </c>
      <c r="J496" s="224" t="s">
        <v>3349</v>
      </c>
      <c r="K496" s="216" t="str">
        <f>IF(C496&lt;&gt;"",VLOOKUP(C496,[1]DSKH!B:E,4,0),"")</f>
        <v>Attn: Tran Tuyet 0983 694 802</v>
      </c>
      <c r="L496" s="216">
        <v>0.1</v>
      </c>
      <c r="M496" s="216" t="str">
        <f t="shared" ref="M496:M497" si="15">C496&amp;"-"&amp;" "&amp;H496&amp;" "&amp;"-"&amp;"MAY"&amp;" "&amp;"03"&amp;"-"&amp;J496</f>
        <v>PADMAC- HB24007262-1 -MAY 03-na002185138</v>
      </c>
    </row>
    <row r="497" spans="1:13" ht="82.8">
      <c r="A497" s="216">
        <f>IF(C497&lt;&gt;"",SUBTOTAL(103,$C$8:C497),"")</f>
        <v>265</v>
      </c>
      <c r="B497" s="226">
        <v>43224</v>
      </c>
      <c r="C497" s="216" t="s">
        <v>2204</v>
      </c>
      <c r="D497" s="216" t="str">
        <f>IF(C497&lt;&gt;"",VLOOKUP(C497,[1]DSKH!B:E,2,0),"")</f>
        <v>BI, BII, BIII, BIV SECTION,  GIAO LONG INDUSTRIAL ZONE PHASE II,AN PHUOC COMMUNE, CHAU THANH DISTRICT, BEN TRE PROVINCE</v>
      </c>
      <c r="E497" s="215">
        <v>1</v>
      </c>
      <c r="F497" s="216" t="s">
        <v>2090</v>
      </c>
      <c r="G497" s="216">
        <f>IF(C497&lt;&gt;"",VLOOKUP(C497,DSKH!B:E,3,0),"")</f>
        <v>0</v>
      </c>
      <c r="H497" s="222" t="s">
        <v>3351</v>
      </c>
      <c r="I497" s="217" t="s">
        <v>2860</v>
      </c>
      <c r="J497" s="224" t="s">
        <v>3350</v>
      </c>
      <c r="K497" s="216" t="str">
        <f>IF(C497&lt;&gt;"",VLOOKUP(C497,[1]DSKH!B:E,4,0),"")</f>
        <v>Tel: 84-75- 3635600   Fax: 84-75- 3635601</v>
      </c>
      <c r="L497" s="216">
        <v>0.04</v>
      </c>
      <c r="M497" s="216" t="str">
        <f t="shared" si="15"/>
        <v>UNISOLL- HB22869336-1 -MAY 03-na002185135</v>
      </c>
    </row>
    <row r="498" spans="1:13" ht="41.4">
      <c r="A498" s="216">
        <f>IF(C498&lt;&gt;"",SUBTOTAL(103,$C$8:C498),"")</f>
        <v>266</v>
      </c>
      <c r="B498" s="226">
        <v>43225</v>
      </c>
      <c r="C498" s="216" t="s">
        <v>1591</v>
      </c>
      <c r="D498" s="216" t="str">
        <f>IF(C498&lt;&gt;"",VLOOKUP(C498,[1]DSKH!B:E,2,0),"")</f>
        <v>KM 14, THANG LOI, AN HUNG,
AN DUONG, HAI PHONG</v>
      </c>
      <c r="E498" s="215">
        <v>1</v>
      </c>
      <c r="F498" s="216"/>
      <c r="G498" s="216" t="str">
        <f>IF(C498&lt;&gt;"",VLOOKUP(C498,DSKH!B:E,3,0),"")</f>
        <v>HANG CHO XNK CONFIRM</v>
      </c>
      <c r="H498" s="222">
        <v>1099049326</v>
      </c>
      <c r="I498" s="217"/>
      <c r="J498" s="224" t="s">
        <v>3352</v>
      </c>
      <c r="K498" s="216" t="str">
        <f>IF(C498&lt;&gt;"",VLOOKUP(C498,[1]DSKH!B:E,4,0),"")</f>
        <v>0912 950 692- MS CHI</v>
      </c>
      <c r="L498" s="216">
        <v>2</v>
      </c>
      <c r="M498" s="216" t="str">
        <f>C498&amp;"-"&amp;" "&amp;H498&amp;" "&amp;"-"&amp;"MAY"&amp;" "&amp;"05"&amp;"-"&amp;J498</f>
        <v>PIT VINA- 1099049326 -MAY 05-na002185136</v>
      </c>
    </row>
    <row r="499" spans="1:13" ht="41.4">
      <c r="A499" s="216">
        <f>IF(C499&lt;&gt;"",SUBTOTAL(103,$C$8:C499),"")</f>
        <v>267</v>
      </c>
      <c r="B499" s="226">
        <v>43225</v>
      </c>
      <c r="C499" s="216" t="s">
        <v>631</v>
      </c>
      <c r="D499" s="216" t="str">
        <f>IF(C499&lt;&gt;"",VLOOKUP(C499,[1]DSKH!B:E,2,0),"")</f>
        <v>KM 30, DUONG SO 5, XA BACH SAM, MY HAO, HUNG YEN</v>
      </c>
      <c r="E499" s="215">
        <v>3</v>
      </c>
      <c r="F499" s="216"/>
      <c r="G499" s="216">
        <f>IF(C499&lt;&gt;"",VLOOKUP(C499,DSKH!B:E,3,0),"")</f>
        <v>0</v>
      </c>
      <c r="H499" s="222">
        <v>1099049327</v>
      </c>
      <c r="I499" s="217"/>
      <c r="J499" s="224" t="s">
        <v>3353</v>
      </c>
      <c r="K499" s="216" t="str">
        <f>IF(C499&lt;&gt;"",VLOOKUP(C499,[1]DSKH!B:E,4,0),"")</f>
        <v>MS HAU: 0904 348 881</v>
      </c>
      <c r="L499" s="216">
        <f>23.8+27+13.4</f>
        <v>64.2</v>
      </c>
      <c r="M499" s="216" t="str">
        <f t="shared" ref="M499:M551" si="16">C499&amp;"-"&amp;" "&amp;H499&amp;" "&amp;"-"&amp;"MAY"&amp;" "&amp;"05"&amp;"-"&amp;J499</f>
        <v>GG- 1099049327 -MAY 05-na002185133</v>
      </c>
    </row>
    <row r="500" spans="1:13" ht="27.6">
      <c r="A500" s="216">
        <f>IF(C500&lt;&gt;"",SUBTOTAL(103,$C$8:C500),"")</f>
        <v>268</v>
      </c>
      <c r="B500" s="226">
        <v>43225</v>
      </c>
      <c r="C500" s="216" t="s">
        <v>2321</v>
      </c>
      <c r="D500" s="216" t="str">
        <f>IF(C500&lt;&gt;"",VLOOKUP(C500,[1]DSKH!B:E,2,0),"")</f>
        <v>NO 100-QUANG TRUNG ST-THAI BINH</v>
      </c>
      <c r="E500" s="215">
        <v>1</v>
      </c>
      <c r="F500" s="216"/>
      <c r="G500" s="216">
        <f>IF(C500&lt;&gt;"",VLOOKUP(C500,DSKH!B:E,3,0),"")</f>
        <v>0</v>
      </c>
      <c r="H500" s="222">
        <v>1099049320</v>
      </c>
      <c r="I500" s="217"/>
      <c r="J500" s="224" t="s">
        <v>3354</v>
      </c>
      <c r="K500" s="216" t="str">
        <f>IF(C500&lt;&gt;"",VLOOKUP(C500,[1]DSKH!B:E,4,0),"")</f>
        <v>MS NGA- 0988 962 901</v>
      </c>
      <c r="L500" s="216">
        <v>1.4</v>
      </c>
      <c r="M500" s="216" t="str">
        <f t="shared" si="16"/>
        <v>VIET THAI- 1099049320 -MAY 05-na002185134</v>
      </c>
    </row>
    <row r="501" spans="1:13" ht="55.2">
      <c r="A501" s="216">
        <f>IF(C501&lt;&gt;"",SUBTOTAL(103,$C$8:C501),"")</f>
        <v>269</v>
      </c>
      <c r="B501" s="226">
        <v>43225</v>
      </c>
      <c r="C501" s="216" t="s">
        <v>2081</v>
      </c>
      <c r="D501" s="216" t="str">
        <f>IF(C501&lt;&gt;"",VLOOKUP(C501,[1]DSKH!B:E,2,0),"")</f>
        <v>KCN LAI VU- HAI DUONG</v>
      </c>
      <c r="E501" s="215">
        <f>2+5+4</f>
        <v>11</v>
      </c>
      <c r="F501" s="216"/>
      <c r="G501" s="216" t="str">
        <f>IF(C501&lt;&gt;"",VLOOKUP(C501,DSKH!B:E,3,0),"")</f>
        <v>HANG CHUNG CTU- NEU HANG GAP GIAO TRUOC</v>
      </c>
      <c r="H501" s="222">
        <v>1099049316</v>
      </c>
      <c r="I501" s="217"/>
      <c r="J501" s="224" t="s">
        <v>3355</v>
      </c>
      <c r="K501" s="216" t="str">
        <f>IF(C501&lt;&gt;"",VLOOKUP(C501,[1]DSKH!B:E,4,0),"")</f>
        <v>MS NGA: 0987 820 658</v>
      </c>
      <c r="L501" s="216">
        <f>1.54+18.1+5*16.8+10.5+2.7+4.74+14.7</f>
        <v>136.28</v>
      </c>
      <c r="M501" s="216" t="str">
        <f t="shared" si="16"/>
        <v>TINH LOI JC PENNEY- 1099049316 -MAY 05-na002185131</v>
      </c>
    </row>
    <row r="502" spans="1:13" ht="41.4">
      <c r="A502" s="216">
        <f>IF(C502&lt;&gt;"",SUBTOTAL(103,$C$8:C502),"")</f>
        <v>270</v>
      </c>
      <c r="B502" s="226">
        <v>43225</v>
      </c>
      <c r="C502" s="216" t="s">
        <v>2751</v>
      </c>
      <c r="D502" s="216" t="str">
        <f>IF(C502&lt;&gt;"",VLOOKUP(C502,[1]DSKH!B:E,2,0),"")</f>
        <v>KCN LAI VU, HAI DUONG</v>
      </c>
      <c r="E502" s="215">
        <v>1</v>
      </c>
      <c r="F502" s="216"/>
      <c r="G502" s="216">
        <f>IF(C502&lt;&gt;"",VLOOKUP(C502,DSKH!B:E,3,0),"")</f>
        <v>0</v>
      </c>
      <c r="H502" s="222">
        <v>1099049315</v>
      </c>
      <c r="I502" s="217"/>
      <c r="J502" s="224" t="s">
        <v>3356</v>
      </c>
      <c r="K502" s="216" t="str">
        <f>IF(C502&lt;&gt;"",VLOOKUP(C502,[1]DSKH!B:E,4,0),"")</f>
        <v>MINH 0968 536 659</v>
      </c>
      <c r="L502" s="216">
        <v>0.12</v>
      </c>
      <c r="M502" s="216" t="str">
        <f t="shared" si="16"/>
        <v>TINH LOI BLOCK 4- 1099049315 -MAY 05-na002185132</v>
      </c>
    </row>
    <row r="503" spans="1:13" ht="27.6">
      <c r="A503" s="216">
        <f>IF(C503&lt;&gt;"",SUBTOTAL(103,$C$8:C503),"")</f>
        <v>271</v>
      </c>
      <c r="B503" s="226">
        <v>43225</v>
      </c>
      <c r="C503" s="216" t="s">
        <v>2038</v>
      </c>
      <c r="D503" s="216" t="str">
        <f>IF(C503&lt;&gt;"",VLOOKUP(C503,[1]DSKH!B:E,2,0),"")</f>
        <v>THI TRAN VUONG, TIEN LU, HUNG YEN</v>
      </c>
      <c r="E503" s="215">
        <v>3</v>
      </c>
      <c r="F503" s="216"/>
      <c r="G503" s="216">
        <f>IF(C503&lt;&gt;"",VLOOKUP(C503,DSKH!B:E,3,0),"")</f>
        <v>0</v>
      </c>
      <c r="H503" s="222">
        <v>1098835065</v>
      </c>
      <c r="I503" s="217"/>
      <c r="J503" s="224" t="s">
        <v>3357</v>
      </c>
      <c r="K503" s="216" t="str">
        <f>IF(C503&lt;&gt;"",VLOOKUP(C503,[1]DSKH!B:E,4,0),"")</f>
        <v>MS NINH 0987 930 558/
 MR CUONG 0919 686 228</v>
      </c>
      <c r="L503" s="216">
        <f>1.26+4.66+1.92</f>
        <v>7.84</v>
      </c>
      <c r="M503" s="216" t="str">
        <f t="shared" si="16"/>
        <v>TIEN HUNG- 1098835065 -MAY 05-na002185129</v>
      </c>
    </row>
    <row r="504" spans="1:13" ht="27.6">
      <c r="A504" s="216">
        <f>IF(C504&lt;&gt;"",SUBTOTAL(103,$C$8:C504),"")</f>
        <v>272</v>
      </c>
      <c r="B504" s="226">
        <v>43225</v>
      </c>
      <c r="C504" s="216" t="s">
        <v>1813</v>
      </c>
      <c r="D504" s="216" t="str">
        <f>IF(C504&lt;&gt;"",VLOOKUP(C504,[1]DSKH!B:E,2,0),"")</f>
        <v>Cum CN Hoang Xa, Thanh Thuy, Phu Tho</v>
      </c>
      <c r="E504" s="215">
        <v>1</v>
      </c>
      <c r="F504" s="216"/>
      <c r="G504" s="216">
        <f>IF(C504&lt;&gt;"",VLOOKUP(C504,DSKH!B:E,3,0),"")</f>
        <v>0</v>
      </c>
      <c r="H504" s="222">
        <v>1099049319</v>
      </c>
      <c r="I504" s="217"/>
      <c r="J504" s="224" t="s">
        <v>3358</v>
      </c>
      <c r="K504" s="216">
        <f>IF(C504&lt;&gt;"",VLOOKUP(C504,[1]DSKH!B:E,4,0),"")</f>
        <v>0</v>
      </c>
      <c r="L504" s="216">
        <v>1.06</v>
      </c>
      <c r="M504" s="216" t="str">
        <f t="shared" si="16"/>
        <v>SON HA PHU THO- 1099049319 -MAY 05-na002185130</v>
      </c>
    </row>
    <row r="505" spans="1:13" ht="41.4">
      <c r="A505" s="216">
        <f>IF(C505&lt;&gt;"",SUBTOTAL(103,$C$8:C505),"")</f>
        <v>273</v>
      </c>
      <c r="B505" s="226">
        <v>43225</v>
      </c>
      <c r="C505" s="216" t="s">
        <v>2088</v>
      </c>
      <c r="D505" s="216" t="str">
        <f>IF(C505&lt;&gt;"",VLOOKUP(C505,[1]DSKH!B:E,2,0),"")</f>
        <v>KCN NAM SACH, HAI DUONG</v>
      </c>
      <c r="E505" s="215">
        <v>1</v>
      </c>
      <c r="F505" s="216"/>
      <c r="G505" s="216">
        <f>IF(C505&lt;&gt;"",VLOOKUP(C505,DSKH!B:E,3,0),"")</f>
        <v>0</v>
      </c>
      <c r="H505" s="222">
        <v>1099040066</v>
      </c>
      <c r="I505" s="217"/>
      <c r="J505" s="224" t="s">
        <v>3359</v>
      </c>
      <c r="K505" s="216" t="str">
        <f>IF(C505&lt;&gt;"",VLOOKUP(C505,[1]DSKH!B:E,4,0),"")</f>
        <v>HOA 0968747693</v>
      </c>
      <c r="L505" s="216">
        <f>0.3</f>
        <v>0.3</v>
      </c>
      <c r="M505" s="216" t="str">
        <f t="shared" si="16"/>
        <v>TINH LOI OLD NAVY- 1099040066 -MAY 05-na002185127</v>
      </c>
    </row>
    <row r="506" spans="1:13" ht="41.4">
      <c r="A506" s="216">
        <f>IF(C506&lt;&gt;"",SUBTOTAL(103,$C$8:C506),"")</f>
        <v>274</v>
      </c>
      <c r="B506" s="226">
        <v>43225</v>
      </c>
      <c r="C506" s="216" t="s">
        <v>471</v>
      </c>
      <c r="D506" s="216" t="str">
        <f>IF(C506&lt;&gt;"",VLOOKUP(C506,[1]DSKH!B:E,2,0),"")</f>
        <v>KCN LUONG SON, HOA SON, LUONG SON, HOA BINH</v>
      </c>
      <c r="E506" s="215">
        <v>1</v>
      </c>
      <c r="F506" s="216"/>
      <c r="G506" s="216">
        <f>IF(C506&lt;&gt;"",VLOOKUP(C506,DSKH!B:E,3,0),"")</f>
        <v>0</v>
      </c>
      <c r="H506" s="222">
        <v>1097956009</v>
      </c>
      <c r="I506" s="217"/>
      <c r="J506" s="224" t="s">
        <v>3360</v>
      </c>
      <c r="K506" s="216" t="str">
        <f>IF(C506&lt;&gt;"",VLOOKUP(C506,[1]DSKH!B:E,4,0),"")</f>
        <v>MS HOA: 0972 706 082</v>
      </c>
      <c r="L506" s="216">
        <v>5</v>
      </c>
      <c r="M506" s="216" t="str">
        <f t="shared" si="16"/>
        <v>ESQUEL HOA BINH- 1097956009 -MAY 05-na002185128</v>
      </c>
    </row>
    <row r="507" spans="1:13" ht="27.6">
      <c r="A507" s="216">
        <f>IF(C507&lt;&gt;"",SUBTOTAL(103,$C$8:C507),"")</f>
        <v>275</v>
      </c>
      <c r="B507" s="226">
        <v>43225</v>
      </c>
      <c r="C507" s="216" t="s">
        <v>1354</v>
      </c>
      <c r="D507" s="216" t="str">
        <f>IF(C507&lt;&gt;"",VLOOKUP(C507,[1]DSKH!B:E,2,0),"")</f>
        <v>01 GIAI PHONG, NAM DINH</v>
      </c>
      <c r="E507" s="215">
        <v>2</v>
      </c>
      <c r="F507" s="216"/>
      <c r="G507" s="216" t="str">
        <f>IF(C507&lt;&gt;"",VLOOKUP(C507,DSKH!B:E,3,0),"")</f>
        <v>hang chung ctu</v>
      </c>
      <c r="H507" s="222">
        <v>1099028826</v>
      </c>
      <c r="I507" s="217"/>
      <c r="J507" s="224" t="s">
        <v>3361</v>
      </c>
      <c r="K507" s="216" t="s">
        <v>3362</v>
      </c>
      <c r="L507" s="216">
        <v>6.38</v>
      </c>
      <c r="M507" s="216" t="str">
        <f t="shared" si="16"/>
        <v>NAM AN- 1099028826 -MAY 05-na002185125</v>
      </c>
    </row>
    <row r="508" spans="1:13" ht="96.6">
      <c r="A508" s="216">
        <f>IF(C508&lt;&gt;"",SUBTOTAL(103,$C$8:C508),"")</f>
        <v>276</v>
      </c>
      <c r="B508" s="226">
        <v>43225</v>
      </c>
      <c r="C508" s="216" t="s">
        <v>303</v>
      </c>
      <c r="D508" s="216" t="str">
        <f>IF(C508&lt;&gt;"",VLOOKUP(C508,[1]DSKH!B:E,2,0),"")</f>
        <v>LOT R (R1) KCN QUANG CHAU, VIET YEN, BAC GIANG</v>
      </c>
      <c r="E508" s="215">
        <v>5</v>
      </c>
      <c r="F508" s="216" t="s">
        <v>2861</v>
      </c>
      <c r="G508" s="216" t="str">
        <f>IF(C508&lt;&gt;"",VLOOKUP(C508,DSKH!B:E,3,0),"")</f>
        <v>KEM PL CHI TIET DANH SO THU TU TREN KIEN HANG- CON NHAN H&amp;M LAM THEO FORM CS</v>
      </c>
      <c r="H508" s="222">
        <v>1099043575</v>
      </c>
      <c r="I508" s="217"/>
      <c r="J508" s="224" t="s">
        <v>3363</v>
      </c>
      <c r="K508" s="216" t="str">
        <f>IF(C508&lt;&gt;"",VLOOKUP(C508,[1]DSKH!B:E,4,0),"")</f>
        <v>Thanh: 0982 175 182</v>
      </c>
      <c r="L508" s="216">
        <f>1.9+1.5+0.9+3.9+2.6</f>
        <v>10.799999999999999</v>
      </c>
      <c r="M508" s="216" t="str">
        <f t="shared" si="16"/>
        <v>CRYSTAL MARTIN- 1099043575 -MAY 05-na002185126</v>
      </c>
    </row>
    <row r="509" spans="1:13">
      <c r="A509" s="216" t="str">
        <f>IF(C509&lt;&gt;"",SUBTOTAL(103,$C$8:C509),"")</f>
        <v/>
      </c>
      <c r="B509" s="226">
        <v>43225</v>
      </c>
      <c r="C509" s="216"/>
      <c r="D509" s="216" t="str">
        <f>IF(C509&lt;&gt;"",VLOOKUP(C509,[1]DSKH!B:E,2,0),"")</f>
        <v/>
      </c>
      <c r="E509" s="215"/>
      <c r="F509" s="216"/>
      <c r="G509" s="216" t="str">
        <f>IF(C509&lt;&gt;"",VLOOKUP(C509,DSKH!B:E,3,0),"")</f>
        <v/>
      </c>
      <c r="H509" s="222">
        <v>1099043578</v>
      </c>
      <c r="I509" s="217"/>
      <c r="J509" s="224"/>
      <c r="K509" s="216" t="str">
        <f>IF(C509&lt;&gt;"",VLOOKUP(C509,[1]DSKH!B:E,4,0),"")</f>
        <v/>
      </c>
      <c r="L509" s="216"/>
      <c r="M509" s="216" t="str">
        <f t="shared" si="16"/>
        <v>- 1099043578 -MAY 05-</v>
      </c>
    </row>
    <row r="510" spans="1:13">
      <c r="A510" s="216" t="str">
        <f>IF(C510&lt;&gt;"",SUBTOTAL(103,$C$8:C510),"")</f>
        <v/>
      </c>
      <c r="B510" s="226">
        <v>43225</v>
      </c>
      <c r="C510" s="216"/>
      <c r="D510" s="216" t="str">
        <f>IF(C510&lt;&gt;"",VLOOKUP(C510,[1]DSKH!B:E,2,0),"")</f>
        <v/>
      </c>
      <c r="E510" s="215"/>
      <c r="F510" s="216"/>
      <c r="G510" s="216" t="str">
        <f>IF(C510&lt;&gt;"",VLOOKUP(C510,DSKH!B:E,3,0),"")</f>
        <v/>
      </c>
      <c r="H510" s="222">
        <v>1099043576</v>
      </c>
      <c r="I510" s="217"/>
      <c r="J510" s="224"/>
      <c r="K510" s="216" t="str">
        <f>IF(C510&lt;&gt;"",VLOOKUP(C510,[1]DSKH!B:E,4,0),"")</f>
        <v/>
      </c>
      <c r="L510" s="216"/>
      <c r="M510" s="216" t="str">
        <f t="shared" si="16"/>
        <v>- 1099043576 -MAY 05-</v>
      </c>
    </row>
    <row r="511" spans="1:13" ht="41.4">
      <c r="A511" s="216">
        <f>IF(C511&lt;&gt;"",SUBTOTAL(103,$C$8:C511),"")</f>
        <v>277</v>
      </c>
      <c r="B511" s="226">
        <v>43225</v>
      </c>
      <c r="C511" s="216" t="s">
        <v>231</v>
      </c>
      <c r="D511" s="216" t="str">
        <f>IF(C511&lt;&gt;"",VLOOKUP(C511,[1]DSKH!B:E,2,0),"")</f>
        <v>LOT 2A, QL 1A, KCN HOA PHU, HOA PHU, LONG HO, VINH LONG</v>
      </c>
      <c r="E511" s="215">
        <v>1</v>
      </c>
      <c r="F511" s="216"/>
      <c r="G511" s="216">
        <f>IF(C511&lt;&gt;"",VLOOKUP(C511,DSKH!B:E,3,0),"")</f>
        <v>0</v>
      </c>
      <c r="H511" s="222">
        <v>1099026191</v>
      </c>
      <c r="I511" s="217"/>
      <c r="J511" s="224" t="s">
        <v>3364</v>
      </c>
      <c r="K511" s="216" t="str">
        <f>IF(C511&lt;&gt;"",VLOOKUP(C511,[1]DSKH!B:E,4,0),"")</f>
        <v>ARIEL MAO: 070 3962750</v>
      </c>
      <c r="L511" s="216">
        <v>17.600000000000001</v>
      </c>
      <c r="M511" s="216" t="str">
        <f t="shared" si="16"/>
        <v>BO HSING- 1099026191 -MAY 05-na002185123</v>
      </c>
    </row>
    <row r="512" spans="1:13" ht="41.4">
      <c r="A512" s="216">
        <f>IF(C512&lt;&gt;"",SUBTOTAL(103,$C$8:C512),"")</f>
        <v>278</v>
      </c>
      <c r="B512" s="226">
        <v>43225</v>
      </c>
      <c r="C512" s="216" t="s">
        <v>2150</v>
      </c>
      <c r="D512" s="216" t="str">
        <f>IF(C512&lt;&gt;"",VLOOKUP(C512,[1]DSKH!B:E,2,0),"")</f>
        <v>SONG CONG 3, KHU B, KCN SONG CONG, THAI NGUYEN</v>
      </c>
      <c r="E512" s="215">
        <v>1</v>
      </c>
      <c r="F512" s="216"/>
      <c r="G512" s="216">
        <f>IF(C512&lt;&gt;"",VLOOKUP(C512,DSKH!B:E,3,0),"")</f>
        <v>0</v>
      </c>
      <c r="H512" s="222">
        <v>1099039410</v>
      </c>
      <c r="I512" s="217"/>
      <c r="J512" s="224" t="s">
        <v>3365</v>
      </c>
      <c r="K512" s="216" t="str">
        <f>IF(C512&lt;&gt;"",VLOOKUP(C512,[1]DSKH!B:E,4,0),"")</f>
        <v>THANH TRA: 0169 266 1597</v>
      </c>
      <c r="L512" s="216">
        <v>0.44</v>
      </c>
      <c r="M512" s="216" t="str">
        <f t="shared" si="16"/>
        <v>TNG SONG CONG 3- 1099039410 -MAY 05-na002185124</v>
      </c>
    </row>
    <row r="513" spans="1:13" ht="41.4">
      <c r="A513" s="216">
        <f>IF(C513&lt;&gt;"",SUBTOTAL(103,$C$8:C513),"")</f>
        <v>279</v>
      </c>
      <c r="B513" s="226">
        <v>43225</v>
      </c>
      <c r="C513" s="216" t="s">
        <v>2552</v>
      </c>
      <c r="D513" s="216" t="str">
        <f>IF(C513&lt;&gt;"",VLOOKUP(C513,[1]DSKH!B:E,2,0),"")</f>
        <v>Ta Thuong Hamlet- Chinh Nghia commune- Kim Dong District-Hung Yen Province</v>
      </c>
      <c r="E513" s="215">
        <v>2</v>
      </c>
      <c r="F513" s="216"/>
      <c r="G513" s="216">
        <f>IF(C513&lt;&gt;"",VLOOKUP(C513,DSKH!B:E,3,0),"")</f>
        <v>0</v>
      </c>
      <c r="H513" s="222">
        <v>1099039311</v>
      </c>
      <c r="I513" s="217"/>
      <c r="J513" s="224" t="s">
        <v>3366</v>
      </c>
      <c r="K513" s="216" t="str">
        <f>IF(C513&lt;&gt;"",VLOOKUP(C513,[1]DSKH!B:E,4,0),"")</f>
        <v>0978 870 978</v>
      </c>
      <c r="L513" s="216">
        <f>2*10.4</f>
        <v>20.8</v>
      </c>
      <c r="M513" s="216" t="str">
        <f t="shared" si="16"/>
        <v>YOUNGONE HUNG YEN- 1099039311 -MAY 05-na002185121</v>
      </c>
    </row>
    <row r="514" spans="1:13" ht="27.6">
      <c r="A514" s="216">
        <f>IF(C514&lt;&gt;"",SUBTOTAL(103,$C$8:C514),"")</f>
        <v>280</v>
      </c>
      <c r="B514" s="226">
        <v>43225</v>
      </c>
      <c r="C514" s="216" t="s">
        <v>861</v>
      </c>
      <c r="D514" s="216" t="str">
        <f>IF(C514&lt;&gt;"",VLOOKUP(C514,[1]DSKH!B:E,2,0),"")</f>
        <v>LOT B III&amp;V, KCN TAN HUONG, TIEN GIANG</v>
      </c>
      <c r="E514" s="215">
        <v>1</v>
      </c>
      <c r="F514" s="216"/>
      <c r="G514" s="216" t="str">
        <f>IF(C514&lt;&gt;"",VLOOKUP(C514,DSKH!B:E,3,0),"")</f>
        <v>CHO XNK CONFIRM</v>
      </c>
      <c r="H514" s="222">
        <v>1099012354</v>
      </c>
      <c r="I514" s="217"/>
      <c r="J514" s="224" t="s">
        <v>3367</v>
      </c>
      <c r="K514" s="216" t="str">
        <f>IF(C514&lt;&gt;"",VLOOKUP(C514,[1]DSKH!B:E,4,0),"")</f>
        <v>MS MAI: 0167 890 2591</v>
      </c>
      <c r="L514" s="216">
        <v>0.4</v>
      </c>
      <c r="M514" s="216" t="str">
        <f t="shared" si="16"/>
        <v>HANSAE TG- 1099012354 -MAY 05-na002185122</v>
      </c>
    </row>
    <row r="515" spans="1:13" ht="55.2">
      <c r="A515" s="216">
        <f>IF(C515&lt;&gt;"",SUBTOTAL(103,$C$8:C515),"")</f>
        <v>281</v>
      </c>
      <c r="B515" s="226">
        <v>43225</v>
      </c>
      <c r="C515" s="216" t="s">
        <v>2541</v>
      </c>
      <c r="D515" s="216" t="str">
        <f>IF(C515&lt;&gt;"",VLOOKUP(C515,[1]DSKH!B:E,2,0),"")</f>
        <v>Lot AIII - 1,5 Tan Huong IZ, Tan Huong Ward, Chau Thanh Dist, Tien Giang Province</v>
      </c>
      <c r="E515" s="215">
        <v>8</v>
      </c>
      <c r="F515" s="216"/>
      <c r="G515" s="216">
        <f>IF(C515&lt;&gt;"",VLOOKUP(C515,DSKH!B:E,3,0),"")</f>
        <v>0</v>
      </c>
      <c r="H515" s="222">
        <v>1098176582</v>
      </c>
      <c r="I515" s="217" t="s">
        <v>3368</v>
      </c>
      <c r="J515" s="224" t="s">
        <v>3369</v>
      </c>
      <c r="K515" s="216">
        <f>IF(C515&lt;&gt;"",VLOOKUP(C515,[1]DSKH!B:E,4,0),"")</f>
        <v>0</v>
      </c>
      <c r="L515" s="216">
        <f>0.12+0.4+0.12+0.1</f>
        <v>0.74</v>
      </c>
      <c r="M515" s="216" t="str">
        <f t="shared" si="16"/>
        <v>YMUV- 1098176582 -MAY 05-na002185119</v>
      </c>
    </row>
    <row r="516" spans="1:13">
      <c r="A516" s="216" t="str">
        <f>IF(C516&lt;&gt;"",SUBTOTAL(103,$C$8:C516),"")</f>
        <v/>
      </c>
      <c r="B516" s="226">
        <v>43225</v>
      </c>
      <c r="C516" s="216"/>
      <c r="D516" s="216" t="str">
        <f>IF(C516&lt;&gt;"",VLOOKUP(C516,[1]DSKH!B:E,2,0),"")</f>
        <v/>
      </c>
      <c r="E516" s="215"/>
      <c r="F516" s="216"/>
      <c r="G516" s="216" t="str">
        <f>IF(C516&lt;&gt;"",VLOOKUP(C516,DSKH!B:E,3,0),"")</f>
        <v/>
      </c>
      <c r="H516" s="222">
        <v>1097964613</v>
      </c>
      <c r="I516" s="217"/>
      <c r="J516" s="224"/>
      <c r="K516" s="216" t="str">
        <f>IF(C516&lt;&gt;"",VLOOKUP(C516,[1]DSKH!B:E,4,0),"")</f>
        <v/>
      </c>
      <c r="L516" s="216"/>
      <c r="M516" s="216" t="str">
        <f t="shared" si="16"/>
        <v>- 1097964613 -MAY 05-</v>
      </c>
    </row>
    <row r="517" spans="1:13" ht="82.8">
      <c r="A517" s="216">
        <f>IF(C517&lt;&gt;"",SUBTOTAL(103,$C$8:C517),"")</f>
        <v>282</v>
      </c>
      <c r="B517" s="226">
        <v>43225</v>
      </c>
      <c r="C517" s="216" t="s">
        <v>2204</v>
      </c>
      <c r="D517" s="216" t="str">
        <f>IF(C517&lt;&gt;"",VLOOKUP(C517,[1]DSKH!B:E,2,0),"")</f>
        <v>BI, BII, BIII, BIV SECTION,  GIAO LONG INDUSTRIAL ZONE PHASE II,AN PHUOC COMMUNE, CHAU THANH DISTRICT, BEN TRE PROVINCE</v>
      </c>
      <c r="E517" s="215">
        <v>5</v>
      </c>
      <c r="F517" s="216" t="s">
        <v>2090</v>
      </c>
      <c r="G517" s="216">
        <f>IF(C517&lt;&gt;"",VLOOKUP(C517,DSKH!B:E,3,0),"")</f>
        <v>0</v>
      </c>
      <c r="H517" s="222">
        <v>1099002769</v>
      </c>
      <c r="I517" s="217" t="s">
        <v>2860</v>
      </c>
      <c r="J517" s="224" t="s">
        <v>3370</v>
      </c>
      <c r="K517" s="216" t="str">
        <f>IF(C517&lt;&gt;"",VLOOKUP(C517,[1]DSKH!B:E,4,0),"")</f>
        <v>Tel: 84-75- 3635600   Fax: 84-75- 3635601</v>
      </c>
      <c r="L517" s="216">
        <f>0.5+0.72+0.32+0.82</f>
        <v>2.36</v>
      </c>
      <c r="M517" s="216" t="str">
        <f t="shared" si="16"/>
        <v>UNISOLL- 1099002769 -MAY 05-na002185120</v>
      </c>
    </row>
    <row r="518" spans="1:13">
      <c r="A518" s="216" t="str">
        <f>IF(C518&lt;&gt;"",SUBTOTAL(103,$C$8:C518),"")</f>
        <v/>
      </c>
      <c r="B518" s="226">
        <v>43225</v>
      </c>
      <c r="C518" s="216"/>
      <c r="D518" s="216" t="str">
        <f>IF(C518&lt;&gt;"",VLOOKUP(C518,[1]DSKH!B:E,2,0),"")</f>
        <v/>
      </c>
      <c r="E518" s="215"/>
      <c r="F518" s="216"/>
      <c r="G518" s="216" t="str">
        <f>IF(C518&lt;&gt;"",VLOOKUP(C518,DSKH!B:E,3,0),"")</f>
        <v/>
      </c>
      <c r="H518" s="222">
        <v>1098876169</v>
      </c>
      <c r="I518" s="217"/>
      <c r="J518" s="224"/>
      <c r="K518" s="216" t="str">
        <f>IF(C518&lt;&gt;"",VLOOKUP(C518,[1]DSKH!B:E,4,0),"")</f>
        <v/>
      </c>
      <c r="L518" s="216"/>
      <c r="M518" s="216" t="str">
        <f t="shared" si="16"/>
        <v>- 1098876169 -MAY 05-</v>
      </c>
    </row>
    <row r="519" spans="1:13" ht="55.2">
      <c r="A519" s="216">
        <f>IF(C519&lt;&gt;"",SUBTOTAL(103,$C$8:C519),"")</f>
        <v>283</v>
      </c>
      <c r="B519" s="226">
        <v>43225</v>
      </c>
      <c r="C519" s="216" t="s">
        <v>1365</v>
      </c>
      <c r="D519" s="216" t="str">
        <f>IF(C519&lt;&gt;"",VLOOKUP(C519,[1]DSKH!B:E,2,0),"")</f>
        <v>KHU A-LO H1-H5- Duong Pham Ngu Lao-Khu Cong Nghiep Hoa Xa-TP Nam Dinh</v>
      </c>
      <c r="E519" s="215">
        <v>1</v>
      </c>
      <c r="F519" s="216"/>
      <c r="G519" s="216">
        <f>IF(C519&lt;&gt;"",VLOOKUP(C519,DSKH!B:E,3,0),"")</f>
        <v>0</v>
      </c>
      <c r="H519" s="222">
        <v>1099028872</v>
      </c>
      <c r="I519" s="217"/>
      <c r="J519" s="224" t="s">
        <v>3371</v>
      </c>
      <c r="K519" s="216" t="str">
        <f>IF(C519&lt;&gt;"",VLOOKUP(C519,[1]DSKH!B:E,4,0),"")</f>
        <v>A Thinh (MR) 904770343
TEL : 0350 849 451</v>
      </c>
      <c r="L519" s="216">
        <v>1.5</v>
      </c>
      <c r="M519" s="216" t="str">
        <f t="shared" si="16"/>
        <v>NAM DINH- 1099028872 -MAY 05-na002185117</v>
      </c>
    </row>
    <row r="520" spans="1:13" ht="41.4">
      <c r="A520" s="216">
        <f>IF(C520&lt;&gt;"",SUBTOTAL(103,$C$8:C520),"")</f>
        <v>284</v>
      </c>
      <c r="B520" s="226">
        <v>43225</v>
      </c>
      <c r="C520" s="216" t="s">
        <v>2608</v>
      </c>
      <c r="D520" s="216" t="str">
        <f>IF(C520&lt;&gt;"",VLOOKUP(C520,[1]DSKH!B:E,2,0),"")</f>
        <v>LOC TRU, TIEN THANG, TIEN LANG, HAI PHONG</v>
      </c>
      <c r="E520" s="215">
        <v>1</v>
      </c>
      <c r="F520" s="216"/>
      <c r="G520" s="216">
        <f>IF(C520&lt;&gt;"",VLOOKUP(C520,DSKH!B:E,3,0),"")</f>
        <v>0</v>
      </c>
      <c r="H520" s="222">
        <v>1099010022</v>
      </c>
      <c r="I520" s="217"/>
      <c r="J520" s="224" t="s">
        <v>3372</v>
      </c>
      <c r="K520" s="216">
        <f>IF(C520&lt;&gt;"",VLOOKUP(C520,[1]DSKH!B:E,4,0),"")</f>
        <v>0</v>
      </c>
      <c r="L520" s="216">
        <v>6.2</v>
      </c>
      <c r="M520" s="216" t="str">
        <f t="shared" si="16"/>
        <v>EVERGREEN SHOES- 1099010022 -MAY 05-na002185118</v>
      </c>
    </row>
    <row r="521" spans="1:13" ht="27.6">
      <c r="A521" s="216">
        <f>IF(C521&lt;&gt;"",SUBTOTAL(103,$C$8:C521),"")</f>
        <v>285</v>
      </c>
      <c r="B521" s="226">
        <v>43225</v>
      </c>
      <c r="C521" s="216" t="s">
        <v>2526</v>
      </c>
      <c r="D521" s="216" t="str">
        <f>IF(C521&lt;&gt;"",VLOOKUP(C521,[1]DSKH!B:E,2,0),"")</f>
        <v>NO.B6,THUY VAN IZ,VIET TRI,PHU THO,VIET NAM</v>
      </c>
      <c r="E521" s="215">
        <v>1</v>
      </c>
      <c r="F521" s="216"/>
      <c r="G521" s="216" t="str">
        <f>IF(C521&lt;&gt;"",VLOOKUP(C521,DSKH!B:E,3,0),"")</f>
        <v>CTU</v>
      </c>
      <c r="H521" s="222">
        <v>1099126429</v>
      </c>
      <c r="I521" s="217" t="s">
        <v>2860</v>
      </c>
      <c r="J521" s="224" t="s">
        <v>3373</v>
      </c>
      <c r="K521" s="216" t="str">
        <f>IF(C521&lt;&gt;"",VLOOKUP(C521,[1]DSKH!B:E,4,0),"")</f>
        <v>QUYNH ANH: 0935 471 807</v>
      </c>
      <c r="L521" s="216">
        <v>4.2</v>
      </c>
      <c r="M521" s="216" t="str">
        <f t="shared" si="16"/>
        <v>YAKJIN VIETNAM- 1099126429 -MAY 05-na002185115</v>
      </c>
    </row>
    <row r="522" spans="1:13" ht="41.4">
      <c r="A522" s="216">
        <f>IF(C522&lt;&gt;"",SUBTOTAL(103,$C$8:C522),"")</f>
        <v>286</v>
      </c>
      <c r="B522" s="226">
        <v>43225</v>
      </c>
      <c r="C522" s="216" t="s">
        <v>1145</v>
      </c>
      <c r="D522" s="216" t="str">
        <f>IF(C522&lt;&gt;"",VLOOKUP(C522,[1]DSKH!B:E,2,0),"")</f>
        <v>LOT24-6 RD-TRANG BANG IZ-TRANG BANG-TAY NINH</v>
      </c>
      <c r="E522" s="215">
        <v>4</v>
      </c>
      <c r="F522" s="216"/>
      <c r="G522" s="216">
        <f>IF(C522&lt;&gt;"",VLOOKUP(C522,DSKH!B:E,3,0),"")</f>
        <v>0</v>
      </c>
      <c r="H522" s="222">
        <v>1098855793</v>
      </c>
      <c r="I522" s="217" t="s">
        <v>3322</v>
      </c>
      <c r="J522" s="224" t="s">
        <v>3374</v>
      </c>
      <c r="K522" s="216" t="s">
        <v>3322</v>
      </c>
      <c r="L522" s="216">
        <f>3*7.4+6.6</f>
        <v>28.800000000000004</v>
      </c>
      <c r="M522" s="216" t="str">
        <f t="shared" si="16"/>
        <v>LANG HAM- 1098855793 -MAY 05-na002185116</v>
      </c>
    </row>
    <row r="523" spans="1:13" ht="55.2">
      <c r="A523" s="216">
        <f>IF(C523&lt;&gt;"",SUBTOTAL(103,$C$8:C523),"")</f>
        <v>287</v>
      </c>
      <c r="B523" s="226">
        <v>43225</v>
      </c>
      <c r="C523" s="216" t="s">
        <v>2289</v>
      </c>
      <c r="D523" s="216" t="str">
        <f>IF(C523&lt;&gt;"",VLOOKUP(C523,[1]DSKH!B:E,2,0),"")</f>
        <v>QUYNH PHUC INDUSTRIAL PARK, PHUC THANH COMMUNE, KIMTHANH DIST</v>
      </c>
      <c r="E523" s="215">
        <v>2</v>
      </c>
      <c r="F523" s="216"/>
      <c r="G523" s="216">
        <f>IF(C523&lt;&gt;"",VLOOKUP(C523,DSKH!B:E,3,0),"")</f>
        <v>0</v>
      </c>
      <c r="H523" s="222">
        <v>1098853978</v>
      </c>
      <c r="I523" s="217"/>
      <c r="J523" s="224" t="s">
        <v>3376</v>
      </c>
      <c r="K523" s="216">
        <f>IF(C523&lt;&gt;"",VLOOKUP(C523,[1]DSKH!B:E,4,0),"")</f>
        <v>0</v>
      </c>
      <c r="L523" s="216">
        <f>0.18+0.18</f>
        <v>0.36</v>
      </c>
      <c r="M523" s="216" t="str">
        <f t="shared" si="16"/>
        <v>VIET NAM CHUNG JYE- 1098853978 -MAY 05-na002185114</v>
      </c>
    </row>
    <row r="524" spans="1:13" ht="55.2">
      <c r="A524" s="216">
        <f>IF(C524&lt;&gt;"",SUBTOTAL(103,$C$8:C524),"")</f>
        <v>288</v>
      </c>
      <c r="B524" s="226">
        <v>43225</v>
      </c>
      <c r="C524" s="216" t="s">
        <v>1892</v>
      </c>
      <c r="D524" s="216" t="str">
        <f>IF(C524&lt;&gt;"",VLOOKUP(C524,[1]DSKH!B:E,2,0),"")</f>
        <v>CUM CN HOANG DIEU, GIA LOC, HAI DUONG</v>
      </c>
      <c r="E524" s="215">
        <v>1</v>
      </c>
      <c r="F524" s="216" t="s">
        <v>2090</v>
      </c>
      <c r="G524" s="216" t="str">
        <f>IF(C524&lt;&gt;"",VLOOKUP(C524,DSKH!B:E,3,0),"")</f>
        <v>nhãn Limited giao BaRom- KHTT
TTC-KHTT
CHUNG CTU</v>
      </c>
      <c r="H524" s="222">
        <v>1098021286</v>
      </c>
      <c r="I524" s="217" t="s">
        <v>2860</v>
      </c>
      <c r="J524" s="224" t="s">
        <v>3375</v>
      </c>
      <c r="K524" s="216" t="str">
        <f>IF(C524&lt;&gt;"",VLOOKUP(C524,[1]DSKH!B:E,4,0),"")</f>
        <v>MR MINH: 0904 875 595</v>
      </c>
      <c r="L524" s="216">
        <v>5.2</v>
      </c>
      <c r="M524" s="216" t="str">
        <f t="shared" si="16"/>
        <v>SSV- 1098021286 -MAY 05-na002185113</v>
      </c>
    </row>
    <row r="525" spans="1:13" ht="82.8">
      <c r="A525" s="216">
        <f>IF(C525&lt;&gt;"",SUBTOTAL(103,$C$8:C525),"")</f>
        <v>289</v>
      </c>
      <c r="B525" s="226">
        <v>43225</v>
      </c>
      <c r="C525" s="216" t="s">
        <v>2204</v>
      </c>
      <c r="D525" s="216" t="str">
        <f>IF(C525&lt;&gt;"",VLOOKUP(C525,[1]DSKH!B:E,2,0),"")</f>
        <v>BI, BII, BIII, BIV SECTION,  GIAO LONG INDUSTRIAL ZONE PHASE II,AN PHUOC COMMUNE, CHAU THANH DISTRICT, BEN TRE PROVINCE</v>
      </c>
      <c r="E525" s="215">
        <v>3</v>
      </c>
      <c r="F525" s="216"/>
      <c r="G525" s="216">
        <f>IF(C525&lt;&gt;"",VLOOKUP(C525,DSKH!B:E,3,0),"")</f>
        <v>0</v>
      </c>
      <c r="H525" s="222">
        <v>1099127958</v>
      </c>
      <c r="I525" s="217" t="s">
        <v>2860</v>
      </c>
      <c r="J525" s="224" t="s">
        <v>3377</v>
      </c>
      <c r="K525" s="216" t="str">
        <f>IF(C525&lt;&gt;"",VLOOKUP(C525,[1]DSKH!B:E,4,0),"")</f>
        <v>Tel: 84-75- 3635600   Fax: 84-75- 3635601</v>
      </c>
      <c r="L525" s="216">
        <f>1.9+0.6</f>
        <v>2.5</v>
      </c>
      <c r="M525" s="216" t="str">
        <f t="shared" si="16"/>
        <v>UNISOLL- 1099127958 -MAY 05-na002185112</v>
      </c>
    </row>
    <row r="526" spans="1:13" ht="41.4">
      <c r="A526" s="216">
        <f>IF(C526&lt;&gt;"",SUBTOTAL(103,$C$8:C526),"")</f>
        <v>290</v>
      </c>
      <c r="B526" s="226">
        <v>43225</v>
      </c>
      <c r="C526" s="216" t="s">
        <v>746</v>
      </c>
      <c r="D526" s="216" t="str">
        <f>IF(C526&lt;&gt;"",VLOOKUP(C526,[1]DSKH!B:E,2,0),"")</f>
        <v>NGA TU DINH TRAM-HONG THAI-VIET YEN-BAC GIANG</v>
      </c>
      <c r="E526" s="215">
        <v>1</v>
      </c>
      <c r="F526" s="216"/>
      <c r="G526" s="216">
        <f>IF(C526&lt;&gt;"",VLOOKUP(C526,DSKH!B:E,3,0),"")</f>
        <v>0</v>
      </c>
      <c r="H526" s="222">
        <v>1099135073</v>
      </c>
      <c r="I526" s="217" t="s">
        <v>2860</v>
      </c>
      <c r="J526" s="224" t="s">
        <v>3378</v>
      </c>
      <c r="K526" s="216" t="str">
        <f>IF(C526&lt;&gt;"",VLOOKUP(C526,[1]DSKH!B:E,4,0),"")</f>
        <v>MR BINH 0915181104</v>
      </c>
      <c r="L526" s="216">
        <v>3.6</v>
      </c>
      <c r="M526" s="216" t="str">
        <f t="shared" si="16"/>
        <v>HA BAC 2- 1099135073 -MAY 05-na002185109</v>
      </c>
    </row>
    <row r="527" spans="1:13" ht="96.6">
      <c r="A527" s="216">
        <f>IF(C527&lt;&gt;"",SUBTOTAL(103,$C$8:C527),"")</f>
        <v>291</v>
      </c>
      <c r="B527" s="226">
        <v>43225</v>
      </c>
      <c r="C527" s="216" t="s">
        <v>1225</v>
      </c>
      <c r="D527" s="216" t="str">
        <f>IF(C527&lt;&gt;"",VLOOKUP(C527,[1]DSKH!B:E,2,0),"")</f>
        <v>60-ME NHU-DA NANG</v>
      </c>
      <c r="E527" s="215">
        <v>10</v>
      </c>
      <c r="F527" s="216"/>
      <c r="G527" s="216" t="str">
        <f>IF(C527&lt;&gt;"",VLOOKUP(C527,DSKH!B:E,3,0),"")</f>
        <v>HANG GEN NHAN FIGS CHO EMAIL CONFIRM GIAO HANG CUA CS, KEM PKL CHI TIET (DECATHLON)</v>
      </c>
      <c r="H527" s="222">
        <v>1099039373</v>
      </c>
      <c r="I527" s="217"/>
      <c r="J527" s="224" t="s">
        <v>3379</v>
      </c>
      <c r="K527" s="216" t="str">
        <f>IF(C527&lt;&gt;"",VLOOKUP(C527,[1]DSKH!B:E,4,0),"")</f>
        <v>ANH CHAU- KHO PHU LIEU-05113-759249</v>
      </c>
      <c r="L527" s="216">
        <f>0.2+1.3+3.4+2.3+4.6+0.1+6.6+0.1+0.1+12.8</f>
        <v>31.500000000000004</v>
      </c>
      <c r="M527" s="216" t="str">
        <f t="shared" si="16"/>
        <v>MAY 29 03- 1099039373 -MAY 05-na002185110</v>
      </c>
    </row>
    <row r="528" spans="1:13" ht="41.4">
      <c r="A528" s="216">
        <f>IF(C528&lt;&gt;"",SUBTOTAL(103,$C$8:C528),"")</f>
        <v>292</v>
      </c>
      <c r="B528" s="226">
        <v>43225</v>
      </c>
      <c r="C528" s="216" t="s">
        <v>523</v>
      </c>
      <c r="D528" s="216" t="str">
        <f>IF(C528&lt;&gt;"",VLOOKUP(C528,[1]DSKH!B:E,2,0),"")</f>
        <v>My Xuan A2 Industrial Zone, Tan Thanh District, Ba Ria-Vung Tau</v>
      </c>
      <c r="E528" s="215">
        <v>2</v>
      </c>
      <c r="F528" s="216" t="s">
        <v>2090</v>
      </c>
      <c r="G528" s="216">
        <f>IF(C528&lt;&gt;"",VLOOKUP(C528,DSKH!B:E,3,0),"")</f>
        <v>0</v>
      </c>
      <c r="H528" s="222">
        <v>1099153818</v>
      </c>
      <c r="I528" s="217" t="s">
        <v>2860</v>
      </c>
      <c r="J528" s="224" t="s">
        <v>3380</v>
      </c>
      <c r="K528" s="216">
        <f>IF(C528&lt;&gt;"",VLOOKUP(C528,[1]DSKH!B:E,4,0),"")</f>
        <v>0</v>
      </c>
      <c r="L528" s="216">
        <f>0.13+0.18</f>
        <v>0.31</v>
      </c>
      <c r="M528" s="216" t="str">
        <f t="shared" si="16"/>
        <v>FORMOSA- 1099153818 -MAY 05-na002185107</v>
      </c>
    </row>
    <row r="529" spans="1:13" ht="27.6">
      <c r="A529" s="216">
        <f>IF(C529&lt;&gt;"",SUBTOTAL(103,$C$8:C529),"")</f>
        <v>293</v>
      </c>
      <c r="B529" s="226">
        <v>43225</v>
      </c>
      <c r="C529" s="216" t="s">
        <v>339</v>
      </c>
      <c r="D529" s="216" t="str">
        <f>IF(C529&lt;&gt;"",VLOOKUP(C529,[1]DSKH!B:E,2,0),"")</f>
        <v>THO SON DAI NGHIA MY DUC HA NOI</v>
      </c>
      <c r="E529" s="215">
        <v>2</v>
      </c>
      <c r="F529" s="216"/>
      <c r="G529" s="216">
        <f>IF(C529&lt;&gt;"",VLOOKUP(C529,DSKH!B:E,3,0),"")</f>
        <v>0</v>
      </c>
      <c r="H529" s="222">
        <v>1099027437</v>
      </c>
      <c r="I529" s="217"/>
      <c r="J529" s="224" t="s">
        <v>3381</v>
      </c>
      <c r="K529" s="216" t="str">
        <f>IF(C529&lt;&gt;"",VLOOKUP(C529,[1]DSKH!B:E,4,0),"")</f>
        <v>SON 0913218393</v>
      </c>
      <c r="L529" s="216">
        <f>2.42+4.08</f>
        <v>6.5</v>
      </c>
      <c r="M529" s="216" t="str">
        <f t="shared" si="16"/>
        <v>DAI NGHIA- 1099027437 -MAY 05-na002185108</v>
      </c>
    </row>
    <row r="530" spans="1:13" ht="55.2">
      <c r="A530" s="216">
        <f>IF(C530&lt;&gt;"",SUBTOTAL(103,$C$8:C530),"")</f>
        <v>294</v>
      </c>
      <c r="B530" s="226">
        <v>43225</v>
      </c>
      <c r="C530" s="216" t="s">
        <v>710</v>
      </c>
      <c r="D530" s="216" t="str">
        <f>IF(C530&lt;&gt;"",VLOOKUP(C530,[1]DSKH!B:E,2,0),"")</f>
        <v>Lot D1-D14, Dong Xoai II Industrial Zone, Tien Thanh Commune, Dong Xoai Town, Binh Phuoc Province</v>
      </c>
      <c r="E530" s="215">
        <v>1</v>
      </c>
      <c r="F530" s="216"/>
      <c r="G530" s="216" t="str">
        <f>IF(C530&lt;&gt;"",VLOOKUP(C530,DSKH!B:E,3,0),"")</f>
        <v>GIAO 2 DN CHO KH</v>
      </c>
      <c r="H530" s="222" t="s">
        <v>3382</v>
      </c>
      <c r="I530" s="217"/>
      <c r="J530" s="224" t="s">
        <v>3383</v>
      </c>
      <c r="K530" s="216" t="str">
        <f>IF(C530&lt;&gt;"",VLOOKUP(C530,[1]DSKH!B:E,4,0),"")</f>
        <v>Ms Phượng. Tel: 0948281936</v>
      </c>
      <c r="L530" s="216">
        <v>0.04</v>
      </c>
      <c r="M530" s="216" t="str">
        <f t="shared" si="16"/>
        <v>GRAND GAIN- HB 23894673-3 -MAY 05-na002185105</v>
      </c>
    </row>
    <row r="531" spans="1:13" ht="69">
      <c r="A531" s="216">
        <f>IF(C531&lt;&gt;"",SUBTOTAL(103,$C$8:C531),"")</f>
        <v>295</v>
      </c>
      <c r="B531" s="226">
        <v>43225</v>
      </c>
      <c r="C531" s="216" t="s">
        <v>2431</v>
      </c>
      <c r="D531" s="216" t="str">
        <f>IF(C531&lt;&gt;"",VLOOKUP(C531,[1]DSKH!B:E,2,0),"")</f>
        <v>KCN DONG XUYEN-P. RACH DUA-TP VUNG TAU</v>
      </c>
      <c r="E531" s="215">
        <v>2</v>
      </c>
      <c r="F531" s="216" t="s">
        <v>2090</v>
      </c>
      <c r="G531" s="216">
        <f>IF(C531&lt;&gt;"",VLOOKUP(C531,DSKH!B:E,3,0),"")</f>
        <v>0</v>
      </c>
      <c r="H531" s="222">
        <v>1099152111</v>
      </c>
      <c r="I531" s="217" t="s">
        <v>2860</v>
      </c>
      <c r="J531" s="224" t="s">
        <v>3384</v>
      </c>
      <c r="K531" s="216" t="str">
        <f>IF(C531&lt;&gt;"",VLOOKUP(C531,[1]DSKH!B:E,4,0),"")</f>
        <v>CLARK-THAO(lan-0938414697
ROPORT:HANG-64-612002
WOL:ms huynh-bpdh- 0933 714 959</v>
      </c>
      <c r="L531" s="216">
        <v>0.24</v>
      </c>
      <c r="M531" s="216" t="str">
        <f t="shared" si="16"/>
        <v>VN SHOE- 1099152111 -MAY 05-na002185106</v>
      </c>
    </row>
    <row r="532" spans="1:13">
      <c r="A532" s="216" t="str">
        <f>IF(C532&lt;&gt;"",SUBTOTAL(103,$C$8:C532),"")</f>
        <v/>
      </c>
      <c r="B532" s="226">
        <v>43225</v>
      </c>
      <c r="C532" s="216"/>
      <c r="D532" s="216" t="str">
        <f>IF(C532&lt;&gt;"",VLOOKUP(C532,[1]DSKH!B:E,2,0),"")</f>
        <v/>
      </c>
      <c r="E532" s="215"/>
      <c r="F532" s="216"/>
      <c r="G532" s="216" t="str">
        <f>IF(C532&lt;&gt;"",VLOOKUP(C532,DSKH!B:E,3,0),"")</f>
        <v/>
      </c>
      <c r="H532" s="222">
        <v>1099152126</v>
      </c>
      <c r="I532" s="217"/>
      <c r="J532" s="224"/>
      <c r="K532" s="216" t="str">
        <f>IF(C532&lt;&gt;"",VLOOKUP(C532,[1]DSKH!B:E,4,0),"")</f>
        <v/>
      </c>
      <c r="L532" s="216"/>
      <c r="M532" s="216" t="str">
        <f t="shared" si="16"/>
        <v>- 1099152126 -MAY 05-</v>
      </c>
    </row>
    <row r="533" spans="1:13" ht="27.6">
      <c r="A533" s="216">
        <f>IF(C533&lt;&gt;"",SUBTOTAL(103,$C$8:C533),"")</f>
        <v>296</v>
      </c>
      <c r="B533" s="226">
        <v>43225</v>
      </c>
      <c r="C533" s="216" t="s">
        <v>2286</v>
      </c>
      <c r="D533" s="216" t="str">
        <f>IF(C533&lt;&gt;"",VLOOKUP(C533,[1]DSKH!B:E,2,0),"")</f>
        <v>THI TRAN AN BAI, QUYNH PHU, THAI BINH</v>
      </c>
      <c r="E533" s="215">
        <f>5+15</f>
        <v>20</v>
      </c>
      <c r="F533" s="216"/>
      <c r="G533" s="216">
        <f>IF(C533&lt;&gt;"",VLOOKUP(C533,DSKH!B:E,3,0),"")</f>
        <v>0</v>
      </c>
      <c r="H533" s="222">
        <v>1099038622</v>
      </c>
      <c r="I533" s="217"/>
      <c r="J533" s="224" t="s">
        <v>3385</v>
      </c>
      <c r="K533" s="216" t="str">
        <f>IF(C533&lt;&gt;"",VLOOKUP(C533,[1]DSKH!B:E,4,0),"")</f>
        <v>MS THUYEN: 0987 254 242</v>
      </c>
      <c r="L533" s="216">
        <f>4*19.6+10+11.2+8.6+20.8+19.2+2*19+18.8+13+7.9+2*18+11+15.4+7</f>
        <v>295.29999999999995</v>
      </c>
      <c r="M533" s="216" t="str">
        <f t="shared" si="16"/>
        <v>VIET LONG- 1099038622 -MAY 05-na002185103</v>
      </c>
    </row>
    <row r="534" spans="1:13" ht="55.2">
      <c r="A534" s="216">
        <f>IF(C534&lt;&gt;"",SUBTOTAL(103,$C$8:C534),"")</f>
        <v>297</v>
      </c>
      <c r="B534" s="226">
        <v>43225</v>
      </c>
      <c r="C534" s="216" t="s">
        <v>2832</v>
      </c>
      <c r="D534" s="216" t="str">
        <f>IF(C534&lt;&gt;"",VLOOKUP(C534,[1]DSKH!B:E,2,0),"")</f>
        <v>THON THUONG DONG, XA HIEN KHANH,
 HUYEN VU BAN, NAM DINH</v>
      </c>
      <c r="E534" s="215">
        <v>1</v>
      </c>
      <c r="F534" s="216"/>
      <c r="G534" s="216">
        <f>IF(C534&lt;&gt;"",VLOOKUP(C534,DSKH!B:E,3,0),"")</f>
        <v>0</v>
      </c>
      <c r="H534" s="222">
        <v>1098871068</v>
      </c>
      <c r="I534" s="217"/>
      <c r="J534" s="224" t="s">
        <v>3386</v>
      </c>
      <c r="K534" s="216">
        <f>IF(C534&lt;&gt;"",VLOOKUP(C534,[1]DSKH!B:E,4,0),"")</f>
        <v>0</v>
      </c>
      <c r="L534" s="216">
        <v>5.8</v>
      </c>
      <c r="M534" s="216" t="str">
        <f t="shared" si="16"/>
        <v>NAM DINH ENTER B- 1098871068 -MAY 05-na002185104</v>
      </c>
    </row>
    <row r="535" spans="1:13" ht="41.4">
      <c r="A535" s="216">
        <f>IF(C535&lt;&gt;"",SUBTOTAL(103,$C$8:C535),"")</f>
        <v>298</v>
      </c>
      <c r="B535" s="226">
        <v>43225</v>
      </c>
      <c r="C535" s="216" t="s">
        <v>2927</v>
      </c>
      <c r="D535" s="216" t="str">
        <f>IF(C535&lt;&gt;"",VLOOKUP(C535,[1]DSKH!B:E,2,0),"")</f>
        <v>Lo B8, KCN Que Vo, P.Van Duong, Tp.Bac Ninh, Bac Ninh</v>
      </c>
      <c r="E535" s="215">
        <v>2</v>
      </c>
      <c r="F535" s="216"/>
      <c r="G535" s="216">
        <f>IF(C535&lt;&gt;"",VLOOKUP(C535,DSKH!B:E,3,0),"")</f>
        <v>0</v>
      </c>
      <c r="H535" s="222">
        <v>1099029882</v>
      </c>
      <c r="I535" s="217"/>
      <c r="J535" s="224" t="s">
        <v>3387</v>
      </c>
      <c r="K535" s="216" t="str">
        <f>IF(C535&lt;&gt;"",VLOOKUP(C535,[1]DSKH!B:E,4,0),"")</f>
        <v xml:space="preserve"> Ms Nga 01632.455.666 </v>
      </c>
      <c r="L535" s="216">
        <f>12+0.14</f>
        <v>12.14</v>
      </c>
      <c r="M535" s="216" t="str">
        <f t="shared" si="16"/>
        <v>SAMPO VINA- 1099029882 -MAY 05-na002185101</v>
      </c>
    </row>
    <row r="536" spans="1:13" ht="55.2">
      <c r="A536" s="216">
        <f>IF(C536&lt;&gt;"",SUBTOTAL(103,$C$8:C536),"")</f>
        <v>299</v>
      </c>
      <c r="B536" s="226">
        <v>43225</v>
      </c>
      <c r="C536" s="216" t="s">
        <v>2428</v>
      </c>
      <c r="D536" s="216" t="str">
        <f>IF(C536&lt;&gt;"",VLOOKUP(C536,[1]DSKH!B:E,2,0),"")</f>
        <v>KHU TM HIEP THANH, MOC BAI, BEN CAU, TAY NINH</v>
      </c>
      <c r="E536" s="215">
        <v>1</v>
      </c>
      <c r="F536" s="216"/>
      <c r="G536" s="216" t="str">
        <f>IF(C536&lt;&gt;"",VLOOKUP(C536,DSKH!B:E,3,0),"")</f>
        <v>cho XNK confirm- PHAT DUNG NGUOI LIEN HE+ CTU</v>
      </c>
      <c r="H536" s="222">
        <v>1098976862</v>
      </c>
      <c r="I536" s="217"/>
      <c r="J536" s="224" t="s">
        <v>3388</v>
      </c>
      <c r="K536" s="216" t="str">
        <f>IF(C536&lt;&gt;"",VLOOKUP(C536,[1]DSKH!B:E,4,0),"")</f>
        <v>NHU (PURCHASING) 0973729049</v>
      </c>
      <c r="L536" s="216">
        <v>4.4000000000000004</v>
      </c>
      <c r="M536" s="216" t="str">
        <f t="shared" si="16"/>
        <v>VN MOC BAI- 1098976862 -MAY 05-na002185102</v>
      </c>
    </row>
    <row r="537" spans="1:13" ht="69">
      <c r="A537" s="216">
        <f>IF(C537&lt;&gt;"",SUBTOTAL(103,$C$8:C537),"")</f>
        <v>300</v>
      </c>
      <c r="B537" s="226">
        <v>43225</v>
      </c>
      <c r="C537" s="216" t="s">
        <v>2587</v>
      </c>
      <c r="D537" s="216" t="str">
        <f>IF(C537&lt;&gt;"",VLOOKUP(C537,[1]DSKH!B:E,2,0),"")</f>
        <v>Lo dat dien tich 88.707m vuong , cum cong nghiep Quynh Coi,Xa Quynh My - Huyen Quynh Phu, Thai Binh</v>
      </c>
      <c r="E537" s="215">
        <v>1</v>
      </c>
      <c r="F537" s="216"/>
      <c r="G537" s="216">
        <f>IF(C537&lt;&gt;"",VLOOKUP(C537,DSKH!B:E,3,0),"")</f>
        <v>0</v>
      </c>
      <c r="H537" s="222">
        <v>1099008698</v>
      </c>
      <c r="I537" s="217"/>
      <c r="J537" s="224" t="s">
        <v>3389</v>
      </c>
      <c r="K537" s="216" t="str">
        <f>IF(C537&lt;&gt;"",VLOOKUP(C537,[1]DSKH!B:E,4,0),"")</f>
        <v>CHI DANG 0984388614</v>
      </c>
      <c r="L537" s="216">
        <v>0.3</v>
      </c>
      <c r="M537" s="216" t="str">
        <f t="shared" si="16"/>
        <v>SAO VANG THAI BINH 1- 1099008698 -MAY 05-na002185099</v>
      </c>
    </row>
    <row r="538" spans="1:13" ht="82.8">
      <c r="A538" s="216">
        <f>IF(C538&lt;&gt;"",SUBTOTAL(103,$C$8:C538),"")</f>
        <v>301</v>
      </c>
      <c r="B538" s="226">
        <v>43225</v>
      </c>
      <c r="C538" s="216" t="s">
        <v>1720</v>
      </c>
      <c r="D538" s="216" t="str">
        <f>IF(C538&lt;&gt;"",VLOOKUP(C538,[1]DSKH!B:E,2,0),"")</f>
        <v>Chi nhanh Cong Ty TNHH SAO VANG
Khu PhúThanh Tây- Phương Yên Thanh,
thi xa Uong Bi,tinh Quang Ninh</v>
      </c>
      <c r="E538" s="215">
        <v>1</v>
      </c>
      <c r="F538" s="216"/>
      <c r="G538" s="216">
        <f>IF(C538&lt;&gt;"",VLOOKUP(C538,DSKH!B:E,3,0),"")</f>
        <v>0</v>
      </c>
      <c r="H538" s="222">
        <v>1099039011</v>
      </c>
      <c r="I538" s="217"/>
      <c r="J538" s="224" t="s">
        <v>3390</v>
      </c>
      <c r="K538" s="216" t="str">
        <f>IF(C538&lt;&gt;"",VLOOKUP(C538,[1]DSKH!B:E,4,0),"")</f>
        <v>HOA
DT:0988 11 0026</v>
      </c>
      <c r="L538" s="216">
        <v>0.22</v>
      </c>
      <c r="M538" s="216" t="str">
        <f t="shared" si="16"/>
        <v>SAO VANG- 1099039011 -MAY 05-na002185100</v>
      </c>
    </row>
    <row r="539" spans="1:13" ht="27.6">
      <c r="A539" s="216">
        <f>IF(C539&lt;&gt;"",SUBTOTAL(103,$C$8:C539),"")</f>
        <v>302</v>
      </c>
      <c r="B539" s="226">
        <v>43225</v>
      </c>
      <c r="C539" s="216" t="s">
        <v>2038</v>
      </c>
      <c r="D539" s="216" t="str">
        <f>IF(C539&lt;&gt;"",VLOOKUP(C539,[1]DSKH!B:E,2,0),"")</f>
        <v>THI TRAN VUONG, TIEN LU, HUNG YEN</v>
      </c>
      <c r="E539" s="215">
        <v>4</v>
      </c>
      <c r="F539" s="216"/>
      <c r="G539" s="216">
        <f>IF(C539&lt;&gt;"",VLOOKUP(C539,DSKH!B:E,3,0),"")</f>
        <v>0</v>
      </c>
      <c r="H539" s="222">
        <v>1099008553</v>
      </c>
      <c r="I539" s="217"/>
      <c r="J539" s="224" t="s">
        <v>3391</v>
      </c>
      <c r="K539" s="216" t="str">
        <f>IF(C539&lt;&gt;"",VLOOKUP(C539,[1]DSKH!B:E,4,0),"")</f>
        <v>MS NINH 0987 930 558/
 MR CUONG 0919 686 228</v>
      </c>
      <c r="L539" s="216">
        <f>3.2+6.6+0.5+0.9</f>
        <v>11.200000000000001</v>
      </c>
      <c r="M539" s="216" t="str">
        <f t="shared" si="16"/>
        <v>TIEN HUNG- 1099008553 -MAY 05-na002185097</v>
      </c>
    </row>
    <row r="540" spans="1:13" ht="41.4">
      <c r="A540" s="216">
        <f>IF(C540&lt;&gt;"",SUBTOTAL(103,$C$8:C540),"")</f>
        <v>303</v>
      </c>
      <c r="B540" s="226">
        <v>43225</v>
      </c>
      <c r="C540" s="216" t="s">
        <v>1197</v>
      </c>
      <c r="D540" s="216" t="str">
        <f>IF(C540&lt;&gt;"",VLOOKUP(C540,[1]DSKH!B:E,2,0),"")</f>
        <v>Xóm 8, xã Vĩnh Thành, Huyện Vĩnh Lộc, Tỉnh Thanh Hóa</v>
      </c>
      <c r="E540" s="215">
        <v>3</v>
      </c>
      <c r="F540" s="216"/>
      <c r="G540" s="216">
        <f>IF(C540&lt;&gt;"",VLOOKUP(C540,DSKH!B:E,3,0),"")</f>
        <v>0</v>
      </c>
      <c r="H540" s="222">
        <v>1099004107</v>
      </c>
      <c r="I540" s="217"/>
      <c r="J540" s="224" t="s">
        <v>3392</v>
      </c>
      <c r="K540" s="216" t="str">
        <f>IF(C540&lt;&gt;"",VLOOKUP(C540,[1]DSKH!B:E,4,0),"")</f>
        <v>Ms Huyền: 0974 351 557
Ms Hường: 0936 852 010/ 0912 231 885</v>
      </c>
      <c r="L540" s="216">
        <f>0.56+1.34+0.8</f>
        <v>2.7</v>
      </c>
      <c r="M540" s="216" t="str">
        <f t="shared" si="16"/>
        <v>MANSEON- 1099004107 -MAY 05-na002185098</v>
      </c>
    </row>
    <row r="541" spans="1:13" ht="41.4">
      <c r="A541" s="216">
        <f>IF(C541&lt;&gt;"",SUBTOTAL(103,$C$8:C541),"")</f>
        <v>304</v>
      </c>
      <c r="B541" s="226">
        <v>43225</v>
      </c>
      <c r="C541" s="216" t="s">
        <v>1746</v>
      </c>
      <c r="D541" s="216" t="str">
        <f>IF(C541&lt;&gt;"",VLOOKUP(C541,[1]DSKH!B:E,2,0),"")</f>
        <v>BLOCK L3.1&amp;1/2 L3.2, DO SON INDUSTRIAL ZONE, HAI PHONG</v>
      </c>
      <c r="E541" s="215">
        <v>1</v>
      </c>
      <c r="F541" s="216"/>
      <c r="G541" s="216">
        <f>IF(C541&lt;&gt;"",VLOOKUP(C541,DSKH!B:E,3,0),"")</f>
        <v>0</v>
      </c>
      <c r="H541" s="222">
        <v>1098991097</v>
      </c>
      <c r="I541" s="217"/>
      <c r="J541" s="224" t="s">
        <v>3393</v>
      </c>
      <c r="K541" s="216" t="str">
        <f>IF(C541&lt;&gt;"",VLOOKUP(C541,[1]DSKH!B:E,4,0),"")</f>
        <v>MS CHI. Mobile : 01289.270.808
Tel : 0313.663.868  Ext : 3825</v>
      </c>
      <c r="L541" s="216">
        <v>16</v>
      </c>
      <c r="M541" s="216" t="str">
        <f t="shared" si="16"/>
        <v>SEETHING VN- 1098991097 -MAY 05-na002185095</v>
      </c>
    </row>
    <row r="542" spans="1:13" ht="41.4">
      <c r="A542" s="216">
        <f>IF(C542&lt;&gt;"",SUBTOTAL(103,$C$8:C542),"")</f>
        <v>305</v>
      </c>
      <c r="B542" s="226">
        <v>43225</v>
      </c>
      <c r="C542" s="216" t="s">
        <v>981</v>
      </c>
      <c r="D542" s="216" t="str">
        <f>IF(C542&lt;&gt;"",VLOOKUP(C542,[1]DSKH!B:E,2,0),"")</f>
        <v>KM 24-HIGHWAY 5-DI SU-MY HAO-HUNG YEN</v>
      </c>
      <c r="E542" s="215">
        <v>22</v>
      </c>
      <c r="F542" s="216"/>
      <c r="G542" s="216" t="str">
        <f>IF(C542&lt;&gt;"",VLOOKUP(C542,DSKH!B:E,3,0),"")</f>
        <v>PHO TO BILL GUI KEM CHO KH</v>
      </c>
      <c r="H542" s="222">
        <v>1099029766</v>
      </c>
      <c r="I542" s="217"/>
      <c r="J542" s="224" t="s">
        <v>3394</v>
      </c>
      <c r="K542" s="216" t="str">
        <f>IF(C542&lt;&gt;"",VLOOKUP(C542,[1]DSKH!B:E,4,0),"")</f>
        <v xml:space="preserve">0321 944045-321-943-458 
0914 720 887- CHI MAI
</v>
      </c>
      <c r="L542" s="216">
        <v>372.44</v>
      </c>
      <c r="M542" s="216" t="str">
        <f t="shared" si="16"/>
        <v>HUNG LONG- 1099029766 -MAY 05-na002185096</v>
      </c>
    </row>
    <row r="543" spans="1:13">
      <c r="A543" s="216" t="str">
        <f>IF(C543&lt;&gt;"",SUBTOTAL(103,$C$8:C543),"")</f>
        <v/>
      </c>
      <c r="B543" s="226">
        <v>43225</v>
      </c>
      <c r="C543" s="216"/>
      <c r="D543" s="216" t="str">
        <f>IF(C543&lt;&gt;"",VLOOKUP(C543,[1]DSKH!B:E,2,0),"")</f>
        <v/>
      </c>
      <c r="E543" s="215"/>
      <c r="F543" s="216"/>
      <c r="G543" s="216" t="str">
        <f>IF(C543&lt;&gt;"",VLOOKUP(C543,DSKH!B:E,3,0),"")</f>
        <v/>
      </c>
      <c r="H543" s="222">
        <v>1098871026</v>
      </c>
      <c r="I543" s="217"/>
      <c r="J543" s="224"/>
      <c r="K543" s="216" t="str">
        <f>IF(C543&lt;&gt;"",VLOOKUP(C543,[1]DSKH!B:E,4,0),"")</f>
        <v/>
      </c>
      <c r="L543" s="216"/>
      <c r="M543" s="216" t="str">
        <f t="shared" si="16"/>
        <v>- 1098871026 -MAY 05-</v>
      </c>
    </row>
    <row r="544" spans="1:13">
      <c r="A544" s="216" t="str">
        <f>IF(C544&lt;&gt;"",SUBTOTAL(103,$C$8:C544),"")</f>
        <v/>
      </c>
      <c r="B544" s="226">
        <v>43225</v>
      </c>
      <c r="C544" s="216"/>
      <c r="D544" s="216" t="str">
        <f>IF(C544&lt;&gt;"",VLOOKUP(C544,[1]DSKH!B:E,2,0),"")</f>
        <v/>
      </c>
      <c r="E544" s="215"/>
      <c r="F544" s="216"/>
      <c r="G544" s="216" t="str">
        <f>IF(C544&lt;&gt;"",VLOOKUP(C544,DSKH!B:E,3,0),"")</f>
        <v/>
      </c>
      <c r="H544" s="222">
        <v>1098872844</v>
      </c>
      <c r="I544" s="217"/>
      <c r="J544" s="224"/>
      <c r="K544" s="216" t="str">
        <f>IF(C544&lt;&gt;"",VLOOKUP(C544,[1]DSKH!B:E,4,0),"")</f>
        <v/>
      </c>
      <c r="L544" s="216"/>
      <c r="M544" s="216" t="str">
        <f t="shared" si="16"/>
        <v>- 1098872844 -MAY 05-</v>
      </c>
    </row>
    <row r="545" spans="1:13" ht="41.4">
      <c r="A545" s="216">
        <f>IF(C545&lt;&gt;"",SUBTOTAL(103,$C$8:C545),"")</f>
        <v>306</v>
      </c>
      <c r="B545" s="226">
        <v>43225</v>
      </c>
      <c r="C545" s="216" t="s">
        <v>998</v>
      </c>
      <c r="D545" s="216" t="str">
        <f>IF(C545&lt;&gt;"",VLOOKUP(C545,[1]DSKH!B:E,2,0),"")</f>
        <v>DUONG SO 3 - KCN AN DON, P AN HAI BAC, Q. SON TRA, DA NANG</v>
      </c>
      <c r="E545" s="215">
        <v>2</v>
      </c>
      <c r="F545" s="216"/>
      <c r="G545" s="216">
        <f>IF(C545&lt;&gt;"",VLOOKUP(C545,DSKH!B:E,3,0),"")</f>
        <v>0</v>
      </c>
      <c r="H545" s="222">
        <v>1099164701</v>
      </c>
      <c r="I545" s="217" t="s">
        <v>2860</v>
      </c>
      <c r="J545" s="224" t="s">
        <v>3395</v>
      </c>
      <c r="K545" s="216" t="str">
        <f>IF(C545&lt;&gt;"",VLOOKUP(C545,[1]DSKH!B:E,4,0),"")</f>
        <v>CHI THANH: 0905471005</v>
      </c>
      <c r="L545" s="216">
        <f>0.26+8.2</f>
        <v>8.4599999999999991</v>
      </c>
      <c r="M545" s="216" t="str">
        <f t="shared" si="16"/>
        <v>HUU NGHI DA NANG- 1099164701 -MAY 05-na002185093</v>
      </c>
    </row>
    <row r="546" spans="1:13">
      <c r="A546" s="216" t="str">
        <f>IF(C546&lt;&gt;"",SUBTOTAL(103,$C$8:C546),"")</f>
        <v/>
      </c>
      <c r="B546" s="226">
        <v>43225</v>
      </c>
      <c r="C546" s="216"/>
      <c r="D546" s="216" t="str">
        <f>IF(C546&lt;&gt;"",VLOOKUP(C546,[1]DSKH!B:E,2,0),"")</f>
        <v/>
      </c>
      <c r="E546" s="215"/>
      <c r="F546" s="216"/>
      <c r="G546" s="216" t="str">
        <f>IF(C546&lt;&gt;"",VLOOKUP(C546,DSKH!B:E,3,0),"")</f>
        <v/>
      </c>
      <c r="H546" s="222">
        <v>1099144281</v>
      </c>
      <c r="I546" s="217"/>
      <c r="J546" s="224"/>
      <c r="K546" s="216" t="str">
        <f>IF(C546&lt;&gt;"",VLOOKUP(C546,[1]DSKH!B:E,4,0),"")</f>
        <v/>
      </c>
      <c r="L546" s="216"/>
      <c r="M546" s="216" t="str">
        <f t="shared" si="16"/>
        <v>- 1099144281 -MAY 05-</v>
      </c>
    </row>
    <row r="547" spans="1:13" ht="41.4">
      <c r="A547" s="216">
        <f>IF(C547&lt;&gt;"",SUBTOTAL(103,$C$8:C547),"")</f>
        <v>307</v>
      </c>
      <c r="B547" s="226">
        <v>43225</v>
      </c>
      <c r="C547" s="216" t="s">
        <v>822</v>
      </c>
      <c r="D547" s="216" t="str">
        <f>IF(C547&lt;&gt;"",VLOOKUP(C547,[1]DSKH!B:E,2,0),"")</f>
        <v>CUM CN NAM GIANG, HUYEN NAM DAN, NGHE AN</v>
      </c>
      <c r="E547" s="215">
        <v>15</v>
      </c>
      <c r="F547" s="216" t="s">
        <v>3342</v>
      </c>
      <c r="G547" s="216">
        <f>IF(C547&lt;&gt;"",VLOOKUP(C547,DSKH!B:E,3,0),"")</f>
        <v>0</v>
      </c>
      <c r="H547" s="222">
        <v>1098738132</v>
      </c>
      <c r="I547" s="217"/>
      <c r="J547" s="224" t="s">
        <v>3396</v>
      </c>
      <c r="K547" s="216" t="str">
        <f>IF(C547&lt;&gt;"",VLOOKUP(C547,[1]DSKH!B:E,4,0),"")</f>
        <v>MR THANH 0166 650 4728</v>
      </c>
      <c r="L547" s="216">
        <f>0.1+1.56+1.48+0.76+0.14+1.84+1.1+0.86+2.2+2.2+3+0.18+0.22+1.5+0.14</f>
        <v>17.28</v>
      </c>
      <c r="M547" s="216" t="str">
        <f t="shared" si="16"/>
        <v>HAI VINA KIM LIEN- 1098738132 -MAY 05-na002185094</v>
      </c>
    </row>
    <row r="548" spans="1:13">
      <c r="A548" s="216" t="str">
        <f>IF(C548&lt;&gt;"",SUBTOTAL(103,$C$8:C548),"")</f>
        <v/>
      </c>
      <c r="B548" s="226">
        <v>43225</v>
      </c>
      <c r="C548" s="216"/>
      <c r="D548" s="216" t="str">
        <f>IF(C548&lt;&gt;"",VLOOKUP(C548,[1]DSKH!B:E,2,0),"")</f>
        <v/>
      </c>
      <c r="E548" s="215"/>
      <c r="F548" s="216"/>
      <c r="G548" s="216" t="str">
        <f>IF(C548&lt;&gt;"",VLOOKUP(C548,DSKH!B:E,3,0),"")</f>
        <v/>
      </c>
      <c r="H548" s="222">
        <v>1098668881</v>
      </c>
      <c r="I548" s="217"/>
      <c r="J548" s="224"/>
      <c r="K548" s="216" t="str">
        <f>IF(C548&lt;&gt;"",VLOOKUP(C548,[1]DSKH!B:E,4,0),"")</f>
        <v/>
      </c>
      <c r="L548" s="216"/>
      <c r="M548" s="216" t="str">
        <f t="shared" si="16"/>
        <v>- 1098668881 -MAY 05-</v>
      </c>
    </row>
    <row r="549" spans="1:13">
      <c r="A549" s="216" t="str">
        <f>IF(C549&lt;&gt;"",SUBTOTAL(103,$C$8:C549),"")</f>
        <v/>
      </c>
      <c r="B549" s="226">
        <v>43225</v>
      </c>
      <c r="C549" s="216"/>
      <c r="D549" s="216" t="str">
        <f>IF(C549&lt;&gt;"",VLOOKUP(C549,[1]DSKH!B:E,2,0),"")</f>
        <v/>
      </c>
      <c r="E549" s="215"/>
      <c r="F549" s="216"/>
      <c r="G549" s="216" t="str">
        <f>IF(C549&lt;&gt;"",VLOOKUP(C549,DSKH!B:E,3,0),"")</f>
        <v/>
      </c>
      <c r="H549" s="222">
        <v>1098325775</v>
      </c>
      <c r="I549" s="217"/>
      <c r="J549" s="224"/>
      <c r="K549" s="216" t="str">
        <f>IF(C549&lt;&gt;"",VLOOKUP(C549,[1]DSKH!B:E,4,0),"")</f>
        <v/>
      </c>
      <c r="L549" s="216"/>
      <c r="M549" s="216" t="str">
        <f t="shared" si="16"/>
        <v>- 1098325775 -MAY 05-</v>
      </c>
    </row>
    <row r="550" spans="1:13">
      <c r="A550" s="216" t="str">
        <f>IF(C550&lt;&gt;"",SUBTOTAL(103,$C$8:C550),"")</f>
        <v/>
      </c>
      <c r="B550" s="226">
        <v>43225</v>
      </c>
      <c r="C550" s="216"/>
      <c r="D550" s="216" t="str">
        <f>IF(C550&lt;&gt;"",VLOOKUP(C550,[1]DSKH!B:E,2,0),"")</f>
        <v/>
      </c>
      <c r="E550" s="215"/>
      <c r="F550" s="216"/>
      <c r="G550" s="216" t="str">
        <f>IF(C550&lt;&gt;"",VLOOKUP(C550,DSKH!B:E,3,0),"")</f>
        <v/>
      </c>
      <c r="H550" s="222">
        <v>1098690688</v>
      </c>
      <c r="I550" s="217"/>
      <c r="J550" s="224"/>
      <c r="K550" s="216" t="str">
        <f>IF(C550&lt;&gt;"",VLOOKUP(C550,[1]DSKH!B:E,4,0),"")</f>
        <v/>
      </c>
      <c r="L550" s="216"/>
      <c r="M550" s="216" t="str">
        <f t="shared" si="16"/>
        <v>- 1098690688 -MAY 05-</v>
      </c>
    </row>
    <row r="551" spans="1:13" ht="41.4">
      <c r="A551" s="216">
        <f>IF(C551&lt;&gt;"",SUBTOTAL(103,$C$8:C551),"")</f>
        <v>308</v>
      </c>
      <c r="B551" s="226">
        <v>43225</v>
      </c>
      <c r="C551" s="216" t="s">
        <v>825</v>
      </c>
      <c r="D551" s="216" t="str">
        <f>IF(C551&lt;&gt;"",VLOOKUP(C551,[1]DSKH!B:E,2,0),"")</f>
        <v>KCN NAM SACH- HAI DUONG</v>
      </c>
      <c r="E551" s="215">
        <v>11</v>
      </c>
      <c r="F551" s="216" t="s">
        <v>3342</v>
      </c>
      <c r="G551" s="216" t="str">
        <f>IF(C551&lt;&gt;"",VLOOKUP(C551,DSKH!B:E,3,0),"")</f>
        <v>hang chung ctu</v>
      </c>
      <c r="H551" s="222">
        <v>1098681143</v>
      </c>
      <c r="I551" s="217"/>
      <c r="J551" s="224" t="s">
        <v>3397</v>
      </c>
      <c r="K551" s="216" t="str">
        <f>IF(C551&lt;&gt;"",VLOOKUP(C551,[1]DSKH!B:E,4,0),"")</f>
        <v>LAN ANH: 0915175682</v>
      </c>
      <c r="L551" s="216">
        <f>0.14+0.2+0.56+0.36+4*19.6+1.8+6+8</f>
        <v>95.460000000000008</v>
      </c>
      <c r="M551" s="216" t="str">
        <f t="shared" si="16"/>
        <v>HAI VINA NAM SACH- 1098681143 -MAY 05-na002185091</v>
      </c>
    </row>
    <row r="552" spans="1:13">
      <c r="A552" s="216" t="str">
        <f>IF(C552&lt;&gt;"",SUBTOTAL(103,$C$8:C552),"")</f>
        <v/>
      </c>
      <c r="B552" s="226">
        <v>43225</v>
      </c>
      <c r="C552" s="216"/>
      <c r="D552" s="216" t="str">
        <f>IF(C552&lt;&gt;"",VLOOKUP(C552,[1]DSKH!B:E,2,0),"")</f>
        <v/>
      </c>
      <c r="E552" s="215"/>
      <c r="F552" s="216"/>
      <c r="G552" s="216" t="str">
        <f>IF(C552&lt;&gt;"",VLOOKUP(C552,DSKH!B:E,3,0),"")</f>
        <v/>
      </c>
      <c r="H552" s="222">
        <v>1098730388</v>
      </c>
      <c r="I552" s="217"/>
      <c r="J552" s="224"/>
      <c r="K552" s="216" t="str">
        <f>IF(C552&lt;&gt;"",VLOOKUP(C552,[1]DSKH!B:E,4,0),"")</f>
        <v/>
      </c>
      <c r="L552" s="216"/>
      <c r="M552" s="216" t="str">
        <f t="shared" ref="M552:M581" si="17">C552&amp;"-"&amp;" "&amp;H552&amp;" "&amp;"-"&amp;"MAY"&amp;" "&amp;"05"&amp;"-"&amp;J552</f>
        <v>- 1098730388 -MAY 05-</v>
      </c>
    </row>
    <row r="553" spans="1:13">
      <c r="A553" s="216" t="str">
        <f>IF(C553&lt;&gt;"",SUBTOTAL(103,$C$8:C553),"")</f>
        <v/>
      </c>
      <c r="B553" s="226">
        <v>43225</v>
      </c>
      <c r="C553" s="216"/>
      <c r="D553" s="216" t="str">
        <f>IF(C553&lt;&gt;"",VLOOKUP(C553,[1]DSKH!B:E,2,0),"")</f>
        <v/>
      </c>
      <c r="E553" s="215"/>
      <c r="F553" s="216"/>
      <c r="G553" s="216" t="str">
        <f>IF(C553&lt;&gt;"",VLOOKUP(C553,DSKH!B:E,3,0),"")</f>
        <v/>
      </c>
      <c r="H553" s="222">
        <v>1098668874</v>
      </c>
      <c r="I553" s="217"/>
      <c r="J553" s="224"/>
      <c r="K553" s="216" t="str">
        <f>IF(C553&lt;&gt;"",VLOOKUP(C553,[1]DSKH!B:E,4,0),"")</f>
        <v/>
      </c>
      <c r="L553" s="216"/>
      <c r="M553" s="216" t="str">
        <f t="shared" si="17"/>
        <v>- 1098668874 -MAY 05-</v>
      </c>
    </row>
    <row r="554" spans="1:13">
      <c r="A554" s="216" t="str">
        <f>IF(C554&lt;&gt;"",SUBTOTAL(103,$C$8:C554),"")</f>
        <v/>
      </c>
      <c r="B554" s="226">
        <v>43225</v>
      </c>
      <c r="C554" s="216"/>
      <c r="D554" s="216" t="str">
        <f>IF(C554&lt;&gt;"",VLOOKUP(C554,[1]DSKH!B:E,2,0),"")</f>
        <v/>
      </c>
      <c r="E554" s="215"/>
      <c r="F554" s="216"/>
      <c r="G554" s="216" t="str">
        <f>IF(C554&lt;&gt;"",VLOOKUP(C554,DSKH!B:E,3,0),"")</f>
        <v/>
      </c>
      <c r="H554" s="222">
        <v>1098690682</v>
      </c>
      <c r="I554" s="217"/>
      <c r="J554" s="224"/>
      <c r="K554" s="216" t="str">
        <f>IF(C554&lt;&gt;"",VLOOKUP(C554,[1]DSKH!B:E,4,0),"")</f>
        <v/>
      </c>
      <c r="L554" s="216"/>
      <c r="M554" s="216" t="str">
        <f t="shared" si="17"/>
        <v>- 1098690682 -MAY 05-</v>
      </c>
    </row>
    <row r="555" spans="1:13" ht="41.4">
      <c r="A555" s="216">
        <f>IF(C555&lt;&gt;"",SUBTOTAL(103,$C$8:C555),"")</f>
        <v>309</v>
      </c>
      <c r="B555" s="226">
        <v>43225</v>
      </c>
      <c r="C555" s="216" t="s">
        <v>2092</v>
      </c>
      <c r="D555" s="216" t="str">
        <f>IF(C555&lt;&gt;"",VLOOKUP(C555,[1]DSKH!B:E,2,0),"")</f>
        <v>KCN LAI VU, HAI DUONG</v>
      </c>
      <c r="E555" s="215">
        <v>1</v>
      </c>
      <c r="F555" s="216"/>
      <c r="G555" s="216">
        <f>IF(C555&lt;&gt;"",VLOOKUP(C555,DSKH!B:E,3,0),"")</f>
        <v>0</v>
      </c>
      <c r="H555" s="222" t="s">
        <v>3398</v>
      </c>
      <c r="I555" s="217" t="s">
        <v>2860</v>
      </c>
      <c r="J555" s="224" t="s">
        <v>3399</v>
      </c>
      <c r="K555" s="216" t="str">
        <f>IF(C555&lt;&gt;"",VLOOKUP(C555,[1]DSKH!B:E,4,0),"")</f>
        <v>HAU: 0128 833 0267</v>
      </c>
      <c r="L555" s="216">
        <v>0.2</v>
      </c>
      <c r="M555" s="216" t="str">
        <f t="shared" si="17"/>
        <v>TINH LOI UNIQLO- 1093646961R -MAY 05-na002185092</v>
      </c>
    </row>
    <row r="556" spans="1:13" ht="55.2">
      <c r="A556" s="216">
        <f>IF(C556&lt;&gt;"",SUBTOTAL(103,$C$8:C556),"")</f>
        <v>310</v>
      </c>
      <c r="B556" s="226">
        <v>43225</v>
      </c>
      <c r="C556" s="216" t="s">
        <v>111</v>
      </c>
      <c r="D556" s="216" t="str">
        <f>IF(C556&lt;&gt;"",VLOOKUP(C556,[1]DSKH!B:E,2,0),"")</f>
        <v>Lo III-5&amp;III-6, KCN My Xuan B1– Tien Hung, xa My Xuan, Huyen Tan Thanh, tinh Ba Ria Vung Tau</v>
      </c>
      <c r="E556" s="215">
        <v>2</v>
      </c>
      <c r="F556" s="216" t="s">
        <v>2090</v>
      </c>
      <c r="G556" s="216">
        <f>IF(C556&lt;&gt;"",VLOOKUP(C556,DSKH!B:E,3,0),"")</f>
        <v>0</v>
      </c>
      <c r="H556" s="222">
        <v>1099023879</v>
      </c>
      <c r="I556" s="217" t="s">
        <v>2860</v>
      </c>
      <c r="J556" s="224" t="s">
        <v>3400</v>
      </c>
      <c r="K556" s="216" t="str">
        <f>IF(C556&lt;&gt;"",VLOOKUP(C556,[1]DSKH!B:E,4,0),"")</f>
        <v>THUY TIEN 01233 833 911</v>
      </c>
      <c r="L556" s="216">
        <f>2+1.8</f>
        <v>3.8</v>
      </c>
      <c r="M556" s="216" t="str">
        <f t="shared" si="17"/>
        <v>AN THANH- 1099023879 -MAY 05-na002185089</v>
      </c>
    </row>
    <row r="557" spans="1:13" ht="41.4">
      <c r="A557" s="216">
        <f>IF(C557&lt;&gt;"",SUBTOTAL(103,$C$8:C557),"")</f>
        <v>311</v>
      </c>
      <c r="B557" s="226">
        <v>43225</v>
      </c>
      <c r="C557" s="216" t="s">
        <v>1723</v>
      </c>
      <c r="D557" s="216" t="str">
        <f>IF(C557&lt;&gt;"",VLOOKUP(C557,[1]DSKH!B:E,2,0),"")</f>
        <v>Nga 3 Truong Son An Lao Hai Phong</v>
      </c>
      <c r="E557" s="215">
        <v>1</v>
      </c>
      <c r="F557" s="216"/>
      <c r="G557" s="216">
        <f>IF(C557&lt;&gt;"",VLOOKUP(C557,DSKH!B:E,3,0),"")</f>
        <v>0</v>
      </c>
      <c r="H557" s="222">
        <v>1099143055</v>
      </c>
      <c r="I557" s="217" t="s">
        <v>2860</v>
      </c>
      <c r="J557" s="224" t="s">
        <v>3401</v>
      </c>
      <c r="K557" s="216" t="str">
        <f>IF(C557&lt;&gt;"",VLOOKUP(C557,[1]DSKH!B:E,4,0),"")</f>
        <v xml:space="preserve">Em Luyen kho vat lieu sdt :0936 862 057 + Em Thanh sdt :01678 120 979 </v>
      </c>
      <c r="L557" s="216">
        <v>0.45</v>
      </c>
      <c r="M557" s="216" t="str">
        <f t="shared" si="17"/>
        <v>SAO VANG CLARKS- 1099143055 -MAY 05-na002185049</v>
      </c>
    </row>
    <row r="558" spans="1:13" ht="27.6">
      <c r="A558" s="216">
        <f>IF(C558&lt;&gt;"",SUBTOTAL(103,$C$8:C558),"")</f>
        <v>312</v>
      </c>
      <c r="B558" s="226">
        <v>43225</v>
      </c>
      <c r="C558" s="216" t="s">
        <v>1756</v>
      </c>
      <c r="D558" s="216" t="str">
        <f>IF(C558&lt;&gt;"",VLOOKUP(C558,[1]DSKH!B:E,2,0),"")</f>
        <v>THUY VAN IZ-LOT 10-VIET TRI-PHU THO</v>
      </c>
      <c r="E558" s="215">
        <v>2</v>
      </c>
      <c r="F558" s="216"/>
      <c r="G558" s="216">
        <f>IF(C558&lt;&gt;"",VLOOKUP(C558,DSKH!B:E,3,0),"")</f>
        <v>0</v>
      </c>
      <c r="H558" s="222">
        <v>1099029278</v>
      </c>
      <c r="I558" s="217" t="s">
        <v>3403</v>
      </c>
      <c r="J558" s="224" t="s">
        <v>3402</v>
      </c>
      <c r="K558" s="216" t="str">
        <f>IF(C558&lt;&gt;"",VLOOKUP(C558,[1]DSKH!B:E,4,0),"")</f>
        <v>TUAN: 0942 935 662</v>
      </c>
      <c r="L558" s="216">
        <v>4.2300000000000004</v>
      </c>
      <c r="M558" s="216" t="str">
        <f t="shared" si="17"/>
        <v>SESHIN- 1099029278 -MAY 05-na002185050</v>
      </c>
    </row>
    <row r="559" spans="1:13">
      <c r="A559" s="216" t="str">
        <f>IF(C559&lt;&gt;"",SUBTOTAL(103,$C$8:C559),"")</f>
        <v/>
      </c>
      <c r="B559" s="226">
        <v>43225</v>
      </c>
      <c r="C559" s="216"/>
      <c r="D559" s="216" t="str">
        <f>IF(C559&lt;&gt;"",VLOOKUP(C559,[1]DSKH!B:E,2,0),"")</f>
        <v/>
      </c>
      <c r="E559" s="215"/>
      <c r="F559" s="216"/>
      <c r="G559" s="216" t="str">
        <f>IF(C559&lt;&gt;"",VLOOKUP(C559,DSKH!B:E,3,0),"")</f>
        <v/>
      </c>
      <c r="H559" s="222">
        <v>1098989316</v>
      </c>
      <c r="I559" s="217"/>
      <c r="J559" s="224"/>
      <c r="K559" s="216" t="str">
        <f>IF(C559&lt;&gt;"",VLOOKUP(C559,[1]DSKH!B:E,4,0),"")</f>
        <v/>
      </c>
      <c r="L559" s="216"/>
      <c r="M559" s="216" t="str">
        <f t="shared" si="17"/>
        <v>- 1098989316 -MAY 05-</v>
      </c>
    </row>
    <row r="560" spans="1:13" ht="41.4">
      <c r="A560" s="216">
        <f>IF(C560&lt;&gt;"",SUBTOTAL(103,$C$8:C560),"")</f>
        <v>313</v>
      </c>
      <c r="B560" s="226">
        <v>43225</v>
      </c>
      <c r="C560" s="216" t="s">
        <v>2936</v>
      </c>
      <c r="D560" s="216" t="str">
        <f>IF(C560&lt;&gt;"",VLOOKUP(C560,[1]DSKH!B:E,2,0),"")</f>
        <v>LO 36A-371, KCN LONG GIANG, TAN PHUOC, TIEN GIANG</v>
      </c>
      <c r="E560" s="215">
        <v>1</v>
      </c>
      <c r="F560" s="216"/>
      <c r="G560" s="216">
        <f>IF(C560&lt;&gt;"",VLOOKUP(C560,DSKH!B:E,3,0),"")</f>
        <v>0</v>
      </c>
      <c r="H560" s="222">
        <v>1099024694</v>
      </c>
      <c r="I560" s="217" t="s">
        <v>3405</v>
      </c>
      <c r="J560" s="224" t="s">
        <v>3404</v>
      </c>
      <c r="K560" s="216">
        <f>IF(C560&lt;&gt;"",VLOOKUP(C560,[1]DSKH!B:E,4,0),"")</f>
        <v>0</v>
      </c>
      <c r="L560" s="216">
        <v>0.7</v>
      </c>
      <c r="M560" s="216" t="str">
        <f t="shared" si="17"/>
        <v>YEGIN VINA- 1099024694 -MAY 05-na002185047</v>
      </c>
    </row>
    <row r="561" spans="1:13" ht="69">
      <c r="A561" s="216">
        <f>IF(C561&lt;&gt;"",SUBTOTAL(103,$C$8:C561),"")</f>
        <v>314</v>
      </c>
      <c r="B561" s="226">
        <v>43225</v>
      </c>
      <c r="C561" s="216" t="s">
        <v>1663</v>
      </c>
      <c r="D561" s="216" t="str">
        <f>IF(C561&lt;&gt;"",VLOOKUP(C561,[1]DSKH!B:E,2,0),"")</f>
        <v>So 9, Duong Dong Tay, VSIP Hai Phong, Huyen Thuy Nguyen, thuoc KKT Dinh Vu, Cat Hai, Hai Phong, Viet Nam</v>
      </c>
      <c r="E561" s="215">
        <v>3</v>
      </c>
      <c r="F561" s="216" t="s">
        <v>2090</v>
      </c>
      <c r="G561" s="216">
        <f>IF(C561&lt;&gt;"",VLOOKUP(C561,DSKH!B:E,3,0),"")</f>
        <v>0</v>
      </c>
      <c r="H561" s="222">
        <v>1099039146</v>
      </c>
      <c r="I561" s="217" t="s">
        <v>2860</v>
      </c>
      <c r="J561" s="224" t="s">
        <v>3406</v>
      </c>
      <c r="K561" s="216">
        <f>IF(C561&lt;&gt;"",VLOOKUP(C561,[1]DSKH!B:E,4,0),"")</f>
        <v>0</v>
      </c>
      <c r="L561" s="216">
        <f>1</f>
        <v>1</v>
      </c>
      <c r="M561" s="216" t="str">
        <f t="shared" si="17"/>
        <v>REGINA MIRACLE- 1099039146 -MAY 05-na002185048</v>
      </c>
    </row>
    <row r="562" spans="1:13">
      <c r="A562" s="216" t="str">
        <f>IF(C562&lt;&gt;"",SUBTOTAL(103,$C$8:C562),"")</f>
        <v/>
      </c>
      <c r="B562" s="226">
        <v>43225</v>
      </c>
      <c r="C562" s="216"/>
      <c r="D562" s="216" t="str">
        <f>IF(C562&lt;&gt;"",VLOOKUP(C562,[1]DSKH!B:E,2,0),"")</f>
        <v/>
      </c>
      <c r="E562" s="215"/>
      <c r="F562" s="216"/>
      <c r="G562" s="216" t="str">
        <f>IF(C562&lt;&gt;"",VLOOKUP(C562,DSKH!B:E,3,0),"")</f>
        <v/>
      </c>
      <c r="H562" s="222">
        <v>1099002704</v>
      </c>
      <c r="I562" s="217"/>
      <c r="J562" s="224"/>
      <c r="K562" s="216" t="str">
        <f>IF(C562&lt;&gt;"",VLOOKUP(C562,[1]DSKH!B:E,4,0),"")</f>
        <v/>
      </c>
      <c r="L562" s="216"/>
      <c r="M562" s="216" t="str">
        <f t="shared" si="17"/>
        <v>- 1099002704 -MAY 05-</v>
      </c>
    </row>
    <row r="563" spans="1:13" ht="41.4">
      <c r="A563" s="216">
        <f>IF(C563&lt;&gt;"",SUBTOTAL(103,$C$8:C563),"")</f>
        <v>315</v>
      </c>
      <c r="B563" s="226">
        <v>43225</v>
      </c>
      <c r="C563" s="216" t="s">
        <v>2586</v>
      </c>
      <c r="D563" s="216" t="str">
        <f>IF(C563&lt;&gt;"",VLOOKUP(C563,[1]DSKH!B:E,2,0),"")</f>
        <v>SO 15, DUONG 7, VSIP BAC NINH, PHU CHAN, TU SON, BAC NINH</v>
      </c>
      <c r="E563" s="215">
        <v>10</v>
      </c>
      <c r="F563" s="216"/>
      <c r="G563" s="216">
        <f>IF(C563&lt;&gt;"",VLOOKUP(C563,DSKH!B:E,3,0),"")</f>
        <v>0</v>
      </c>
      <c r="H563" s="222">
        <v>1099139288</v>
      </c>
      <c r="I563" s="217" t="s">
        <v>2860</v>
      </c>
      <c r="J563" s="224" t="s">
        <v>3407</v>
      </c>
      <c r="K563" s="216">
        <f>IF(C563&lt;&gt;"",VLOOKUP(C563,[1]DSKH!B:E,4,0),"")</f>
        <v>0</v>
      </c>
      <c r="L563" s="216">
        <f>46.6</f>
        <v>46.6</v>
      </c>
      <c r="M563" s="216" t="str">
        <f t="shared" si="17"/>
        <v>MAPLE CHI NHANH PEONY- 1099139288 -MAY 05-na002185045</v>
      </c>
    </row>
    <row r="564" spans="1:13" ht="82.8">
      <c r="A564" s="216">
        <f>IF(C564&lt;&gt;"",SUBTOTAL(103,$C$8:C564),"")</f>
        <v>316</v>
      </c>
      <c r="B564" s="226">
        <v>43225</v>
      </c>
      <c r="C564" s="216" t="s">
        <v>2204</v>
      </c>
      <c r="D564" s="216" t="str">
        <f>IF(C564&lt;&gt;"",VLOOKUP(C564,[1]DSKH!B:E,2,0),"")</f>
        <v>BI, BII, BIII, BIV SECTION,  GIAO LONG INDUSTRIAL ZONE PHASE II,AN PHUOC COMMUNE, CHAU THANH DISTRICT, BEN TRE PROVINCE</v>
      </c>
      <c r="E564" s="215">
        <v>3</v>
      </c>
      <c r="F564" s="216"/>
      <c r="G564" s="216">
        <f>IF(C564&lt;&gt;"",VLOOKUP(C564,DSKH!B:E,3,0),"")</f>
        <v>0</v>
      </c>
      <c r="H564" s="222">
        <v>1098849472</v>
      </c>
      <c r="I564" s="217"/>
      <c r="J564" s="224" t="s">
        <v>3408</v>
      </c>
      <c r="K564" s="216" t="str">
        <f>IF(C564&lt;&gt;"",VLOOKUP(C564,[1]DSKH!B:E,4,0),"")</f>
        <v>Tel: 84-75- 3635600   Fax: 84-75- 3635601</v>
      </c>
      <c r="L564" s="216">
        <f>1.3+8.6</f>
        <v>9.9</v>
      </c>
      <c r="M564" s="216" t="str">
        <f t="shared" si="17"/>
        <v>UNISOLL- 1098849472 -MAY 05-na002185046</v>
      </c>
    </row>
    <row r="565" spans="1:13">
      <c r="A565" s="216" t="str">
        <f>IF(C565&lt;&gt;"",SUBTOTAL(103,$C$8:C565),"")</f>
        <v/>
      </c>
      <c r="B565" s="226">
        <v>43225</v>
      </c>
      <c r="C565" s="216"/>
      <c r="D565" s="216" t="str">
        <f>IF(C565&lt;&gt;"",VLOOKUP(C565,[1]DSKH!B:E,2,0),"")</f>
        <v/>
      </c>
      <c r="E565" s="215"/>
      <c r="F565" s="216"/>
      <c r="G565" s="216" t="str">
        <f>IF(C565&lt;&gt;"",VLOOKUP(C565,DSKH!B:E,3,0),"")</f>
        <v/>
      </c>
      <c r="H565" s="222">
        <v>1098834912</v>
      </c>
      <c r="I565" s="217"/>
      <c r="J565" s="224"/>
      <c r="K565" s="216" t="str">
        <f>IF(C565&lt;&gt;"",VLOOKUP(C565,[1]DSKH!B:E,4,0),"")</f>
        <v/>
      </c>
      <c r="L565" s="216"/>
      <c r="M565" s="216" t="str">
        <f t="shared" si="17"/>
        <v>- 1098834912 -MAY 05-</v>
      </c>
    </row>
    <row r="566" spans="1:13" ht="41.4">
      <c r="A566" s="216">
        <f>IF(C566&lt;&gt;"",SUBTOTAL(103,$C$8:C566),"")</f>
        <v>317</v>
      </c>
      <c r="B566" s="226">
        <v>43225</v>
      </c>
      <c r="C566" s="216" t="s">
        <v>981</v>
      </c>
      <c r="D566" s="216" t="str">
        <f>IF(C566&lt;&gt;"",VLOOKUP(C566,[1]DSKH!B:E,2,0),"")</f>
        <v>KM 24-HIGHWAY 5-DI SU-MY HAO-HUNG YEN</v>
      </c>
      <c r="E566" s="215">
        <v>2</v>
      </c>
      <c r="F566" s="216"/>
      <c r="G566" s="216" t="str">
        <f>IF(C566&lt;&gt;"",VLOOKUP(C566,DSKH!B:E,3,0),"")</f>
        <v>PHO TO BILL GUI KEM CHO KH</v>
      </c>
      <c r="H566" s="222">
        <v>1099128502</v>
      </c>
      <c r="I566" s="217"/>
      <c r="J566" s="224" t="s">
        <v>3409</v>
      </c>
      <c r="K566" s="216" t="str">
        <f>IF(C566&lt;&gt;"",VLOOKUP(C566,[1]DSKH!B:E,4,0),"")</f>
        <v xml:space="preserve">0321 944045-321-943-458 
0914 720 887- CHI MAI
</v>
      </c>
      <c r="L566" s="216">
        <f>4.2+3.7</f>
        <v>7.9</v>
      </c>
      <c r="M566" s="216" t="str">
        <f t="shared" si="17"/>
        <v>HUNG LONG- 1099128502 -MAY 05-na002185043</v>
      </c>
    </row>
    <row r="567" spans="1:13" ht="55.2">
      <c r="A567" s="216">
        <f>IF(C567&lt;&gt;"",SUBTOTAL(103,$C$8:C567),"")</f>
        <v>318</v>
      </c>
      <c r="B567" s="226">
        <v>43225</v>
      </c>
      <c r="C567" s="216" t="s">
        <v>2340</v>
      </c>
      <c r="D567" s="216" t="str">
        <f>IF(C567&lt;&gt;"",VLOOKUP(C567,[1]DSKH!B:E,2,0),"")</f>
        <v>CN 13, KHAI QUANG INDUSTRIAL SUB ZONE, 
VINH PHUC TOWN,
 VINH PHUC</v>
      </c>
      <c r="E567" s="215">
        <v>4</v>
      </c>
      <c r="F567" s="216"/>
      <c r="G567" s="216" t="str">
        <f>IF(C567&lt;&gt;"",VLOOKUP(C567,DSKH!B:E,3,0),"")</f>
        <v>cho xnk confirm</v>
      </c>
      <c r="H567" s="222">
        <v>1099027439</v>
      </c>
      <c r="I567" s="217"/>
      <c r="J567" s="224" t="s">
        <v>3410</v>
      </c>
      <c r="K567" s="216" t="str">
        <f>IF(C567&lt;&gt;"",VLOOKUP(C567,[1]DSKH!B:E,4,0),"")</f>
        <v>Mr. Woo (Kyeong Hoon, Woo) 
+84-93-688-5694</v>
      </c>
      <c r="L567" s="216">
        <v>28.7</v>
      </c>
      <c r="M567" s="216" t="str">
        <f t="shared" si="17"/>
        <v>VINA KOREA- 1099027439 -MAY 05-na002185044</v>
      </c>
    </row>
    <row r="568" spans="1:13" ht="41.4">
      <c r="A568" s="216">
        <f>IF(C568&lt;&gt;"",SUBTOTAL(103,$C$8:C568),"")</f>
        <v>319</v>
      </c>
      <c r="B568" s="226">
        <v>43225</v>
      </c>
      <c r="C568" s="216" t="s">
        <v>2931</v>
      </c>
      <c r="D568" s="216" t="str">
        <f>IF(C568&lt;&gt;"",VLOOKUP(C568,[1]DSKH!B:E,2,0),"")</f>
        <v>Doan Bai Commune- Hiep Hoa Dist
 Bac Giang Province</v>
      </c>
      <c r="E568" s="215">
        <v>4</v>
      </c>
      <c r="F568" s="216"/>
      <c r="G568" s="216">
        <f>IF(C568&lt;&gt;"",VLOOKUP(C568,DSKH!B:E,3,0),"")</f>
        <v>0</v>
      </c>
      <c r="H568" s="222">
        <v>1098987917</v>
      </c>
      <c r="I568" s="217"/>
      <c r="J568" s="224" t="s">
        <v>3411</v>
      </c>
      <c r="K568" s="216" t="str">
        <f>IF(C568&lt;&gt;"",VLOOKUP(C568,[1]DSKH!B:E,4,0),"")</f>
        <v>MS. VAN  ANH: 0166 8064 718</v>
      </c>
      <c r="L568" s="216">
        <f>0.6+0.7+0.98+0.46</f>
        <v>2.7399999999999998</v>
      </c>
      <c r="M568" s="216" t="str">
        <f t="shared" si="17"/>
        <v>HA PHONG 3- 1098987917 -MAY 05-na002185041</v>
      </c>
    </row>
    <row r="569" spans="1:13">
      <c r="A569" s="216" t="str">
        <f>IF(C569&lt;&gt;"",SUBTOTAL(103,$C$8:C569),"")</f>
        <v/>
      </c>
      <c r="B569" s="226">
        <v>43225</v>
      </c>
      <c r="C569" s="216"/>
      <c r="D569" s="216" t="str">
        <f>IF(C569&lt;&gt;"",VLOOKUP(C569,[1]DSKH!B:E,2,0),"")</f>
        <v/>
      </c>
      <c r="E569" s="215"/>
      <c r="F569" s="216"/>
      <c r="G569" s="216" t="str">
        <f>IF(C569&lt;&gt;"",VLOOKUP(C569,DSKH!B:E,3,0),"")</f>
        <v/>
      </c>
      <c r="H569" s="222">
        <v>1098987915</v>
      </c>
      <c r="I569" s="217"/>
      <c r="J569" s="224"/>
      <c r="K569" s="216" t="str">
        <f>IF(C569&lt;&gt;"",VLOOKUP(C569,[1]DSKH!B:E,4,0),"")</f>
        <v/>
      </c>
      <c r="L569" s="216"/>
      <c r="M569" s="216" t="str">
        <f t="shared" si="17"/>
        <v>- 1098987915 -MAY 05-</v>
      </c>
    </row>
    <row r="570" spans="1:13" ht="41.4">
      <c r="A570" s="216">
        <f>IF(C570&lt;&gt;"",SUBTOTAL(103,$C$8:C570),"")</f>
        <v>320</v>
      </c>
      <c r="B570" s="226">
        <v>43225</v>
      </c>
      <c r="C570" s="216" t="s">
        <v>2930</v>
      </c>
      <c r="D570" s="216" t="str">
        <f>IF(C570&lt;&gt;"",VLOOKUP(C570,[1]DSKH!B:E,2,0),"")</f>
        <v>Doan Bai Commune- Hiep Hoa Dist
 Bac Giang Province</v>
      </c>
      <c r="E570" s="215">
        <v>8</v>
      </c>
      <c r="F570" s="216"/>
      <c r="G570" s="216">
        <f>IF(C570&lt;&gt;"",VLOOKUP(C570,DSKH!B:E,3,0),"")</f>
        <v>0</v>
      </c>
      <c r="H570" s="222">
        <v>1099002562</v>
      </c>
      <c r="I570" s="217"/>
      <c r="J570" s="224" t="s">
        <v>3412</v>
      </c>
      <c r="K570" s="216" t="str">
        <f>IF(C570&lt;&gt;"",VLOOKUP(C570,[1]DSKH!B:E,4,0),"")</f>
        <v>GIANG: 01687887348</v>
      </c>
      <c r="L570" s="216">
        <f>0.3+1.2+0.7+0.48+0.28</f>
        <v>2.96</v>
      </c>
      <c r="M570" s="216" t="str">
        <f t="shared" si="17"/>
        <v>HA PHONG 4- 1099002562 -MAY 05-na002185042</v>
      </c>
    </row>
    <row r="571" spans="1:13">
      <c r="A571" s="216" t="str">
        <f>IF(C571&lt;&gt;"",SUBTOTAL(103,$C$8:C571),"")</f>
        <v/>
      </c>
      <c r="B571" s="226">
        <v>43225</v>
      </c>
      <c r="C571" s="216"/>
      <c r="D571" s="216" t="str">
        <f>IF(C571&lt;&gt;"",VLOOKUP(C571,[1]DSKH!B:E,2,0),"")</f>
        <v/>
      </c>
      <c r="E571" s="215"/>
      <c r="F571" s="216"/>
      <c r="G571" s="216" t="str">
        <f>IF(C571&lt;&gt;"",VLOOKUP(C571,DSKH!B:E,3,0),"")</f>
        <v/>
      </c>
      <c r="H571" s="222">
        <v>1099002561</v>
      </c>
      <c r="I571" s="217"/>
      <c r="J571" s="224"/>
      <c r="K571" s="216" t="str">
        <f>IF(C571&lt;&gt;"",VLOOKUP(C571,[1]DSKH!B:E,4,0),"")</f>
        <v/>
      </c>
      <c r="L571" s="216"/>
      <c r="M571" s="216" t="str">
        <f t="shared" si="17"/>
        <v>- 1099002561 -MAY 05-</v>
      </c>
    </row>
    <row r="572" spans="1:13">
      <c r="A572" s="216" t="str">
        <f>IF(C572&lt;&gt;"",SUBTOTAL(103,$C$8:C572),"")</f>
        <v/>
      </c>
      <c r="B572" s="226">
        <v>43225</v>
      </c>
      <c r="C572" s="216"/>
      <c r="D572" s="216" t="str">
        <f>IF(C572&lt;&gt;"",VLOOKUP(C572,[1]DSKH!B:E,2,0),"")</f>
        <v/>
      </c>
      <c r="E572" s="215"/>
      <c r="F572" s="216"/>
      <c r="G572" s="216" t="str">
        <f>IF(C572&lt;&gt;"",VLOOKUP(C572,DSKH!B:E,3,0),"")</f>
        <v/>
      </c>
      <c r="H572" s="222">
        <v>1098988772</v>
      </c>
      <c r="I572" s="217"/>
      <c r="J572" s="224"/>
      <c r="K572" s="216" t="str">
        <f>IF(C572&lt;&gt;"",VLOOKUP(C572,[1]DSKH!B:E,4,0),"")</f>
        <v/>
      </c>
      <c r="L572" s="216"/>
      <c r="M572" s="216" t="str">
        <f t="shared" si="17"/>
        <v>- 1098988772 -MAY 05-</v>
      </c>
    </row>
    <row r="573" spans="1:13" ht="41.25" customHeight="1">
      <c r="A573" s="216">
        <f>IF(C573&lt;&gt;"",SUBTOTAL(103,$C$8:C573),"")</f>
        <v>321</v>
      </c>
      <c r="B573" s="226">
        <v>43225</v>
      </c>
      <c r="C573" s="216" t="s">
        <v>3413</v>
      </c>
      <c r="D573" s="216" t="str">
        <f t="shared" ref="D573:D586" si="18">IF(C573&lt;&gt;"",VLOOKUP(C573,DATA.DSKH,2,0),"")</f>
        <v>NO. 1 TAN THUY STREET, PHUC DONG WARD, LONG BIEN DISTRICT, HANOI-----VN</v>
      </c>
      <c r="E573" s="215">
        <v>1</v>
      </c>
      <c r="F573" s="216"/>
      <c r="G573" s="216">
        <f>IF(C573&lt;&gt;"",VLOOKUP(C573,DSKH!B:E,3,0),"")</f>
        <v>0</v>
      </c>
      <c r="H573" s="222">
        <v>1096777120</v>
      </c>
      <c r="I573" s="217"/>
      <c r="J573" s="224" t="s">
        <v>3415</v>
      </c>
      <c r="K573" s="216" t="s">
        <v>1169</v>
      </c>
      <c r="L573" s="216">
        <v>4.2</v>
      </c>
      <c r="M573" s="216" t="str">
        <f t="shared" si="17"/>
        <v>TAM VIET- 1096777120 -MAY 05-na002185039</v>
      </c>
    </row>
    <row r="574" spans="1:13" ht="55.2">
      <c r="A574" s="216">
        <f>IF(C574&lt;&gt;"",SUBTOTAL(103,$C$8:C574),"")</f>
        <v>322</v>
      </c>
      <c r="B574" s="226">
        <v>43225</v>
      </c>
      <c r="C574" s="216" t="s">
        <v>1026</v>
      </c>
      <c r="D574" s="216" t="str">
        <f t="shared" si="18"/>
        <v>So 2 duong 17 Khu DT, CN va DV VSIP Hai phong, X. Thuy Trieu, H. Thuy Nguyen, TP Hai Phong</v>
      </c>
      <c r="E574" s="215">
        <v>7</v>
      </c>
      <c r="F574" s="216"/>
      <c r="G574" s="216">
        <f>IF(C574&lt;&gt;"",VLOOKUP(C574,DSKH!B:E,3,0),"")</f>
        <v>0</v>
      </c>
      <c r="H574" s="222">
        <v>1099130089</v>
      </c>
      <c r="I574" s="217"/>
      <c r="J574" s="224" t="s">
        <v>3416</v>
      </c>
      <c r="K574" s="216" t="str">
        <f>IF(C574&lt;&gt;"",VLOOKUP(C574,[1]DSKH!B:E,4,0),"")</f>
        <v>A.THAI 0987588988</v>
      </c>
      <c r="L574" s="216">
        <f>3.88+2.05+0.48+0.14</f>
        <v>6.55</v>
      </c>
      <c r="M574" s="216" t="str">
        <f t="shared" si="17"/>
        <v>JASAN- 1099130089 -MAY 05-na002185040</v>
      </c>
    </row>
    <row r="575" spans="1:13">
      <c r="A575" s="216" t="str">
        <f>IF(C575&lt;&gt;"",SUBTOTAL(103,$C$8:C575),"")</f>
        <v/>
      </c>
      <c r="B575" s="226">
        <v>43225</v>
      </c>
      <c r="C575" s="216"/>
      <c r="D575" s="216" t="str">
        <f t="shared" si="18"/>
        <v/>
      </c>
      <c r="E575" s="215"/>
      <c r="F575" s="216"/>
      <c r="G575" s="216" t="str">
        <f>IF(C575&lt;&gt;"",VLOOKUP(C575,DSKH!B:E,3,0),"")</f>
        <v/>
      </c>
      <c r="H575" s="222">
        <v>1098990699</v>
      </c>
      <c r="I575" s="217"/>
      <c r="J575" s="224"/>
      <c r="K575" s="216" t="str">
        <f>IF(C575&lt;&gt;"",VLOOKUP(C575,[1]DSKH!B:E,4,0),"")</f>
        <v/>
      </c>
      <c r="L575" s="216"/>
      <c r="M575" s="216" t="str">
        <f t="shared" si="17"/>
        <v>- 1098990699 -MAY 05-</v>
      </c>
    </row>
    <row r="576" spans="1:13">
      <c r="A576" s="216" t="str">
        <f>IF(C576&lt;&gt;"",SUBTOTAL(103,$C$8:C576),"")</f>
        <v/>
      </c>
      <c r="B576" s="226">
        <v>43225</v>
      </c>
      <c r="C576" s="216"/>
      <c r="D576" s="216" t="str">
        <f t="shared" si="18"/>
        <v/>
      </c>
      <c r="E576" s="215"/>
      <c r="F576" s="216"/>
      <c r="G576" s="216" t="str">
        <f>IF(C576&lt;&gt;"",VLOOKUP(C576,DSKH!B:E,3,0),"")</f>
        <v/>
      </c>
      <c r="H576" s="222">
        <v>1099008992</v>
      </c>
      <c r="I576" s="217"/>
      <c r="J576" s="224"/>
      <c r="K576" s="216" t="str">
        <f>IF(C576&lt;&gt;"",VLOOKUP(C576,[1]DSKH!B:E,4,0),"")</f>
        <v/>
      </c>
      <c r="L576" s="216"/>
      <c r="M576" s="216" t="str">
        <f t="shared" si="17"/>
        <v>- 1099008992 -MAY 05-</v>
      </c>
    </row>
    <row r="577" spans="1:13">
      <c r="A577" s="216" t="str">
        <f>IF(C577&lt;&gt;"",SUBTOTAL(103,$C$8:C577),"")</f>
        <v/>
      </c>
      <c r="B577" s="226">
        <v>43225</v>
      </c>
      <c r="C577" s="216"/>
      <c r="D577" s="216" t="str">
        <f t="shared" si="18"/>
        <v/>
      </c>
      <c r="E577" s="215"/>
      <c r="F577" s="216"/>
      <c r="G577" s="216" t="str">
        <f>IF(C577&lt;&gt;"",VLOOKUP(C577,DSKH!B:E,3,0),"")</f>
        <v/>
      </c>
      <c r="H577" s="222">
        <v>1099028947</v>
      </c>
      <c r="I577" s="217"/>
      <c r="J577" s="224"/>
      <c r="K577" s="216" t="str">
        <f>IF(C577&lt;&gt;"",VLOOKUP(C577,[1]DSKH!B:E,4,0),"")</f>
        <v/>
      </c>
      <c r="L577" s="216"/>
      <c r="M577" s="216" t="str">
        <f t="shared" si="17"/>
        <v>- 1099028947 -MAY 05-</v>
      </c>
    </row>
    <row r="578" spans="1:13" ht="124.2">
      <c r="A578" s="216">
        <f>IF(C578&lt;&gt;"",SUBTOTAL(103,$C$8:C578),"")</f>
        <v>323</v>
      </c>
      <c r="B578" s="226">
        <v>43225</v>
      </c>
      <c r="C578" s="216" t="s">
        <v>2835</v>
      </c>
      <c r="D578" s="216" t="str">
        <f t="shared" si="18"/>
        <v>LO C1, KCN BINH HOA, XA BINH HOA, CHAU THANH, AN GIANG</v>
      </c>
      <c r="E578" s="215">
        <f>1+25+18+10+3</f>
        <v>57</v>
      </c>
      <c r="F578" s="216"/>
      <c r="G578" s="216" t="str">
        <f>IF(C578&lt;&gt;"",VLOOKUP(C578,DSKH!B:E,3,0),"")</f>
        <v>NHAN NIKE CHO CS CONFIRM MAIL MOI GIAO HANG- GIAO BANG NETCO
IN PKL TU MAIL CUA CS, KEM THEO DE GIAO HANG</v>
      </c>
      <c r="H578" s="222">
        <v>1098710252</v>
      </c>
      <c r="I578" s="217" t="s">
        <v>2860</v>
      </c>
      <c r="J578" s="224" t="s">
        <v>3417</v>
      </c>
      <c r="K578" s="216">
        <f>IF(C578&lt;&gt;"",VLOOKUP(C578,DATA.DSKH,4,0),"")</f>
        <v>0</v>
      </c>
      <c r="L578" s="216">
        <f>2.1+16+18.4+0.22+4.8+1.1+17.2+10.6+13.8*2+14+3.5+3.5+28+18+5+10*17.4+4.4+6.6+0.5+1.7+0.26+0.2+16.2+0.7+0.85+1.7+1+11.8+0.58+2.06+8.4+1.24+0.23+1.7+0.26+1.4+4.8+1.1+0.3+0.9+0.42+1.72+3.1+0.6+0.24</f>
        <v>418.98</v>
      </c>
      <c r="M578" s="216" t="str">
        <f t="shared" si="17"/>
        <v>NV APPAREL- 1098710252 -MAY 05-na002185037</v>
      </c>
    </row>
    <row r="579" spans="1:13">
      <c r="A579" s="216" t="str">
        <f>IF(C579&lt;&gt;"",SUBTOTAL(103,$C$8:C579),"")</f>
        <v/>
      </c>
      <c r="B579" s="226">
        <v>43225</v>
      </c>
      <c r="C579" s="216"/>
      <c r="D579" s="216" t="str">
        <f t="shared" si="18"/>
        <v/>
      </c>
      <c r="E579" s="215"/>
      <c r="F579" s="216"/>
      <c r="G579" s="216" t="str">
        <f>IF(C579&lt;&gt;"",VLOOKUP(C579,DSKH!B:E,3,0),"")</f>
        <v/>
      </c>
      <c r="H579" s="222">
        <v>1099170753</v>
      </c>
      <c r="I579" s="217"/>
      <c r="J579" s="224"/>
      <c r="K579" s="216" t="str">
        <f>IF(C579&lt;&gt;"",VLOOKUP(C579,DATA.DSKH,4,0),"")</f>
        <v/>
      </c>
      <c r="L579" s="216"/>
      <c r="M579" s="216" t="str">
        <f t="shared" si="17"/>
        <v>- 1099170753 -MAY 05-</v>
      </c>
    </row>
    <row r="580" spans="1:13">
      <c r="A580" s="216" t="str">
        <f>IF(C580&lt;&gt;"",SUBTOTAL(103,$C$8:C580),"")</f>
        <v/>
      </c>
      <c r="B580" s="226">
        <v>43225</v>
      </c>
      <c r="C580" s="216"/>
      <c r="D580" s="216" t="str">
        <f t="shared" si="18"/>
        <v/>
      </c>
      <c r="E580" s="215"/>
      <c r="F580" s="216"/>
      <c r="G580" s="216" t="str">
        <f>IF(C580&lt;&gt;"",VLOOKUP(C580,DSKH!B:E,3,0),"")</f>
        <v/>
      </c>
      <c r="H580" s="222">
        <v>1098989307</v>
      </c>
      <c r="I580" s="217"/>
      <c r="J580" s="224"/>
      <c r="K580" s="216" t="str">
        <f>IF(C580&lt;&gt;"",VLOOKUP(C580,DATA.DSKH,4,0),"")</f>
        <v/>
      </c>
      <c r="L580" s="216"/>
      <c r="M580" s="216" t="str">
        <f t="shared" si="17"/>
        <v>- 1098989307 -MAY 05-</v>
      </c>
    </row>
    <row r="581" spans="1:13" ht="41.4">
      <c r="A581" s="216">
        <f>IF(C581&lt;&gt;"",SUBTOTAL(103,$C$8:C581),"")</f>
        <v>324</v>
      </c>
      <c r="B581" s="226">
        <v>43225</v>
      </c>
      <c r="C581" s="216" t="s">
        <v>2568</v>
      </c>
      <c r="D581" s="216" t="str">
        <f t="shared" si="18"/>
        <v>PLOT D6, KCN MY TRUNG, MY LOC, NAM DINH</v>
      </c>
      <c r="E581" s="215">
        <v>5</v>
      </c>
      <c r="F581" s="216"/>
      <c r="G581" s="216" t="str">
        <f>IF(C581&lt;&gt;"",VLOOKUP(C581,DSKH!B:E,3,0),"")</f>
        <v>HANG CHUNG CTU</v>
      </c>
      <c r="H581" s="222">
        <v>1099027432</v>
      </c>
      <c r="I581" s="217"/>
      <c r="J581" s="224" t="s">
        <v>3418</v>
      </c>
      <c r="K581" s="216" t="str">
        <f>IF(C581&lt;&gt;"",VLOOKUP(C581,DATA.DSKH,4,0),"")</f>
        <v>THUY: 0350 3819 198</v>
      </c>
      <c r="L581" s="216">
        <f>0.2+0.34+0.16+0.26+0.2</f>
        <v>1.1600000000000001</v>
      </c>
      <c r="M581" s="216" t="str">
        <f t="shared" si="17"/>
        <v>YSS- 1099027432 -MAY 05-na002185038</v>
      </c>
    </row>
    <row r="582" spans="1:13" ht="82.8">
      <c r="A582" s="216">
        <f>IF(C582&lt;&gt;"",SUBTOTAL(103,$C$8:C582),"")</f>
        <v>325</v>
      </c>
      <c r="B582" s="226">
        <v>43225</v>
      </c>
      <c r="C582" s="216" t="s">
        <v>280</v>
      </c>
      <c r="D582" s="216" t="str">
        <f t="shared" si="18"/>
        <v>236C NGUYEN TRUNG TRUC, MY PHONG, MY THO</v>
      </c>
      <c r="E582" s="215">
        <v>9</v>
      </c>
      <c r="F582" s="216"/>
      <c r="G582" s="216" t="str">
        <f>IF(C582&lt;&gt;"",VLOOKUP(C582,DSKH!B:E,3,0),"")</f>
        <v>NHAN MACY GIAO NETCO, CON LAI NHAN ANN TAYLOR KHACH HANG DEN LAY</v>
      </c>
      <c r="H582" s="222">
        <v>1099003982</v>
      </c>
      <c r="I582" s="217"/>
      <c r="J582" s="224" t="s">
        <v>3419</v>
      </c>
      <c r="K582" s="216">
        <f>IF(C582&lt;&gt;"",VLOOKUP(C582,DATA.DSKH,4,0),"")</f>
        <v>0</v>
      </c>
      <c r="L582" s="216">
        <f>27.8+11.6</f>
        <v>39.4</v>
      </c>
      <c r="M582" s="216" t="str">
        <f t="shared" ref="M582:M608" si="19">C582&amp;"-"&amp;" "&amp;H582&amp;" "&amp;"-"&amp;"MAY"&amp;" "&amp;"05"&amp;"-"&amp;J582</f>
        <v>CHOI SHINS VINA- 1099003982 -MAY 05-na002185035</v>
      </c>
    </row>
    <row r="583" spans="1:13">
      <c r="A583" s="216" t="str">
        <f>IF(C583&lt;&gt;"",SUBTOTAL(103,$C$8:C583),"")</f>
        <v/>
      </c>
      <c r="B583" s="226">
        <v>43225</v>
      </c>
      <c r="C583" s="216"/>
      <c r="D583" s="216" t="str">
        <f t="shared" si="18"/>
        <v/>
      </c>
      <c r="E583" s="215"/>
      <c r="F583" s="216"/>
      <c r="G583" s="216" t="str">
        <f>IF(C583&lt;&gt;"",VLOOKUP(C583,DSKH!B:E,3,0),"")</f>
        <v/>
      </c>
      <c r="H583" s="222">
        <v>1098991184</v>
      </c>
      <c r="I583" s="217"/>
      <c r="J583" s="224"/>
      <c r="K583" s="216"/>
      <c r="L583" s="216"/>
      <c r="M583" s="216" t="str">
        <f t="shared" si="19"/>
        <v>- 1098991184 -MAY 05-</v>
      </c>
    </row>
    <row r="584" spans="1:13" ht="69">
      <c r="A584" s="216">
        <f>IF(C584&lt;&gt;"",SUBTOTAL(103,$C$8:C584),"")</f>
        <v>326</v>
      </c>
      <c r="B584" s="226">
        <v>43225</v>
      </c>
      <c r="C584" s="216" t="s">
        <v>455</v>
      </c>
      <c r="D584" s="216" t="str">
        <f t="shared" si="18"/>
        <v>LÔ IX-1, IX-2, IX-3, IX-4 KCN MỸ XUÂN B1- TIẾN HÙNG, 
XÃ MỸ XUÂN, HUYỆN TÂN THÀNH, BRVT</v>
      </c>
      <c r="E584" s="215">
        <v>8</v>
      </c>
      <c r="F584" s="216"/>
      <c r="G584" s="216" t="str">
        <f>IF(C584&lt;&gt;"",VLOOKUP(C584,DSKH!B:E,3,0),"")</f>
        <v>CHO XNK CONFIRM</v>
      </c>
      <c r="H584" s="222">
        <v>1098156172</v>
      </c>
      <c r="I584" s="217"/>
      <c r="J584" s="224" t="s">
        <v>3420</v>
      </c>
      <c r="K584" s="216" t="str">
        <f t="shared" ref="K584:K615" si="20">IF(C584&lt;&gt;"",VLOOKUP(C584,DATA.DSKH,4,0),"")</f>
        <v>MS KIEU: 0169 408 4737</v>
      </c>
      <c r="L584" s="216">
        <v>52.76</v>
      </c>
      <c r="M584" s="216" t="str">
        <f t="shared" si="19"/>
        <v>E TOP- 1098156172 -MAY 05-na002185036</v>
      </c>
    </row>
    <row r="585" spans="1:13">
      <c r="A585" s="216" t="str">
        <f>IF(C585&lt;&gt;"",SUBTOTAL(103,$C$8:C585),"")</f>
        <v/>
      </c>
      <c r="B585" s="226">
        <v>43225</v>
      </c>
      <c r="C585" s="216"/>
      <c r="D585" s="216" t="str">
        <f t="shared" si="18"/>
        <v/>
      </c>
      <c r="E585" s="215"/>
      <c r="F585" s="216"/>
      <c r="G585" s="216" t="str">
        <f>IF(C585&lt;&gt;"",VLOOKUP(C585,DSKH!B:E,3,0),"")</f>
        <v/>
      </c>
      <c r="H585" s="222">
        <v>1098688858</v>
      </c>
      <c r="I585" s="217"/>
      <c r="J585" s="224"/>
      <c r="K585" s="216" t="str">
        <f t="shared" si="20"/>
        <v/>
      </c>
      <c r="L585" s="216"/>
      <c r="M585" s="216" t="str">
        <f t="shared" si="19"/>
        <v>- 1098688858 -MAY 05-</v>
      </c>
    </row>
    <row r="586" spans="1:13">
      <c r="A586" s="216" t="str">
        <f>IF(C586&lt;&gt;"",SUBTOTAL(103,$C$8:C586),"")</f>
        <v/>
      </c>
      <c r="B586" s="226">
        <v>43225</v>
      </c>
      <c r="C586" s="216"/>
      <c r="D586" s="216" t="str">
        <f t="shared" si="18"/>
        <v/>
      </c>
      <c r="E586" s="215"/>
      <c r="F586" s="216"/>
      <c r="G586" s="216" t="str">
        <f>IF(C586&lt;&gt;"",VLOOKUP(C586,DSKH!B:E,3,0),"")</f>
        <v/>
      </c>
      <c r="H586" s="222">
        <v>1098690685</v>
      </c>
      <c r="I586" s="217"/>
      <c r="J586" s="224"/>
      <c r="K586" s="216" t="str">
        <f t="shared" si="20"/>
        <v/>
      </c>
      <c r="L586" s="216"/>
      <c r="M586" s="216" t="str">
        <f t="shared" si="19"/>
        <v>- 1098690685 -MAY 05-</v>
      </c>
    </row>
    <row r="587" spans="1:13">
      <c r="A587" s="216" t="str">
        <f>IF(C587&lt;&gt;"",SUBTOTAL(103,$C$8:C587),"")</f>
        <v/>
      </c>
      <c r="B587" s="226">
        <v>43225</v>
      </c>
      <c r="C587" s="216"/>
      <c r="D587" s="216" t="s">
        <v>1169</v>
      </c>
      <c r="E587" s="215"/>
      <c r="F587" s="216"/>
      <c r="G587" s="216" t="str">
        <f>IF(C587&lt;&gt;"",VLOOKUP(C587,DSKH!B:E,3,0),"")</f>
        <v/>
      </c>
      <c r="H587" s="222">
        <v>1098688859</v>
      </c>
      <c r="I587" s="217"/>
      <c r="J587" s="224"/>
      <c r="K587" s="216" t="str">
        <f t="shared" si="20"/>
        <v/>
      </c>
      <c r="L587" s="216"/>
      <c r="M587" s="216" t="str">
        <f t="shared" si="19"/>
        <v>- 1098688859 -MAY 05-</v>
      </c>
    </row>
    <row r="588" spans="1:13">
      <c r="A588" s="216" t="str">
        <f>IF(C588&lt;&gt;"",SUBTOTAL(103,$C$8:C588),"")</f>
        <v/>
      </c>
      <c r="B588" s="226">
        <v>43225</v>
      </c>
      <c r="C588" s="216"/>
      <c r="D588" s="216" t="str">
        <f t="shared" ref="D588:D619" si="21">IF(C588&lt;&gt;"",VLOOKUP(C588,DATA.DSKH,2,0),"")</f>
        <v/>
      </c>
      <c r="E588" s="215"/>
      <c r="F588" s="216"/>
      <c r="G588" s="216" t="str">
        <f>IF(C588&lt;&gt;"",VLOOKUP(C588,DSKH!B:E,3,0),"")</f>
        <v/>
      </c>
      <c r="H588" s="222">
        <v>1097835538</v>
      </c>
      <c r="I588" s="217"/>
      <c r="J588" s="224"/>
      <c r="K588" s="216" t="str">
        <f t="shared" si="20"/>
        <v/>
      </c>
      <c r="L588" s="216"/>
      <c r="M588" s="216" t="str">
        <f t="shared" si="19"/>
        <v>- 1097835538 -MAY 05-</v>
      </c>
    </row>
    <row r="589" spans="1:13">
      <c r="A589" s="216" t="str">
        <f>IF(C589&lt;&gt;"",SUBTOTAL(103,$C$8:C589),"")</f>
        <v/>
      </c>
      <c r="B589" s="226">
        <v>43225</v>
      </c>
      <c r="C589" s="216"/>
      <c r="D589" s="216" t="str">
        <f t="shared" si="21"/>
        <v/>
      </c>
      <c r="E589" s="215"/>
      <c r="F589" s="216"/>
      <c r="G589" s="216" t="str">
        <f>IF(C589&lt;&gt;"",VLOOKUP(C589,DSKH!B:E,3,0),"")</f>
        <v/>
      </c>
      <c r="H589" s="222">
        <v>1097978821</v>
      </c>
      <c r="I589" s="217"/>
      <c r="J589" s="224"/>
      <c r="K589" s="216" t="str">
        <f t="shared" si="20"/>
        <v/>
      </c>
      <c r="L589" s="216"/>
      <c r="M589" s="216" t="str">
        <f t="shared" si="19"/>
        <v>- 1097978821 -MAY 05-</v>
      </c>
    </row>
    <row r="590" spans="1:13">
      <c r="A590" s="216" t="str">
        <f>IF(C590&lt;&gt;"",SUBTOTAL(103,$C$8:C590),"")</f>
        <v/>
      </c>
      <c r="B590" s="226">
        <v>43225</v>
      </c>
      <c r="C590" s="216"/>
      <c r="D590" s="216" t="str">
        <f t="shared" si="21"/>
        <v/>
      </c>
      <c r="E590" s="215"/>
      <c r="F590" s="216"/>
      <c r="G590" s="216" t="str">
        <f>IF(C590&lt;&gt;"",VLOOKUP(C590,DSKH!B:E,3,0),"")</f>
        <v/>
      </c>
      <c r="H590" s="222">
        <v>1097978825</v>
      </c>
      <c r="I590" s="217"/>
      <c r="J590" s="224"/>
      <c r="K590" s="216" t="str">
        <f t="shared" si="20"/>
        <v/>
      </c>
      <c r="L590" s="216"/>
      <c r="M590" s="216" t="str">
        <f t="shared" si="19"/>
        <v>- 1097978825 -MAY 05-</v>
      </c>
    </row>
    <row r="591" spans="1:13" ht="69">
      <c r="A591" s="216">
        <f>IF(C591&lt;&gt;"",SUBTOTAL(103,$C$8:C591),"")</f>
        <v>327</v>
      </c>
      <c r="B591" s="226">
        <v>43225</v>
      </c>
      <c r="C591" s="216" t="s">
        <v>455</v>
      </c>
      <c r="D591" s="216" t="str">
        <f t="shared" si="21"/>
        <v>LÔ IX-1, IX-2, IX-3, IX-4 KCN MỸ XUÂN B1- TIẾN HÙNG, 
XÃ MỸ XUÂN, HUYỆN TÂN THÀNH, BRVT</v>
      </c>
      <c r="E591" s="215">
        <v>4</v>
      </c>
      <c r="F591" s="216"/>
      <c r="G591" s="216" t="str">
        <f>IF(C591&lt;&gt;"",VLOOKUP(C591,DSKH!B:E,3,0),"")</f>
        <v>CHO XNK CONFIRM</v>
      </c>
      <c r="H591" s="222">
        <v>1097380265</v>
      </c>
      <c r="I591" s="217"/>
      <c r="J591" s="224" t="s">
        <v>3421</v>
      </c>
      <c r="K591" s="216" t="str">
        <f t="shared" si="20"/>
        <v>MS KIEU: 0169 408 4737</v>
      </c>
      <c r="L591" s="216">
        <v>51.6</v>
      </c>
      <c r="M591" s="216" t="str">
        <f t="shared" si="19"/>
        <v>E TOP- 1097380265 -MAY 05-na002185033</v>
      </c>
    </row>
    <row r="592" spans="1:13">
      <c r="A592" s="216" t="str">
        <f>IF(C592&lt;&gt;"",SUBTOTAL(103,$C$8:C592),"")</f>
        <v/>
      </c>
      <c r="B592" s="226">
        <v>43225</v>
      </c>
      <c r="C592" s="216"/>
      <c r="D592" s="216" t="str">
        <f t="shared" si="21"/>
        <v/>
      </c>
      <c r="E592" s="215"/>
      <c r="F592" s="216"/>
      <c r="G592" s="216" t="str">
        <f>IF(C592&lt;&gt;"",VLOOKUP(C592,DSKH!B:E,3,0),"")</f>
        <v/>
      </c>
      <c r="H592" s="222">
        <v>1097380161</v>
      </c>
      <c r="I592" s="217"/>
      <c r="J592" s="224"/>
      <c r="K592" s="216" t="str">
        <f t="shared" si="20"/>
        <v/>
      </c>
      <c r="L592" s="216"/>
      <c r="M592" s="216" t="str">
        <f t="shared" si="19"/>
        <v>- 1097380161 -MAY 05-</v>
      </c>
    </row>
    <row r="593" spans="1:13">
      <c r="A593" s="216" t="str">
        <f>IF(C593&lt;&gt;"",SUBTOTAL(103,$C$8:C593),"")</f>
        <v/>
      </c>
      <c r="B593" s="226">
        <v>43225</v>
      </c>
      <c r="C593" s="216"/>
      <c r="D593" s="216" t="str">
        <f t="shared" si="21"/>
        <v/>
      </c>
      <c r="E593" s="215"/>
      <c r="F593" s="216"/>
      <c r="G593" s="216" t="str">
        <f>IF(C593&lt;&gt;"",VLOOKUP(C593,DSKH!B:E,3,0),"")</f>
        <v/>
      </c>
      <c r="H593" s="222">
        <v>1098029282</v>
      </c>
      <c r="I593" s="217"/>
      <c r="J593" s="224"/>
      <c r="K593" s="216" t="str">
        <f t="shared" si="20"/>
        <v/>
      </c>
      <c r="L593" s="216"/>
      <c r="M593" s="216" t="str">
        <f t="shared" si="19"/>
        <v>- 1098029282 -MAY 05-</v>
      </c>
    </row>
    <row r="594" spans="1:13">
      <c r="A594" s="216" t="str">
        <f>IF(C594&lt;&gt;"",SUBTOTAL(103,$C$8:C594),"")</f>
        <v/>
      </c>
      <c r="B594" s="226">
        <v>43225</v>
      </c>
      <c r="C594" s="216"/>
      <c r="D594" s="216" t="str">
        <f t="shared" si="21"/>
        <v/>
      </c>
      <c r="E594" s="215"/>
      <c r="F594" s="216"/>
      <c r="G594" s="216" t="str">
        <f>IF(C594&lt;&gt;"",VLOOKUP(C594,DSKH!B:E,3,0),"")</f>
        <v/>
      </c>
      <c r="H594" s="222">
        <v>1097464147</v>
      </c>
      <c r="I594" s="217"/>
      <c r="J594" s="224"/>
      <c r="K594" s="216" t="str">
        <f t="shared" si="20"/>
        <v/>
      </c>
      <c r="L594" s="216"/>
      <c r="M594" s="216" t="str">
        <f t="shared" si="19"/>
        <v>- 1097464147 -MAY 05-</v>
      </c>
    </row>
    <row r="595" spans="1:13" ht="41.4">
      <c r="A595" s="216">
        <f>IF(C595&lt;&gt;"",SUBTOTAL(103,$C$8:C595),"")</f>
        <v>328</v>
      </c>
      <c r="B595" s="226">
        <v>43225</v>
      </c>
      <c r="C595" s="216" t="s">
        <v>2374</v>
      </c>
      <c r="D595" s="216" t="str">
        <f t="shared" si="21"/>
        <v>LO CN3, CUM CN TU HA, TU HA, HUONG TRA, THUA THIEN HUE</v>
      </c>
      <c r="E595" s="215">
        <v>4</v>
      </c>
      <c r="F595" s="216" t="s">
        <v>2090</v>
      </c>
      <c r="G595" s="216">
        <f>IF(C595&lt;&gt;"",VLOOKUP(C595,DSKH!B:E,3,0),"")</f>
        <v>0</v>
      </c>
      <c r="H595" s="222">
        <v>1099178626</v>
      </c>
      <c r="I595" s="217" t="s">
        <v>2860</v>
      </c>
      <c r="J595" s="224" t="s">
        <v>3422</v>
      </c>
      <c r="K595" s="216" t="str">
        <f t="shared" si="20"/>
        <v xml:space="preserve"> CHI TRANG : 0128 253 8980 </v>
      </c>
      <c r="L595" s="216">
        <f>0.76+2.26+4.98+2.98+0</f>
        <v>10.98</v>
      </c>
      <c r="M595" s="216" t="str">
        <f t="shared" si="19"/>
        <v>VINATEX HUONG TRA- 1099178626 -MAY 05-na002185034</v>
      </c>
    </row>
    <row r="596" spans="1:13" ht="41.4">
      <c r="A596" s="216">
        <f>IF(C596&lt;&gt;"",SUBTOTAL(103,$C$8:C596),"")</f>
        <v>329</v>
      </c>
      <c r="B596" s="226">
        <v>43225</v>
      </c>
      <c r="C596" s="216" t="s">
        <v>2381</v>
      </c>
      <c r="D596" s="216" t="str">
        <f t="shared" si="21"/>
        <v>LO A8, CUM CN LA HA, THI TRAN LA HA, TU NGHIA, QUANG NGAI</v>
      </c>
      <c r="E596" s="215">
        <v>1</v>
      </c>
      <c r="F596" s="216" t="s">
        <v>2090</v>
      </c>
      <c r="G596" s="216">
        <f>IF(C596&lt;&gt;"",VLOOKUP(C596,DSKH!B:E,3,0),"")</f>
        <v>0</v>
      </c>
      <c r="H596" s="222">
        <v>1099178628</v>
      </c>
      <c r="I596" s="217" t="s">
        <v>2860</v>
      </c>
      <c r="J596" s="224" t="s">
        <v>3423</v>
      </c>
      <c r="K596" s="216" t="str">
        <f t="shared" si="20"/>
        <v>MR VU: 0936 383 610</v>
      </c>
      <c r="L596" s="216">
        <v>2.58</v>
      </c>
      <c r="M596" s="216" t="str">
        <f t="shared" si="19"/>
        <v>VINATEX TU NGHIA- 1099178628 -MAY 05-na002185031</v>
      </c>
    </row>
    <row r="597" spans="1:13" ht="55.2">
      <c r="A597" s="216">
        <f>IF(C597&lt;&gt;"",SUBTOTAL(103,$C$8:C597),"")</f>
        <v>330</v>
      </c>
      <c r="B597" s="226">
        <v>43225</v>
      </c>
      <c r="C597" s="216" t="s">
        <v>2356</v>
      </c>
      <c r="D597" s="216" t="str">
        <f t="shared" si="21"/>
        <v>LO A6, CUM CN BONG SON, THI TRAN BONG SON, HOAI NHON, BINH DINH</v>
      </c>
      <c r="E597" s="215">
        <v>2</v>
      </c>
      <c r="F597" s="216" t="s">
        <v>2090</v>
      </c>
      <c r="G597" s="216">
        <f>IF(C597&lt;&gt;"",VLOOKUP(C597,DSKH!B:E,3,0),"")</f>
        <v>0</v>
      </c>
      <c r="H597" s="222">
        <v>1099178627</v>
      </c>
      <c r="I597" s="217" t="s">
        <v>2860</v>
      </c>
      <c r="J597" s="224" t="s">
        <v>3424</v>
      </c>
      <c r="K597" s="216" t="str">
        <f t="shared" si="20"/>
        <v>MS LAM: 0982690662</v>
      </c>
      <c r="L597" s="216">
        <f>0.56+0.76</f>
        <v>1.32</v>
      </c>
      <c r="M597" s="216" t="str">
        <f t="shared" si="19"/>
        <v>VINATEX BONG SON- 1099178627 -MAY 05-na002185032</v>
      </c>
    </row>
    <row r="598" spans="1:13" ht="27.6">
      <c r="A598" s="216">
        <f>IF(C598&lt;&gt;"",SUBTOTAL(103,$C$8:C598),"")</f>
        <v>331</v>
      </c>
      <c r="B598" s="226">
        <v>43225</v>
      </c>
      <c r="C598" s="216" t="s">
        <v>761</v>
      </c>
      <c r="D598" s="216" t="str">
        <f t="shared" si="21"/>
        <v>KM50+460, QL 5, CAM THUONG, HAI DUONG</v>
      </c>
      <c r="E598" s="215">
        <v>3</v>
      </c>
      <c r="F598" s="216"/>
      <c r="G598" s="216">
        <f>IF(C598&lt;&gt;"",VLOOKUP(C598,DSKH!B:E,3,0),"")</f>
        <v>0</v>
      </c>
      <c r="H598" s="222">
        <v>1099171355</v>
      </c>
      <c r="I598" s="217" t="s">
        <v>2860</v>
      </c>
      <c r="J598" s="224" t="s">
        <v>3425</v>
      </c>
      <c r="K598" s="216" t="str">
        <f t="shared" si="20"/>
        <v>Ms Bich Nga 0945 078 558</v>
      </c>
      <c r="L598" s="216">
        <f>0.8+13.4+11</f>
        <v>25.200000000000003</v>
      </c>
      <c r="M598" s="216" t="str">
        <f t="shared" si="19"/>
        <v>HA HAE- 1099171355 -MAY 05-na002185029</v>
      </c>
    </row>
    <row r="599" spans="1:13">
      <c r="A599" s="216" t="str">
        <f>IF(C599&lt;&gt;"",SUBTOTAL(103,$C$8:C599),"")</f>
        <v/>
      </c>
      <c r="B599" s="226">
        <v>43225</v>
      </c>
      <c r="C599" s="216"/>
      <c r="D599" s="216" t="str">
        <f t="shared" si="21"/>
        <v/>
      </c>
      <c r="E599" s="215"/>
      <c r="F599" s="216"/>
      <c r="G599" s="216" t="str">
        <f>IF(C599&lt;&gt;"",VLOOKUP(C599,DSKH!B:E,3,0),"")</f>
        <v/>
      </c>
      <c r="H599" s="222">
        <v>1099140765</v>
      </c>
      <c r="I599" s="217"/>
      <c r="J599" s="224"/>
      <c r="K599" s="216" t="str">
        <f t="shared" si="20"/>
        <v/>
      </c>
      <c r="L599" s="216"/>
      <c r="M599" s="216" t="str">
        <f t="shared" si="19"/>
        <v>- 1099140765 -MAY 05-</v>
      </c>
    </row>
    <row r="600" spans="1:13" ht="82.8">
      <c r="A600" s="216">
        <f>IF(C600&lt;&gt;"",SUBTOTAL(103,$C$8:C600),"")</f>
        <v>332</v>
      </c>
      <c r="B600" s="226">
        <v>43225</v>
      </c>
      <c r="C600" s="216" t="s">
        <v>2204</v>
      </c>
      <c r="D600" s="216" t="str">
        <f t="shared" si="21"/>
        <v>BI, BII, BIII, BIV SECTION,  GIAO LONG INDUSTRIAL ZONE PHASE II,AN PHUOC COMMUNE, CHAU THANH DISTRICT, BEN TRE PROVINCE</v>
      </c>
      <c r="E600" s="215">
        <v>1</v>
      </c>
      <c r="F600" s="216" t="s">
        <v>2090</v>
      </c>
      <c r="G600" s="216">
        <f>IF(C600&lt;&gt;"",VLOOKUP(C600,DSKH!B:E,3,0),"")</f>
        <v>0</v>
      </c>
      <c r="H600" s="222">
        <v>1099183214</v>
      </c>
      <c r="I600" s="217" t="s">
        <v>2860</v>
      </c>
      <c r="J600" s="224" t="s">
        <v>3426</v>
      </c>
      <c r="K600" s="216" t="str">
        <f t="shared" si="20"/>
        <v>Tel: 84-75- 3635600   Fax: 84-75- 3635601</v>
      </c>
      <c r="L600" s="216">
        <v>5.3</v>
      </c>
      <c r="M600" s="216" t="str">
        <f t="shared" si="19"/>
        <v>UNISOLL- 1099183214 -MAY 05-na002185876</v>
      </c>
    </row>
    <row r="601" spans="1:13" ht="55.2">
      <c r="A601" s="216">
        <f>IF(C601&lt;&gt;"",SUBTOTAL(103,$C$8:C601),"")</f>
        <v>333</v>
      </c>
      <c r="B601" s="226">
        <v>43225</v>
      </c>
      <c r="C601" s="216" t="s">
        <v>2289</v>
      </c>
      <c r="D601" s="216" t="str">
        <f t="shared" si="21"/>
        <v>QUYNH PHUC INDUSTRIAL PARK, PHUC THANH COMMUNE, KIMTHANH DIST</v>
      </c>
      <c r="E601" s="215">
        <v>6</v>
      </c>
      <c r="F601" s="216"/>
      <c r="G601" s="216">
        <f>IF(C601&lt;&gt;"",VLOOKUP(C601,DSKH!B:E,3,0),"")</f>
        <v>0</v>
      </c>
      <c r="H601" s="222">
        <v>1099174659</v>
      </c>
      <c r="I601" s="217" t="s">
        <v>2860</v>
      </c>
      <c r="J601" s="224" t="s">
        <v>3427</v>
      </c>
      <c r="K601" s="216">
        <f t="shared" si="20"/>
        <v>0</v>
      </c>
      <c r="L601" s="216">
        <f>0.36+0.4</f>
        <v>0.76</v>
      </c>
      <c r="M601" s="216" t="str">
        <f t="shared" si="19"/>
        <v>VIET NAM CHUNG JYE- 1099174659 -MAY 05-na002185877</v>
      </c>
    </row>
    <row r="602" spans="1:13" ht="27.6">
      <c r="A602" s="216">
        <f>IF(C602&lt;&gt;"",SUBTOTAL(103,$C$8:C602),"")</f>
        <v>334</v>
      </c>
      <c r="B602" s="226">
        <v>43225</v>
      </c>
      <c r="C602" s="216" t="s">
        <v>3428</v>
      </c>
      <c r="D602" s="216" t="str">
        <f t="shared" si="21"/>
        <v>KM24+500, QL 5, DI SU, MY HAO, HUNG YEN</v>
      </c>
      <c r="E602" s="215">
        <v>2</v>
      </c>
      <c r="F602" s="216"/>
      <c r="G602" s="216">
        <f>IF(C602&lt;&gt;"",VLOOKUP(C602,DSKH!B:E,3,0),"")</f>
        <v>0</v>
      </c>
      <c r="H602" s="222">
        <v>1099176441</v>
      </c>
      <c r="I602" s="217"/>
      <c r="J602" s="224" t="s">
        <v>3429</v>
      </c>
      <c r="K602" s="216">
        <f t="shared" si="20"/>
        <v>0</v>
      </c>
      <c r="L602" s="216">
        <f>0.8+0.2</f>
        <v>1</v>
      </c>
      <c r="M602" s="216" t="str">
        <f t="shared" si="19"/>
        <v>HUNG VIET- 1099176441 -MAY 05-na002185878</v>
      </c>
    </row>
    <row r="603" spans="1:13" ht="69">
      <c r="A603" s="216">
        <f>IF(C603&lt;&gt;"",SUBTOTAL(103,$C$8:C603),"")</f>
        <v>335</v>
      </c>
      <c r="B603" s="226">
        <v>43225</v>
      </c>
      <c r="C603" s="216" t="s">
        <v>2291</v>
      </c>
      <c r="D603" s="216" t="str">
        <f t="shared" si="21"/>
        <v>KHANH NHAC INDUSTRIAL PARK, KHANH NHAC, YEN KHANH DIST, NINH BINH PROVINCE</v>
      </c>
      <c r="E603" s="215">
        <v>4</v>
      </c>
      <c r="F603" s="216"/>
      <c r="G603" s="216">
        <f>IF(C603&lt;&gt;"",VLOOKUP(C603,DSKH!B:E,3,0),"")</f>
        <v>0</v>
      </c>
      <c r="H603" s="222">
        <v>1099174031</v>
      </c>
      <c r="I603" s="217" t="s">
        <v>2860</v>
      </c>
      <c r="J603" s="224" t="s">
        <v>3430</v>
      </c>
      <c r="K603" s="216" t="str">
        <f t="shared" si="20"/>
        <v>Dương - 0916 271 369</v>
      </c>
      <c r="L603" s="216">
        <f>0.12+0.98+0.16+0.1</f>
        <v>1.36</v>
      </c>
      <c r="M603" s="216" t="str">
        <f t="shared" si="19"/>
        <v>VIET NAM CHUNG JYE NINH BINH- 1099174031 -MAY 05-na002185879</v>
      </c>
    </row>
    <row r="604" spans="1:13" ht="41.4">
      <c r="A604" s="216">
        <f>IF(C604&lt;&gt;"",SUBTOTAL(103,$C$8:C604),"")</f>
        <v>336</v>
      </c>
      <c r="B604" s="226">
        <v>43225</v>
      </c>
      <c r="C604" s="216" t="s">
        <v>1234</v>
      </c>
      <c r="D604" s="216" t="str">
        <f t="shared" si="21"/>
        <v>216 TRAN THANH NGO ST-KIEN AN DIST-HAI PHONG</v>
      </c>
      <c r="E604" s="215">
        <v>1</v>
      </c>
      <c r="F604" s="216"/>
      <c r="G604" s="216" t="str">
        <f>IF(C604&lt;&gt;"",VLOOKUP(C604,DSKH!B:E,3,0),"")</f>
        <v>cho XNK confirm-NETCO-DN#AWB
ghi so DN len Bill</v>
      </c>
      <c r="H604" s="222" t="s">
        <v>3431</v>
      </c>
      <c r="I604" s="217"/>
      <c r="J604" s="224" t="s">
        <v>3432</v>
      </c>
      <c r="K604" s="216" t="str">
        <f t="shared" si="20"/>
        <v>0169 640 1182- MS HUE</v>
      </c>
      <c r="L604" s="216">
        <v>0.1</v>
      </c>
      <c r="M604" s="216" t="str">
        <f t="shared" si="19"/>
        <v>MAY HAI- HANG XOT LAI 24076540-1 -MAY 05-na002185880</v>
      </c>
    </row>
    <row r="605" spans="1:13" ht="41.4">
      <c r="A605" s="216">
        <f>IF(C605&lt;&gt;"",SUBTOTAL(103,$C$8:C605),"")</f>
        <v>337</v>
      </c>
      <c r="B605" s="226">
        <v>43225</v>
      </c>
      <c r="C605" s="216" t="s">
        <v>2694</v>
      </c>
      <c r="D605" s="216" t="str">
        <f t="shared" si="21"/>
        <v xml:space="preserve"> 6th Floor,  No.478 Minh Khai Str,Hai Ba Trung Dist, Hanoi  </v>
      </c>
      <c r="E605" s="215">
        <v>1</v>
      </c>
      <c r="F605" s="216"/>
      <c r="G605" s="216">
        <f>IF(C605&lt;&gt;"",VLOOKUP(C605,DSKH!B:E,3,0),"")</f>
        <v>0</v>
      </c>
      <c r="H605" s="222">
        <v>1099039846</v>
      </c>
      <c r="I605" s="217"/>
      <c r="J605" s="224" t="s">
        <v>3433</v>
      </c>
      <c r="K605" s="216" t="str">
        <f t="shared" si="20"/>
        <v>Mrs.  Merry/Huong +84-0989709898</v>
      </c>
      <c r="L605" s="216">
        <v>1</v>
      </c>
      <c r="M605" s="216" t="str">
        <f t="shared" si="19"/>
        <v>VINEX SPOL- 1099039846 -MAY 05-na002185881</v>
      </c>
    </row>
    <row r="606" spans="1:13" ht="41.4">
      <c r="A606" s="216">
        <f>IF(C606&lt;&gt;"",SUBTOTAL(103,$C$8:C606),"")</f>
        <v>338</v>
      </c>
      <c r="B606" s="226">
        <v>43225</v>
      </c>
      <c r="C606" s="216" t="s">
        <v>985</v>
      </c>
      <c r="D606" s="216" t="str">
        <f t="shared" si="21"/>
        <v>8 BACH DANG, HUNG YEN</v>
      </c>
      <c r="E606" s="215">
        <v>1</v>
      </c>
      <c r="F606" s="216"/>
      <c r="G606" s="216" t="str">
        <f>IF(C606&lt;&gt;"",VLOOKUP(C606,DSKH!B:E,3,0),"")</f>
        <v>CTU-NETCO-DN#AWB
ghi so DN len Bill</v>
      </c>
      <c r="H606" s="222">
        <v>1099029919</v>
      </c>
      <c r="I606" s="217" t="s">
        <v>2860</v>
      </c>
      <c r="J606" s="224" t="s">
        <v>3434</v>
      </c>
      <c r="K606" s="216" t="str">
        <f t="shared" si="20"/>
        <v>Mr Hong Doan (phone no:+84904379546)</v>
      </c>
      <c r="L606" s="216">
        <v>4.0999999999999996</v>
      </c>
      <c r="M606" s="216" t="str">
        <f t="shared" si="19"/>
        <v>HUNG YEN- 1099029919 -MAY 05-na002185882</v>
      </c>
    </row>
    <row r="607" spans="1:13" ht="41.4">
      <c r="A607" s="216">
        <f>IF(C607&lt;&gt;"",SUBTOTAL(103,$C$8:C607),"")</f>
        <v>339</v>
      </c>
      <c r="B607" s="226">
        <v>43225</v>
      </c>
      <c r="C607" s="216" t="s">
        <v>2928</v>
      </c>
      <c r="D607" s="216" t="str">
        <f t="shared" si="21"/>
        <v>KCN PHONG DIEN-HUE</v>
      </c>
      <c r="E607" s="215">
        <v>1</v>
      </c>
      <c r="F607" s="216" t="s">
        <v>2090</v>
      </c>
      <c r="G607" s="216">
        <f>IF(C607&lt;&gt;"",VLOOKUP(C607,DSKH!B:E,3,0),"")</f>
        <v>0</v>
      </c>
      <c r="H607" s="222">
        <v>1098724984</v>
      </c>
      <c r="I607" s="217" t="s">
        <v>2860</v>
      </c>
      <c r="J607" s="224" t="s">
        <v>3435</v>
      </c>
      <c r="K607" s="216" t="str">
        <f t="shared" si="20"/>
        <v>CHI DIEM: 0905 855 169</v>
      </c>
      <c r="L607" s="216">
        <v>0.4</v>
      </c>
      <c r="M607" s="216" t="str">
        <f t="shared" si="19"/>
        <v>SCAVI HUE SAMPLE- 1098724984 -MAY 05-na002185883</v>
      </c>
    </row>
    <row r="608" spans="1:13" ht="41.4">
      <c r="A608" s="216">
        <f>IF(C608&lt;&gt;"",SUBTOTAL(103,$C$8:C608),"")</f>
        <v>340</v>
      </c>
      <c r="B608" s="226">
        <v>43225</v>
      </c>
      <c r="C608" s="216" t="s">
        <v>1591</v>
      </c>
      <c r="D608" s="216" t="str">
        <f t="shared" si="21"/>
        <v>KM 14, THANG LOI, AN HUNG,
AN DUONG, HAI PHONG</v>
      </c>
      <c r="E608" s="215">
        <v>1</v>
      </c>
      <c r="F608" s="216"/>
      <c r="G608" s="216" t="str">
        <f>IF(C608&lt;&gt;"",VLOOKUP(C608,DSKH!B:E,3,0),"")</f>
        <v>HANG CHO XNK CONFIRM</v>
      </c>
      <c r="H608" s="222" t="s">
        <v>3436</v>
      </c>
      <c r="I608" s="217"/>
      <c r="J608" s="224" t="s">
        <v>3437</v>
      </c>
      <c r="K608" s="216" t="str">
        <f t="shared" si="20"/>
        <v>0912 950 692- MS CHI</v>
      </c>
      <c r="L608" s="216">
        <v>0.1</v>
      </c>
      <c r="M608" s="216" t="str">
        <f t="shared" si="19"/>
        <v>PIT VINA- HB23586665-1 -MAY 05-na002185884</v>
      </c>
    </row>
    <row r="609" spans="1:13" ht="96.6">
      <c r="A609" s="216">
        <f>IF(C609&lt;&gt;"",SUBTOTAL(103,$C$8:C609),"")</f>
        <v>341</v>
      </c>
      <c r="B609" s="226">
        <v>43225</v>
      </c>
      <c r="C609" s="216" t="s">
        <v>2490</v>
      </c>
      <c r="D609" s="216" t="str">
        <f t="shared" si="21"/>
        <v>XOM 6, NGA MY, NGA SON, THANH HOA</v>
      </c>
      <c r="E609" s="215">
        <v>1</v>
      </c>
      <c r="F609" s="216"/>
      <c r="G609" s="216" t="str">
        <f>IF(C609&lt;&gt;"",VLOOKUP(C609,DSKH!B:E,3,0),"")</f>
        <v>CHO CS CONFIRM SHIPMODE (WALMART LH CS MILEY, NHAN TARGET LH CS JUDY)</v>
      </c>
      <c r="H609" s="222" t="s">
        <v>3438</v>
      </c>
      <c r="I609" s="217"/>
      <c r="J609" s="224" t="s">
        <v>3439</v>
      </c>
      <c r="K609" s="216" t="str">
        <f t="shared" si="20"/>
        <v>HUE: 0128 207 5950</v>
      </c>
      <c r="L609" s="216">
        <v>0.1</v>
      </c>
      <c r="M609" s="216" t="str">
        <f t="shared" ref="M609:M635" si="22">C609&amp;"-"&amp;" "&amp;H609&amp;" "&amp;"-"&amp;"MAY"&amp;" "&amp;"05"&amp;"-"&amp;J609</f>
        <v>WINNERS VINA- HB23827434-1 -MAY 05-na002185885</v>
      </c>
    </row>
    <row r="610" spans="1:13" ht="41.4">
      <c r="A610" s="216">
        <f>IF(C610&lt;&gt;"",SUBTOTAL(103,$C$8:C610),"")</f>
        <v>342</v>
      </c>
      <c r="B610" s="226">
        <v>43225</v>
      </c>
      <c r="C610" s="216" t="s">
        <v>2526</v>
      </c>
      <c r="D610" s="216" t="str">
        <f t="shared" si="21"/>
        <v>NO.B6,THUY VAN IZ,VIET TRI,PHU THO,VIET NAM</v>
      </c>
      <c r="E610" s="215">
        <v>2</v>
      </c>
      <c r="F610" s="216"/>
      <c r="G610" s="216" t="str">
        <f>IF(C610&lt;&gt;"",VLOOKUP(C610,DSKH!B:E,3,0),"")</f>
        <v>CTU</v>
      </c>
      <c r="H610" s="222" t="s">
        <v>3440</v>
      </c>
      <c r="I610" s="217"/>
      <c r="J610" s="224" t="s">
        <v>3442</v>
      </c>
      <c r="K610" s="216" t="str">
        <f t="shared" si="20"/>
        <v>QUYNH ANH: 0935 471 807</v>
      </c>
      <c r="L610" s="216">
        <v>1.3</v>
      </c>
      <c r="M610" s="216" t="str">
        <f t="shared" si="22"/>
        <v>YAKJIN VIETNAM- HB 23855859-1 -MAY 05-na002185886</v>
      </c>
    </row>
    <row r="611" spans="1:13">
      <c r="A611" s="216" t="str">
        <f>IF(C611&lt;&gt;"",SUBTOTAL(103,$C$8:C611),"")</f>
        <v/>
      </c>
      <c r="B611" s="226">
        <v>43225</v>
      </c>
      <c r="C611" s="216"/>
      <c r="D611" s="216" t="str">
        <f t="shared" si="21"/>
        <v/>
      </c>
      <c r="E611" s="215"/>
      <c r="F611" s="216"/>
      <c r="G611" s="216" t="str">
        <f>IF(C611&lt;&gt;"",VLOOKUP(C611,DSKH!B:E,3,0),"")</f>
        <v/>
      </c>
      <c r="H611" s="222" t="s">
        <v>3441</v>
      </c>
      <c r="I611" s="217"/>
      <c r="J611" s="224"/>
      <c r="K611" s="216" t="str">
        <f t="shared" si="20"/>
        <v/>
      </c>
      <c r="L611" s="216"/>
      <c r="M611" s="216" t="str">
        <f t="shared" si="22"/>
        <v>- HB 23855866-1 -MAY 05-</v>
      </c>
    </row>
    <row r="612" spans="1:13" ht="41.4">
      <c r="A612" s="216">
        <f>IF(C612&lt;&gt;"",SUBTOTAL(103,$C$8:C612),"")</f>
        <v>343</v>
      </c>
      <c r="B612" s="226">
        <v>43225</v>
      </c>
      <c r="C612" s="216" t="s">
        <v>1192</v>
      </c>
      <c r="D612" s="216" t="str">
        <f t="shared" si="21"/>
        <v>THANH HAI -  THANH HA -  HAI DUONG</v>
      </c>
      <c r="E612" s="215">
        <v>16</v>
      </c>
      <c r="F612" s="216"/>
      <c r="G612" s="216" t="str">
        <f>IF(C612&lt;&gt;"",VLOOKUP(C612,DSKH!B:E,3,0),"")</f>
        <v>VAT- DONG MOC TREO- CHUNG HD</v>
      </c>
      <c r="H612" s="222" t="s">
        <v>3443</v>
      </c>
      <c r="I612" s="217"/>
      <c r="J612" s="224" t="s">
        <v>3447</v>
      </c>
      <c r="K612" s="216" t="str">
        <f t="shared" si="20"/>
        <v>ANH TUAN: 0979 399 357</v>
      </c>
      <c r="L612" s="216">
        <f>15+10.2+12.6+19.5+13.4+19.5+12+18+15+19.4+16+15.2+19.2+9</f>
        <v>213.99999999999997</v>
      </c>
      <c r="M612" s="216" t="str">
        <f t="shared" si="22"/>
        <v>MAKALOT- HB 23413596-1 -MAY 05-na002185887</v>
      </c>
    </row>
    <row r="613" spans="1:13">
      <c r="A613" s="216" t="str">
        <f>IF(C613&lt;&gt;"",SUBTOTAL(103,$C$8:C613),"")</f>
        <v/>
      </c>
      <c r="B613" s="226">
        <v>43225</v>
      </c>
      <c r="C613" s="216"/>
      <c r="D613" s="216" t="str">
        <f t="shared" si="21"/>
        <v/>
      </c>
      <c r="E613" s="215"/>
      <c r="F613" s="216"/>
      <c r="G613" s="216" t="str">
        <f>IF(C613&lt;&gt;"",VLOOKUP(C613,DSKH!B:E,3,0),"")</f>
        <v/>
      </c>
      <c r="H613" s="222" t="s">
        <v>3091</v>
      </c>
      <c r="I613" s="217"/>
      <c r="J613" s="224"/>
      <c r="K613" s="216" t="str">
        <f t="shared" si="20"/>
        <v/>
      </c>
      <c r="L613" s="216"/>
      <c r="M613" s="216" t="str">
        <f t="shared" si="22"/>
        <v>- HB 23413601-2 -MAY 05-</v>
      </c>
    </row>
    <row r="614" spans="1:13">
      <c r="A614" s="216" t="str">
        <f>IF(C614&lt;&gt;"",SUBTOTAL(103,$C$8:C614),"")</f>
        <v/>
      </c>
      <c r="B614" s="226">
        <v>43225</v>
      </c>
      <c r="C614" s="216"/>
      <c r="D614" s="216" t="str">
        <f t="shared" si="21"/>
        <v/>
      </c>
      <c r="E614" s="215"/>
      <c r="F614" s="216"/>
      <c r="G614" s="216" t="str">
        <f>IF(C614&lt;&gt;"",VLOOKUP(C614,DSKH!B:E,3,0),"")</f>
        <v/>
      </c>
      <c r="H614" s="222" t="s">
        <v>3444</v>
      </c>
      <c r="I614" s="217"/>
      <c r="J614" s="224"/>
      <c r="K614" s="216" t="str">
        <f t="shared" si="20"/>
        <v/>
      </c>
      <c r="L614" s="216"/>
      <c r="M614" s="216" t="str">
        <f t="shared" si="22"/>
        <v>- HB 23413601-9 -MAY 05-</v>
      </c>
    </row>
    <row r="615" spans="1:13">
      <c r="A615" s="216" t="str">
        <f>IF(C615&lt;&gt;"",SUBTOTAL(103,$C$8:C615),"")</f>
        <v/>
      </c>
      <c r="B615" s="226">
        <v>43225</v>
      </c>
      <c r="C615" s="216"/>
      <c r="D615" s="216" t="str">
        <f t="shared" si="21"/>
        <v/>
      </c>
      <c r="E615" s="215"/>
      <c r="F615" s="216"/>
      <c r="G615" s="216" t="str">
        <f>IF(C615&lt;&gt;"",VLOOKUP(C615,DSKH!B:E,3,0),"")</f>
        <v/>
      </c>
      <c r="H615" s="222" t="s">
        <v>3445</v>
      </c>
      <c r="I615" s="217"/>
      <c r="J615" s="224"/>
      <c r="K615" s="216" t="str">
        <f t="shared" si="20"/>
        <v/>
      </c>
      <c r="L615" s="216"/>
      <c r="M615" s="216" t="str">
        <f t="shared" si="22"/>
        <v>- HB 23413601-3 -MAY 05-</v>
      </c>
    </row>
    <row r="616" spans="1:13">
      <c r="A616" s="216" t="str">
        <f>IF(C616&lt;&gt;"",SUBTOTAL(103,$C$8:C616),"")</f>
        <v/>
      </c>
      <c r="B616" s="226">
        <v>43225</v>
      </c>
      <c r="C616" s="216"/>
      <c r="D616" s="216" t="str">
        <f t="shared" si="21"/>
        <v/>
      </c>
      <c r="E616" s="215"/>
      <c r="F616" s="216"/>
      <c r="G616" s="216" t="str">
        <f>IF(C616&lt;&gt;"",VLOOKUP(C616,DSKH!B:E,3,0),"")</f>
        <v/>
      </c>
      <c r="H616" s="222" t="s">
        <v>3446</v>
      </c>
      <c r="I616" s="217"/>
      <c r="J616" s="224"/>
      <c r="K616" s="216" t="str">
        <f t="shared" ref="K616:K647" si="23">IF(C616&lt;&gt;"",VLOOKUP(C616,DATA.DSKH,4,0),"")</f>
        <v/>
      </c>
      <c r="L616" s="216"/>
      <c r="M616" s="216" t="str">
        <f t="shared" si="22"/>
        <v>- HB 23413601-11 -MAY 05-</v>
      </c>
    </row>
    <row r="617" spans="1:13">
      <c r="A617" s="216" t="str">
        <f>IF(C617&lt;&gt;"",SUBTOTAL(103,$C$8:C617),"")</f>
        <v/>
      </c>
      <c r="B617" s="226">
        <v>43225</v>
      </c>
      <c r="C617" s="216"/>
      <c r="D617" s="216" t="str">
        <f t="shared" si="21"/>
        <v/>
      </c>
      <c r="E617" s="215"/>
      <c r="F617" s="216"/>
      <c r="G617" s="216" t="str">
        <f>IF(C617&lt;&gt;"",VLOOKUP(C617,DSKH!B:E,3,0),"")</f>
        <v/>
      </c>
      <c r="H617" s="222" t="s">
        <v>3443</v>
      </c>
      <c r="I617" s="217"/>
      <c r="J617" s="224"/>
      <c r="K617" s="216" t="str">
        <f t="shared" si="23"/>
        <v/>
      </c>
      <c r="L617" s="216"/>
      <c r="M617" s="216" t="str">
        <f t="shared" si="22"/>
        <v>- HB 23413596-1 -MAY 05-</v>
      </c>
    </row>
    <row r="618" spans="1:13" ht="96.6">
      <c r="A618" s="216">
        <f>IF(C618&lt;&gt;"",SUBTOTAL(103,$C$8:C618),"")</f>
        <v>344</v>
      </c>
      <c r="B618" s="226">
        <v>43225</v>
      </c>
      <c r="C618" s="216" t="s">
        <v>1777</v>
      </c>
      <c r="D618" s="216" t="str">
        <f t="shared" si="21"/>
        <v>Thon Tan Ly, xa Thanh Tam, huyen Thach Thanh, tinh Thanh Hoa</v>
      </c>
      <c r="E618" s="215">
        <v>1</v>
      </c>
      <c r="F618" s="216"/>
      <c r="G618" s="216" t="str">
        <f>IF(C618&lt;&gt;"",VLOOKUP(C618,DSKH!B:E,3,0),"")</f>
        <v>CHO CS CONFIRM SHIPMODE (WALMART LH CS MILEY, NHAN TARGET LH CS JUDY)</v>
      </c>
      <c r="H618" s="222" t="s">
        <v>3448</v>
      </c>
      <c r="I618" s="217"/>
      <c r="J618" s="224" t="s">
        <v>3449</v>
      </c>
      <c r="K618" s="216">
        <f t="shared" si="23"/>
        <v>0</v>
      </c>
      <c r="L618" s="216">
        <v>0.1</v>
      </c>
      <c r="M618" s="216" t="str">
        <f t="shared" si="22"/>
        <v>SH VINA- HB23969807-1 -MAY 05-na002185888</v>
      </c>
    </row>
    <row r="619" spans="1:13" ht="27.6">
      <c r="A619" s="216">
        <f>IF(C619&lt;&gt;"",SUBTOTAL(103,$C$8:C619),"")</f>
        <v>345</v>
      </c>
      <c r="B619" s="226">
        <v>43225</v>
      </c>
      <c r="C619" s="216" t="s">
        <v>2932</v>
      </c>
      <c r="D619" s="216" t="str">
        <f t="shared" si="21"/>
        <v>HOA XA INDUSTRIAL PARK-NAM DINH CITY</v>
      </c>
      <c r="E619" s="215">
        <v>1</v>
      </c>
      <c r="F619" s="216"/>
      <c r="G619" s="216">
        <f>IF(C619&lt;&gt;"",VLOOKUP(C619,DSKH!B:E,3,0),"")</f>
        <v>0</v>
      </c>
      <c r="H619" s="222"/>
      <c r="I619" s="217" t="s">
        <v>3450</v>
      </c>
      <c r="J619" s="224" t="s">
        <v>3451</v>
      </c>
      <c r="K619" s="216" t="s">
        <v>3233</v>
      </c>
      <c r="L619" s="216">
        <v>0.1</v>
      </c>
      <c r="M619" s="216" t="str">
        <f t="shared" si="22"/>
        <v>YOUNGONE PATAGONIA-  -MAY 05-na002185889</v>
      </c>
    </row>
    <row r="620" spans="1:13" ht="55.2">
      <c r="A620" s="216">
        <f>IF(C620&lt;&gt;"",SUBTOTAL(103,$C$8:C620),"")</f>
        <v>346</v>
      </c>
      <c r="B620" s="226">
        <v>43225</v>
      </c>
      <c r="C620" s="216" t="s">
        <v>2074</v>
      </c>
      <c r="D620" s="216" t="str">
        <f t="shared" ref="D620:D651" si="24">IF(C620&lt;&gt;"",VLOOKUP(C620,DATA.DSKH,2,0),"")</f>
        <v>KCN LAI VU, HAI DUONG</v>
      </c>
      <c r="E620" s="215">
        <v>2</v>
      </c>
      <c r="F620" s="216"/>
      <c r="G620" s="216" t="str">
        <f>IF(C620&lt;&gt;"",VLOOKUP(C620,DSKH!B:E,3,0),"")</f>
        <v>HANG CHUNG CTU- NEU HANG GAP GIAO TRUOC</v>
      </c>
      <c r="H620" s="222" t="s">
        <v>3453</v>
      </c>
      <c r="I620" s="217"/>
      <c r="J620" s="224" t="s">
        <v>3452</v>
      </c>
      <c r="K620" s="216" t="str">
        <f t="shared" si="23"/>
        <v>Hao 0967465293</v>
      </c>
      <c r="L620" s="216">
        <f>0.1+1.9</f>
        <v>2</v>
      </c>
      <c r="M620" s="216" t="str">
        <f t="shared" si="22"/>
        <v>TINH LOI ANN TAYLOR- HB 23945615-1 -MAY 05-na002185890</v>
      </c>
    </row>
    <row r="621" spans="1:13">
      <c r="A621" s="216" t="str">
        <f>IF(C621&lt;&gt;"",SUBTOTAL(103,$C$8:C621),"")</f>
        <v/>
      </c>
      <c r="B621" s="226">
        <v>43225</v>
      </c>
      <c r="C621" s="216"/>
      <c r="D621" s="216" t="str">
        <f t="shared" si="24"/>
        <v/>
      </c>
      <c r="E621" s="215"/>
      <c r="F621" s="216"/>
      <c r="G621" s="216" t="str">
        <f>IF(C621&lt;&gt;"",VLOOKUP(C621,DSKH!B:E,3,0),"")</f>
        <v/>
      </c>
      <c r="H621" s="222" t="s">
        <v>3454</v>
      </c>
      <c r="I621" s="217"/>
      <c r="J621" s="224"/>
      <c r="K621" s="216" t="str">
        <f t="shared" si="23"/>
        <v/>
      </c>
      <c r="L621" s="216"/>
      <c r="M621" s="216" t="str">
        <f t="shared" si="22"/>
        <v>- HB 23767368-1 -MAY 05-</v>
      </c>
    </row>
    <row r="622" spans="1:13" ht="41.4">
      <c r="A622" s="216">
        <f>IF(C622&lt;&gt;"",SUBTOTAL(103,$C$8:C622),"")</f>
        <v>347</v>
      </c>
      <c r="B622" s="226">
        <v>43225</v>
      </c>
      <c r="C622" s="216" t="s">
        <v>2701</v>
      </c>
      <c r="D622" s="216" t="str">
        <f t="shared" si="24"/>
        <v>KCN LAI VU, HAI DUONG</v>
      </c>
      <c r="E622" s="215">
        <v>1</v>
      </c>
      <c r="F622" s="216"/>
      <c r="G622" s="216">
        <f>IF(C622&lt;&gt;"",VLOOKUP(C622,DSKH!B:E,3,0),"")</f>
        <v>0</v>
      </c>
      <c r="H622" s="222" t="s">
        <v>3455</v>
      </c>
      <c r="I622" s="217"/>
      <c r="J622" s="224" t="s">
        <v>3456</v>
      </c>
      <c r="K622" s="216" t="str">
        <f t="shared" si="23"/>
        <v>MS DUNG: 0963 528 138</v>
      </c>
      <c r="L622" s="216">
        <v>0.1</v>
      </c>
      <c r="M622" s="216" t="str">
        <f t="shared" si="22"/>
        <v>TINH LOI 2 OLD NAVY- HB 24143268-1 -MAY 05-na002185891</v>
      </c>
    </row>
    <row r="623" spans="1:13" ht="69">
      <c r="A623" s="216">
        <f>IF(C623&lt;&gt;"",SUBTOTAL(103,$C$8:C623),"")</f>
        <v>348</v>
      </c>
      <c r="B623" s="226">
        <v>43225</v>
      </c>
      <c r="C623" s="216" t="s">
        <v>2727</v>
      </c>
      <c r="D623" s="216" t="str">
        <f t="shared" si="24"/>
        <v>HAI AN, QUYNH NGUYEN, QUYNH PHU, THAI BINH</v>
      </c>
      <c r="E623" s="215">
        <v>1</v>
      </c>
      <c r="F623" s="216"/>
      <c r="G623" s="216" t="str">
        <f>IF(C623&lt;&gt;"",VLOOKUP(C623,DSKH!B:E,3,0),"")</f>
        <v>HANG GEN NHAN FIGS CHO EMAIL CONFIRM GIAO HANG CUA CS</v>
      </c>
      <c r="H623" s="222" t="s">
        <v>3457</v>
      </c>
      <c r="I623" s="217"/>
      <c r="J623" s="224" t="s">
        <v>3458</v>
      </c>
      <c r="K623" s="216">
        <f t="shared" si="23"/>
        <v>0</v>
      </c>
      <c r="L623" s="216">
        <v>8.1</v>
      </c>
      <c r="M623" s="216" t="str">
        <f t="shared" si="22"/>
        <v>HA THANH- HB 23426833-1 -MAY 05-na002185892</v>
      </c>
    </row>
    <row r="624" spans="1:13" ht="55.2">
      <c r="A624" s="216">
        <f>IF(C624&lt;&gt;"",SUBTOTAL(103,$C$8:C624),"")</f>
        <v>349</v>
      </c>
      <c r="B624" s="226">
        <v>43225</v>
      </c>
      <c r="C624" s="216" t="s">
        <v>1486</v>
      </c>
      <c r="D624" s="216" t="str">
        <f t="shared" si="24"/>
        <v>LOT#1 TAM THANG INDUSTRIAL ZONE, TAM KY CITY, QUANG NAM PROVINCE</v>
      </c>
      <c r="E624" s="215">
        <v>1</v>
      </c>
      <c r="F624" s="216"/>
      <c r="G624" s="216">
        <f>IF(C624&lt;&gt;"",VLOOKUP(C624,DSKH!B:E,3,0),"")</f>
        <v>0</v>
      </c>
      <c r="H624" s="222" t="s">
        <v>3459</v>
      </c>
      <c r="I624" s="217"/>
      <c r="J624" s="224" t="s">
        <v>3460</v>
      </c>
      <c r="K624" s="216">
        <f t="shared" si="23"/>
        <v>0</v>
      </c>
      <c r="L624" s="216">
        <v>4.2</v>
      </c>
      <c r="M624" s="216" t="str">
        <f t="shared" si="22"/>
        <v>PANKO TAM THANG- HB 23687926-1 -MAY 05-na002185893</v>
      </c>
    </row>
    <row r="625" spans="1:13" ht="41.4">
      <c r="A625" s="216">
        <f>IF(C625&lt;&gt;"",SUBTOTAL(103,$C$8:C625),"")</f>
        <v>350</v>
      </c>
      <c r="B625" s="226">
        <v>43225</v>
      </c>
      <c r="C625" s="216" t="s">
        <v>2789</v>
      </c>
      <c r="D625" s="216" t="str">
        <f t="shared" si="24"/>
        <v>N3, KCN THANH THANH CONG, AN HOA, TRANG BANG, TAY NINH</v>
      </c>
      <c r="E625" s="215">
        <v>1</v>
      </c>
      <c r="F625" s="216"/>
      <c r="G625" s="216">
        <f>IF(C625&lt;&gt;"",VLOOKUP(C625,DSKH!B:E,3,0),"")</f>
        <v>0</v>
      </c>
      <c r="H625" s="222" t="s">
        <v>3461</v>
      </c>
      <c r="I625" s="217"/>
      <c r="J625" s="224" t="s">
        <v>3462</v>
      </c>
      <c r="K625" s="216" t="str">
        <f t="shared" si="23"/>
        <v>HA TRAN 0962171056</v>
      </c>
      <c r="L625" s="216">
        <v>3.4</v>
      </c>
      <c r="M625" s="216" t="str">
        <f t="shared" si="22"/>
        <v>WINGA VN- HB 24020779-1 -MAY 05-na002185894</v>
      </c>
    </row>
    <row r="626" spans="1:13" ht="55.2">
      <c r="A626" s="216">
        <f>IF(C626&lt;&gt;"",SUBTOTAL(103,$C$8:C626),"")</f>
        <v>351</v>
      </c>
      <c r="B626" s="226">
        <v>43225</v>
      </c>
      <c r="C626" s="216" t="s">
        <v>1496</v>
      </c>
      <c r="D626" s="216" t="str">
        <f t="shared" si="24"/>
        <v>469 NGUYEN DU STREET, DUU LAU WARD,VIET TRI CITY PHU THO PROVINCE ,VIETNAM</v>
      </c>
      <c r="E626" s="215">
        <v>1</v>
      </c>
      <c r="F626" s="216"/>
      <c r="G626" s="216">
        <f>IF(C626&lt;&gt;"",VLOOKUP(C626,DSKH!B:E,3,0),"")</f>
        <v>0</v>
      </c>
      <c r="H626" s="222" t="s">
        <v>3463</v>
      </c>
      <c r="I626" s="217"/>
      <c r="J626" s="224" t="s">
        <v>3464</v>
      </c>
      <c r="K626" s="216" t="str">
        <f t="shared" si="23"/>
        <v>NGAN 0974 412 073</v>
      </c>
      <c r="L626" s="216">
        <v>0.79</v>
      </c>
      <c r="M626" s="216" t="str">
        <f t="shared" si="22"/>
        <v>PEARL GARMENT- HB 23166461-1 -MAY 05-na002185895</v>
      </c>
    </row>
    <row r="627" spans="1:13" ht="82.8">
      <c r="A627" s="216">
        <f>IF(C627&lt;&gt;"",SUBTOTAL(103,$C$8:C627),"")</f>
        <v>352</v>
      </c>
      <c r="B627" s="226">
        <v>43225</v>
      </c>
      <c r="C627" s="216" t="s">
        <v>2204</v>
      </c>
      <c r="D627" s="216" t="str">
        <f t="shared" si="24"/>
        <v>BI, BII, BIII, BIV SECTION,  GIAO LONG INDUSTRIAL ZONE PHASE II,AN PHUOC COMMUNE, CHAU THANH DISTRICT, BEN TRE PROVINCE</v>
      </c>
      <c r="E627" s="215">
        <v>1</v>
      </c>
      <c r="F627" s="216"/>
      <c r="G627" s="216">
        <f>IF(C627&lt;&gt;"",VLOOKUP(C627,DSKH!B:E,3,0),"")</f>
        <v>0</v>
      </c>
      <c r="H627" s="222" t="s">
        <v>3465</v>
      </c>
      <c r="I627" s="217"/>
      <c r="J627" s="224" t="s">
        <v>3466</v>
      </c>
      <c r="K627" s="216" t="str">
        <f t="shared" si="23"/>
        <v>Tel: 84-75- 3635600   Fax: 84-75- 3635601</v>
      </c>
      <c r="L627" s="216">
        <v>0.2</v>
      </c>
      <c r="M627" s="216" t="str">
        <f t="shared" si="22"/>
        <v>UNISOLL- HB 23676644-1 -MAY 05-na002185896</v>
      </c>
    </row>
    <row r="628" spans="1:13" ht="69">
      <c r="A628" s="216">
        <f>IF(C628&lt;&gt;"",SUBTOTAL(103,$C$8:C628),"")</f>
        <v>353</v>
      </c>
      <c r="B628" s="226">
        <v>43225</v>
      </c>
      <c r="C628" s="216" t="s">
        <v>73</v>
      </c>
      <c r="D628" s="216" t="str">
        <f t="shared" si="24"/>
        <v>67 DUY TAN, DA NANG</v>
      </c>
      <c r="E628" s="215">
        <v>1</v>
      </c>
      <c r="F628" s="216"/>
      <c r="G628" s="216" t="str">
        <f>IF(C628&lt;&gt;"",VLOOKUP(C628,DSKH!B:E,3,0),"")</f>
        <v>HANG GEN NHAN FIGS CHO EMAIL CONFIRM GIAO HANG CUA CS</v>
      </c>
      <c r="H628" s="222" t="s">
        <v>3467</v>
      </c>
      <c r="I628" s="217"/>
      <c r="J628" s="224" t="s">
        <v>3468</v>
      </c>
      <c r="K628" s="216">
        <f t="shared" si="23"/>
        <v>0</v>
      </c>
      <c r="L628" s="216">
        <v>3</v>
      </c>
      <c r="M628" s="216" t="str">
        <f t="shared" si="22"/>
        <v>28 DA NANG- HB 23426874-3 -MAY 05-na002185897</v>
      </c>
    </row>
    <row r="629" spans="1:13" ht="96.6">
      <c r="A629" s="216">
        <f>IF(C629&lt;&gt;"",SUBTOTAL(103,$C$8:C629),"")</f>
        <v>354</v>
      </c>
      <c r="B629" s="226">
        <v>43225</v>
      </c>
      <c r="C629" s="216" t="s">
        <v>1225</v>
      </c>
      <c r="D629" s="216" t="str">
        <f t="shared" si="24"/>
        <v>60-ME NHU-DA NANG</v>
      </c>
      <c r="E629" s="215">
        <v>2</v>
      </c>
      <c r="F629" s="216"/>
      <c r="G629" s="216" t="str">
        <f>IF(C629&lt;&gt;"",VLOOKUP(C629,DSKH!B:E,3,0),"")</f>
        <v>HANG GEN NHAN FIGS CHO EMAIL CONFIRM GIAO HANG CUA CS, KEM PKL CHI TIET (DECATHLON)</v>
      </c>
      <c r="H629" s="222" t="s">
        <v>3469</v>
      </c>
      <c r="I629" s="217"/>
      <c r="J629" s="224" t="s">
        <v>3470</v>
      </c>
      <c r="K629" s="216" t="str">
        <f t="shared" si="23"/>
        <v>ANH CHAU- KHO PHU LIEU-05113-759249</v>
      </c>
      <c r="L629" s="216">
        <f>16.7+2.9</f>
        <v>19.599999999999998</v>
      </c>
      <c r="M629" s="216" t="str">
        <f t="shared" si="22"/>
        <v>MAY 29 03- HB 23426854-3 -MAY 05-na002185898</v>
      </c>
    </row>
    <row r="630" spans="1:13" ht="151.80000000000001">
      <c r="A630" s="216">
        <f>IF(C630&lt;&gt;"",SUBTOTAL(103,$C$8:C630),"")</f>
        <v>355</v>
      </c>
      <c r="B630" s="226">
        <v>43225</v>
      </c>
      <c r="C630" s="216" t="s">
        <v>91</v>
      </c>
      <c r="D630" s="216" t="str">
        <f t="shared" si="24"/>
        <v>DUONG 81, TOC TIEN, TAN THANH, VUNG TAU</v>
      </c>
      <c r="E630" s="215">
        <v>1</v>
      </c>
      <c r="F630" s="216"/>
      <c r="G630" s="216" t="str">
        <f>IF(C630&lt;&gt;"",VLOOKUP(C630,DSKH!B:E,3,0),"")</f>
        <v>NHO CHECK MAIL CS GUI CONFIRM KH BOOK VIETSTAR LAY HANG (PUMA LH MIA.NGUYEN, ADIDAS LH HIEN.TRAN, NIKE LH SALLY.NGUYEN)</v>
      </c>
      <c r="H630" s="222" t="s">
        <v>3471</v>
      </c>
      <c r="I630" s="217"/>
      <c r="J630" s="224" t="s">
        <v>3472</v>
      </c>
      <c r="K630" s="216" t="str">
        <f t="shared" si="23"/>
        <v>NONO ZHANG: 064 394 8437</v>
      </c>
      <c r="L630" s="216">
        <v>0.02</v>
      </c>
      <c r="M630" s="216" t="str">
        <f t="shared" si="22"/>
        <v>ALL WELLS- HB 23940984-1 -MAY 05-na002185899</v>
      </c>
    </row>
    <row r="631" spans="1:13" ht="41.4">
      <c r="A631" s="216">
        <f>IF(C631&lt;&gt;"",SUBTOTAL(103,$C$8:C631),"")</f>
        <v>356</v>
      </c>
      <c r="B631" s="226">
        <v>43225</v>
      </c>
      <c r="C631" s="216" t="s">
        <v>1591</v>
      </c>
      <c r="D631" s="216" t="str">
        <f t="shared" si="24"/>
        <v>KM 14, THANG LOI, AN HUNG,
AN DUONG, HAI PHONG</v>
      </c>
      <c r="E631" s="215">
        <v>1</v>
      </c>
      <c r="F631" s="216"/>
      <c r="G631" s="216" t="str">
        <f>IF(C631&lt;&gt;"",VLOOKUP(C631,DSKH!B:E,3,0),"")</f>
        <v>HANG CHO XNK CONFIRM</v>
      </c>
      <c r="H631" s="222" t="s">
        <v>3473</v>
      </c>
      <c r="I631" s="217"/>
      <c r="J631" s="224" t="s">
        <v>3474</v>
      </c>
      <c r="K631" s="216" t="str">
        <f t="shared" si="23"/>
        <v>0912 950 692- MS CHI</v>
      </c>
      <c r="L631" s="216">
        <v>0.2</v>
      </c>
      <c r="M631" s="216" t="str">
        <f t="shared" si="22"/>
        <v>PIT VINA- HB 23586665-2 -MAY 05-na002185900</v>
      </c>
    </row>
    <row r="632" spans="1:13" ht="41.4">
      <c r="A632" s="216">
        <f>IF(C632&lt;&gt;"",SUBTOTAL(103,$C$8:C632),"")</f>
        <v>357</v>
      </c>
      <c r="B632" s="226">
        <v>43225</v>
      </c>
      <c r="C632" s="216" t="s">
        <v>744</v>
      </c>
      <c r="D632" s="216" t="str">
        <f t="shared" si="24"/>
        <v>NGA TU DINH TRAM-HONG THAI-VIET YEN-BAC GIANG</v>
      </c>
      <c r="E632" s="215">
        <v>1</v>
      </c>
      <c r="F632" s="216"/>
      <c r="G632" s="216">
        <f>IF(C632&lt;&gt;"",VLOOKUP(C632,DSKH!B:E,3,0),"")</f>
        <v>0</v>
      </c>
      <c r="H632" s="222" t="s">
        <v>3475</v>
      </c>
      <c r="I632" s="217"/>
      <c r="J632" s="224" t="s">
        <v>3476</v>
      </c>
      <c r="K632" s="216" t="str">
        <f t="shared" si="23"/>
        <v>Giao Ha Bac 1 - Mr.Thanh: 0978.491.357/ Mr. Duong: 0936.228.933</v>
      </c>
      <c r="L632" s="216">
        <v>0.2</v>
      </c>
      <c r="M632" s="216" t="str">
        <f t="shared" si="22"/>
        <v>HA BAC 1- HB 22883963-1 -MAY 05-na002185901</v>
      </c>
    </row>
    <row r="633" spans="1:13" ht="55.2">
      <c r="A633" s="216">
        <f>IF(C633&lt;&gt;"",SUBTOTAL(103,$C$8:C633),"")</f>
        <v>358</v>
      </c>
      <c r="B633" s="226">
        <v>43225</v>
      </c>
      <c r="C633" s="216" t="s">
        <v>383</v>
      </c>
      <c r="D633" s="216" t="str">
        <f t="shared" si="24"/>
        <v>ADD. TAODOI INDUSTRY AREA, THUA TOWN, LUONG TAI DISTRICT, BACNINH PROVINCE</v>
      </c>
      <c r="E633" s="215">
        <v>1</v>
      </c>
      <c r="F633" s="216"/>
      <c r="G633" s="216" t="str">
        <f>IF(C633&lt;&gt;"",VLOOKUP(C633,DSKH!B:E,3,0),"")</f>
        <v>KHDL</v>
      </c>
      <c r="H633" s="222" t="s">
        <v>3477</v>
      </c>
      <c r="I633" s="217"/>
      <c r="J633" s="224" t="s">
        <v>3478</v>
      </c>
      <c r="K633" s="216">
        <f t="shared" si="23"/>
        <v>0</v>
      </c>
      <c r="L633" s="216">
        <v>0.1</v>
      </c>
      <c r="M633" s="216" t="str">
        <f t="shared" si="22"/>
        <v>DHA BAC NINH- HB 22953235-9 -MAY 05-na002185902</v>
      </c>
    </row>
    <row r="634" spans="1:13" ht="41.4">
      <c r="A634" s="216">
        <f>IF(C634&lt;&gt;"",SUBTOTAL(103,$C$8:C634),"")</f>
        <v>359</v>
      </c>
      <c r="B634" s="226">
        <v>43225</v>
      </c>
      <c r="C634" s="216" t="s">
        <v>2940</v>
      </c>
      <c r="D634" s="216" t="str">
        <f t="shared" si="24"/>
        <v>HOA XA INDUSTRIAL PARK-NAM DINH CITY</v>
      </c>
      <c r="E634" s="215">
        <v>1</v>
      </c>
      <c r="F634" s="216"/>
      <c r="G634" s="216">
        <f>IF(C634&lt;&gt;"",VLOOKUP(C634,DSKH!B:E,3,0),"")</f>
        <v>0</v>
      </c>
      <c r="H634" s="222" t="s">
        <v>3479</v>
      </c>
      <c r="I634" s="217" t="s">
        <v>3480</v>
      </c>
      <c r="J634" s="224" t="s">
        <v>3481</v>
      </c>
      <c r="K634" s="216" t="str">
        <f t="shared" si="23"/>
        <v>PHAM THAM 0948021425</v>
      </c>
      <c r="L634" s="216">
        <v>0.1</v>
      </c>
      <c r="M634" s="216" t="str">
        <f t="shared" si="22"/>
        <v>YOUNGONE SMARTWOOL- HB 22948578-1 -MAY 05-na002185903</v>
      </c>
    </row>
    <row r="635" spans="1:13" ht="41.4">
      <c r="A635" s="216">
        <f>IF(C635&lt;&gt;"",SUBTOTAL(103,$C$8:C635),"")</f>
        <v>360</v>
      </c>
      <c r="B635" s="226">
        <v>43225</v>
      </c>
      <c r="C635" s="216" t="s">
        <v>2568</v>
      </c>
      <c r="D635" s="216" t="str">
        <f t="shared" si="24"/>
        <v>PLOT D6, KCN MY TRUNG, MY LOC, NAM DINH</v>
      </c>
      <c r="E635" s="215">
        <v>1</v>
      </c>
      <c r="F635" s="216"/>
      <c r="G635" s="216" t="str">
        <f>IF(C635&lt;&gt;"",VLOOKUP(C635,DSKH!B:E,3,0),"")</f>
        <v>HANG CHUNG CTU</v>
      </c>
      <c r="H635" s="222" t="s">
        <v>3482</v>
      </c>
      <c r="I635" s="217"/>
      <c r="J635" s="224" t="s">
        <v>3483</v>
      </c>
      <c r="K635" s="216" t="str">
        <f t="shared" si="23"/>
        <v>THUY: 0350 3819 198</v>
      </c>
      <c r="L635" s="216">
        <v>0.1</v>
      </c>
      <c r="M635" s="216" t="str">
        <f t="shared" si="22"/>
        <v>YSS- HB 23767318-4 -MAY 05-na002185904</v>
      </c>
    </row>
    <row r="636" spans="1:13" ht="41.4">
      <c r="A636" s="216">
        <f>IF(C636&lt;&gt;"",SUBTOTAL(103,$C$8:C636),"")</f>
        <v>361</v>
      </c>
      <c r="B636" s="226">
        <v>43227</v>
      </c>
      <c r="C636" s="216" t="s">
        <v>1192</v>
      </c>
      <c r="D636" s="216" t="str">
        <f t="shared" si="24"/>
        <v>THANH HAI -  THANH HA -  HAI DUONG</v>
      </c>
      <c r="E636" s="215">
        <v>1</v>
      </c>
      <c r="F636" s="216" t="s">
        <v>2861</v>
      </c>
      <c r="G636" s="216" t="str">
        <f>IF(C636&lt;&gt;"",VLOOKUP(C636,DSKH!B:E,3,0),"")</f>
        <v>VAT- DONG MOC TREO- CHUNG HD</v>
      </c>
      <c r="H636" s="222" t="s">
        <v>3484</v>
      </c>
      <c r="I636" s="217"/>
      <c r="J636" s="224" t="s">
        <v>3485</v>
      </c>
      <c r="K636" s="216" t="str">
        <f t="shared" si="23"/>
        <v>ANH TUAN: 0979 399 357</v>
      </c>
      <c r="L636" s="216">
        <v>0.1</v>
      </c>
      <c r="M636" s="216" t="str">
        <f>C636&amp;"-"&amp;" "&amp;H636&amp;" "&amp;"-"&amp;"MAY"&amp;" "&amp;"07"&amp;"-"&amp;J636</f>
        <v>MAKALOT- 1 PHONG BI DN DONG MOC GUI TONY -MAY 07-na002185905</v>
      </c>
    </row>
    <row r="637" spans="1:13" ht="41.4">
      <c r="A637" s="216">
        <f>IF(C637&lt;&gt;"",SUBTOTAL(103,$C$8:C637),"")</f>
        <v>362</v>
      </c>
      <c r="B637" s="226">
        <v>43227</v>
      </c>
      <c r="C637" s="216" t="s">
        <v>432</v>
      </c>
      <c r="D637" s="216" t="str">
        <f t="shared" si="24"/>
        <v>AP AN THAI, XA AN CU, HUYEN CAI BE, TIEN GIANG</v>
      </c>
      <c r="E637" s="215">
        <v>1</v>
      </c>
      <c r="F637" s="216" t="s">
        <v>2861</v>
      </c>
      <c r="G637" s="216">
        <f>IF(C637&lt;&gt;"",VLOOKUP(C637,DSKH!B:E,3,0),"")</f>
        <v>0</v>
      </c>
      <c r="H637" s="222" t="s">
        <v>3486</v>
      </c>
      <c r="I637" s="217"/>
      <c r="J637" s="224" t="s">
        <v>3489</v>
      </c>
      <c r="K637" s="216" t="s">
        <v>3488</v>
      </c>
      <c r="L637" s="216">
        <v>0.1</v>
      </c>
      <c r="M637" s="216" t="str">
        <f t="shared" ref="M637:M700" si="25">C637&amp;"-"&amp;" "&amp;H637&amp;" "&amp;"-"&amp;"MAY"&amp;" "&amp;"07"&amp;"-"&amp;J637</f>
        <v>DREAM MEKONG- 1 PHONG BI CUA CS JUDY -MAY 07-na002185906</v>
      </c>
    </row>
    <row r="638" spans="1:13" ht="41.4">
      <c r="A638" s="216">
        <f>IF(C638&lt;&gt;"",SUBTOTAL(103,$C$8:C638),"")</f>
        <v>363</v>
      </c>
      <c r="B638" s="226">
        <v>43227</v>
      </c>
      <c r="C638" s="216" t="s">
        <v>330</v>
      </c>
      <c r="D638" s="216" t="str">
        <f t="shared" si="24"/>
        <v>NHAM SON, XA YEN LU, HUYEN YEN DUNG, BAC GIANG</v>
      </c>
      <c r="E638" s="215">
        <f>4+3+5+4+2+0</f>
        <v>18</v>
      </c>
      <c r="F638" s="216" t="s">
        <v>2090</v>
      </c>
      <c r="G638" s="216">
        <f>IF(C638&lt;&gt;"",VLOOKUP(C638,DSKH!B:E,3,0),"")</f>
        <v>0</v>
      </c>
      <c r="H638" s="222">
        <v>1098988888</v>
      </c>
      <c r="I638" s="217" t="s">
        <v>2860</v>
      </c>
      <c r="J638" s="224" t="s">
        <v>3487</v>
      </c>
      <c r="K638" s="216">
        <f t="shared" si="23"/>
        <v>0</v>
      </c>
      <c r="L638" s="216">
        <f>0.16+0.38+0.16+0.12+3+2.9+2.9+4.7+0.66+0.52+0.82+0.18+0.52+0.14+0.3+1.1+0.45</f>
        <v>19.010000000000002</v>
      </c>
      <c r="M638" s="216" t="str">
        <f t="shared" si="25"/>
        <v>DAEHAN GLOBAL- 1098988888 -MAY 07-na002185907</v>
      </c>
    </row>
    <row r="639" spans="1:13">
      <c r="A639" s="216" t="str">
        <f>IF(C639&lt;&gt;"",SUBTOTAL(103,$C$8:C639),"")</f>
        <v/>
      </c>
      <c r="B639" s="226">
        <v>43227</v>
      </c>
      <c r="C639" s="216"/>
      <c r="D639" s="216" t="str">
        <f t="shared" si="24"/>
        <v/>
      </c>
      <c r="E639" s="215"/>
      <c r="F639" s="216"/>
      <c r="G639" s="216" t="str">
        <f>IF(C639&lt;&gt;"",VLOOKUP(C639,DSKH!B:E,3,0),"")</f>
        <v/>
      </c>
      <c r="H639" s="274">
        <v>1098989063</v>
      </c>
      <c r="I639" s="217"/>
      <c r="J639" s="224"/>
      <c r="K639" s="216" t="str">
        <f t="shared" si="23"/>
        <v/>
      </c>
      <c r="L639" s="216"/>
      <c r="M639" s="216" t="str">
        <f t="shared" si="25"/>
        <v>- 1098989063 -MAY 07-</v>
      </c>
    </row>
    <row r="640" spans="1:13">
      <c r="A640" s="216" t="str">
        <f>IF(C640&lt;&gt;"",SUBTOTAL(103,$C$8:C640),"")</f>
        <v/>
      </c>
      <c r="B640" s="226">
        <v>43227</v>
      </c>
      <c r="C640" s="216"/>
      <c r="D640" s="216" t="str">
        <f t="shared" si="24"/>
        <v/>
      </c>
      <c r="E640" s="215"/>
      <c r="F640" s="216"/>
      <c r="G640" s="216" t="str">
        <f>IF(C640&lt;&gt;"",VLOOKUP(C640,DSKH!B:E,3,0),"")</f>
        <v/>
      </c>
      <c r="H640" s="222">
        <v>1099002761</v>
      </c>
      <c r="I640" s="217"/>
      <c r="J640" s="224"/>
      <c r="K640" s="216" t="str">
        <f t="shared" si="23"/>
        <v/>
      </c>
      <c r="L640" s="216"/>
      <c r="M640" s="216" t="str">
        <f t="shared" si="25"/>
        <v>- 1099002761 -MAY 07-</v>
      </c>
    </row>
    <row r="641" spans="1:13">
      <c r="A641" s="216" t="str">
        <f>IF(C641&lt;&gt;"",SUBTOTAL(103,$C$8:C641),"")</f>
        <v/>
      </c>
      <c r="B641" s="226">
        <v>43227</v>
      </c>
      <c r="C641" s="216"/>
      <c r="D641" s="216" t="str">
        <f t="shared" si="24"/>
        <v/>
      </c>
      <c r="E641" s="215"/>
      <c r="F641" s="216"/>
      <c r="G641" s="216" t="str">
        <f>IF(C641&lt;&gt;"",VLOOKUP(C641,DSKH!B:E,3,0),"")</f>
        <v/>
      </c>
      <c r="H641" s="222">
        <v>1098992840</v>
      </c>
      <c r="I641" s="217"/>
      <c r="J641" s="224"/>
      <c r="K641" s="216" t="str">
        <f t="shared" si="23"/>
        <v/>
      </c>
      <c r="L641" s="216"/>
      <c r="M641" s="216" t="str">
        <f t="shared" si="25"/>
        <v>- 1098992840 -MAY 07-</v>
      </c>
    </row>
    <row r="642" spans="1:13">
      <c r="A642" s="216" t="str">
        <f>IF(C642&lt;&gt;"",SUBTOTAL(103,$C$8:C642),"")</f>
        <v/>
      </c>
      <c r="B642" s="226">
        <v>43227</v>
      </c>
      <c r="C642" s="216"/>
      <c r="D642" s="216" t="str">
        <f t="shared" si="24"/>
        <v/>
      </c>
      <c r="E642" s="215"/>
      <c r="F642" s="216"/>
      <c r="G642" s="216" t="str">
        <f>IF(C642&lt;&gt;"",VLOOKUP(C642,DSKH!B:E,3,0),"")</f>
        <v/>
      </c>
      <c r="H642" s="222">
        <v>1099002759</v>
      </c>
      <c r="I642" s="217"/>
      <c r="J642" s="224"/>
      <c r="K642" s="216" t="str">
        <f t="shared" si="23"/>
        <v/>
      </c>
      <c r="L642" s="216"/>
      <c r="M642" s="216" t="str">
        <f t="shared" si="25"/>
        <v>- 1099002759 -MAY 07-</v>
      </c>
    </row>
    <row r="643" spans="1:13" ht="41.4">
      <c r="A643" s="216">
        <f>IF(C643&lt;&gt;"",SUBTOTAL(103,$C$8:C643),"")</f>
        <v>364</v>
      </c>
      <c r="B643" s="226">
        <v>43227</v>
      </c>
      <c r="C643" s="216" t="s">
        <v>2701</v>
      </c>
      <c r="D643" s="216" t="str">
        <f t="shared" si="24"/>
        <v>KCN LAI VU, HAI DUONG</v>
      </c>
      <c r="E643" s="215">
        <v>1</v>
      </c>
      <c r="F643" s="216" t="s">
        <v>2090</v>
      </c>
      <c r="G643" s="216">
        <f>IF(C643&lt;&gt;"",VLOOKUP(C643,DSKH!B:E,3,0),"")</f>
        <v>0</v>
      </c>
      <c r="H643" s="222">
        <v>1099314159</v>
      </c>
      <c r="I643" s="217" t="s">
        <v>2860</v>
      </c>
      <c r="J643" s="224" t="s">
        <v>3490</v>
      </c>
      <c r="K643" s="216" t="str">
        <f t="shared" si="23"/>
        <v>MS DUNG: 0963 528 138</v>
      </c>
      <c r="L643" s="216">
        <v>1</v>
      </c>
      <c r="M643" s="216" t="str">
        <f t="shared" si="25"/>
        <v>TINH LOI 2 OLD NAVY- 1099314159 -MAY 07-na002185908</v>
      </c>
    </row>
    <row r="644" spans="1:13" ht="55.2">
      <c r="A644" s="216">
        <f>IF(C644&lt;&gt;"",SUBTOTAL(103,$C$8:C644),"")</f>
        <v>365</v>
      </c>
      <c r="B644" s="226">
        <v>43227</v>
      </c>
      <c r="C644" s="216" t="s">
        <v>202</v>
      </c>
      <c r="D644" s="216" t="str">
        <f t="shared" si="24"/>
        <v>AP THANH PHUOC, XA THANH DIEN, HUYEN CHAU THANH, TINH TAY NINH</v>
      </c>
      <c r="E644" s="215">
        <v>2</v>
      </c>
      <c r="F644" s="216"/>
      <c r="G644" s="216" t="str">
        <f>IF(C644&lt;&gt;"",VLOOKUP(C644,DSKH!B:E,3,0),"")</f>
        <v>CHO CONFIRM XNK
C.Trang
Viettel- KHTT</v>
      </c>
      <c r="H644" s="222">
        <v>1098143970</v>
      </c>
      <c r="I644" s="217" t="s">
        <v>2860</v>
      </c>
      <c r="J644" s="224" t="s">
        <v>3491</v>
      </c>
      <c r="K644" s="216" t="str">
        <f t="shared" si="23"/>
        <v xml:space="preserve">  Anh Trinh: (XNK- 0988 107 774) OR Thu( 01227 540 890 )</v>
      </c>
      <c r="L644" s="216">
        <f>0.9+1.15</f>
        <v>2.0499999999999998</v>
      </c>
      <c r="M644" s="216" t="str">
        <f t="shared" si="25"/>
        <v>BANDO VINA- 1098143970 -MAY 07-na002185909</v>
      </c>
    </row>
    <row r="645" spans="1:13" ht="41.4">
      <c r="A645" s="216">
        <f>IF(C645&lt;&gt;"",SUBTOTAL(103,$C$8:C645),"")</f>
        <v>366</v>
      </c>
      <c r="B645" s="226">
        <v>43227</v>
      </c>
      <c r="C645" s="216" t="s">
        <v>2934</v>
      </c>
      <c r="D645" s="216" t="str">
        <f t="shared" si="24"/>
        <v>KCN VA DO THI HOANG LONG, TAO XUYEN, THANH HOA</v>
      </c>
      <c r="E645" s="215">
        <f>1+1+2+2+1+1</f>
        <v>8</v>
      </c>
      <c r="F645" s="216"/>
      <c r="G645" s="216" t="str">
        <f>IF(C645&lt;&gt;"",VLOOKUP(C645,DSKH!B:E,3,0),"")</f>
        <v>cho XNK confirm</v>
      </c>
      <c r="H645" s="222">
        <v>1099028849</v>
      </c>
      <c r="I645" s="217"/>
      <c r="J645" s="224" t="s">
        <v>3492</v>
      </c>
      <c r="K645" s="216" t="str">
        <f t="shared" si="23"/>
        <v>ANH TRI 01633973037 HOAC HUONG 0973532565</v>
      </c>
      <c r="L645" s="216">
        <f>5.7+0.1+1.8+1.1+4.76+2.14+2.8+0.5</f>
        <v>18.899999999999999</v>
      </c>
      <c r="M645" s="216" t="str">
        <f t="shared" si="25"/>
        <v>ALERON- 1099028849 -MAY 07-na002185910</v>
      </c>
    </row>
    <row r="646" spans="1:13">
      <c r="A646" s="216" t="str">
        <f>IF(C646&lt;&gt;"",SUBTOTAL(103,$C$8:C646),"")</f>
        <v/>
      </c>
      <c r="B646" s="226">
        <v>43227</v>
      </c>
      <c r="C646" s="216"/>
      <c r="D646" s="216" t="str">
        <f t="shared" si="24"/>
        <v/>
      </c>
      <c r="E646" s="215"/>
      <c r="F646" s="216"/>
      <c r="G646" s="216" t="str">
        <f>IF(C646&lt;&gt;"",VLOOKUP(C646,DSKH!B:E,3,0),"")</f>
        <v/>
      </c>
      <c r="H646" s="222">
        <v>1099028847</v>
      </c>
      <c r="I646" s="217"/>
      <c r="J646" s="224"/>
      <c r="K646" s="216" t="str">
        <f t="shared" si="23"/>
        <v/>
      </c>
      <c r="L646" s="216"/>
      <c r="M646" s="216" t="str">
        <f t="shared" si="25"/>
        <v>- 1099028847 -MAY 07-</v>
      </c>
    </row>
    <row r="647" spans="1:13" ht="14.25" customHeight="1">
      <c r="A647" s="216" t="str">
        <f>IF(C647&lt;&gt;"",SUBTOTAL(103,$C$8:C647),"")</f>
        <v/>
      </c>
      <c r="B647" s="226">
        <v>43227</v>
      </c>
      <c r="C647" s="216"/>
      <c r="D647" s="216" t="str">
        <f t="shared" si="24"/>
        <v/>
      </c>
      <c r="E647" s="215"/>
      <c r="F647" s="216"/>
      <c r="G647" s="216" t="str">
        <f>IF(C647&lt;&gt;"",VLOOKUP(C647,DSKH!B:E,3,0),"")</f>
        <v/>
      </c>
      <c r="H647" s="222">
        <v>1098974961</v>
      </c>
      <c r="I647" s="217"/>
      <c r="J647" s="224"/>
      <c r="K647" s="216" t="str">
        <f t="shared" si="23"/>
        <v/>
      </c>
      <c r="L647" s="216"/>
      <c r="M647" s="216" t="str">
        <f t="shared" si="25"/>
        <v>- 1098974961 -MAY 07-</v>
      </c>
    </row>
    <row r="648" spans="1:13">
      <c r="A648" s="216" t="str">
        <f>IF(C648&lt;&gt;"",SUBTOTAL(103,$C$8:C648),"")</f>
        <v/>
      </c>
      <c r="B648" s="226">
        <v>43227</v>
      </c>
      <c r="C648" s="216"/>
      <c r="D648" s="216" t="str">
        <f t="shared" si="24"/>
        <v/>
      </c>
      <c r="E648" s="215"/>
      <c r="F648" s="216"/>
      <c r="G648" s="216" t="str">
        <f>IF(C648&lt;&gt;"",VLOOKUP(C648,DSKH!B:E,3,0),"")</f>
        <v/>
      </c>
      <c r="H648" s="222">
        <v>1098874673</v>
      </c>
      <c r="I648" s="217"/>
      <c r="J648" s="224"/>
      <c r="K648" s="216" t="str">
        <f t="shared" ref="K648:K679" si="26">IF(C648&lt;&gt;"",VLOOKUP(C648,DATA.DSKH,4,0),"")</f>
        <v/>
      </c>
      <c r="L648" s="216"/>
      <c r="M648" s="216" t="str">
        <f t="shared" si="25"/>
        <v>- 1098874673 -MAY 07-</v>
      </c>
    </row>
    <row r="649" spans="1:13">
      <c r="A649" s="216" t="str">
        <f>IF(C649&lt;&gt;"",SUBTOTAL(103,$C$8:C649),"")</f>
        <v/>
      </c>
      <c r="B649" s="226">
        <v>43227</v>
      </c>
      <c r="C649" s="216"/>
      <c r="D649" s="216" t="str">
        <f t="shared" si="24"/>
        <v/>
      </c>
      <c r="E649" s="215"/>
      <c r="F649" s="216"/>
      <c r="G649" s="216" t="str">
        <f>IF(C649&lt;&gt;"",VLOOKUP(C649,DSKH!B:E,3,0),"")</f>
        <v/>
      </c>
      <c r="H649" s="222">
        <v>1099039028</v>
      </c>
      <c r="I649" s="217"/>
      <c r="J649" s="224"/>
      <c r="K649" s="216" t="str">
        <f t="shared" si="26"/>
        <v/>
      </c>
      <c r="L649" s="216"/>
      <c r="M649" s="216" t="str">
        <f t="shared" si="25"/>
        <v>- 1099039028 -MAY 07-</v>
      </c>
    </row>
    <row r="650" spans="1:13">
      <c r="A650" s="216" t="str">
        <f>IF(C650&lt;&gt;"",SUBTOTAL(103,$C$8:C650),"")</f>
        <v/>
      </c>
      <c r="B650" s="226">
        <v>43227</v>
      </c>
      <c r="C650" s="216"/>
      <c r="D650" s="216" t="str">
        <f t="shared" si="24"/>
        <v/>
      </c>
      <c r="E650" s="215"/>
      <c r="F650" s="216"/>
      <c r="G650" s="216" t="str">
        <f>IF(C650&lt;&gt;"",VLOOKUP(C650,DSKH!B:E,3,0),"")</f>
        <v/>
      </c>
      <c r="H650" s="222">
        <v>1099008230</v>
      </c>
      <c r="I650" s="217"/>
      <c r="J650" s="224"/>
      <c r="K650" s="216" t="str">
        <f t="shared" si="26"/>
        <v/>
      </c>
      <c r="L650" s="216"/>
      <c r="M650" s="216" t="str">
        <f t="shared" si="25"/>
        <v>- 1099008230 -MAY 07-</v>
      </c>
    </row>
    <row r="651" spans="1:13" ht="96.6">
      <c r="A651" s="216">
        <f>IF(C651&lt;&gt;"",SUBTOTAL(103,$C$8:C651),"")</f>
        <v>367</v>
      </c>
      <c r="B651" s="226">
        <v>43227</v>
      </c>
      <c r="C651" s="216" t="s">
        <v>1792</v>
      </c>
      <c r="D651" s="216" t="str">
        <f t="shared" si="24"/>
        <v>NGUYEN GON VILLAGE,, CAI DAN WARD, SONG CONG TOWN, THAI NGUYEN PROVINCE</v>
      </c>
      <c r="E651" s="215">
        <f>6+2+1</f>
        <v>9</v>
      </c>
      <c r="F651" s="216"/>
      <c r="G651" s="216" t="str">
        <f>IF(C651&lt;&gt;"",VLOOKUP(C651,DSKH!B:E,3,0),"")</f>
        <v>NEU CO NOTE GIAO BAROM, BOOK BAROM MAIL, SAU 2H CHUYEN SANG NGAY MAI BOOK</v>
      </c>
      <c r="H651" s="222">
        <v>1098988034</v>
      </c>
      <c r="I651" s="217"/>
      <c r="J651" s="224" t="s">
        <v>3493</v>
      </c>
      <c r="K651" s="216" t="str">
        <f t="shared" si="26"/>
        <v>Cloudy 0978998609</v>
      </c>
      <c r="L651" s="216">
        <f>0.12+0.8+0.6+1.1+0.9+1.5+1.4+1.6+1.5</f>
        <v>9.52</v>
      </c>
      <c r="M651" s="216" t="str">
        <f t="shared" si="25"/>
        <v>SHINWON EBENEZER HA NOI- 1098988034 -MAY 07-na002185911</v>
      </c>
    </row>
    <row r="652" spans="1:13">
      <c r="A652" s="216" t="str">
        <f>IF(C652&lt;&gt;"",SUBTOTAL(103,$C$8:C652),"")</f>
        <v/>
      </c>
      <c r="B652" s="226">
        <v>43227</v>
      </c>
      <c r="C652" s="216"/>
      <c r="D652" s="216" t="str">
        <f t="shared" ref="D652:D683" si="27">IF(C652&lt;&gt;"",VLOOKUP(C652,DATA.DSKH,2,0),"")</f>
        <v/>
      </c>
      <c r="E652" s="215"/>
      <c r="F652" s="216"/>
      <c r="G652" s="216" t="str">
        <f>IF(C652&lt;&gt;"",VLOOKUP(C652,DSKH!B:E,3,0),"")</f>
        <v/>
      </c>
      <c r="H652" s="222">
        <v>1099002109</v>
      </c>
      <c r="I652" s="217"/>
      <c r="J652" s="224"/>
      <c r="K652" s="216" t="str">
        <f t="shared" si="26"/>
        <v/>
      </c>
      <c r="L652" s="216"/>
      <c r="M652" s="216" t="str">
        <f t="shared" si="25"/>
        <v>- 1099002109 -MAY 07-</v>
      </c>
    </row>
    <row r="653" spans="1:13">
      <c r="A653" s="216" t="str">
        <f>IF(C653&lt;&gt;"",SUBTOTAL(103,$C$8:C653),"")</f>
        <v/>
      </c>
      <c r="B653" s="226">
        <v>43227</v>
      </c>
      <c r="C653" s="216"/>
      <c r="D653" s="216" t="str">
        <f t="shared" si="27"/>
        <v/>
      </c>
      <c r="E653" s="215"/>
      <c r="F653" s="216"/>
      <c r="G653" s="216" t="str">
        <f>IF(C653&lt;&gt;"",VLOOKUP(C653,DSKH!B:E,3,0),"")</f>
        <v/>
      </c>
      <c r="H653" s="222">
        <v>1099027411</v>
      </c>
      <c r="I653" s="217"/>
      <c r="J653" s="224"/>
      <c r="K653" s="216" t="str">
        <f t="shared" si="26"/>
        <v/>
      </c>
      <c r="L653" s="216"/>
      <c r="M653" s="216" t="str">
        <f t="shared" si="25"/>
        <v>- 1099027411 -MAY 07-</v>
      </c>
    </row>
    <row r="654" spans="1:13" ht="96.6">
      <c r="A654" s="216">
        <f>IF(C654&lt;&gt;"",SUBTOTAL(103,$C$8:C654),"")</f>
        <v>368</v>
      </c>
      <c r="B654" s="226">
        <v>43227</v>
      </c>
      <c r="C654" s="216" t="s">
        <v>1795</v>
      </c>
      <c r="D654" s="216" t="str">
        <f t="shared" si="27"/>
        <v>Cn 14- Khai quang sub-industrial zone, Khai Quang commune, Vinh Yen capital town, Vinh Phuc province.</v>
      </c>
      <c r="E654" s="215">
        <f>6+2</f>
        <v>8</v>
      </c>
      <c r="F654" s="216"/>
      <c r="G654" s="216" t="str">
        <f>IF(C654&lt;&gt;"",VLOOKUP(C654,DSKH!B:E,3,0),"")</f>
        <v>NEU CO NOTE GIAO BAROM, BOOK BAROM MAIL, SAU 2H CHUYEN SANG NGAY MAI BOOK</v>
      </c>
      <c r="H654" s="222">
        <v>1099027702</v>
      </c>
      <c r="I654" s="217"/>
      <c r="J654" s="224" t="s">
        <v>3494</v>
      </c>
      <c r="K654" s="216">
        <f t="shared" si="26"/>
        <v>0</v>
      </c>
      <c r="L654" s="216">
        <f>12+0.76+0.98+1.5+1.6+0.8+1.4+0.8</f>
        <v>19.84</v>
      </c>
      <c r="M654" s="216" t="str">
        <f t="shared" si="25"/>
        <v>SHINWON EBENEZER VN- 1099027702 -MAY 07-na002185912</v>
      </c>
    </row>
    <row r="655" spans="1:13">
      <c r="A655" s="216" t="str">
        <f>IF(C655&lt;&gt;"",SUBTOTAL(103,$C$8:C655),"")</f>
        <v/>
      </c>
      <c r="B655" s="226">
        <v>43227</v>
      </c>
      <c r="C655" s="216"/>
      <c r="D655" s="216" t="str">
        <f t="shared" si="27"/>
        <v/>
      </c>
      <c r="E655" s="215"/>
      <c r="F655" s="216"/>
      <c r="G655" s="216" t="str">
        <f>IF(C655&lt;&gt;"",VLOOKUP(C655,DSKH!B:E,3,0),"")</f>
        <v/>
      </c>
      <c r="H655" s="222">
        <v>1099002392</v>
      </c>
      <c r="I655" s="217"/>
      <c r="J655" s="224"/>
      <c r="K655" s="216" t="str">
        <f t="shared" si="26"/>
        <v/>
      </c>
      <c r="L655" s="216"/>
      <c r="M655" s="216" t="str">
        <f t="shared" si="25"/>
        <v>- 1099002392 -MAY 07-</v>
      </c>
    </row>
    <row r="656" spans="1:13">
      <c r="A656" s="216" t="str">
        <f>IF(C656&lt;&gt;"",SUBTOTAL(103,$C$8:C656),"")</f>
        <v/>
      </c>
      <c r="B656" s="226">
        <v>43227</v>
      </c>
      <c r="C656" s="216"/>
      <c r="D656" s="216" t="str">
        <f t="shared" si="27"/>
        <v/>
      </c>
      <c r="E656" s="215"/>
      <c r="F656" s="216"/>
      <c r="G656" s="216" t="str">
        <f>IF(C656&lt;&gt;"",VLOOKUP(C656,DSKH!B:E,3,0),"")</f>
        <v/>
      </c>
      <c r="H656" s="222">
        <v>1099025570</v>
      </c>
      <c r="I656" s="217"/>
      <c r="J656" s="224"/>
      <c r="K656" s="216" t="str">
        <f t="shared" si="26"/>
        <v/>
      </c>
      <c r="L656" s="216"/>
      <c r="M656" s="216" t="str">
        <f t="shared" si="25"/>
        <v>- 1099025570 -MAY 07-</v>
      </c>
    </row>
    <row r="657" spans="1:13" ht="96.6">
      <c r="A657" s="216">
        <f>IF(C657&lt;&gt;"",SUBTOTAL(103,$C$8:C657),"")</f>
        <v>369</v>
      </c>
      <c r="B657" s="226">
        <v>43227</v>
      </c>
      <c r="C657" s="216" t="s">
        <v>1940</v>
      </c>
      <c r="D657" s="216" t="str">
        <f t="shared" si="27"/>
        <v xml:space="preserve">
Lot4.KCN Nguyen Duc Canh. Tp Thai Binh.Tinh Thai Binh 
Att:Jacks Tuan( Phong XNK) Tel:+84 36 3846 788 Ext:219,Fax:36 3847 019</v>
      </c>
      <c r="E657" s="215">
        <v>1</v>
      </c>
      <c r="F657" s="216"/>
      <c r="G657" s="216">
        <f>IF(C657&lt;&gt;"",VLOOKUP(C657,DSKH!B:E,3,0),"")</f>
        <v>0</v>
      </c>
      <c r="H657" s="222">
        <v>1098975835</v>
      </c>
      <c r="I657" s="217"/>
      <c r="J657" s="224" t="s">
        <v>3495</v>
      </c>
      <c r="K657" s="216" t="str">
        <f t="shared" si="26"/>
        <v>Mr. Nguyen Van Hai:
  090 600 1643</v>
      </c>
      <c r="L657" s="216">
        <v>0.3</v>
      </c>
      <c r="M657" s="216" t="str">
        <f t="shared" si="25"/>
        <v>TAV- 1098975835 -MAY 07-na002185913</v>
      </c>
    </row>
    <row r="658" spans="1:13" ht="41.4">
      <c r="A658" s="216">
        <f>IF(C658&lt;&gt;"",SUBTOTAL(103,$C$8:C658),"")</f>
        <v>370</v>
      </c>
      <c r="B658" s="226">
        <v>43227</v>
      </c>
      <c r="C658" s="216" t="s">
        <v>2347</v>
      </c>
      <c r="D658" s="216" t="str">
        <f t="shared" si="27"/>
        <v>khu 6, Đồn Tây, Xã Thanh Vinh, Thị Xã Phú Thọ, Phú Thọ</v>
      </c>
      <c r="E658" s="215">
        <f>5+4+0</f>
        <v>9</v>
      </c>
      <c r="F658" s="216"/>
      <c r="G658" s="216" t="str">
        <f>IF(C658&lt;&gt;"",VLOOKUP(C658,DSKH!B:E,3,0),"")</f>
        <v>giao hang truoc-C.Trang -GIAO DAI SON</v>
      </c>
      <c r="H658" s="222">
        <v>1099143361</v>
      </c>
      <c r="I658" s="217"/>
      <c r="J658" s="224" t="s">
        <v>3496</v>
      </c>
      <c r="K658" s="216" t="str">
        <f t="shared" si="26"/>
        <v>HA: 0982 063 216</v>
      </c>
      <c r="L658" s="216">
        <f>5.6+0.9+0.8+0.3</f>
        <v>7.6</v>
      </c>
      <c r="M658" s="216" t="str">
        <f t="shared" si="25"/>
        <v>VINA KYUNG SEUNG- 1099143361 -MAY 07-na002185914</v>
      </c>
    </row>
    <row r="659" spans="1:13">
      <c r="A659" s="216" t="str">
        <f>IF(C659&lt;&gt;"",SUBTOTAL(103,$C$8:C659),"")</f>
        <v/>
      </c>
      <c r="B659" s="226">
        <v>43227</v>
      </c>
      <c r="C659" s="216"/>
      <c r="D659" s="216" t="str">
        <f t="shared" si="27"/>
        <v/>
      </c>
      <c r="E659" s="215"/>
      <c r="F659" s="216"/>
      <c r="G659" s="216" t="str">
        <f>IF(C659&lt;&gt;"",VLOOKUP(C659,DSKH!B:E,3,0),"")</f>
        <v/>
      </c>
      <c r="H659" s="222">
        <v>1099141961</v>
      </c>
      <c r="I659" s="217"/>
      <c r="J659" s="224"/>
      <c r="K659" s="216" t="str">
        <f t="shared" si="26"/>
        <v/>
      </c>
      <c r="L659" s="216"/>
      <c r="M659" s="216" t="str">
        <f t="shared" si="25"/>
        <v>- 1099141961 -MAY 07-</v>
      </c>
    </row>
    <row r="660" spans="1:13" ht="27.6">
      <c r="A660" s="216">
        <f>IF(C660&lt;&gt;"",SUBTOTAL(103,$C$8:C660),"")</f>
        <v>371</v>
      </c>
      <c r="B660" s="226">
        <v>43227</v>
      </c>
      <c r="C660" s="216" t="s">
        <v>2526</v>
      </c>
      <c r="D660" s="216" t="str">
        <f t="shared" si="27"/>
        <v>NO.B6,THUY VAN IZ,VIET TRI,PHU THO,VIET NAM</v>
      </c>
      <c r="E660" s="215">
        <f>7+1+3+7+3+1+0</f>
        <v>22</v>
      </c>
      <c r="F660" s="216"/>
      <c r="G660" s="216" t="str">
        <f>IF(C660&lt;&gt;"",VLOOKUP(C660,DSKH!B:E,3,0),"")</f>
        <v>CTU</v>
      </c>
      <c r="H660" s="222">
        <v>1099156985</v>
      </c>
      <c r="I660" s="217"/>
      <c r="J660" s="224" t="s">
        <v>3497</v>
      </c>
      <c r="K660" s="216" t="str">
        <f t="shared" si="26"/>
        <v>QUYNH ANH: 0935 471 807</v>
      </c>
      <c r="L660" s="216">
        <f>0.56*2+0.42+0.4+0.72+1.16+4.4+1.4+0.25+0.3+1.5+2.3+17+12.2+12.6+1.7+3.4+4.4+4.5+2.5+1.4+0</f>
        <v>73.670000000000016</v>
      </c>
      <c r="M660" s="216" t="str">
        <f t="shared" si="25"/>
        <v>YAKJIN VIETNAM- 1099156985 -MAY 07-na002185915</v>
      </c>
    </row>
    <row r="661" spans="1:13">
      <c r="A661" s="216" t="str">
        <f>IF(C661&lt;&gt;"",SUBTOTAL(103,$C$8:C661),"")</f>
        <v/>
      </c>
      <c r="B661" s="226">
        <v>43227</v>
      </c>
      <c r="C661" s="216"/>
      <c r="D661" s="216" t="str">
        <f t="shared" si="27"/>
        <v/>
      </c>
      <c r="E661" s="215"/>
      <c r="F661" s="216"/>
      <c r="G661" s="216" t="str">
        <f>IF(C661&lt;&gt;"",VLOOKUP(C661,DSKH!B:E,3,0),"")</f>
        <v/>
      </c>
      <c r="H661" s="222">
        <v>1099156466</v>
      </c>
      <c r="I661" s="217"/>
      <c r="J661" s="224"/>
      <c r="K661" s="216" t="str">
        <f t="shared" si="26"/>
        <v/>
      </c>
      <c r="L661" s="216"/>
      <c r="M661" s="216" t="str">
        <f t="shared" si="25"/>
        <v>- 1099156466 -MAY 07-</v>
      </c>
    </row>
    <row r="662" spans="1:13">
      <c r="A662" s="216" t="str">
        <f>IF(C662&lt;&gt;"",SUBTOTAL(103,$C$8:C662),"")</f>
        <v/>
      </c>
      <c r="B662" s="226">
        <v>43227</v>
      </c>
      <c r="C662" s="216"/>
      <c r="D662" s="216" t="str">
        <f t="shared" si="27"/>
        <v/>
      </c>
      <c r="E662" s="215"/>
      <c r="F662" s="216"/>
      <c r="G662" s="216" t="str">
        <f>IF(C662&lt;&gt;"",VLOOKUP(C662,DSKH!B:E,3,0),"")</f>
        <v/>
      </c>
      <c r="H662" s="222">
        <v>1099156069</v>
      </c>
      <c r="I662" s="217"/>
      <c r="J662" s="224"/>
      <c r="K662" s="216" t="str">
        <f t="shared" si="26"/>
        <v/>
      </c>
      <c r="L662" s="216"/>
      <c r="M662" s="216" t="str">
        <f t="shared" si="25"/>
        <v>- 1099156069 -MAY 07-</v>
      </c>
    </row>
    <row r="663" spans="1:13">
      <c r="A663" s="216" t="str">
        <f>IF(C663&lt;&gt;"",SUBTOTAL(103,$C$8:C663),"")</f>
        <v/>
      </c>
      <c r="B663" s="226">
        <v>43227</v>
      </c>
      <c r="C663" s="216"/>
      <c r="D663" s="216" t="str">
        <f t="shared" si="27"/>
        <v/>
      </c>
      <c r="E663" s="215"/>
      <c r="F663" s="216"/>
      <c r="G663" s="216" t="str">
        <f>IF(C663&lt;&gt;"",VLOOKUP(C663,DSKH!B:E,3,0),"")</f>
        <v/>
      </c>
      <c r="H663" s="222">
        <v>1098989927</v>
      </c>
      <c r="I663" s="217"/>
      <c r="J663" s="224"/>
      <c r="K663" s="216" t="str">
        <f t="shared" si="26"/>
        <v/>
      </c>
      <c r="L663" s="216"/>
      <c r="M663" s="216" t="str">
        <f t="shared" si="25"/>
        <v>- 1098989927 -MAY 07-</v>
      </c>
    </row>
    <row r="664" spans="1:13">
      <c r="A664" s="216" t="str">
        <f>IF(C664&lt;&gt;"",SUBTOTAL(103,$C$8:C664),"")</f>
        <v/>
      </c>
      <c r="B664" s="226">
        <v>43227</v>
      </c>
      <c r="C664" s="216"/>
      <c r="D664" s="216" t="str">
        <f t="shared" si="27"/>
        <v/>
      </c>
      <c r="E664" s="215"/>
      <c r="F664" s="216"/>
      <c r="G664" s="216" t="str">
        <f>IF(C664&lt;&gt;"",VLOOKUP(C664,DSKH!B:E,3,0),"")</f>
        <v/>
      </c>
      <c r="H664" s="222">
        <v>1099140630</v>
      </c>
      <c r="I664" s="217"/>
      <c r="J664" s="224"/>
      <c r="K664" s="216" t="str">
        <f t="shared" si="26"/>
        <v/>
      </c>
      <c r="L664" s="216"/>
      <c r="M664" s="216" t="str">
        <f t="shared" si="25"/>
        <v>- 1099140630 -MAY 07-</v>
      </c>
    </row>
    <row r="665" spans="1:13">
      <c r="A665" s="216" t="str">
        <f>IF(C665&lt;&gt;"",SUBTOTAL(103,$C$8:C665),"")</f>
        <v/>
      </c>
      <c r="B665" s="226">
        <v>43227</v>
      </c>
      <c r="C665" s="216"/>
      <c r="D665" s="216" t="str">
        <f t="shared" si="27"/>
        <v/>
      </c>
      <c r="E665" s="215"/>
      <c r="F665" s="216"/>
      <c r="G665" s="216" t="str">
        <f>IF(C665&lt;&gt;"",VLOOKUP(C665,DSKH!B:E,3,0),"")</f>
        <v/>
      </c>
      <c r="H665" s="222">
        <v>1099141670</v>
      </c>
      <c r="I665" s="217"/>
      <c r="J665" s="224"/>
      <c r="K665" s="216" t="str">
        <f t="shared" si="26"/>
        <v/>
      </c>
      <c r="L665" s="216"/>
      <c r="M665" s="216" t="str">
        <f t="shared" si="25"/>
        <v>- 1099141670 -MAY 07-</v>
      </c>
    </row>
    <row r="666" spans="1:13">
      <c r="A666" s="216" t="str">
        <f>IF(C666&lt;&gt;"",SUBTOTAL(103,$C$8:C666),"")</f>
        <v/>
      </c>
      <c r="B666" s="226">
        <v>43227</v>
      </c>
      <c r="C666" s="216"/>
      <c r="D666" s="216" t="str">
        <f t="shared" si="27"/>
        <v/>
      </c>
      <c r="E666" s="215"/>
      <c r="F666" s="216"/>
      <c r="G666" s="216" t="str">
        <f>IF(C666&lt;&gt;"",VLOOKUP(C666,DSKH!B:E,3,0),"")</f>
        <v/>
      </c>
      <c r="H666" s="222">
        <v>1099141669</v>
      </c>
      <c r="I666" s="217"/>
      <c r="J666" s="224"/>
      <c r="K666" s="216" t="str">
        <f t="shared" si="26"/>
        <v/>
      </c>
      <c r="L666" s="216"/>
      <c r="M666" s="216" t="str">
        <f t="shared" si="25"/>
        <v>- 1099141669 -MAY 07-</v>
      </c>
    </row>
    <row r="667" spans="1:13">
      <c r="A667" s="216" t="str">
        <f>IF(C667&lt;&gt;"",SUBTOTAL(103,$C$8:C667),"")</f>
        <v/>
      </c>
      <c r="B667" s="226">
        <v>43227</v>
      </c>
      <c r="C667" s="216"/>
      <c r="D667" s="216" t="str">
        <f t="shared" si="27"/>
        <v/>
      </c>
      <c r="E667" s="215"/>
      <c r="F667" s="216"/>
      <c r="G667" s="216" t="str">
        <f>IF(C667&lt;&gt;"",VLOOKUP(C667,DSKH!B:E,3,0),"")</f>
        <v/>
      </c>
      <c r="H667" s="222">
        <v>1099140760</v>
      </c>
      <c r="I667" s="217"/>
      <c r="J667" s="224"/>
      <c r="K667" s="216" t="str">
        <f t="shared" si="26"/>
        <v/>
      </c>
      <c r="L667" s="216"/>
      <c r="M667" s="216" t="str">
        <f t="shared" si="25"/>
        <v>- 1099140760 -MAY 07-</v>
      </c>
    </row>
    <row r="668" spans="1:13" ht="41.4">
      <c r="A668" s="216">
        <f>IF(C668&lt;&gt;"",SUBTOTAL(103,$C$8:C668),"")</f>
        <v>372</v>
      </c>
      <c r="B668" s="226">
        <v>43227</v>
      </c>
      <c r="C668" s="216" t="s">
        <v>1759</v>
      </c>
      <c r="D668" s="216" t="str">
        <f t="shared" si="27"/>
        <v>Khe Xoan Hamlet – Doi Can commune – Tuyen Quang City</v>
      </c>
      <c r="E668" s="215">
        <v>4</v>
      </c>
      <c r="F668" s="216"/>
      <c r="G668" s="216">
        <f>IF(C668&lt;&gt;"",VLOOKUP(C668,DSKH!B:E,3,0),"")</f>
        <v>0</v>
      </c>
      <c r="H668" s="222">
        <v>1099140753</v>
      </c>
      <c r="I668" s="217"/>
      <c r="J668" s="224" t="s">
        <v>3498</v>
      </c>
      <c r="K668" s="216" t="str">
        <f t="shared" si="26"/>
        <v xml:space="preserve"> Khanh:  +84 273 898301~2</v>
      </c>
      <c r="L668" s="216">
        <v>1</v>
      </c>
      <c r="M668" s="216" t="str">
        <f t="shared" si="25"/>
        <v>SESHIN VN2- 1099140753 -MAY 07-na002185916</v>
      </c>
    </row>
    <row r="669" spans="1:13" ht="82.8">
      <c r="A669" s="216">
        <f>IF(C669&lt;&gt;"",SUBTOTAL(103,$C$8:C669),"")</f>
        <v>373</v>
      </c>
      <c r="B669" s="226">
        <v>43227</v>
      </c>
      <c r="C669" s="216" t="s">
        <v>2204</v>
      </c>
      <c r="D669" s="216" t="str">
        <f t="shared" si="27"/>
        <v>BI, BII, BIII, BIV SECTION,  GIAO LONG INDUSTRIAL ZONE PHASE II,AN PHUOC COMMUNE, CHAU THANH DISTRICT, BEN TRE PROVINCE</v>
      </c>
      <c r="E669" s="215">
        <v>13</v>
      </c>
      <c r="F669" s="216"/>
      <c r="G669" s="216">
        <f>IF(C669&lt;&gt;"",VLOOKUP(C669,DSKH!B:E,3,0),"")</f>
        <v>0</v>
      </c>
      <c r="H669" s="222">
        <v>1098989234</v>
      </c>
      <c r="I669" s="217"/>
      <c r="J669" s="224" t="s">
        <v>3499</v>
      </c>
      <c r="K669" s="216" t="str">
        <f t="shared" si="26"/>
        <v>Tel: 84-75- 3635600   Fax: 84-75- 3635601</v>
      </c>
      <c r="L669" s="216">
        <f>1.1+1.1+1.4+0.5+0.55+1.7+3.2+2.2+0.44+1.8+0.5+8.1</f>
        <v>22.59</v>
      </c>
      <c r="M669" s="216" t="str">
        <f t="shared" si="25"/>
        <v>UNISOLL- 1098989234 -MAY 07-na002185917</v>
      </c>
    </row>
    <row r="670" spans="1:13">
      <c r="A670" s="216" t="str">
        <f>IF(C670&lt;&gt;"",SUBTOTAL(103,$C$8:C670),"")</f>
        <v/>
      </c>
      <c r="B670" s="226">
        <v>43227</v>
      </c>
      <c r="C670" s="216"/>
      <c r="D670" s="216" t="str">
        <f t="shared" si="27"/>
        <v/>
      </c>
      <c r="E670" s="215"/>
      <c r="F670" s="216"/>
      <c r="G670" s="216" t="str">
        <f>IF(C670&lt;&gt;"",VLOOKUP(C670,DSKH!B:E,3,0),"")</f>
        <v/>
      </c>
      <c r="H670" s="222">
        <v>1099002770</v>
      </c>
      <c r="I670" s="217"/>
      <c r="J670" s="224"/>
      <c r="K670" s="216" t="str">
        <f t="shared" si="26"/>
        <v/>
      </c>
      <c r="L670" s="216"/>
      <c r="M670" s="216" t="str">
        <f t="shared" si="25"/>
        <v>- 1099002770 -MAY 07-</v>
      </c>
    </row>
    <row r="671" spans="1:13">
      <c r="A671" s="216" t="str">
        <f>IF(C671&lt;&gt;"",SUBTOTAL(103,$C$8:C671),"")</f>
        <v/>
      </c>
      <c r="B671" s="226">
        <v>43227</v>
      </c>
      <c r="C671" s="216"/>
      <c r="D671" s="216" t="str">
        <f t="shared" si="27"/>
        <v/>
      </c>
      <c r="E671" s="215"/>
      <c r="F671" s="216"/>
      <c r="G671" s="216" t="str">
        <f>IF(C671&lt;&gt;"",VLOOKUP(C671,DSKH!B:E,3,0),"")</f>
        <v/>
      </c>
      <c r="H671" s="222">
        <v>1099010203</v>
      </c>
      <c r="I671" s="217"/>
      <c r="J671" s="224"/>
      <c r="K671" s="216" t="str">
        <f t="shared" si="26"/>
        <v/>
      </c>
      <c r="L671" s="216"/>
      <c r="M671" s="216" t="str">
        <f t="shared" si="25"/>
        <v>- 1099010203 -MAY 07-</v>
      </c>
    </row>
    <row r="672" spans="1:13">
      <c r="A672" s="216" t="str">
        <f>IF(C672&lt;&gt;"",SUBTOTAL(103,$C$8:C672),"")</f>
        <v/>
      </c>
      <c r="B672" s="226">
        <v>43227</v>
      </c>
      <c r="C672" s="216"/>
      <c r="D672" s="216" t="str">
        <f t="shared" si="27"/>
        <v/>
      </c>
      <c r="E672" s="215"/>
      <c r="F672" s="216"/>
      <c r="G672" s="216" t="str">
        <f>IF(C672&lt;&gt;"",VLOOKUP(C672,DSKH!B:E,3,0),"")</f>
        <v/>
      </c>
      <c r="H672" s="222">
        <v>1099028166</v>
      </c>
      <c r="I672" s="217"/>
      <c r="J672" s="224"/>
      <c r="K672" s="216" t="str">
        <f t="shared" si="26"/>
        <v/>
      </c>
      <c r="L672" s="216"/>
      <c r="M672" s="216" t="str">
        <f t="shared" si="25"/>
        <v>- 1099028166 -MAY 07-</v>
      </c>
    </row>
    <row r="673" spans="1:13">
      <c r="A673" s="216" t="str">
        <f>IF(C673&lt;&gt;"",SUBTOTAL(103,$C$8:C673),"")</f>
        <v/>
      </c>
      <c r="B673" s="226">
        <v>43227</v>
      </c>
      <c r="C673" s="216"/>
      <c r="D673" s="216" t="str">
        <f t="shared" si="27"/>
        <v/>
      </c>
      <c r="E673" s="215"/>
      <c r="F673" s="216"/>
      <c r="G673" s="216" t="str">
        <f>IF(C673&lt;&gt;"",VLOOKUP(C673,DSKH!B:E,3,0),"")</f>
        <v/>
      </c>
      <c r="H673" s="222">
        <v>1099030099</v>
      </c>
      <c r="I673" s="217"/>
      <c r="J673" s="224"/>
      <c r="K673" s="216" t="str">
        <f t="shared" si="26"/>
        <v/>
      </c>
      <c r="L673" s="216"/>
      <c r="M673" s="216" t="str">
        <f t="shared" si="25"/>
        <v>- 1099030099 -MAY 07-</v>
      </c>
    </row>
    <row r="674" spans="1:13" ht="41.4">
      <c r="A674" s="216">
        <f>IF(C674&lt;&gt;"",SUBTOTAL(103,$C$8:C674),"")</f>
        <v>374</v>
      </c>
      <c r="B674" s="226">
        <v>43227</v>
      </c>
      <c r="C674" s="216" t="s">
        <v>1346</v>
      </c>
      <c r="D674" s="216" t="str">
        <f t="shared" si="27"/>
        <v>101, National Rout 1A, ward 10, My Tho City, Tien Giang Province, Vietnam-</v>
      </c>
      <c r="E674" s="215">
        <v>1</v>
      </c>
      <c r="F674" s="216"/>
      <c r="G674" s="216">
        <f>IF(C674&lt;&gt;"",VLOOKUP(C674,DSKH!B:E,3,0),"")</f>
        <v>0</v>
      </c>
      <c r="H674" s="222">
        <v>1099173875</v>
      </c>
      <c r="I674" s="217"/>
      <c r="J674" s="224" t="s">
        <v>3500</v>
      </c>
      <c r="K674" s="216" t="str">
        <f t="shared" si="26"/>
        <v>Tel: Ms Hanh: 0986 16 2273, Ms Thao: 0986 825 394 or Ms Ngoc: 0934 181 465</v>
      </c>
      <c r="L674" s="216">
        <v>1.48</v>
      </c>
      <c r="M674" s="216" t="str">
        <f t="shared" si="25"/>
        <v>MY THO GARMENT- 1099173875 -MAY 07-na002185918</v>
      </c>
    </row>
    <row r="675" spans="1:13" ht="41.4">
      <c r="A675" s="216">
        <f>IF(C675&lt;&gt;"",SUBTOTAL(103,$C$8:C675),"")</f>
        <v>375</v>
      </c>
      <c r="B675" s="226">
        <v>43227</v>
      </c>
      <c r="C675" s="216" t="s">
        <v>2334</v>
      </c>
      <c r="D675" s="216" t="str">
        <f t="shared" si="27"/>
        <v>Khu 6, Go Don, Xa Huong Lung, Huyen Cam Khe, , Tinh Phu tho</v>
      </c>
      <c r="E675" s="215">
        <v>5</v>
      </c>
      <c r="F675" s="216"/>
      <c r="G675" s="216">
        <f>IF(C675&lt;&gt;"",VLOOKUP(C675,DSKH!B:E,3,0),"")</f>
        <v>0</v>
      </c>
      <c r="H675" s="222">
        <v>1098871249</v>
      </c>
      <c r="I675" s="217"/>
      <c r="J675" s="224" t="s">
        <v>3501</v>
      </c>
      <c r="K675" s="216">
        <f t="shared" si="26"/>
        <v>0</v>
      </c>
      <c r="L675" s="216">
        <f>3.2+0.8+0.5+0.6+1.2</f>
        <v>6.3</v>
      </c>
      <c r="M675" s="216" t="str">
        <f t="shared" si="25"/>
        <v>VINA CKGF- 1098871249 -MAY 07-na002185919</v>
      </c>
    </row>
    <row r="676" spans="1:13">
      <c r="A676" s="216" t="str">
        <f>IF(C676&lt;&gt;"",SUBTOTAL(103,$C$8:C676),"")</f>
        <v/>
      </c>
      <c r="B676" s="226">
        <v>43227</v>
      </c>
      <c r="C676" s="216"/>
      <c r="D676" s="216" t="str">
        <f t="shared" si="27"/>
        <v/>
      </c>
      <c r="E676" s="215"/>
      <c r="F676" s="216"/>
      <c r="G676" s="216" t="str">
        <f>IF(C676&lt;&gt;"",VLOOKUP(C676,DSKH!B:E,3,0),"")</f>
        <v/>
      </c>
      <c r="H676" s="222">
        <v>1098987923</v>
      </c>
      <c r="I676" s="217"/>
      <c r="J676" s="224"/>
      <c r="K676" s="216" t="str">
        <f t="shared" si="26"/>
        <v/>
      </c>
      <c r="L676" s="216"/>
      <c r="M676" s="216" t="str">
        <f t="shared" si="25"/>
        <v>- 1098987923 -MAY 07-</v>
      </c>
    </row>
    <row r="677" spans="1:13" ht="41.4">
      <c r="A677" s="216">
        <f>IF(C677&lt;&gt;"",SUBTOTAL(103,$C$8:C677),"")</f>
        <v>376</v>
      </c>
      <c r="B677" s="226">
        <v>43227</v>
      </c>
      <c r="C677" s="216" t="s">
        <v>1730</v>
      </c>
      <c r="D677" s="216" t="str">
        <f t="shared" si="27"/>
        <v>PHONG DIEN IZ-PHONG DIEN DIST- TT HUE</v>
      </c>
      <c r="E677" s="215">
        <v>1</v>
      </c>
      <c r="F677" s="216"/>
      <c r="G677" s="216" t="str">
        <f>IF(C677&lt;&gt;"",VLOOKUP(C677,DSKH!B:E,3,0),"")</f>
        <v>HANG CHUNG HOA DON, KEM PKL CHI TIET</v>
      </c>
      <c r="H677" s="222" t="s">
        <v>3504</v>
      </c>
      <c r="I677" s="217" t="s">
        <v>3503</v>
      </c>
      <c r="J677" s="224" t="s">
        <v>3502</v>
      </c>
      <c r="K677" s="216" t="str">
        <f t="shared" si="26"/>
        <v>QUYEN-0919727279
MR TRAI 054 3751 751- EXT:146</v>
      </c>
      <c r="L677" s="216">
        <v>0.1</v>
      </c>
      <c r="M677" s="216" t="str">
        <f t="shared" si="25"/>
        <v>SCAVI HUE- 24218999-1 -MAY 07-na002184054</v>
      </c>
    </row>
    <row r="678" spans="1:13" ht="41.4">
      <c r="A678" s="216">
        <f>IF(C678&lt;&gt;"",SUBTOTAL(103,$C$8:C678),"")</f>
        <v>377</v>
      </c>
      <c r="B678" s="226">
        <v>43227</v>
      </c>
      <c r="C678" s="216" t="s">
        <v>776</v>
      </c>
      <c r="D678" s="216" t="str">
        <f t="shared" si="27"/>
        <v xml:space="preserve">No25 Alley 13 Linh nam Str, Mai Dong ward,  Hoang Mai Dist, Hanoi, Vietnam. </v>
      </c>
      <c r="E678" s="215">
        <v>1</v>
      </c>
      <c r="F678" s="216"/>
      <c r="G678" s="216">
        <f>IF(C678&lt;&gt;"",VLOOKUP(C678,DSKH!B:E,3,0),"")</f>
        <v>0</v>
      </c>
      <c r="H678" s="222">
        <v>1098874244</v>
      </c>
      <c r="I678" s="217"/>
      <c r="J678" s="224" t="s">
        <v>3505</v>
      </c>
      <c r="K678" s="216" t="str">
        <f t="shared" si="26"/>
        <v>RUBI 01686703023</v>
      </c>
      <c r="L678" s="216">
        <v>0.4</v>
      </c>
      <c r="M678" s="216" t="str">
        <f t="shared" si="25"/>
        <v>HA NOI TEXTILE- 1098874244 -MAY 07-na002185920</v>
      </c>
    </row>
    <row r="679" spans="1:13" ht="55.2">
      <c r="A679" s="216">
        <f>IF(C679&lt;&gt;"",SUBTOTAL(103,$C$8:C679),"")</f>
        <v>378</v>
      </c>
      <c r="B679" s="226">
        <v>43227</v>
      </c>
      <c r="C679" s="216" t="s">
        <v>1486</v>
      </c>
      <c r="D679" s="216" t="str">
        <f t="shared" si="27"/>
        <v>LOT#1 TAM THANG INDUSTRIAL ZONE, TAM KY CITY, QUANG NAM PROVINCE</v>
      </c>
      <c r="E679" s="215">
        <v>5</v>
      </c>
      <c r="F679" s="216"/>
      <c r="G679" s="216">
        <f>IF(C679&lt;&gt;"",VLOOKUP(C679,DSKH!B:E,3,0),"")</f>
        <v>0</v>
      </c>
      <c r="H679" s="222">
        <v>1098886321</v>
      </c>
      <c r="I679" s="217"/>
      <c r="J679" s="224" t="s">
        <v>3506</v>
      </c>
      <c r="K679" s="216">
        <f t="shared" si="26"/>
        <v>0</v>
      </c>
      <c r="L679" s="216">
        <v>24.8</v>
      </c>
      <c r="M679" s="216" t="str">
        <f t="shared" si="25"/>
        <v>PANKO TAM THANG- 1098886321 -MAY 07-na002185921</v>
      </c>
    </row>
    <row r="680" spans="1:13">
      <c r="A680" s="216" t="str">
        <f>IF(C680&lt;&gt;"",SUBTOTAL(103,$C$8:C680),"")</f>
        <v/>
      </c>
      <c r="B680" s="226">
        <v>43227</v>
      </c>
      <c r="C680" s="216"/>
      <c r="D680" s="216" t="str">
        <f t="shared" si="27"/>
        <v/>
      </c>
      <c r="E680" s="215"/>
      <c r="F680" s="216"/>
      <c r="G680" s="216" t="str">
        <f>IF(C680&lt;&gt;"",VLOOKUP(C680,DSKH!B:E,3,0),"")</f>
        <v/>
      </c>
      <c r="H680" s="222">
        <v>1098976040</v>
      </c>
      <c r="I680" s="217"/>
      <c r="J680" s="224"/>
      <c r="K680" s="216" t="str">
        <f t="shared" ref="K680:K692" si="28">IF(C680&lt;&gt;"",VLOOKUP(C680,DATA.DSKH,4,0),"")</f>
        <v/>
      </c>
      <c r="L680" s="216"/>
      <c r="M680" s="216" t="str">
        <f t="shared" si="25"/>
        <v>- 1098976040 -MAY 07-</v>
      </c>
    </row>
    <row r="681" spans="1:13">
      <c r="A681" s="216" t="str">
        <f>IF(C681&lt;&gt;"",SUBTOTAL(103,$C$8:C681),"")</f>
        <v/>
      </c>
      <c r="B681" s="226">
        <v>43227</v>
      </c>
      <c r="C681" s="216"/>
      <c r="D681" s="216" t="str">
        <f t="shared" si="27"/>
        <v/>
      </c>
      <c r="E681" s="215"/>
      <c r="F681" s="216"/>
      <c r="G681" s="216" t="str">
        <f>IF(C681&lt;&gt;"",VLOOKUP(C681,DSKH!B:E,3,0),"")</f>
        <v/>
      </c>
      <c r="H681" s="222">
        <v>1099038833</v>
      </c>
      <c r="I681" s="217"/>
      <c r="J681" s="224"/>
      <c r="K681" s="216" t="str">
        <f t="shared" si="28"/>
        <v/>
      </c>
      <c r="L681" s="216"/>
      <c r="M681" s="216" t="str">
        <f t="shared" si="25"/>
        <v>- 1099038833 -MAY 07-</v>
      </c>
    </row>
    <row r="682" spans="1:13">
      <c r="A682" s="216" t="str">
        <f>IF(C682&lt;&gt;"",SUBTOTAL(103,$C$8:C682),"")</f>
        <v/>
      </c>
      <c r="B682" s="226">
        <v>43227</v>
      </c>
      <c r="C682" s="216"/>
      <c r="D682" s="216" t="str">
        <f t="shared" si="27"/>
        <v/>
      </c>
      <c r="E682" s="215"/>
      <c r="F682" s="216"/>
      <c r="G682" s="216" t="str">
        <f>IF(C682&lt;&gt;"",VLOOKUP(C682,DSKH!B:E,3,0),"")</f>
        <v/>
      </c>
      <c r="H682" s="222">
        <v>1099128087</v>
      </c>
      <c r="I682" s="217"/>
      <c r="J682" s="224"/>
      <c r="K682" s="216" t="str">
        <f t="shared" si="28"/>
        <v/>
      </c>
      <c r="L682" s="216"/>
      <c r="M682" s="216" t="str">
        <f t="shared" si="25"/>
        <v>- 1099128087 -MAY 07-</v>
      </c>
    </row>
    <row r="683" spans="1:13" ht="27.6">
      <c r="A683" s="216">
        <f>IF(C683&lt;&gt;"",SUBTOTAL(103,$C$8:C683),"")</f>
        <v>379</v>
      </c>
      <c r="B683" s="226">
        <v>43227</v>
      </c>
      <c r="C683" s="216" t="s">
        <v>2481</v>
      </c>
      <c r="D683" s="216" t="str">
        <f t="shared" si="27"/>
        <v>LOT CN07, KCN TAN LIEN, VINH BAO, HAI PHONG</v>
      </c>
      <c r="E683" s="215">
        <v>1</v>
      </c>
      <c r="F683" s="216"/>
      <c r="G683" s="216" t="str">
        <f>IF(C683&lt;&gt;"",VLOOKUP(C683,DSKH!B:E,3,0),"")</f>
        <v>VN GEN CHO CONFIM</v>
      </c>
      <c r="H683" s="222">
        <v>1099328790</v>
      </c>
      <c r="I683" s="217" t="s">
        <v>2860</v>
      </c>
      <c r="J683" s="224" t="s">
        <v>3507</v>
      </c>
      <c r="K683" s="216" t="str">
        <f t="shared" si="28"/>
        <v>MS HOA: 0904 325 299</v>
      </c>
      <c r="L683" s="216">
        <v>0.72</v>
      </c>
      <c r="M683" s="216" t="str">
        <f t="shared" si="25"/>
        <v>WESTFIELD- 1099328790 -MAY 07-na002185922</v>
      </c>
    </row>
    <row r="684" spans="1:13" ht="41.4">
      <c r="A684" s="216">
        <f>IF(C684&lt;&gt;"",SUBTOTAL(103,$C$8:C684),"")</f>
        <v>380</v>
      </c>
      <c r="B684" s="226">
        <v>43227</v>
      </c>
      <c r="C684" s="216" t="s">
        <v>1599</v>
      </c>
      <c r="D684" s="216" t="str">
        <f t="shared" ref="D684:D692" si="29">IF(C684&lt;&gt;"",VLOOKUP(C684,DATA.DSKH,2,0),"")</f>
        <v>LOT CN2, KCN HUNG NHAN, HUNG HA, THAI BINH</v>
      </c>
      <c r="E684" s="215">
        <v>2</v>
      </c>
      <c r="F684" s="216"/>
      <c r="G684" s="216">
        <f>IF(C684&lt;&gt;"",VLOOKUP(C684,DSKH!B:E,3,0),"")</f>
        <v>0</v>
      </c>
      <c r="H684" s="222">
        <v>1099010149</v>
      </c>
      <c r="I684" s="217"/>
      <c r="J684" s="224" t="s">
        <v>3508</v>
      </c>
      <c r="K684" s="216" t="str">
        <f t="shared" si="28"/>
        <v>MS THAO 0947938288</v>
      </c>
      <c r="L684" s="216">
        <f>2.06+1.3</f>
        <v>3.3600000000000003</v>
      </c>
      <c r="M684" s="216" t="str">
        <f t="shared" si="25"/>
        <v>PLUMMY THAI BINH- 1099010149 -MAY 07-na002185923</v>
      </c>
    </row>
    <row r="685" spans="1:13">
      <c r="A685" s="216" t="str">
        <f>IF(C685&lt;&gt;"",SUBTOTAL(103,$C$8:C685),"")</f>
        <v/>
      </c>
      <c r="B685" s="226">
        <v>43227</v>
      </c>
      <c r="C685" s="216"/>
      <c r="D685" s="216" t="str">
        <f t="shared" si="29"/>
        <v/>
      </c>
      <c r="E685" s="215"/>
      <c r="F685" s="216"/>
      <c r="G685" s="216" t="str">
        <f>IF(C685&lt;&gt;"",VLOOKUP(C685,DSKH!B:E,3,0),"")</f>
        <v/>
      </c>
      <c r="H685" s="222">
        <v>1098977264</v>
      </c>
      <c r="I685" s="217"/>
      <c r="J685" s="224"/>
      <c r="K685" s="216" t="str">
        <f t="shared" si="28"/>
        <v/>
      </c>
      <c r="L685" s="216"/>
      <c r="M685" s="216" t="str">
        <f t="shared" si="25"/>
        <v>- 1098977264 -MAY 07-</v>
      </c>
    </row>
    <row r="686" spans="1:13" ht="41.4">
      <c r="A686" s="216">
        <f>IF(C686&lt;&gt;"",SUBTOTAL(103,$C$8:C686),"")</f>
        <v>381</v>
      </c>
      <c r="B686" s="226">
        <v>43227</v>
      </c>
      <c r="C686" s="216" t="s">
        <v>2175</v>
      </c>
      <c r="D686" s="216" t="str">
        <f t="shared" si="29"/>
        <v>402 ST- HOA NGHIA-DUONG KINH-HAI PHONG</v>
      </c>
      <c r="E686" s="215">
        <v>1</v>
      </c>
      <c r="F686" s="216"/>
      <c r="G686" s="216">
        <f>IF(C686&lt;&gt;"",VLOOKUP(C686,DSKH!B:E,3,0),"")</f>
        <v>0</v>
      </c>
      <c r="H686" s="222">
        <v>1099008681</v>
      </c>
      <c r="I686" s="217"/>
      <c r="J686" s="224" t="s">
        <v>3509</v>
      </c>
      <c r="K686" s="216" t="str">
        <f t="shared" si="28"/>
        <v>MR BINH: 0904 659 810</v>
      </c>
      <c r="L686" s="216">
        <v>3</v>
      </c>
      <c r="M686" s="216" t="str">
        <f t="shared" si="25"/>
        <v>TRUONG SON GARMENT- 1099008681 -MAY 07-na002185924</v>
      </c>
    </row>
    <row r="687" spans="1:13" ht="41.4">
      <c r="A687" s="216">
        <f>IF(C687&lt;&gt;"",SUBTOTAL(103,$C$8:C687),"")</f>
        <v>382</v>
      </c>
      <c r="B687" s="226">
        <v>43227</v>
      </c>
      <c r="C687" s="216" t="s">
        <v>631</v>
      </c>
      <c r="D687" s="216" t="str">
        <f t="shared" si="29"/>
        <v>KM 30, DUONG SO 5, XA BACH SAM, MY HAO, HUNG YEN</v>
      </c>
      <c r="E687" s="215">
        <v>2</v>
      </c>
      <c r="F687" s="216"/>
      <c r="G687" s="216">
        <f>IF(C687&lt;&gt;"",VLOOKUP(C687,DSKH!B:E,3,0),"")</f>
        <v>0</v>
      </c>
      <c r="H687" s="222">
        <v>1099189732</v>
      </c>
      <c r="I687" s="217"/>
      <c r="J687" s="224" t="s">
        <v>3510</v>
      </c>
      <c r="K687" s="216" t="str">
        <f t="shared" si="28"/>
        <v>MS HAU: 0904 348 881</v>
      </c>
      <c r="L687" s="216">
        <f>17.4+10.4</f>
        <v>27.799999999999997</v>
      </c>
      <c r="M687" s="216" t="str">
        <f t="shared" si="25"/>
        <v>GG- 1099189732 -MAY 07-na002185925</v>
      </c>
    </row>
    <row r="688" spans="1:13">
      <c r="A688" s="216" t="str">
        <f>IF(C688&lt;&gt;"",SUBTOTAL(103,$C$8:C688),"")</f>
        <v/>
      </c>
      <c r="B688" s="226">
        <v>43227</v>
      </c>
      <c r="C688" s="216"/>
      <c r="D688" s="216" t="str">
        <f t="shared" si="29"/>
        <v/>
      </c>
      <c r="E688" s="215"/>
      <c r="F688" s="216"/>
      <c r="G688" s="216" t="str">
        <f>IF(C688&lt;&gt;"",VLOOKUP(C688,DSKH!B:E,3,0),"")</f>
        <v/>
      </c>
      <c r="H688" s="222">
        <v>1099143576</v>
      </c>
      <c r="I688" s="217"/>
      <c r="J688" s="224"/>
      <c r="K688" s="216" t="str">
        <f t="shared" si="28"/>
        <v/>
      </c>
      <c r="L688" s="216"/>
      <c r="M688" s="216" t="str">
        <f t="shared" si="25"/>
        <v>- 1099143576 -MAY 07-</v>
      </c>
    </row>
    <row r="689" spans="1:13" ht="55.2">
      <c r="A689" s="216">
        <f>IF(C689&lt;&gt;"",SUBTOTAL(103,$C$8:C689),"")</f>
        <v>383</v>
      </c>
      <c r="B689" s="226">
        <v>43227</v>
      </c>
      <c r="C689" s="216" t="s">
        <v>154</v>
      </c>
      <c r="D689" s="216" t="str">
        <f t="shared" si="29"/>
        <v>TANG 3A TOA NHA PCCC1 MY DINH PLAZA 138 TRAN BINH TU LIEM, HA NOI</v>
      </c>
      <c r="E689" s="215">
        <v>1</v>
      </c>
      <c r="F689" s="216"/>
      <c r="G689" s="216">
        <f>IF(C689&lt;&gt;"",VLOOKUP(C689,DSKH!B:E,3,0),"")</f>
        <v>0</v>
      </c>
      <c r="H689" s="222">
        <v>1098991178</v>
      </c>
      <c r="I689" s="217"/>
      <c r="J689" s="224" t="s">
        <v>3511</v>
      </c>
      <c r="K689" s="216">
        <f t="shared" si="28"/>
        <v>0</v>
      </c>
      <c r="L689" s="216">
        <v>16</v>
      </c>
      <c r="M689" s="216" t="str">
        <f t="shared" si="25"/>
        <v>APPAREL TECH VN- 1098991178 -MAY 07-na002185926</v>
      </c>
    </row>
    <row r="690" spans="1:13" ht="41.4">
      <c r="A690" s="216">
        <f>IF(C690&lt;&gt;"",SUBTOTAL(103,$C$8:C690),"")</f>
        <v>384</v>
      </c>
      <c r="B690" s="226">
        <v>43227</v>
      </c>
      <c r="C690" s="216" t="s">
        <v>1564</v>
      </c>
      <c r="D690" s="216" t="str">
        <f t="shared" si="29"/>
        <v>16 DUONG HOA PHONG, GIA LAM, VIET TRI, PHU THO</v>
      </c>
      <c r="E690" s="215">
        <v>13</v>
      </c>
      <c r="F690" s="216"/>
      <c r="G690" s="216" t="str">
        <f>IF(C690&lt;&gt;"",VLOOKUP(C690,DSKH!B:E,3,0),"")</f>
        <v>HANG CTU</v>
      </c>
      <c r="H690" s="222">
        <v>1099038621</v>
      </c>
      <c r="I690" s="217"/>
      <c r="J690" s="224" t="s">
        <v>3512</v>
      </c>
      <c r="K690" s="216" t="str">
        <f t="shared" si="28"/>
        <v>ANH HAI: 0919677261</v>
      </c>
      <c r="L690" s="216">
        <f>5.9+9+2.5+1.8+0.8+1.9+1.3+17.8+11.6+12.6+5.4+0.5</f>
        <v>71.100000000000009</v>
      </c>
      <c r="M690" s="216" t="str">
        <f t="shared" si="25"/>
        <v>PHU THO- 1099038621 -MAY 07-na002185927</v>
      </c>
    </row>
    <row r="691" spans="1:13" ht="27.6">
      <c r="A691" s="216">
        <f>IF(C691&lt;&gt;"",SUBTOTAL(103,$C$8:C691),"")</f>
        <v>385</v>
      </c>
      <c r="B691" s="226">
        <v>43227</v>
      </c>
      <c r="C691" s="216" t="s">
        <v>1809</v>
      </c>
      <c r="D691" s="216" t="str">
        <f t="shared" si="29"/>
        <v>208 LE LOI ST-SON TAY-HA  NOI</v>
      </c>
      <c r="E691" s="215">
        <v>1</v>
      </c>
      <c r="F691" s="216"/>
      <c r="G691" s="216" t="str">
        <f>IF(C691&lt;&gt;"",VLOOKUP(C691,DSKH!B:E,3,0),"")</f>
        <v>HANG UNDER AMOR KEM PL</v>
      </c>
      <c r="H691" s="222">
        <v>1099030030</v>
      </c>
      <c r="I691" s="217"/>
      <c r="J691" s="224" t="s">
        <v>3513</v>
      </c>
      <c r="K691" s="216" t="str">
        <f t="shared" si="28"/>
        <v>MR DUY (P. DICH VU)- 0988 616 478</v>
      </c>
      <c r="L691" s="216">
        <v>1.2</v>
      </c>
      <c r="M691" s="216" t="str">
        <f t="shared" si="25"/>
        <v>SON HA- 1099030030 -MAY 07-na002185928</v>
      </c>
    </row>
    <row r="692" spans="1:13" ht="55.2">
      <c r="A692" s="216">
        <f>IF(C692&lt;&gt;"",SUBTOTAL(103,$C$8:C692),"")</f>
        <v>386</v>
      </c>
      <c r="B692" s="226">
        <v>43227</v>
      </c>
      <c r="C692" s="216" t="s">
        <v>347</v>
      </c>
      <c r="D692" s="216" t="str">
        <f t="shared" si="29"/>
        <v>KHU 6, THI CAU, BAC NINH</v>
      </c>
      <c r="E692" s="215">
        <v>1</v>
      </c>
      <c r="F692" s="216"/>
      <c r="G692" s="216" t="str">
        <f>IF(C692&lt;&gt;"",VLOOKUP(C692,DSKH!B:E,3,0),"")</f>
        <v>BILL SERIM GIAO HANG TRC
BILL YA SAINT CHUNG CTU</v>
      </c>
      <c r="H692" s="222">
        <v>1098991185</v>
      </c>
      <c r="I692" s="217"/>
      <c r="J692" s="224" t="s">
        <v>3514</v>
      </c>
      <c r="K692" s="216">
        <f t="shared" si="28"/>
        <v>0</v>
      </c>
      <c r="L692" s="216">
        <v>6.4</v>
      </c>
      <c r="M692" s="216" t="str">
        <f t="shared" si="25"/>
        <v>DAP CAU- 1098991185 -MAY 07-na002185782</v>
      </c>
    </row>
    <row r="693" spans="1:13" ht="41.4">
      <c r="A693" s="216">
        <f>IF(C693&lt;&gt;"",SUBTOTAL(103,$C$8:C693),"")</f>
        <v>387</v>
      </c>
      <c r="B693" s="226">
        <v>43227</v>
      </c>
      <c r="C693" s="216" t="s">
        <v>2598</v>
      </c>
      <c r="D693" s="216" t="str">
        <f t="shared" ref="D693:D708" si="30">IF(C693&lt;&gt;"",VLOOKUP(C693,DATA.DSKH,2,0),"")</f>
        <v>THON DANH THUONG, DANH THANG, HIEP HOA, BAC GIANG</v>
      </c>
      <c r="E693" s="215">
        <v>4</v>
      </c>
      <c r="F693" s="216"/>
      <c r="G693" s="216" t="str">
        <f>IF(C693&lt;&gt;"",VLOOKUP(C693,DSKH!B:E,3,0),"")</f>
        <v>hang giao truoc, KEM PKL CHI TIET</v>
      </c>
      <c r="H693" s="222">
        <v>1099029621</v>
      </c>
      <c r="I693" s="217"/>
      <c r="J693" s="224" t="s">
        <v>3515</v>
      </c>
      <c r="K693" s="216" t="str">
        <f t="shared" ref="K693:K709" si="31">IF(C693&lt;&gt;"",VLOOKUP(C693,DATA.DSKH,4,0),"")</f>
        <v>HUONG 0989481786</v>
      </c>
      <c r="L693" s="216">
        <f>0.2+0.68+0.3+0.18</f>
        <v>1.36</v>
      </c>
      <c r="M693" s="216" t="str">
        <f t="shared" si="25"/>
        <v>VIET PAN PACIFIC WORLD- 1099029621 -MAY 07-na002185783</v>
      </c>
    </row>
    <row r="694" spans="1:13" ht="55.2">
      <c r="A694" s="216">
        <f>IF(C694&lt;&gt;"",SUBTOTAL(103,$C$8:C694),"")</f>
        <v>388</v>
      </c>
      <c r="B694" s="226">
        <v>43227</v>
      </c>
      <c r="C694" s="216" t="s">
        <v>2523</v>
      </c>
      <c r="D694" s="216" t="str">
        <f t="shared" si="30"/>
        <v>NO F5, F6, F7, F8, F9, F10 KCN BAC DONG PHU, TAN PHU, DONG PHU, BINH PHUOC</v>
      </c>
      <c r="E694" s="215">
        <f>3+3+4+1+14+4+2+2+2+4</f>
        <v>39</v>
      </c>
      <c r="F694" s="216"/>
      <c r="G694" s="216" t="str">
        <f>IF(C694&lt;&gt;"",VLOOKUP(C694,DSKH!B:E,3,0),"")</f>
        <v>CTU</v>
      </c>
      <c r="H694" s="222">
        <v>1098849489</v>
      </c>
      <c r="I694" s="217" t="s">
        <v>3517</v>
      </c>
      <c r="J694" s="224" t="s">
        <v>3516</v>
      </c>
      <c r="K694" s="216" t="str">
        <f t="shared" si="31"/>
        <v>QUYNH ANH: 0935 471 807</v>
      </c>
      <c r="L694" s="216">
        <f>0.9+1.4+2.4+0.26+0.18+1.3+3.6+4.3+1.4+0.8+4.4+2.4+1.5+1.4+5.1+2.7+2.6+1.5+6.2+3.2+1.8+2.7+0.9+1.2+4*18+1.52+0.54+0.52+0.5+2.8+0</f>
        <v>132.02000000000004</v>
      </c>
      <c r="M694" s="216" t="str">
        <f t="shared" si="25"/>
        <v>YAKJIN SAIGON- 1098849489 -MAY 07-na002185784</v>
      </c>
    </row>
    <row r="695" spans="1:13">
      <c r="A695" s="216" t="str">
        <f>IF(C695&lt;&gt;"",SUBTOTAL(103,$C$8:C695),"")</f>
        <v/>
      </c>
      <c r="B695" s="226">
        <v>43227</v>
      </c>
      <c r="C695" s="216"/>
      <c r="D695" s="216" t="str">
        <f t="shared" si="30"/>
        <v/>
      </c>
      <c r="E695" s="215"/>
      <c r="F695" s="216"/>
      <c r="G695" s="216" t="str">
        <f>IF(C695&lt;&gt;"",VLOOKUP(C695,DSKH!B:E,3,0),"")</f>
        <v/>
      </c>
      <c r="H695" s="222">
        <v>1098849490</v>
      </c>
      <c r="I695" s="217"/>
      <c r="J695" s="224"/>
      <c r="K695" s="216" t="str">
        <f t="shared" si="31"/>
        <v/>
      </c>
      <c r="L695" s="216"/>
      <c r="M695" s="216" t="str">
        <f t="shared" si="25"/>
        <v>- 1098849490 -MAY 07-</v>
      </c>
    </row>
    <row r="696" spans="1:13">
      <c r="A696" s="216" t="str">
        <f>IF(C696&lt;&gt;"",SUBTOTAL(103,$C$8:C696),"")</f>
        <v/>
      </c>
      <c r="B696" s="226">
        <v>43227</v>
      </c>
      <c r="C696" s="216"/>
      <c r="D696" s="216" t="str">
        <f t="shared" si="30"/>
        <v/>
      </c>
      <c r="E696" s="215"/>
      <c r="F696" s="216"/>
      <c r="G696" s="216" t="str">
        <f>IF(C696&lt;&gt;"",VLOOKUP(C696,DSKH!B:E,3,0),"")</f>
        <v/>
      </c>
      <c r="H696" s="222">
        <v>1098873395</v>
      </c>
      <c r="I696" s="217"/>
      <c r="J696" s="224"/>
      <c r="K696" s="216" t="str">
        <f t="shared" si="31"/>
        <v/>
      </c>
      <c r="L696" s="216"/>
      <c r="M696" s="216" t="str">
        <f t="shared" si="25"/>
        <v>- 1098873395 -MAY 07-</v>
      </c>
    </row>
    <row r="697" spans="1:13">
      <c r="A697" s="216" t="str">
        <f>IF(C697&lt;&gt;"",SUBTOTAL(103,$C$8:C697),"")</f>
        <v/>
      </c>
      <c r="B697" s="226">
        <v>43227</v>
      </c>
      <c r="C697" s="216"/>
      <c r="D697" s="216" t="str">
        <f t="shared" si="30"/>
        <v/>
      </c>
      <c r="E697" s="215"/>
      <c r="F697" s="216"/>
      <c r="G697" s="216" t="str">
        <f>IF(C697&lt;&gt;"",VLOOKUP(C697,DSKH!B:E,3,0),"")</f>
        <v/>
      </c>
      <c r="H697" s="222">
        <v>1098875617</v>
      </c>
      <c r="I697" s="217"/>
      <c r="J697" s="224"/>
      <c r="K697" s="216" t="str">
        <f t="shared" si="31"/>
        <v/>
      </c>
      <c r="L697" s="216"/>
      <c r="M697" s="216" t="str">
        <f t="shared" si="25"/>
        <v>- 1098875617 -MAY 07-</v>
      </c>
    </row>
    <row r="698" spans="1:13">
      <c r="A698" s="216" t="str">
        <f>IF(C698&lt;&gt;"",SUBTOTAL(103,$C$8:C698),"")</f>
        <v/>
      </c>
      <c r="B698" s="226">
        <v>43227</v>
      </c>
      <c r="C698" s="216"/>
      <c r="D698" s="216" t="str">
        <f t="shared" si="30"/>
        <v/>
      </c>
      <c r="E698" s="215"/>
      <c r="F698" s="216"/>
      <c r="G698" s="216" t="str">
        <f>IF(C698&lt;&gt;"",VLOOKUP(C698,DSKH!B:E,3,0),"")</f>
        <v/>
      </c>
      <c r="H698" s="222">
        <v>1098987977</v>
      </c>
      <c r="I698" s="217"/>
      <c r="J698" s="224"/>
      <c r="K698" s="216" t="str">
        <f t="shared" si="31"/>
        <v/>
      </c>
      <c r="L698" s="216"/>
      <c r="M698" s="216" t="str">
        <f t="shared" si="25"/>
        <v>- 1098987977 -MAY 07-</v>
      </c>
    </row>
    <row r="699" spans="1:13">
      <c r="A699" s="216" t="str">
        <f>IF(C699&lt;&gt;"",SUBTOTAL(103,$C$8:C699),"")</f>
        <v/>
      </c>
      <c r="B699" s="226">
        <v>43227</v>
      </c>
      <c r="C699" s="216"/>
      <c r="D699" s="216" t="str">
        <f t="shared" si="30"/>
        <v/>
      </c>
      <c r="E699" s="215"/>
      <c r="F699" s="216"/>
      <c r="G699" s="216" t="str">
        <f>IF(C699&lt;&gt;"",VLOOKUP(C699,DSKH!B:E,3,0),"")</f>
        <v/>
      </c>
      <c r="H699" s="222">
        <v>1098989211</v>
      </c>
      <c r="I699" s="217"/>
      <c r="J699" s="224"/>
      <c r="K699" s="216" t="str">
        <f t="shared" si="31"/>
        <v/>
      </c>
      <c r="L699" s="216"/>
      <c r="M699" s="216" t="str">
        <f t="shared" si="25"/>
        <v>- 1098989211 -MAY 07-</v>
      </c>
    </row>
    <row r="700" spans="1:13">
      <c r="A700" s="216" t="str">
        <f>IF(C700&lt;&gt;"",SUBTOTAL(103,$C$8:C700),"")</f>
        <v/>
      </c>
      <c r="B700" s="226">
        <v>43227</v>
      </c>
      <c r="C700" s="216"/>
      <c r="D700" s="216" t="str">
        <f t="shared" si="30"/>
        <v/>
      </c>
      <c r="E700" s="215"/>
      <c r="F700" s="216"/>
      <c r="G700" s="216" t="str">
        <f>IF(C700&lt;&gt;"",VLOOKUP(C700,DSKH!B:E,3,0),"")</f>
        <v/>
      </c>
      <c r="H700" s="222">
        <v>1099002762</v>
      </c>
      <c r="I700" s="217"/>
      <c r="J700" s="224"/>
      <c r="K700" s="216" t="str">
        <f t="shared" si="31"/>
        <v/>
      </c>
      <c r="L700" s="216"/>
      <c r="M700" s="216" t="str">
        <f t="shared" si="25"/>
        <v>- 1099002762 -MAY 07-</v>
      </c>
    </row>
    <row r="701" spans="1:13">
      <c r="A701" s="216" t="str">
        <f>IF(C701&lt;&gt;"",SUBTOTAL(103,$C$8:C701),"")</f>
        <v/>
      </c>
      <c r="B701" s="226">
        <v>43227</v>
      </c>
      <c r="C701" s="216"/>
      <c r="D701" s="216" t="str">
        <f t="shared" si="30"/>
        <v/>
      </c>
      <c r="E701" s="215"/>
      <c r="F701" s="216"/>
      <c r="G701" s="216" t="str">
        <f>IF(C701&lt;&gt;"",VLOOKUP(C701,DSKH!B:E,3,0),"")</f>
        <v/>
      </c>
      <c r="H701" s="222">
        <v>1099002777</v>
      </c>
      <c r="I701" s="217"/>
      <c r="J701" s="224"/>
      <c r="K701" s="216" t="str">
        <f t="shared" si="31"/>
        <v/>
      </c>
      <c r="L701" s="216"/>
      <c r="M701" s="216" t="str">
        <f t="shared" ref="M701:M764" si="32">C701&amp;"-"&amp;" "&amp;H701&amp;" "&amp;"-"&amp;"MAY"&amp;" "&amp;"07"&amp;"-"&amp;J701</f>
        <v>- 1099002777 -MAY 07-</v>
      </c>
    </row>
    <row r="702" spans="1:13">
      <c r="A702" s="216" t="str">
        <f>IF(C702&lt;&gt;"",SUBTOTAL(103,$C$8:C702),"")</f>
        <v/>
      </c>
      <c r="B702" s="226">
        <v>43227</v>
      </c>
      <c r="C702" s="216"/>
      <c r="D702" s="216" t="str">
        <f t="shared" si="30"/>
        <v/>
      </c>
      <c r="E702" s="215"/>
      <c r="F702" s="216"/>
      <c r="G702" s="216" t="str">
        <f>IF(C702&lt;&gt;"",VLOOKUP(C702,DSKH!B:E,3,0),"")</f>
        <v/>
      </c>
      <c r="H702" s="222">
        <v>1099002779</v>
      </c>
      <c r="I702" s="217"/>
      <c r="J702" s="224"/>
      <c r="K702" s="216" t="str">
        <f t="shared" si="31"/>
        <v/>
      </c>
      <c r="L702" s="216"/>
      <c r="M702" s="216" t="str">
        <f t="shared" si="32"/>
        <v>- 1099002779 -MAY 07-</v>
      </c>
    </row>
    <row r="703" spans="1:13">
      <c r="A703" s="216" t="str">
        <f>IF(C703&lt;&gt;"",SUBTOTAL(103,$C$8:C703),"")</f>
        <v/>
      </c>
      <c r="B703" s="226">
        <v>43227</v>
      </c>
      <c r="C703" s="216"/>
      <c r="D703" s="216" t="str">
        <f t="shared" si="30"/>
        <v/>
      </c>
      <c r="E703" s="215"/>
      <c r="F703" s="216"/>
      <c r="G703" s="216" t="str">
        <f>IF(C703&lt;&gt;"",VLOOKUP(C703,DSKH!B:E,3,0),"")</f>
        <v/>
      </c>
      <c r="H703" s="222">
        <v>1099002784</v>
      </c>
      <c r="I703" s="217"/>
      <c r="J703" s="224"/>
      <c r="K703" s="216" t="str">
        <f t="shared" si="31"/>
        <v/>
      </c>
      <c r="L703" s="216"/>
      <c r="M703" s="216" t="str">
        <f t="shared" si="32"/>
        <v>- 1099002784 -MAY 07-</v>
      </c>
    </row>
    <row r="704" spans="1:13">
      <c r="A704" s="216" t="str">
        <f>IF(C704&lt;&gt;"",SUBTOTAL(103,$C$8:C704),"")</f>
        <v/>
      </c>
      <c r="B704" s="226">
        <v>43227</v>
      </c>
      <c r="C704" s="216"/>
      <c r="D704" s="216" t="str">
        <f t="shared" si="30"/>
        <v/>
      </c>
      <c r="E704" s="215"/>
      <c r="F704" s="216"/>
      <c r="G704" s="216" t="str">
        <f>IF(C704&lt;&gt;"",VLOOKUP(C704,DSKH!B:E,3,0),"")</f>
        <v/>
      </c>
      <c r="H704" s="222">
        <v>1099027438</v>
      </c>
      <c r="I704" s="217"/>
      <c r="J704" s="224"/>
      <c r="K704" s="216" t="str">
        <f t="shared" si="31"/>
        <v/>
      </c>
      <c r="L704" s="216"/>
      <c r="M704" s="216" t="str">
        <f t="shared" si="32"/>
        <v>- 1099027438 -MAY 07-</v>
      </c>
    </row>
    <row r="705" spans="1:13" ht="27.6">
      <c r="A705" s="216">
        <f>IF(C705&lt;&gt;"",SUBTOTAL(103,$C$8:C705),"")</f>
        <v>389</v>
      </c>
      <c r="B705" s="226">
        <v>43227</v>
      </c>
      <c r="C705" s="216" t="s">
        <v>1329</v>
      </c>
      <c r="D705" s="216" t="str">
        <f t="shared" si="30"/>
        <v>KCN NGUYEN DUC CANH- THAI BINH</v>
      </c>
      <c r="E705" s="215">
        <v>52</v>
      </c>
      <c r="F705" s="216"/>
      <c r="G705" s="216">
        <f>IF(C705&lt;&gt;"",VLOOKUP(C705,DSKH!B:E,3,0),"")</f>
        <v>0</v>
      </c>
      <c r="H705" s="222">
        <v>1099333405</v>
      </c>
      <c r="I705" s="217" t="s">
        <v>2860</v>
      </c>
      <c r="J705" s="224" t="s">
        <v>3518</v>
      </c>
      <c r="K705" s="216" t="str">
        <f t="shared" si="31"/>
        <v>MS NGOC: 0974 856 259</v>
      </c>
      <c r="L705" s="216">
        <v>58.7</v>
      </c>
      <c r="M705" s="216" t="str">
        <f t="shared" si="32"/>
        <v>MXP- 1099333405 -MAY 07-na002185785</v>
      </c>
    </row>
    <row r="706" spans="1:13" ht="41.4">
      <c r="A706" s="216">
        <f>IF(C706&lt;&gt;"",SUBTOTAL(103,$C$8:C706),"")</f>
        <v>390</v>
      </c>
      <c r="B706" s="226">
        <v>43227</v>
      </c>
      <c r="C706" s="216" t="s">
        <v>1759</v>
      </c>
      <c r="D706" s="216" t="str">
        <f t="shared" si="30"/>
        <v>Khe Xoan Hamlet – Doi Can commune – Tuyen Quang City</v>
      </c>
      <c r="E706" s="215">
        <v>6</v>
      </c>
      <c r="F706" s="216"/>
      <c r="G706" s="216">
        <f>IF(C706&lt;&gt;"",VLOOKUP(C706,DSKH!B:E,3,0),"")</f>
        <v>0</v>
      </c>
      <c r="H706" s="222">
        <v>1099334684</v>
      </c>
      <c r="I706" s="217" t="s">
        <v>2860</v>
      </c>
      <c r="J706" s="224" t="s">
        <v>3519</v>
      </c>
      <c r="K706" s="216" t="str">
        <f t="shared" si="31"/>
        <v xml:space="preserve"> Khanh:  +84 273 898301~2</v>
      </c>
      <c r="L706" s="216">
        <f>0.7+0.8+0.7</f>
        <v>2.2000000000000002</v>
      </c>
      <c r="M706" s="216" t="str">
        <f t="shared" si="32"/>
        <v>SESHIN VN2- 1099334684 -MAY 07-na002185786</v>
      </c>
    </row>
    <row r="707" spans="1:13" ht="41.4">
      <c r="A707" s="216">
        <f>IF(C707&lt;&gt;"",SUBTOTAL(103,$C$8:C707),"")</f>
        <v>391</v>
      </c>
      <c r="B707" s="226">
        <v>43227</v>
      </c>
      <c r="C707" s="216" t="s">
        <v>2146</v>
      </c>
      <c r="D707" s="216" t="str">
        <f t="shared" si="30"/>
        <v>SONG CONG 2, KHU B, KCN SONG CONG, THAI NGUYEN</v>
      </c>
      <c r="E707" s="215">
        <v>6</v>
      </c>
      <c r="F707" s="216"/>
      <c r="G707" s="216">
        <f>IF(C707&lt;&gt;"",VLOOKUP(C707,DSKH!B:E,3,0),"")</f>
        <v>0</v>
      </c>
      <c r="H707" s="222">
        <v>1099343125</v>
      </c>
      <c r="I707" s="217" t="s">
        <v>2860</v>
      </c>
      <c r="J707" s="224" t="s">
        <v>3520</v>
      </c>
      <c r="K707" s="216" t="str">
        <f t="shared" si="31"/>
        <v>PHUONG: 0280 3509 724</v>
      </c>
      <c r="L707" s="216">
        <f>0.52+14+9+3*14</f>
        <v>65.52</v>
      </c>
      <c r="M707" s="216" t="str">
        <f t="shared" si="32"/>
        <v>TNG SONG CONG 2- 1099343125 -MAY 07-na002185787</v>
      </c>
    </row>
    <row r="708" spans="1:13">
      <c r="A708" s="216" t="str">
        <f>IF(C708&lt;&gt;"",SUBTOTAL(103,$C$8:C708),"")</f>
        <v/>
      </c>
      <c r="B708" s="226">
        <v>43227</v>
      </c>
      <c r="C708" s="216"/>
      <c r="D708" s="216" t="str">
        <f t="shared" si="30"/>
        <v/>
      </c>
      <c r="E708" s="215"/>
      <c r="F708" s="216"/>
      <c r="G708" s="216" t="str">
        <f>IF(C708&lt;&gt;"",VLOOKUP(C708,DSKH!B:E,3,0),"")</f>
        <v/>
      </c>
      <c r="H708" s="222">
        <v>1099343126</v>
      </c>
      <c r="I708" s="217"/>
      <c r="J708" s="224"/>
      <c r="K708" s="216" t="str">
        <f t="shared" si="31"/>
        <v/>
      </c>
      <c r="L708" s="216"/>
      <c r="M708" s="216" t="str">
        <f t="shared" si="32"/>
        <v>- 1099343126 -MAY 07-</v>
      </c>
    </row>
    <row r="709" spans="1:13" ht="41.4">
      <c r="A709" s="216">
        <f>IF(C709&lt;&gt;"",SUBTOTAL(103,$C$8:C709),"")</f>
        <v>392</v>
      </c>
      <c r="B709" s="226">
        <v>43227</v>
      </c>
      <c r="C709" s="216" t="s">
        <v>1454</v>
      </c>
      <c r="D709" s="216" t="s">
        <v>3521</v>
      </c>
      <c r="E709" s="215">
        <v>1</v>
      </c>
      <c r="F709" s="216" t="s">
        <v>2090</v>
      </c>
      <c r="G709" s="216" t="str">
        <f>IF(C709&lt;&gt;"",VLOOKUP(C709,DSKH!B:E,3,0),"")</f>
        <v>HANG CHUNG HOA DON</v>
      </c>
      <c r="H709" s="222">
        <v>1099343021</v>
      </c>
      <c r="I709" s="217" t="s">
        <v>3557</v>
      </c>
      <c r="J709" s="224" t="s">
        <v>3522</v>
      </c>
      <c r="K709" s="216" t="str">
        <f t="shared" si="31"/>
        <v>QUYNH HOA: 0936 729 206</v>
      </c>
      <c r="L709" s="216">
        <v>6.4</v>
      </c>
      <c r="M709" s="216" t="str">
        <f t="shared" si="32"/>
        <v>NORFOLK HA NAM- 1099343021 -MAY 07-na002185788</v>
      </c>
    </row>
    <row r="710" spans="1:13" ht="41.4">
      <c r="A710" s="216">
        <f>IF(C710&lt;&gt;"",SUBTOTAL(103,$C$8:C710),"")</f>
        <v>393</v>
      </c>
      <c r="B710" s="226">
        <v>43227</v>
      </c>
      <c r="C710" s="216" t="s">
        <v>94</v>
      </c>
      <c r="D710" s="216" t="str">
        <f t="shared" ref="D710:D766" si="33">IF(C710&lt;&gt;"",VLOOKUP(C710,DATA.DSKH,2,0),"")</f>
        <v>B1, B2, B5-12, GIAO LONG IP, AN PHUOC, CHAU THANH, BEN TRE</v>
      </c>
      <c r="E710" s="215">
        <v>1</v>
      </c>
      <c r="F710" s="216"/>
      <c r="G710" s="216" t="str">
        <f>IF(C710&lt;&gt;"",VLOOKUP(C710,DSKH!B:E,3,0),"")</f>
        <v>CTU</v>
      </c>
      <c r="H710" s="222">
        <v>1099324372</v>
      </c>
      <c r="I710" s="217"/>
      <c r="J710" s="224" t="s">
        <v>3523</v>
      </c>
      <c r="K710" s="216" t="str">
        <f t="shared" ref="K710:K766" si="34">IF(C710&lt;&gt;"",VLOOKUP(C710,DATA.DSKH,4,0),"")</f>
        <v>Ms.Khanh – Thu Mua ( Kitty) 
0939 979 792</v>
      </c>
      <c r="L710" s="216">
        <v>0.1</v>
      </c>
      <c r="M710" s="216" t="str">
        <f t="shared" si="32"/>
        <v>ALLIANCE ONE- 1099324372 -MAY 07-na002185789</v>
      </c>
    </row>
    <row r="711" spans="1:13" ht="55.2">
      <c r="A711" s="216">
        <f>IF(C711&lt;&gt;"",SUBTOTAL(103,$C$8:C711),"")</f>
        <v>394</v>
      </c>
      <c r="B711" s="226">
        <v>43227</v>
      </c>
      <c r="C711" s="216" t="s">
        <v>1477</v>
      </c>
      <c r="D711" s="216" t="str">
        <f t="shared" si="33"/>
        <v>Lo G9- mot phan lo G2, G3, G8, duong N-1, KCN Bao Minh,  huyen Vu Ban, tinh Nam Dinh</v>
      </c>
      <c r="E711" s="215">
        <v>2</v>
      </c>
      <c r="F711" s="216"/>
      <c r="G711" s="216">
        <f>IF(C711&lt;&gt;"",VLOOKUP(C711,DSKH!B:E,3,0),"")</f>
        <v>0</v>
      </c>
      <c r="H711" s="222">
        <v>1099325191</v>
      </c>
      <c r="I711" s="217"/>
      <c r="J711" s="224" t="s">
        <v>3524</v>
      </c>
      <c r="K711" s="216" t="str">
        <f t="shared" si="34"/>
        <v>Attn: Tran Tuyet 0983 694 802</v>
      </c>
      <c r="L711" s="216">
        <f>0.3</f>
        <v>0.3</v>
      </c>
      <c r="M711" s="216" t="str">
        <f t="shared" si="32"/>
        <v>PADMAC- 1099325191 -MAY 07-na002185790</v>
      </c>
    </row>
    <row r="712" spans="1:13" ht="41.4">
      <c r="A712" s="216">
        <f>IF(C712&lt;&gt;"",SUBTOTAL(103,$C$8:C712),"")</f>
        <v>395</v>
      </c>
      <c r="B712" s="226">
        <v>43227</v>
      </c>
      <c r="C712" s="216" t="s">
        <v>1334</v>
      </c>
      <c r="D712" s="216" t="str">
        <f t="shared" si="33"/>
        <v>CUM CN XUAN QUANG, DONG XUAN, DONG HUNG, THAI BINH</v>
      </c>
      <c r="E712" s="215">
        <v>10</v>
      </c>
      <c r="F712" s="216" t="s">
        <v>2090</v>
      </c>
      <c r="G712" s="216">
        <f>IF(C712&lt;&gt;"",VLOOKUP(C712,DSKH!B:E,3,0),"")</f>
        <v>0</v>
      </c>
      <c r="H712" s="222">
        <v>1099337930</v>
      </c>
      <c r="I712" s="217" t="s">
        <v>2860</v>
      </c>
      <c r="J712" s="224" t="s">
        <v>3525</v>
      </c>
      <c r="K712" s="216" t="str">
        <f t="shared" si="34"/>
        <v>CHI BICH 0936171499</v>
      </c>
      <c r="L712" s="216">
        <f>10+19+16+11.5+8.5+17+15.2+20</f>
        <v>117.2</v>
      </c>
      <c r="M712" s="216" t="str">
        <f t="shared" si="32"/>
        <v>MXP8- 1099337930 -MAY 07-na002185791</v>
      </c>
    </row>
    <row r="713" spans="1:13" ht="27.6">
      <c r="A713" s="216">
        <f>IF(C713&lt;&gt;"",SUBTOTAL(103,$C$8:C713),"")</f>
        <v>396</v>
      </c>
      <c r="B713" s="226">
        <v>43227</v>
      </c>
      <c r="C713" s="216" t="s">
        <v>2762</v>
      </c>
      <c r="D713" s="216" t="str">
        <f t="shared" si="33"/>
        <v>SO 6, THI SON, KIM BANG, HA NAM</v>
      </c>
      <c r="E713" s="215">
        <v>5</v>
      </c>
      <c r="F713" s="216"/>
      <c r="G713" s="216">
        <f>IF(C713&lt;&gt;"",VLOOKUP(C713,DSKH!B:E,3,0),"")</f>
        <v>0</v>
      </c>
      <c r="H713" s="222">
        <v>1099038925</v>
      </c>
      <c r="I713" s="217" t="s">
        <v>2860</v>
      </c>
      <c r="J713" s="224" t="s">
        <v>3526</v>
      </c>
      <c r="K713" s="216" t="str">
        <f t="shared" si="34"/>
        <v>MR PHAT 0946642386</v>
      </c>
      <c r="L713" s="216">
        <f>20+5.9+12.4+0.4+1</f>
        <v>39.699999999999996</v>
      </c>
      <c r="M713" s="216" t="str">
        <f t="shared" si="32"/>
        <v>VINA CAPITAL- 1099038925 -MAY 07-na002185792</v>
      </c>
    </row>
    <row r="714" spans="1:13">
      <c r="A714" s="216" t="str">
        <f>IF(C714&lt;&gt;"",SUBTOTAL(103,$C$8:C714),"")</f>
        <v/>
      </c>
      <c r="B714" s="226">
        <v>43227</v>
      </c>
      <c r="C714" s="216"/>
      <c r="D714" s="216" t="str">
        <f t="shared" si="33"/>
        <v/>
      </c>
      <c r="E714" s="215"/>
      <c r="F714" s="216"/>
      <c r="G714" s="216" t="str">
        <f>IF(C714&lt;&gt;"",VLOOKUP(C714,DSKH!B:E,3,0),"")</f>
        <v/>
      </c>
      <c r="H714" s="222">
        <v>1099161115</v>
      </c>
      <c r="I714" s="217"/>
      <c r="J714" s="224"/>
      <c r="K714" s="216" t="str">
        <f t="shared" si="34"/>
        <v/>
      </c>
      <c r="L714" s="216"/>
      <c r="M714" s="216" t="str">
        <f t="shared" si="32"/>
        <v>- 1099161115 -MAY 07-</v>
      </c>
    </row>
    <row r="715" spans="1:13" ht="41.4">
      <c r="A715" s="216">
        <f>IF(C715&lt;&gt;"",SUBTOTAL(103,$C$8:C715),"")</f>
        <v>397</v>
      </c>
      <c r="B715" s="226">
        <v>43227</v>
      </c>
      <c r="C715" s="216" t="s">
        <v>525</v>
      </c>
      <c r="D715" s="216" t="str">
        <f t="shared" si="33"/>
        <v>KM57, QUOC LO 5, XA AI QUOC, NAM SACH, HAI DUONG</v>
      </c>
      <c r="E715" s="215">
        <v>10</v>
      </c>
      <c r="F715" s="216"/>
      <c r="G715" s="216">
        <f>IF(C715&lt;&gt;"",VLOOKUP(C715,DSKH!B:E,3,0),"")</f>
        <v>0</v>
      </c>
      <c r="H715" s="222">
        <v>1099165140</v>
      </c>
      <c r="I715" s="217"/>
      <c r="J715" s="224" t="s">
        <v>3527</v>
      </c>
      <c r="K715" s="216" t="str">
        <f t="shared" si="34"/>
        <v>MS THUY 0904 990 882</v>
      </c>
      <c r="L715" s="216">
        <f>2.2+3.04+0.34+0.17+0.13+0.08+9+0.8+1.2+0</f>
        <v>16.96</v>
      </c>
      <c r="M715" s="216" t="str">
        <f t="shared" si="32"/>
        <v>FORMOSTAR- 1099165140 -MAY 07-na002185793</v>
      </c>
    </row>
    <row r="716" spans="1:13">
      <c r="A716" s="216" t="str">
        <f>IF(C716&lt;&gt;"",SUBTOTAL(103,$C$8:C716),"")</f>
        <v/>
      </c>
      <c r="B716" s="226">
        <v>43227</v>
      </c>
      <c r="C716" s="216"/>
      <c r="D716" s="216" t="str">
        <f t="shared" si="33"/>
        <v/>
      </c>
      <c r="E716" s="215"/>
      <c r="F716" s="216"/>
      <c r="G716" s="216" t="str">
        <f>IF(C716&lt;&gt;"",VLOOKUP(C716,DSKH!B:E,3,0),"")</f>
        <v/>
      </c>
      <c r="H716" s="222">
        <v>1099141607</v>
      </c>
      <c r="I716" s="217"/>
      <c r="J716" s="224"/>
      <c r="K716" s="216" t="str">
        <f t="shared" si="34"/>
        <v/>
      </c>
      <c r="L716" s="216"/>
      <c r="M716" s="216" t="str">
        <f t="shared" si="32"/>
        <v>- 1099141607 -MAY 07-</v>
      </c>
    </row>
    <row r="717" spans="1:13">
      <c r="A717" s="216" t="str">
        <f>IF(C717&lt;&gt;"",SUBTOTAL(103,$C$8:C717),"")</f>
        <v/>
      </c>
      <c r="B717" s="226">
        <v>43227</v>
      </c>
      <c r="C717" s="216"/>
      <c r="D717" s="216" t="str">
        <f t="shared" si="33"/>
        <v/>
      </c>
      <c r="E717" s="215"/>
      <c r="F717" s="216"/>
      <c r="G717" s="216" t="str">
        <f>IF(C717&lt;&gt;"",VLOOKUP(C717,DSKH!B:E,3,0),"")</f>
        <v/>
      </c>
      <c r="H717" s="222">
        <v>1099141606</v>
      </c>
      <c r="I717" s="217"/>
      <c r="J717" s="224"/>
      <c r="K717" s="216" t="str">
        <f t="shared" si="34"/>
        <v/>
      </c>
      <c r="L717" s="216"/>
      <c r="M717" s="216" t="str">
        <f t="shared" si="32"/>
        <v>- 1099141606 -MAY 07-</v>
      </c>
    </row>
    <row r="718" spans="1:13">
      <c r="A718" s="216" t="str">
        <f>IF(C718&lt;&gt;"",SUBTOTAL(103,$C$8:C718),"")</f>
        <v/>
      </c>
      <c r="B718" s="226">
        <v>43227</v>
      </c>
      <c r="C718" s="216"/>
      <c r="D718" s="216" t="str">
        <f t="shared" si="33"/>
        <v/>
      </c>
      <c r="E718" s="215"/>
      <c r="F718" s="216"/>
      <c r="G718" s="216" t="str">
        <f>IF(C718&lt;&gt;"",VLOOKUP(C718,DSKH!B:E,3,0),"")</f>
        <v/>
      </c>
      <c r="H718" s="222">
        <v>1099175444</v>
      </c>
      <c r="I718" s="217"/>
      <c r="J718" s="224"/>
      <c r="K718" s="216" t="str">
        <f t="shared" si="34"/>
        <v/>
      </c>
      <c r="L718" s="216"/>
      <c r="M718" s="216" t="str">
        <f t="shared" si="32"/>
        <v>- 1099175444 -MAY 07-</v>
      </c>
    </row>
    <row r="719" spans="1:13" ht="27.6">
      <c r="A719" s="216">
        <f>IF(C719&lt;&gt;"",SUBTOTAL(103,$C$8:C719),"")</f>
        <v>398</v>
      </c>
      <c r="B719" s="226">
        <v>43227</v>
      </c>
      <c r="C719" s="216" t="s">
        <v>2526</v>
      </c>
      <c r="D719" s="216" t="str">
        <f t="shared" si="33"/>
        <v>NO.B6,THUY VAN IZ,VIET TRI,PHU THO,VIET NAM</v>
      </c>
      <c r="E719" s="215">
        <f>1+1+2+1+3+6+1+0</f>
        <v>15</v>
      </c>
      <c r="F719" s="216"/>
      <c r="G719" s="216" t="str">
        <f>IF(C719&lt;&gt;"",VLOOKUP(C719,DSKH!B:E,3,0),"")</f>
        <v>CTU</v>
      </c>
      <c r="H719" s="222">
        <v>1099173598</v>
      </c>
      <c r="I719" s="217" t="s">
        <v>2860</v>
      </c>
      <c r="J719" s="224" t="s">
        <v>3528</v>
      </c>
      <c r="K719" s="216" t="str">
        <f t="shared" si="34"/>
        <v>QUYNH ANH: 0935 471 807</v>
      </c>
      <c r="L719" s="216">
        <f>12.5+0.5+0.16+1.1+5.1+2.6+1.4+3.1+2.6+0.7</f>
        <v>29.76</v>
      </c>
      <c r="M719" s="216" t="str">
        <f t="shared" si="32"/>
        <v>YAKJIN VIETNAM- 1099173598 -MAY 07-na002185794</v>
      </c>
    </row>
    <row r="720" spans="1:13">
      <c r="A720" s="216" t="str">
        <f>IF(C720&lt;&gt;"",SUBTOTAL(103,$C$8:C720),"")</f>
        <v/>
      </c>
      <c r="B720" s="226">
        <v>43227</v>
      </c>
      <c r="C720" s="216"/>
      <c r="D720" s="216" t="str">
        <f t="shared" si="33"/>
        <v/>
      </c>
      <c r="E720" s="215"/>
      <c r="F720" s="216"/>
      <c r="G720" s="216" t="str">
        <f>IF(C720&lt;&gt;"",VLOOKUP(C720,DSKH!B:E,3,0),"")</f>
        <v/>
      </c>
      <c r="H720" s="222">
        <v>1099163829</v>
      </c>
      <c r="I720" s="217"/>
      <c r="J720" s="224"/>
      <c r="K720" s="216" t="str">
        <f t="shared" si="34"/>
        <v/>
      </c>
      <c r="L720" s="216"/>
      <c r="M720" s="216" t="str">
        <f t="shared" si="32"/>
        <v>- 1099163829 -MAY 07-</v>
      </c>
    </row>
    <row r="721" spans="1:13">
      <c r="A721" s="216" t="str">
        <f>IF(C721&lt;&gt;"",SUBTOTAL(103,$C$8:C721),"")</f>
        <v/>
      </c>
      <c r="B721" s="226">
        <v>43227</v>
      </c>
      <c r="C721" s="216"/>
      <c r="D721" s="216" t="str">
        <f t="shared" si="33"/>
        <v/>
      </c>
      <c r="E721" s="215"/>
      <c r="F721" s="216"/>
      <c r="G721" s="216" t="str">
        <f>IF(C721&lt;&gt;"",VLOOKUP(C721,DSKH!B:E,3,0),"")</f>
        <v/>
      </c>
      <c r="H721" s="222">
        <v>1099163806</v>
      </c>
      <c r="I721" s="217"/>
      <c r="J721" s="224"/>
      <c r="K721" s="216" t="str">
        <f t="shared" si="34"/>
        <v/>
      </c>
      <c r="L721" s="216"/>
      <c r="M721" s="216" t="str">
        <f t="shared" si="32"/>
        <v>- 1099163806 -MAY 07-</v>
      </c>
    </row>
    <row r="722" spans="1:13">
      <c r="A722" s="216" t="str">
        <f>IF(C722&lt;&gt;"",SUBTOTAL(103,$C$8:C722),"")</f>
        <v/>
      </c>
      <c r="B722" s="226">
        <v>43227</v>
      </c>
      <c r="C722" s="216"/>
      <c r="D722" s="216" t="str">
        <f t="shared" si="33"/>
        <v/>
      </c>
      <c r="E722" s="215"/>
      <c r="F722" s="216"/>
      <c r="G722" s="216" t="str">
        <f>IF(C722&lt;&gt;"",VLOOKUP(C722,DSKH!B:E,3,0),"")</f>
        <v/>
      </c>
      <c r="H722" s="222">
        <v>1099163831</v>
      </c>
      <c r="I722" s="217"/>
      <c r="J722" s="224"/>
      <c r="K722" s="216" t="str">
        <f t="shared" si="34"/>
        <v/>
      </c>
      <c r="L722" s="216"/>
      <c r="M722" s="216" t="str">
        <f t="shared" si="32"/>
        <v>- 1099163831 -MAY 07-</v>
      </c>
    </row>
    <row r="723" spans="1:13">
      <c r="A723" s="216" t="str">
        <f>IF(C723&lt;&gt;"",SUBTOTAL(103,$C$8:C723),"")</f>
        <v/>
      </c>
      <c r="B723" s="226">
        <v>43227</v>
      </c>
      <c r="C723" s="216"/>
      <c r="D723" s="216" t="str">
        <f t="shared" si="33"/>
        <v/>
      </c>
      <c r="E723" s="215"/>
      <c r="F723" s="216"/>
      <c r="G723" s="216" t="str">
        <f>IF(C723&lt;&gt;"",VLOOKUP(C723,DSKH!B:E,3,0),"")</f>
        <v/>
      </c>
      <c r="H723" s="222">
        <v>1099172749</v>
      </c>
      <c r="I723" s="217"/>
      <c r="J723" s="224"/>
      <c r="K723" s="216" t="str">
        <f t="shared" si="34"/>
        <v/>
      </c>
      <c r="L723" s="216"/>
      <c r="M723" s="216" t="str">
        <f t="shared" si="32"/>
        <v>- 1099172749 -MAY 07-</v>
      </c>
    </row>
    <row r="724" spans="1:13">
      <c r="A724" s="216" t="str">
        <f>IF(C724&lt;&gt;"",SUBTOTAL(103,$C$8:C724),"")</f>
        <v/>
      </c>
      <c r="B724" s="226">
        <v>43227</v>
      </c>
      <c r="C724" s="216"/>
      <c r="D724" s="216" t="str">
        <f t="shared" si="33"/>
        <v/>
      </c>
      <c r="E724" s="215"/>
      <c r="F724" s="216"/>
      <c r="G724" s="216" t="str">
        <f>IF(C724&lt;&gt;"",VLOOKUP(C724,DSKH!B:E,3,0),"")</f>
        <v/>
      </c>
      <c r="H724" s="222">
        <v>1099333262</v>
      </c>
      <c r="I724" s="217"/>
      <c r="J724" s="224"/>
      <c r="K724" s="216" t="str">
        <f t="shared" si="34"/>
        <v/>
      </c>
      <c r="L724" s="216"/>
      <c r="M724" s="216" t="str">
        <f t="shared" si="32"/>
        <v>- 1099333262 -MAY 07-</v>
      </c>
    </row>
    <row r="725" spans="1:13">
      <c r="A725" s="216" t="str">
        <f>IF(C725&lt;&gt;"",SUBTOTAL(103,$C$8:C725),"")</f>
        <v/>
      </c>
      <c r="B725" s="226">
        <v>43227</v>
      </c>
      <c r="C725" s="216"/>
      <c r="D725" s="216" t="str">
        <f t="shared" si="33"/>
        <v/>
      </c>
      <c r="E725" s="215"/>
      <c r="F725" s="216"/>
      <c r="G725" s="216" t="str">
        <f>IF(C725&lt;&gt;"",VLOOKUP(C725,DSKH!B:E,3,0),"")</f>
        <v/>
      </c>
      <c r="H725" s="222">
        <v>1099328873</v>
      </c>
      <c r="I725" s="217"/>
      <c r="J725" s="224"/>
      <c r="K725" s="216" t="str">
        <f t="shared" si="34"/>
        <v/>
      </c>
      <c r="L725" s="216"/>
      <c r="M725" s="216" t="str">
        <f t="shared" si="32"/>
        <v>- 1099328873 -MAY 07-</v>
      </c>
    </row>
    <row r="726" spans="1:13" ht="41.4">
      <c r="A726" s="216">
        <f>IF(C726&lt;&gt;"",SUBTOTAL(103,$C$8:C726),"")</f>
        <v>399</v>
      </c>
      <c r="B726" s="226">
        <v>43227</v>
      </c>
      <c r="C726" s="216" t="s">
        <v>319</v>
      </c>
      <c r="D726" s="216" t="str">
        <f t="shared" si="33"/>
        <v>Lot N, Road 01, Long Duc IP, Tra Vinh city, Tra Vinh Province</v>
      </c>
      <c r="E726" s="215">
        <v>2</v>
      </c>
      <c r="F726" s="216" t="s">
        <v>2861</v>
      </c>
      <c r="G726" s="216" t="str">
        <f>IF(C726&lt;&gt;"",VLOOKUP(C726,DSKH!B:E,3,0),"")</f>
        <v>XNK GUI MAIL BAO KH DEN LAY</v>
      </c>
      <c r="H726" s="222">
        <v>1099334485</v>
      </c>
      <c r="I726" s="217" t="s">
        <v>2860</v>
      </c>
      <c r="J726" s="224" t="s">
        <v>3529</v>
      </c>
      <c r="K726" s="216">
        <f t="shared" si="34"/>
        <v>0</v>
      </c>
      <c r="L726" s="216">
        <f>2.86</f>
        <v>2.86</v>
      </c>
      <c r="M726" s="216" t="str">
        <f t="shared" si="32"/>
        <v>CY VINA- 1099334485 -MAY 07-na002185795</v>
      </c>
    </row>
    <row r="727" spans="1:13" ht="41.4">
      <c r="A727" s="216">
        <f>IF(C727&lt;&gt;"",SUBTOTAL(103,$C$8:C727),"")</f>
        <v>400</v>
      </c>
      <c r="B727" s="226">
        <v>43227</v>
      </c>
      <c r="C727" s="216" t="s">
        <v>1552</v>
      </c>
      <c r="D727" s="216" t="str">
        <f t="shared" si="33"/>
        <v>THON PHU CO, XA QUYET TIEN, HUYEN TIEN LANG, HAI PHONG</v>
      </c>
      <c r="E727" s="215">
        <v>1</v>
      </c>
      <c r="F727" s="216"/>
      <c r="G727" s="216" t="str">
        <f>IF(C727&lt;&gt;"",VLOOKUP(C727,DSKH!B:E,3,0),"")</f>
        <v>DIA CHI DUNG</v>
      </c>
      <c r="H727" s="222">
        <v>1099142951</v>
      </c>
      <c r="I727" s="217"/>
      <c r="J727" s="224" t="s">
        <v>3530</v>
      </c>
      <c r="K727" s="216" t="str">
        <f t="shared" si="34"/>
        <v>NGAN 01233963696</v>
      </c>
      <c r="L727" s="216">
        <v>1.24</v>
      </c>
      <c r="M727" s="216" t="str">
        <f t="shared" si="32"/>
        <v>PHU TAI LINH- 1099142951 -MAY 07-na002185796</v>
      </c>
    </row>
    <row r="728" spans="1:13" ht="27.6">
      <c r="A728" s="216">
        <f>IF(C728&lt;&gt;"",SUBTOTAL(103,$C$8:C728),"")</f>
        <v>401</v>
      </c>
      <c r="B728" s="226">
        <v>43227</v>
      </c>
      <c r="C728" s="216" t="s">
        <v>2038</v>
      </c>
      <c r="D728" s="216" t="str">
        <f t="shared" si="33"/>
        <v>THI TRAN VUONG, TIEN LU, HUNG YEN</v>
      </c>
      <c r="E728" s="215">
        <v>10</v>
      </c>
      <c r="F728" s="216"/>
      <c r="G728" s="216">
        <f>IF(C728&lt;&gt;"",VLOOKUP(C728,DSKH!B:E,3,0),"")</f>
        <v>0</v>
      </c>
      <c r="H728" s="222">
        <v>1099164386</v>
      </c>
      <c r="I728" s="217"/>
      <c r="J728" s="224" t="s">
        <v>3531</v>
      </c>
      <c r="K728" s="216" t="str">
        <f t="shared" si="34"/>
        <v>MS NINH 0987 930 558/
 MR CUONG 0919 686 228</v>
      </c>
      <c r="L728" s="216">
        <f>2.9+10.6+9.6+0.85+4.38+3.9+0.66+3.7+0.3+3.68</f>
        <v>40.57</v>
      </c>
      <c r="M728" s="216" t="str">
        <f t="shared" si="32"/>
        <v>TIEN HUNG- 1099164386 -MAY 07-na002185797</v>
      </c>
    </row>
    <row r="729" spans="1:13">
      <c r="A729" s="216" t="str">
        <f>IF(C729&lt;&gt;"",SUBTOTAL(103,$C$8:C729),"")</f>
        <v/>
      </c>
      <c r="B729" s="226">
        <v>43227</v>
      </c>
      <c r="C729" s="216"/>
      <c r="D729" s="216" t="str">
        <f t="shared" si="33"/>
        <v/>
      </c>
      <c r="E729" s="215"/>
      <c r="F729" s="216"/>
      <c r="G729" s="216" t="str">
        <f>IF(C729&lt;&gt;"",VLOOKUP(C729,DSKH!B:E,3,0),"")</f>
        <v/>
      </c>
      <c r="H729" s="222">
        <v>1099142811</v>
      </c>
      <c r="I729" s="217"/>
      <c r="J729" s="224"/>
      <c r="K729" s="216" t="str">
        <f t="shared" si="34"/>
        <v/>
      </c>
      <c r="L729" s="216"/>
      <c r="M729" s="216" t="str">
        <f t="shared" si="32"/>
        <v>- 1099142811 -MAY 07-</v>
      </c>
    </row>
    <row r="730" spans="1:13">
      <c r="A730" s="216" t="str">
        <f>IF(C730&lt;&gt;"",SUBTOTAL(103,$C$8:C730),"")</f>
        <v/>
      </c>
      <c r="B730" s="226">
        <v>43227</v>
      </c>
      <c r="C730" s="216"/>
      <c r="D730" s="216" t="str">
        <f t="shared" si="33"/>
        <v/>
      </c>
      <c r="E730" s="215"/>
      <c r="F730" s="216"/>
      <c r="G730" s="216" t="str">
        <f>IF(C730&lt;&gt;"",VLOOKUP(C730,DSKH!B:E,3,0),"")</f>
        <v/>
      </c>
      <c r="H730" s="222">
        <v>1099176443</v>
      </c>
      <c r="I730" s="217"/>
      <c r="J730" s="224"/>
      <c r="K730" s="216" t="str">
        <f t="shared" si="34"/>
        <v/>
      </c>
      <c r="L730" s="216"/>
      <c r="M730" s="216" t="str">
        <f t="shared" si="32"/>
        <v>- 1099176443 -MAY 07-</v>
      </c>
    </row>
    <row r="731" spans="1:13" ht="55.2">
      <c r="A731" s="216">
        <f>IF(C731&lt;&gt;"",SUBTOTAL(103,$C$8:C731),"")</f>
        <v>402</v>
      </c>
      <c r="B731" s="226">
        <v>43227</v>
      </c>
      <c r="C731" s="216" t="s">
        <v>136</v>
      </c>
      <c r="D731" s="216" t="str">
        <f t="shared" si="33"/>
        <v>Lot 79,  Long Jiang Industrial Park, Tan Lap 1 Village, Tan Phuoc District, Tien Giang Province</v>
      </c>
      <c r="E731" s="215">
        <v>1</v>
      </c>
      <c r="F731" s="216"/>
      <c r="G731" s="216">
        <f>IF(C731&lt;&gt;"",VLOOKUP(C731,DSKH!B:E,3,0),"")</f>
        <v>0</v>
      </c>
      <c r="H731" s="222">
        <v>1099175050</v>
      </c>
      <c r="I731" s="217"/>
      <c r="J731" s="224" t="s">
        <v>3532</v>
      </c>
      <c r="K731" s="216" t="str">
        <f t="shared" si="34"/>
        <v xml:space="preserve">Holly Nguyen +84 073 651 9999 Ext: 2105 </v>
      </c>
      <c r="L731" s="216">
        <v>5.2</v>
      </c>
      <c r="M731" s="216" t="str">
        <f t="shared" si="32"/>
        <v>Apache Footwear- 1099175050 -MAY 07-na002185798</v>
      </c>
    </row>
    <row r="732" spans="1:13" ht="55.2">
      <c r="A732" s="216">
        <f>IF(C732&lt;&gt;"",SUBTOTAL(103,$C$8:C732),"")</f>
        <v>403</v>
      </c>
      <c r="B732" s="226">
        <v>43227</v>
      </c>
      <c r="C732" s="216" t="s">
        <v>2523</v>
      </c>
      <c r="D732" s="216" t="str">
        <f t="shared" si="33"/>
        <v>NO F5, F6, F7, F8, F9, F10 KCN BAC DONG PHU, TAN PHU, DONG PHU, BINH PHUOC</v>
      </c>
      <c r="E732" s="215">
        <v>5</v>
      </c>
      <c r="F732" s="216"/>
      <c r="G732" s="216" t="str">
        <f>IF(C732&lt;&gt;"",VLOOKUP(C732,DSKH!B:E,3,0),"")</f>
        <v>CTU</v>
      </c>
      <c r="H732" s="222">
        <v>1099185017</v>
      </c>
      <c r="I732" s="217"/>
      <c r="J732" s="224" t="s">
        <v>3533</v>
      </c>
      <c r="K732" s="216" t="str">
        <f t="shared" si="34"/>
        <v>QUYNH ANH: 0935 471 807</v>
      </c>
      <c r="L732" s="216">
        <f>6.2+3.2+0.7+3</f>
        <v>13.1</v>
      </c>
      <c r="M732" s="216" t="str">
        <f t="shared" si="32"/>
        <v>YAKJIN SAIGON- 1099185017 -MAY 07-na002185799</v>
      </c>
    </row>
    <row r="733" spans="1:13">
      <c r="A733" s="216" t="str">
        <f>IF(C733&lt;&gt;"",SUBTOTAL(103,$C$8:C733),"")</f>
        <v/>
      </c>
      <c r="B733" s="226">
        <v>43227</v>
      </c>
      <c r="C733" s="216"/>
      <c r="D733" s="216" t="str">
        <f t="shared" si="33"/>
        <v/>
      </c>
      <c r="E733" s="215"/>
      <c r="F733" s="216"/>
      <c r="G733" s="216" t="str">
        <f>IF(C733&lt;&gt;"",VLOOKUP(C733,DSKH!B:E,3,0),"")</f>
        <v/>
      </c>
      <c r="H733" s="222">
        <v>1098990483</v>
      </c>
      <c r="I733" s="217"/>
      <c r="J733" s="224"/>
      <c r="K733" s="216" t="str">
        <f t="shared" si="34"/>
        <v/>
      </c>
      <c r="L733" s="216"/>
      <c r="M733" s="216" t="str">
        <f t="shared" si="32"/>
        <v>- 1098990483 -MAY 07-</v>
      </c>
    </row>
    <row r="734" spans="1:13">
      <c r="A734" s="216" t="str">
        <f>IF(C734&lt;&gt;"",SUBTOTAL(103,$C$8:C734),"")</f>
        <v/>
      </c>
      <c r="B734" s="226">
        <v>43227</v>
      </c>
      <c r="C734" s="216"/>
      <c r="D734" s="216" t="str">
        <f t="shared" si="33"/>
        <v/>
      </c>
      <c r="E734" s="215"/>
      <c r="F734" s="216"/>
      <c r="G734" s="216" t="str">
        <f>IF(C734&lt;&gt;"",VLOOKUP(C734,DSKH!B:E,3,0),"")</f>
        <v/>
      </c>
      <c r="H734" s="222">
        <v>1099141647</v>
      </c>
      <c r="I734" s="217"/>
      <c r="J734" s="224"/>
      <c r="K734" s="216" t="str">
        <f t="shared" si="34"/>
        <v/>
      </c>
      <c r="L734" s="216"/>
      <c r="M734" s="216" t="str">
        <f t="shared" si="32"/>
        <v>- 1099141647 -MAY 07-</v>
      </c>
    </row>
    <row r="735" spans="1:13" ht="69">
      <c r="A735" s="216">
        <f>IF(C735&lt;&gt;"",SUBTOTAL(103,$C$8:C735),"")</f>
        <v>404</v>
      </c>
      <c r="B735" s="226">
        <v>43227</v>
      </c>
      <c r="C735" s="216" t="s">
        <v>2587</v>
      </c>
      <c r="D735" s="216" t="str">
        <f t="shared" si="33"/>
        <v>Lo dat dien tich 88.707m vuong , cum cong nghiep Quynh Coi,Xa Quynh My - Huyen Quynh Phu, Thai Binh</v>
      </c>
      <c r="E735" s="215">
        <v>8</v>
      </c>
      <c r="F735" s="216"/>
      <c r="G735" s="216">
        <f>IF(C735&lt;&gt;"",VLOOKUP(C735,DSKH!B:E,3,0),"")</f>
        <v>0</v>
      </c>
      <c r="H735" s="222">
        <v>1099175474</v>
      </c>
      <c r="I735" s="217"/>
      <c r="J735" s="224" t="s">
        <v>3534</v>
      </c>
      <c r="K735" s="216" t="s">
        <v>3535</v>
      </c>
      <c r="L735" s="216">
        <f>0.9+0.9+0.65+4.6+8.4</f>
        <v>15.45</v>
      </c>
      <c r="M735" s="216" t="str">
        <f t="shared" si="32"/>
        <v>SAO VANG THAI BINH 1- 1099175474 -MAY 07-na002185800</v>
      </c>
    </row>
    <row r="736" spans="1:13">
      <c r="A736" s="216" t="str">
        <f>IF(C736&lt;&gt;"",SUBTOTAL(103,$C$8:C736),"")</f>
        <v/>
      </c>
      <c r="B736" s="226">
        <v>43227</v>
      </c>
      <c r="C736" s="216"/>
      <c r="D736" s="216" t="str">
        <f t="shared" si="33"/>
        <v/>
      </c>
      <c r="E736" s="215"/>
      <c r="F736" s="216"/>
      <c r="G736" s="216" t="str">
        <f>IF(C736&lt;&gt;"",VLOOKUP(C736,DSKH!B:E,3,0),"")</f>
        <v/>
      </c>
      <c r="H736" s="222">
        <v>1099174984</v>
      </c>
      <c r="I736" s="217"/>
      <c r="J736" s="224"/>
      <c r="K736" s="216" t="str">
        <f t="shared" si="34"/>
        <v/>
      </c>
      <c r="L736" s="216"/>
      <c r="M736" s="216" t="str">
        <f t="shared" si="32"/>
        <v>- 1099174984 -MAY 07-</v>
      </c>
    </row>
    <row r="737" spans="1:13">
      <c r="A737" s="216" t="str">
        <f>IF(C737&lt;&gt;"",SUBTOTAL(103,$C$8:C737),"")</f>
        <v/>
      </c>
      <c r="B737" s="226">
        <v>43227</v>
      </c>
      <c r="C737" s="216"/>
      <c r="D737" s="216" t="str">
        <f t="shared" si="33"/>
        <v/>
      </c>
      <c r="E737" s="215"/>
      <c r="F737" s="216"/>
      <c r="G737" s="216" t="str">
        <f>IF(C737&lt;&gt;"",VLOOKUP(C737,DSKH!B:E,3,0),"")</f>
        <v/>
      </c>
      <c r="H737" s="222">
        <v>1099160837</v>
      </c>
      <c r="I737" s="217"/>
      <c r="J737" s="224"/>
      <c r="K737" s="216" t="str">
        <f t="shared" si="34"/>
        <v/>
      </c>
      <c r="L737" s="216"/>
      <c r="M737" s="216" t="str">
        <f t="shared" si="32"/>
        <v>- 1099160837 -MAY 07-</v>
      </c>
    </row>
    <row r="738" spans="1:13" ht="41.4">
      <c r="A738" s="216">
        <f>IF(C738&lt;&gt;"",SUBTOTAL(103,$C$8:C738),"")</f>
        <v>405</v>
      </c>
      <c r="B738" s="226">
        <v>43227</v>
      </c>
      <c r="C738" s="216" t="s">
        <v>1723</v>
      </c>
      <c r="D738" s="216" t="str">
        <f t="shared" si="33"/>
        <v>Nga 3 Truong Son An Lao Hai Phong</v>
      </c>
      <c r="E738" s="215">
        <v>13</v>
      </c>
      <c r="F738" s="216"/>
      <c r="G738" s="216">
        <f>IF(C738&lt;&gt;"",VLOOKUP(C738,DSKH!B:E,3,0),"")</f>
        <v>0</v>
      </c>
      <c r="H738" s="222">
        <v>1099173319</v>
      </c>
      <c r="I738" s="217"/>
      <c r="J738" s="224" t="s">
        <v>3536</v>
      </c>
      <c r="K738" s="216" t="str">
        <f t="shared" si="34"/>
        <v xml:space="preserve">Em Luyen kho vat lieu sdt :0936 862 057 + Em Thanh sdt :01678 120 979 </v>
      </c>
      <c r="L738" s="216">
        <f>1.15+0.7+2.1+1+0.4+1.2+0.45+3.2+1.2+1.4+7.5+2.7+5.6</f>
        <v>28.6</v>
      </c>
      <c r="M738" s="216" t="str">
        <f t="shared" si="32"/>
        <v>SAO VANG CLARKS- 1099173319 -MAY 07-na002185801</v>
      </c>
    </row>
    <row r="739" spans="1:13" ht="41.4">
      <c r="A739" s="216">
        <f>IF(C739&lt;&gt;"",SUBTOTAL(103,$C$8:C739),"")</f>
        <v>406</v>
      </c>
      <c r="B739" s="226">
        <v>43227</v>
      </c>
      <c r="C739" s="216" t="s">
        <v>2927</v>
      </c>
      <c r="D739" s="216" t="str">
        <f t="shared" si="33"/>
        <v>Lo B8, KCN Que Vo, P.Van Duong, Tp.Bac Ninh, Bac Ninh</v>
      </c>
      <c r="E739" s="215">
        <v>6</v>
      </c>
      <c r="F739" s="216"/>
      <c r="G739" s="216">
        <f>IF(C739&lt;&gt;"",VLOOKUP(C739,DSKH!B:E,3,0),"")</f>
        <v>0</v>
      </c>
      <c r="H739" s="222">
        <v>1099130102</v>
      </c>
      <c r="I739" s="217"/>
      <c r="J739" s="224" t="s">
        <v>3537</v>
      </c>
      <c r="K739" s="216" t="str">
        <f t="shared" si="34"/>
        <v xml:space="preserve"> Ms Nga 01632.455.666 </v>
      </c>
      <c r="L739" s="216">
        <f>0.27+0.62+0.74+0.58+0.8+0.18</f>
        <v>3.19</v>
      </c>
      <c r="M739" s="216" t="str">
        <f t="shared" si="32"/>
        <v>SAMPO VINA- 1099130102 -MAY 07-na002185802</v>
      </c>
    </row>
    <row r="740" spans="1:13" ht="41.4">
      <c r="A740" s="216">
        <f>IF(C740&lt;&gt;"",SUBTOTAL(103,$C$8:C740),"")</f>
        <v>407</v>
      </c>
      <c r="B740" s="226">
        <v>43227</v>
      </c>
      <c r="C740" s="216" t="s">
        <v>746</v>
      </c>
      <c r="D740" s="216" t="str">
        <f t="shared" si="33"/>
        <v>NGA TU DINH TRAM-HONG THAI-VIET YEN-BAC GIANG</v>
      </c>
      <c r="E740" s="215">
        <v>3</v>
      </c>
      <c r="F740" s="216"/>
      <c r="G740" s="216">
        <f>IF(C740&lt;&gt;"",VLOOKUP(C740,DSKH!B:E,3,0),"")</f>
        <v>0</v>
      </c>
      <c r="H740" s="222" t="s">
        <v>3539</v>
      </c>
      <c r="I740" s="217"/>
      <c r="J740" s="224" t="s">
        <v>3538</v>
      </c>
      <c r="K740" s="216" t="str">
        <f t="shared" si="34"/>
        <v>MR BINH 0915181104</v>
      </c>
      <c r="L740" s="216">
        <f>1.1+1.9+2.1</f>
        <v>5.0999999999999996</v>
      </c>
      <c r="M740" s="216" t="str">
        <f t="shared" si="32"/>
        <v>HA BAC 2- 1099160290
24269867-1+2+3 -MAY 07-na002185803</v>
      </c>
    </row>
    <row r="741" spans="1:13" ht="41.4">
      <c r="A741" s="216">
        <f>IF(C741&lt;&gt;"",SUBTOTAL(103,$C$8:C741),"")</f>
        <v>408</v>
      </c>
      <c r="B741" s="226">
        <v>43227</v>
      </c>
      <c r="C741" s="216" t="s">
        <v>746</v>
      </c>
      <c r="D741" s="216" t="str">
        <f t="shared" si="33"/>
        <v>NGA TU DINH TRAM-HONG THAI-VIET YEN-BAC GIANG</v>
      </c>
      <c r="E741" s="215">
        <v>16</v>
      </c>
      <c r="F741" s="216"/>
      <c r="G741" s="216">
        <f>IF(C741&lt;&gt;"",VLOOKUP(C741,DSKH!B:E,3,0),"")</f>
        <v>0</v>
      </c>
      <c r="H741" s="222">
        <v>1099130500</v>
      </c>
      <c r="I741" s="217"/>
      <c r="J741" s="224" t="s">
        <v>3540</v>
      </c>
      <c r="K741" s="216" t="str">
        <f t="shared" si="34"/>
        <v>MR BINH 0915181104</v>
      </c>
      <c r="L741" s="216">
        <f>215.7</f>
        <v>215.7</v>
      </c>
      <c r="M741" s="216" t="str">
        <f t="shared" si="32"/>
        <v>HA BAC 2- 1099130500 -MAY 07-na002185804</v>
      </c>
    </row>
    <row r="742" spans="1:13">
      <c r="A742" s="216" t="str">
        <f>IF(C742&lt;&gt;"",SUBTOTAL(103,$C$8:C742),"")</f>
        <v/>
      </c>
      <c r="B742" s="226">
        <v>43227</v>
      </c>
      <c r="C742" s="216"/>
      <c r="D742" s="216" t="str">
        <f t="shared" si="33"/>
        <v/>
      </c>
      <c r="E742" s="215"/>
      <c r="F742" s="216"/>
      <c r="G742" s="216" t="str">
        <f>IF(C742&lt;&gt;"",VLOOKUP(C742,DSKH!B:E,3,0),"")</f>
        <v/>
      </c>
      <c r="H742" s="222">
        <v>1099143056</v>
      </c>
      <c r="I742" s="217"/>
      <c r="J742" s="224"/>
      <c r="K742" s="216" t="str">
        <f t="shared" si="34"/>
        <v/>
      </c>
      <c r="L742" s="216"/>
      <c r="M742" s="216" t="str">
        <f t="shared" si="32"/>
        <v>- 1099143056 -MAY 07-</v>
      </c>
    </row>
    <row r="743" spans="1:13" ht="41.4">
      <c r="A743" s="216">
        <f>IF(C743&lt;&gt;"",SUBTOTAL(103,$C$8:C743),"")</f>
        <v>409</v>
      </c>
      <c r="B743" s="226">
        <v>43227</v>
      </c>
      <c r="C743" s="216" t="s">
        <v>744</v>
      </c>
      <c r="D743" s="216" t="str">
        <f t="shared" si="33"/>
        <v>NGA TU DINH TRAM-HONG THAI-VIET YEN-BAC GIANG</v>
      </c>
      <c r="E743" s="215">
        <v>13</v>
      </c>
      <c r="F743" s="216"/>
      <c r="G743" s="216">
        <f>IF(C743&lt;&gt;"",VLOOKUP(C743,DSKH!B:E,3,0),"")</f>
        <v>0</v>
      </c>
      <c r="H743" s="222">
        <v>1099160290</v>
      </c>
      <c r="I743" s="217"/>
      <c r="J743" s="224" t="s">
        <v>3541</v>
      </c>
      <c r="K743" s="216" t="str">
        <f t="shared" si="34"/>
        <v>Giao Ha Bac 1 - Mr.Thanh: 0978.491.357/ Mr. Duong: 0936.228.933</v>
      </c>
      <c r="L743" s="216">
        <v>86.5</v>
      </c>
      <c r="M743" s="216" t="str">
        <f t="shared" si="32"/>
        <v>HA BAC 1- 1099160290 -MAY 07-na002185805</v>
      </c>
    </row>
    <row r="744" spans="1:13">
      <c r="A744" s="216" t="str">
        <f>IF(C744&lt;&gt;"",SUBTOTAL(103,$C$8:C744),"")</f>
        <v/>
      </c>
      <c r="B744" s="226">
        <v>43227</v>
      </c>
      <c r="C744" s="216"/>
      <c r="D744" s="216" t="str">
        <f t="shared" si="33"/>
        <v/>
      </c>
      <c r="E744" s="215"/>
      <c r="F744" s="216"/>
      <c r="G744" s="216" t="str">
        <f>IF(C744&lt;&gt;"",VLOOKUP(C744,DSKH!B:E,3,0),"")</f>
        <v/>
      </c>
      <c r="H744" s="222">
        <v>1099159903</v>
      </c>
      <c r="I744" s="217"/>
      <c r="J744" s="224"/>
      <c r="K744" s="216" t="str">
        <f t="shared" si="34"/>
        <v/>
      </c>
      <c r="L744" s="216"/>
      <c r="M744" s="216" t="str">
        <f t="shared" si="32"/>
        <v>- 1099159903 -MAY 07-</v>
      </c>
    </row>
    <row r="745" spans="1:13">
      <c r="A745" s="216" t="str">
        <f>IF(C745&lt;&gt;"",SUBTOTAL(103,$C$8:C745),"")</f>
        <v/>
      </c>
      <c r="B745" s="226">
        <v>43227</v>
      </c>
      <c r="C745" s="216"/>
      <c r="D745" s="216" t="str">
        <f t="shared" si="33"/>
        <v/>
      </c>
      <c r="E745" s="215"/>
      <c r="F745" s="216"/>
      <c r="G745" s="216" t="str">
        <f>IF(C745&lt;&gt;"",VLOOKUP(C745,DSKH!B:E,3,0),"")</f>
        <v/>
      </c>
      <c r="H745" s="222">
        <v>1099172679</v>
      </c>
      <c r="I745" s="217"/>
      <c r="J745" s="224"/>
      <c r="K745" s="216" t="str">
        <f t="shared" si="34"/>
        <v/>
      </c>
      <c r="L745" s="216"/>
      <c r="M745" s="216" t="str">
        <f t="shared" si="32"/>
        <v>- 1099172679 -MAY 07-</v>
      </c>
    </row>
    <row r="746" spans="1:13" ht="41.4">
      <c r="A746" s="216">
        <f>IF(C746&lt;&gt;"",SUBTOTAL(103,$C$8:C746),"")</f>
        <v>410</v>
      </c>
      <c r="B746" s="226">
        <v>43227</v>
      </c>
      <c r="C746" s="216" t="s">
        <v>3542</v>
      </c>
      <c r="D746" s="216" t="str">
        <f t="shared" si="33"/>
        <v>AV-AVI, KCN GIAO LONG II, AN PHUOC, CHAU THANH, BEN TRE</v>
      </c>
      <c r="E746" s="215">
        <v>3</v>
      </c>
      <c r="F746" s="216"/>
      <c r="G746" s="216">
        <f>IF(C746&lt;&gt;"",VLOOKUP(C746,DSKH!B:E,3,0),"")</f>
        <v>0</v>
      </c>
      <c r="H746" s="222">
        <v>1099333284</v>
      </c>
      <c r="I746" s="217" t="s">
        <v>2860</v>
      </c>
      <c r="J746" s="224" t="s">
        <v>3544</v>
      </c>
      <c r="K746" s="216">
        <f t="shared" si="34"/>
        <v>0</v>
      </c>
      <c r="L746" s="216">
        <v>13.84</v>
      </c>
      <c r="M746" s="216" t="str">
        <f t="shared" si="32"/>
        <v>SIGMA VN- 1099333284 -MAY 07-na002185806</v>
      </c>
    </row>
    <row r="747" spans="1:13" ht="41.4">
      <c r="A747" s="216">
        <f>IF(C747&lt;&gt;"",SUBTOTAL(103,$C$8:C747),"")</f>
        <v>411</v>
      </c>
      <c r="B747" s="226">
        <v>43227</v>
      </c>
      <c r="C747" s="216" t="s">
        <v>1633</v>
      </c>
      <c r="D747" s="216" t="str">
        <f t="shared" si="33"/>
        <v>LOT E4, E5, E10, E11, KCN GIAO LONG, AN PHUOC, CHAU THANH, BEN TRE</v>
      </c>
      <c r="E747" s="215">
        <v>1</v>
      </c>
      <c r="F747" s="216"/>
      <c r="G747" s="216">
        <f>IF(C747&lt;&gt;"",VLOOKUP(C747,DSKH!B:E,3,0),"")</f>
        <v>0</v>
      </c>
      <c r="H747" s="222">
        <v>1099158930</v>
      </c>
      <c r="I747" s="217"/>
      <c r="J747" s="224" t="s">
        <v>3545</v>
      </c>
      <c r="K747" s="216" t="str">
        <f t="shared" si="34"/>
        <v>YEN: 0986 885 110</v>
      </c>
      <c r="L747" s="216">
        <v>0.5</v>
      </c>
      <c r="M747" s="216" t="str">
        <f t="shared" si="32"/>
        <v>PUNGKOOK BEN TRE- 1099158930 -MAY 07-na002185807</v>
      </c>
    </row>
    <row r="748" spans="1:13" ht="27.6">
      <c r="A748" s="216">
        <f>IF(C748&lt;&gt;"",SUBTOTAL(103,$C$8:C748),"")</f>
        <v>412</v>
      </c>
      <c r="B748" s="226">
        <v>43227</v>
      </c>
      <c r="C748" s="216" t="s">
        <v>2526</v>
      </c>
      <c r="D748" s="216" t="str">
        <f t="shared" si="33"/>
        <v>NO.B6,THUY VAN IZ,VIET TRI,PHU THO,VIET NAM</v>
      </c>
      <c r="E748" s="215">
        <v>3</v>
      </c>
      <c r="F748" s="216"/>
      <c r="G748" s="216" t="str">
        <f>IF(C748&lt;&gt;"",VLOOKUP(C748,DSKH!B:E,3,0),"")</f>
        <v>CTU</v>
      </c>
      <c r="H748" s="222">
        <v>1099348712</v>
      </c>
      <c r="I748" s="217" t="s">
        <v>2860</v>
      </c>
      <c r="J748" s="224" t="s">
        <v>3546</v>
      </c>
      <c r="K748" s="216" t="str">
        <f t="shared" si="34"/>
        <v>QUYNH ANH: 0935 471 807</v>
      </c>
      <c r="L748" s="216">
        <f>3.5+0.6+0.1</f>
        <v>4.1999999999999993</v>
      </c>
      <c r="M748" s="216" t="str">
        <f t="shared" si="32"/>
        <v>YAKJIN VIETNAM- 1099348712 -MAY 07-na002185808</v>
      </c>
    </row>
    <row r="749" spans="1:13">
      <c r="A749" s="216" t="str">
        <f>IF(C749&lt;&gt;"",SUBTOTAL(103,$C$8:C749),"")</f>
        <v/>
      </c>
      <c r="B749" s="226">
        <v>43227</v>
      </c>
      <c r="C749" s="216"/>
      <c r="D749" s="216" t="str">
        <f t="shared" si="33"/>
        <v/>
      </c>
      <c r="E749" s="215"/>
      <c r="F749" s="216"/>
      <c r="G749" s="216" t="str">
        <f>IF(C749&lt;&gt;"",VLOOKUP(C749,DSKH!B:E,3,0),"")</f>
        <v/>
      </c>
      <c r="H749" s="222">
        <v>1099348753</v>
      </c>
      <c r="I749" s="217"/>
      <c r="J749" s="224"/>
      <c r="K749" s="216" t="str">
        <f t="shared" si="34"/>
        <v/>
      </c>
      <c r="L749" s="216"/>
      <c r="M749" s="216" t="str">
        <f t="shared" si="32"/>
        <v>- 1099348753 -MAY 07-</v>
      </c>
    </row>
    <row r="750" spans="1:13">
      <c r="A750" s="216" t="str">
        <f>IF(C750&lt;&gt;"",SUBTOTAL(103,$C$8:C750),"")</f>
        <v/>
      </c>
      <c r="B750" s="226">
        <v>43227</v>
      </c>
      <c r="C750" s="216"/>
      <c r="D750" s="216" t="str">
        <f t="shared" si="33"/>
        <v/>
      </c>
      <c r="E750" s="215"/>
      <c r="F750" s="216"/>
      <c r="G750" s="216" t="str">
        <f>IF(C750&lt;&gt;"",VLOOKUP(C750,DSKH!B:E,3,0),"")</f>
        <v/>
      </c>
      <c r="H750" s="222">
        <v>1099348838</v>
      </c>
      <c r="I750" s="217"/>
      <c r="J750" s="224"/>
      <c r="K750" s="216" t="str">
        <f t="shared" si="34"/>
        <v/>
      </c>
      <c r="L750" s="216"/>
      <c r="M750" s="216" t="str">
        <f t="shared" si="32"/>
        <v>- 1099348838 -MAY 07-</v>
      </c>
    </row>
    <row r="751" spans="1:13" ht="41.4">
      <c r="A751" s="216">
        <f>IF(C751&lt;&gt;"",SUBTOTAL(103,$C$8:C751),"")</f>
        <v>413</v>
      </c>
      <c r="B751" s="226">
        <v>43227</v>
      </c>
      <c r="C751" s="216" t="s">
        <v>1273</v>
      </c>
      <c r="D751" s="216" t="str">
        <f t="shared" si="33"/>
        <v>TAN DAN, CHI LINH, HAI DUONG</v>
      </c>
      <c r="E751" s="215">
        <v>2</v>
      </c>
      <c r="F751" s="216"/>
      <c r="G751" s="216">
        <f>IF(C751&lt;&gt;"",VLOOKUP(C751,DSKH!B:E,3,0),"")</f>
        <v>0</v>
      </c>
      <c r="H751" s="222">
        <v>1099370554</v>
      </c>
      <c r="I751" s="217" t="s">
        <v>2860</v>
      </c>
      <c r="J751" s="224" t="s">
        <v>3547</v>
      </c>
      <c r="K751" s="216" t="str">
        <f t="shared" si="34"/>
        <v>MS QUYNH: 01689931762</v>
      </c>
      <c r="L751" s="216">
        <f>9.4+1.4</f>
        <v>10.8</v>
      </c>
      <c r="M751" s="216" t="str">
        <f t="shared" si="32"/>
        <v>MICHIGAN HAI DUONG- 1099370554 -MAY 07-na002185809</v>
      </c>
    </row>
    <row r="752" spans="1:13" ht="27.6">
      <c r="A752" s="216">
        <f>IF(C752&lt;&gt;"",SUBTOTAL(103,$C$8:C752),"")</f>
        <v>414</v>
      </c>
      <c r="B752" s="226">
        <v>43227</v>
      </c>
      <c r="C752" s="216" t="s">
        <v>1824</v>
      </c>
      <c r="D752" s="216" t="str">
        <f t="shared" si="33"/>
        <v>XUAN TRUONG, NAM DINH</v>
      </c>
      <c r="E752" s="215">
        <v>1</v>
      </c>
      <c r="F752" s="216"/>
      <c r="G752" s="216">
        <f>IF(C752&lt;&gt;"",VLOOKUP(C752,DSKH!B:E,3,0),"")</f>
        <v>0</v>
      </c>
      <c r="H752" s="222">
        <v>1099359572</v>
      </c>
      <c r="I752" s="217" t="s">
        <v>2860</v>
      </c>
      <c r="J752" s="224" t="s">
        <v>3548</v>
      </c>
      <c r="K752" s="216" t="str">
        <f t="shared" si="34"/>
        <v>MR HAN: 0912 520 704</v>
      </c>
      <c r="L752" s="216">
        <v>0.15</v>
      </c>
      <c r="M752" s="216" t="str">
        <f t="shared" si="32"/>
        <v>SONG HONG 4- 1099359572 -MAY 07-na002185810</v>
      </c>
    </row>
    <row r="753" spans="1:13" ht="41.4">
      <c r="A753" s="216">
        <f>IF(C753&lt;&gt;"",SUBTOTAL(103,$C$8:C753),"")</f>
        <v>415</v>
      </c>
      <c r="B753" s="226">
        <v>43227</v>
      </c>
      <c r="C753" s="216" t="s">
        <v>1247</v>
      </c>
      <c r="D753" s="216" t="str">
        <f t="shared" si="33"/>
        <v>Thôn: Bằng, xã Nghĩa Hòa, Huyện Lạng Giang, tỉnh Bắc Giang</v>
      </c>
      <c r="E753" s="215">
        <v>1</v>
      </c>
      <c r="F753" s="216" t="s">
        <v>2090</v>
      </c>
      <c r="G753" s="216">
        <f>IF(C753&lt;&gt;"",VLOOKUP(C753,DSKH!B:E,3,0),"")</f>
        <v>0</v>
      </c>
      <c r="H753" s="222">
        <v>1099360536</v>
      </c>
      <c r="I753" s="217" t="s">
        <v>2860</v>
      </c>
      <c r="J753" s="224" t="s">
        <v>3549</v>
      </c>
      <c r="K753" s="216">
        <f t="shared" si="34"/>
        <v>0</v>
      </c>
      <c r="L753" s="216">
        <v>0.1</v>
      </c>
      <c r="M753" s="216" t="str">
        <f t="shared" si="32"/>
        <v>MAY LANG GIANG- 1099360536 -MAY 07-na002185811</v>
      </c>
    </row>
    <row r="754" spans="1:13" ht="41.4">
      <c r="A754" s="216">
        <f>IF(C754&lt;&gt;"",SUBTOTAL(103,$C$8:C754),"")</f>
        <v>416</v>
      </c>
      <c r="B754" s="226">
        <v>43227</v>
      </c>
      <c r="C754" s="216" t="s">
        <v>897</v>
      </c>
      <c r="D754" s="216" t="str">
        <f t="shared" si="33"/>
        <v>HO GUOM PLAZA 102 TRAN PHU MO LAO HA DONG, HA NOI</v>
      </c>
      <c r="E754" s="215">
        <v>1</v>
      </c>
      <c r="F754" s="216"/>
      <c r="G754" s="216">
        <f>IF(C754&lt;&gt;"",VLOOKUP(C754,DSKH!B:E,3,0),"")</f>
        <v>0</v>
      </c>
      <c r="H754" s="222">
        <v>1098871216</v>
      </c>
      <c r="I754" s="217"/>
      <c r="J754" s="224" t="s">
        <v>3550</v>
      </c>
      <c r="K754" s="216">
        <f t="shared" si="34"/>
        <v>0</v>
      </c>
      <c r="L754" s="216">
        <v>0.3</v>
      </c>
      <c r="M754" s="216" t="str">
        <f t="shared" si="32"/>
        <v>HO GUOM HA DONG- 1098871216 -MAY 07-na002185812</v>
      </c>
    </row>
    <row r="755" spans="1:13" ht="41.4">
      <c r="A755" s="216">
        <f>IF(C755&lt;&gt;"",SUBTOTAL(103,$C$8:C755),"")</f>
        <v>417</v>
      </c>
      <c r="B755" s="226">
        <v>43227</v>
      </c>
      <c r="C755" s="216" t="s">
        <v>2932</v>
      </c>
      <c r="D755" s="216" t="str">
        <f t="shared" si="33"/>
        <v>HOA XA INDUSTRIAL PARK-NAM DINH CITY</v>
      </c>
      <c r="E755" s="215">
        <v>1</v>
      </c>
      <c r="F755" s="216"/>
      <c r="G755" s="216">
        <f>IF(C755&lt;&gt;"",VLOOKUP(C755,DSKH!B:E,3,0),"")</f>
        <v>0</v>
      </c>
      <c r="H755" s="222" t="s">
        <v>3551</v>
      </c>
      <c r="I755" s="217"/>
      <c r="J755" s="224" t="s">
        <v>3552</v>
      </c>
      <c r="K755" s="216" t="str">
        <f t="shared" si="34"/>
        <v>HOAN 0123 777 0192</v>
      </c>
      <c r="L755" s="216">
        <v>0.1</v>
      </c>
      <c r="M755" s="216" t="str">
        <f t="shared" si="32"/>
        <v>YOUNGONE PATAGONIA-  HB SO#24157173-3 -MAY 07-na002185813</v>
      </c>
    </row>
    <row r="756" spans="1:13" ht="55.2">
      <c r="A756" s="216">
        <f>IF(C756&lt;&gt;"",SUBTOTAL(103,$C$8:C756),"")</f>
        <v>418</v>
      </c>
      <c r="B756" s="226">
        <v>43227</v>
      </c>
      <c r="C756" s="216" t="s">
        <v>831</v>
      </c>
      <c r="D756" s="216" t="str">
        <f t="shared" si="33"/>
        <v>LO B, KCN TRUNG HA, TAM NONG, PHU THO</v>
      </c>
      <c r="E756" s="215">
        <v>3</v>
      </c>
      <c r="F756" s="216"/>
      <c r="G756" s="216" t="str">
        <f>IF(C756&lt;&gt;"",VLOOKUP(C756,DSKH!B:E,3,0),"")</f>
        <v>CHO XNK CONFIRM
VIET DN# LEN BILL</v>
      </c>
      <c r="H756" s="222">
        <v>1098499249</v>
      </c>
      <c r="I756" s="217"/>
      <c r="J756" s="224" t="s">
        <v>3553</v>
      </c>
      <c r="K756" s="216" t="str">
        <f t="shared" si="34"/>
        <v>Ms Minh - 84 982 097 789      ​</v>
      </c>
      <c r="L756" s="216">
        <f>0.2+4.2+0.3</f>
        <v>4.7</v>
      </c>
      <c r="M756" s="216" t="str">
        <f t="shared" si="32"/>
        <v>HAMALIN- 1098499249 -MAY 07-na002185814</v>
      </c>
    </row>
    <row r="757" spans="1:13">
      <c r="A757" s="216" t="str">
        <f>IF(C757&lt;&gt;"",SUBTOTAL(103,$C$8:C757),"")</f>
        <v/>
      </c>
      <c r="B757" s="226">
        <v>43227</v>
      </c>
      <c r="C757" s="216"/>
      <c r="D757" s="216" t="str">
        <f t="shared" si="33"/>
        <v/>
      </c>
      <c r="E757" s="215"/>
      <c r="F757" s="216"/>
      <c r="G757" s="216" t="str">
        <f>IF(C757&lt;&gt;"",VLOOKUP(C757,DSKH!B:E,3,0),"")</f>
        <v/>
      </c>
      <c r="H757" s="222">
        <v>1098871499</v>
      </c>
      <c r="I757" s="217"/>
      <c r="J757" s="224"/>
      <c r="K757" s="216" t="str">
        <f t="shared" si="34"/>
        <v/>
      </c>
      <c r="L757" s="216"/>
      <c r="M757" s="216" t="str">
        <f t="shared" si="32"/>
        <v>- 1098871499 -MAY 07-</v>
      </c>
    </row>
    <row r="758" spans="1:13">
      <c r="A758" s="216" t="str">
        <f>IF(C758&lt;&gt;"",SUBTOTAL(103,$C$8:C758),"")</f>
        <v/>
      </c>
      <c r="B758" s="226">
        <v>43227</v>
      </c>
      <c r="C758" s="216"/>
      <c r="D758" s="216" t="str">
        <f t="shared" si="33"/>
        <v/>
      </c>
      <c r="E758" s="215"/>
      <c r="F758" s="216"/>
      <c r="G758" s="216" t="str">
        <f>IF(C758&lt;&gt;"",VLOOKUP(C758,DSKH!B:E,3,0),"")</f>
        <v/>
      </c>
      <c r="H758" s="222">
        <v>1098822559</v>
      </c>
      <c r="I758" s="217"/>
      <c r="J758" s="224"/>
      <c r="K758" s="216" t="str">
        <f t="shared" si="34"/>
        <v/>
      </c>
      <c r="L758" s="216"/>
      <c r="M758" s="216" t="str">
        <f t="shared" si="32"/>
        <v>- 1098822559 -MAY 07-</v>
      </c>
    </row>
    <row r="759" spans="1:13" ht="41.4">
      <c r="A759" s="216">
        <f>IF(C759&lt;&gt;"",SUBTOTAL(103,$C$8:C759),"")</f>
        <v>419</v>
      </c>
      <c r="B759" s="226">
        <v>43227</v>
      </c>
      <c r="C759" s="216" t="s">
        <v>152</v>
      </c>
      <c r="D759" s="216" t="str">
        <f t="shared" si="33"/>
        <v>VINH LONG, VINH LOC, THANH HOA</v>
      </c>
      <c r="E759" s="215">
        <v>1</v>
      </c>
      <c r="F759" s="216"/>
      <c r="G759" s="216">
        <f>IF(C759&lt;&gt;"",VLOOKUP(C759,DSKH!B:E,3,0),"")</f>
        <v>0</v>
      </c>
      <c r="H759" s="222">
        <v>1099357291</v>
      </c>
      <c r="I759" s="217" t="s">
        <v>2860</v>
      </c>
      <c r="J759" s="224" t="s">
        <v>3554</v>
      </c>
      <c r="K759" s="216" t="str">
        <f t="shared" si="34"/>
        <v>NONG 0918.981.539</v>
      </c>
      <c r="L759" s="216">
        <v>3.5</v>
      </c>
      <c r="M759" s="216" t="str">
        <f t="shared" si="32"/>
        <v>APPAREL TECH VINH LOC- 1099357291 -MAY 07-na002185815</v>
      </c>
    </row>
    <row r="760" spans="1:13" ht="69">
      <c r="A760" s="216">
        <f>IF(C760&lt;&gt;"",SUBTOTAL(103,$C$8:C760),"")</f>
        <v>420</v>
      </c>
      <c r="B760" s="226">
        <v>43227</v>
      </c>
      <c r="C760" s="216" t="s">
        <v>2291</v>
      </c>
      <c r="D760" s="216" t="str">
        <f t="shared" si="33"/>
        <v>KHANH NHAC INDUSTRIAL PARK, KHANH NHAC, YEN KHANH DIST, NINH BINH PROVINCE</v>
      </c>
      <c r="E760" s="215">
        <v>4</v>
      </c>
      <c r="F760" s="216"/>
      <c r="G760" s="216">
        <f>IF(C760&lt;&gt;"",VLOOKUP(C760,DSKH!B:E,3,0),"")</f>
        <v>0</v>
      </c>
      <c r="H760" s="222">
        <v>1099343111</v>
      </c>
      <c r="I760" s="217" t="s">
        <v>2860</v>
      </c>
      <c r="J760" s="224" t="s">
        <v>3555</v>
      </c>
      <c r="K760" s="216" t="str">
        <f t="shared" si="34"/>
        <v>Dương - 0916 271 369</v>
      </c>
      <c r="L760" s="216">
        <f>0.16+0.18+0.16+0.14</f>
        <v>0.64</v>
      </c>
      <c r="M760" s="216" t="str">
        <f t="shared" si="32"/>
        <v>VIET NAM CHUNG JYE NINH BINH- 1099343111 -MAY 07-na002185816</v>
      </c>
    </row>
    <row r="761" spans="1:13" ht="41.4">
      <c r="A761" s="216">
        <f>IF(C761&lt;&gt;"",SUBTOTAL(103,$C$8:C761),"")</f>
        <v>421</v>
      </c>
      <c r="B761" s="226">
        <v>43227</v>
      </c>
      <c r="C761" s="216" t="s">
        <v>1692</v>
      </c>
      <c r="D761" s="216" t="str">
        <f t="shared" si="33"/>
        <v>PLOT 2, F AREA, LEMON INDUSTRIAL PARK, THANH HOA CITY</v>
      </c>
      <c r="E761" s="215">
        <v>190</v>
      </c>
      <c r="F761" s="216" t="s">
        <v>2090</v>
      </c>
      <c r="G761" s="216">
        <f>IF(C761&lt;&gt;"",VLOOKUP(C761,DSKH!B:E,3,0),"")</f>
        <v>0</v>
      </c>
      <c r="H761" s="222">
        <v>1099319930</v>
      </c>
      <c r="I761" s="217" t="s">
        <v>2860</v>
      </c>
      <c r="J761" s="224" t="s">
        <v>3556</v>
      </c>
      <c r="K761" s="216" t="str">
        <f t="shared" si="34"/>
        <v>TUAN 0932214898</v>
      </c>
      <c r="L761" s="216">
        <f>1004.8</f>
        <v>1004.8</v>
      </c>
      <c r="M761" s="216" t="str">
        <f t="shared" si="32"/>
        <v>SAKURAI VN- 1099319930 -MAY 07-na002185817</v>
      </c>
    </row>
    <row r="762" spans="1:13">
      <c r="A762" s="216" t="str">
        <f>IF(C762&lt;&gt;"",SUBTOTAL(103,$C$8:C762),"")</f>
        <v/>
      </c>
      <c r="B762" s="226">
        <v>43227</v>
      </c>
      <c r="C762" s="216"/>
      <c r="D762" s="216" t="str">
        <f t="shared" si="33"/>
        <v/>
      </c>
      <c r="E762" s="215"/>
      <c r="F762" s="216"/>
      <c r="G762" s="216" t="str">
        <f>IF(C762&lt;&gt;"",VLOOKUP(C762,DSKH!B:E,3,0),"")</f>
        <v/>
      </c>
      <c r="H762" s="222">
        <v>1099189820</v>
      </c>
      <c r="I762" s="217"/>
      <c r="J762" s="224"/>
      <c r="K762" s="216" t="str">
        <f t="shared" si="34"/>
        <v/>
      </c>
      <c r="L762" s="216"/>
      <c r="M762" s="216" t="str">
        <f t="shared" si="32"/>
        <v>- 1099189820 -MAY 07-</v>
      </c>
    </row>
    <row r="763" spans="1:13">
      <c r="A763" s="216" t="str">
        <f>IF(C763&lt;&gt;"",SUBTOTAL(103,$C$8:C763),"")</f>
        <v/>
      </c>
      <c r="B763" s="226">
        <v>43227</v>
      </c>
      <c r="C763" s="216"/>
      <c r="D763" s="216" t="str">
        <f t="shared" si="33"/>
        <v/>
      </c>
      <c r="E763" s="215"/>
      <c r="F763" s="216"/>
      <c r="G763" s="216" t="str">
        <f>IF(C763&lt;&gt;"",VLOOKUP(C763,DSKH!B:E,3,0),"")</f>
        <v/>
      </c>
      <c r="H763" s="222">
        <v>1099145179</v>
      </c>
      <c r="I763" s="217"/>
      <c r="J763" s="224"/>
      <c r="K763" s="216" t="str">
        <f t="shared" si="34"/>
        <v/>
      </c>
      <c r="L763" s="216"/>
      <c r="M763" s="216" t="str">
        <f t="shared" si="32"/>
        <v>- 1099145179 -MAY 07-</v>
      </c>
    </row>
    <row r="764" spans="1:13">
      <c r="A764" s="216" t="str">
        <f>IF(C764&lt;&gt;"",SUBTOTAL(103,$C$8:C764),"")</f>
        <v/>
      </c>
      <c r="B764" s="226">
        <v>43227</v>
      </c>
      <c r="C764" s="216"/>
      <c r="D764" s="216" t="str">
        <f t="shared" si="33"/>
        <v/>
      </c>
      <c r="E764" s="215"/>
      <c r="F764" s="216"/>
      <c r="G764" s="216" t="str">
        <f>IF(C764&lt;&gt;"",VLOOKUP(C764,DSKH!B:E,3,0),"")</f>
        <v/>
      </c>
      <c r="H764" s="222">
        <v>1099008610</v>
      </c>
      <c r="I764" s="217"/>
      <c r="J764" s="224"/>
      <c r="K764" s="216" t="str">
        <f t="shared" si="34"/>
        <v/>
      </c>
      <c r="L764" s="216"/>
      <c r="M764" s="216" t="str">
        <f t="shared" si="32"/>
        <v>- 1099008610 -MAY 07-</v>
      </c>
    </row>
    <row r="765" spans="1:13">
      <c r="A765" s="216" t="str">
        <f>IF(C765&lt;&gt;"",SUBTOTAL(103,$C$8:C765),"")</f>
        <v/>
      </c>
      <c r="B765" s="226">
        <v>43227</v>
      </c>
      <c r="C765" s="216"/>
      <c r="D765" s="216" t="str">
        <f t="shared" si="33"/>
        <v/>
      </c>
      <c r="E765" s="215"/>
      <c r="F765" s="216"/>
      <c r="G765" s="216" t="str">
        <f>IF(C765&lt;&gt;"",VLOOKUP(C765,DSKH!B:E,3,0),"")</f>
        <v/>
      </c>
      <c r="H765" s="222">
        <v>1098891713</v>
      </c>
      <c r="I765" s="217"/>
      <c r="J765" s="224"/>
      <c r="K765" s="216" t="str">
        <f t="shared" si="34"/>
        <v/>
      </c>
      <c r="L765" s="216"/>
      <c r="M765" s="216" t="str">
        <f t="shared" ref="M765:M766" si="35">C765&amp;"-"&amp;" "&amp;H765&amp;" "&amp;"-"&amp;"MAY"&amp;" "&amp;"07"&amp;"-"&amp;J765</f>
        <v>- 1098891713 -MAY 07-</v>
      </c>
    </row>
    <row r="766" spans="1:13">
      <c r="A766" s="216" t="str">
        <f>IF(C766&lt;&gt;"",SUBTOTAL(103,$C$8:C766),"")</f>
        <v/>
      </c>
      <c r="B766" s="226">
        <v>43227</v>
      </c>
      <c r="C766" s="216"/>
      <c r="D766" s="216" t="str">
        <f t="shared" si="33"/>
        <v/>
      </c>
      <c r="E766" s="215"/>
      <c r="F766" s="216"/>
      <c r="G766" s="216" t="str">
        <f>IF(C766&lt;&gt;"",VLOOKUP(C766,DSKH!B:E,3,0),"")</f>
        <v/>
      </c>
      <c r="H766" s="222">
        <v>1099380892</v>
      </c>
      <c r="I766" s="217"/>
      <c r="J766" s="224"/>
      <c r="K766" s="216" t="str">
        <f t="shared" si="34"/>
        <v/>
      </c>
      <c r="L766" s="216"/>
      <c r="M766" s="216" t="str">
        <f t="shared" si="35"/>
        <v>- 1099380892 -MAY 07-</v>
      </c>
    </row>
    <row r="767" spans="1:13">
      <c r="A767" s="216" t="str">
        <f>IF(C767&lt;&gt;"",SUBTOTAL(103,$C$8:C767),"")</f>
        <v/>
      </c>
      <c r="B767" s="226">
        <v>43227</v>
      </c>
      <c r="C767" s="216"/>
      <c r="D767" s="216" t="str">
        <f t="shared" ref="D767:D830" si="36">IF(C767&lt;&gt;"",VLOOKUP(C767,DATA.DSKH,2,0),"")</f>
        <v/>
      </c>
      <c r="E767" s="215"/>
      <c r="F767" s="216"/>
      <c r="G767" s="216" t="str">
        <f>IF(C767&lt;&gt;"",VLOOKUP(C767,DSKH!B:E,3,0),"")</f>
        <v/>
      </c>
      <c r="H767" s="222">
        <v>1099386095</v>
      </c>
      <c r="I767" s="217"/>
      <c r="J767" s="224"/>
      <c r="K767" s="216" t="str">
        <f t="shared" ref="K767:K830" si="37">IF(C767&lt;&gt;"",VLOOKUP(C767,DATA.DSKH,4,0),"")</f>
        <v/>
      </c>
      <c r="L767" s="216"/>
      <c r="M767" s="216" t="str">
        <f t="shared" ref="M767:M788" si="38">C767&amp;"-"&amp;" "&amp;H767&amp;" "&amp;"-"&amp;"MAY"&amp;" "&amp;"07"&amp;"-"&amp;J767</f>
        <v>- 1099386095 -MAY 07-</v>
      </c>
    </row>
    <row r="768" spans="1:13" ht="55.2">
      <c r="A768" s="216">
        <f>IF(C768&lt;&gt;"",SUBTOTAL(103,$C$8:C768),"")</f>
        <v>422</v>
      </c>
      <c r="B768" s="226">
        <v>43227</v>
      </c>
      <c r="C768" s="216" t="s">
        <v>2541</v>
      </c>
      <c r="D768" s="216" t="str">
        <f t="shared" si="36"/>
        <v>Lot AIII - 1,5 Tan Huong IZ, Tan Huong Ward, Chau Thanh Dist, Tien Giang Province</v>
      </c>
      <c r="E768" s="215">
        <v>5</v>
      </c>
      <c r="F768" s="216" t="s">
        <v>2090</v>
      </c>
      <c r="G768" s="216">
        <f>IF(C768&lt;&gt;"",VLOOKUP(C768,DSKH!B:E,3,0),"")</f>
        <v>0</v>
      </c>
      <c r="H768" s="222">
        <v>1098873211</v>
      </c>
      <c r="I768" s="217" t="s">
        <v>2860</v>
      </c>
      <c r="J768" s="224" t="s">
        <v>3558</v>
      </c>
      <c r="K768" s="216">
        <f t="shared" si="37"/>
        <v>0</v>
      </c>
      <c r="L768" s="216">
        <f>0.25+0.26+0.1+0.22</f>
        <v>0.83</v>
      </c>
      <c r="M768" s="216" t="str">
        <f t="shared" si="38"/>
        <v>YMUV- 1098873211 -MAY 07-na002185818</v>
      </c>
    </row>
    <row r="769" spans="1:13">
      <c r="A769" s="216" t="str">
        <f>IF(C769&lt;&gt;"",SUBTOTAL(103,$C$8:C769),"")</f>
        <v/>
      </c>
      <c r="B769" s="226">
        <v>43227</v>
      </c>
      <c r="C769" s="216"/>
      <c r="D769" s="216" t="str">
        <f t="shared" si="36"/>
        <v/>
      </c>
      <c r="E769" s="215"/>
      <c r="F769" s="216"/>
      <c r="G769" s="216" t="str">
        <f>IF(C769&lt;&gt;"",VLOOKUP(C769,DSKH!B:E,3,0),"")</f>
        <v/>
      </c>
      <c r="H769" s="222">
        <v>1098669929</v>
      </c>
      <c r="I769" s="217"/>
      <c r="J769" s="224"/>
      <c r="K769" s="216" t="str">
        <f t="shared" si="37"/>
        <v/>
      </c>
      <c r="L769" s="216"/>
      <c r="M769" s="216" t="str">
        <f t="shared" si="38"/>
        <v>- 1098669929 -MAY 07-</v>
      </c>
    </row>
    <row r="770" spans="1:13">
      <c r="A770" s="216" t="str">
        <f>IF(C770&lt;&gt;"",SUBTOTAL(103,$C$8:C770),"")</f>
        <v/>
      </c>
      <c r="B770" s="226">
        <v>43227</v>
      </c>
      <c r="C770" s="216"/>
      <c r="D770" s="216" t="str">
        <f t="shared" si="36"/>
        <v/>
      </c>
      <c r="E770" s="215"/>
      <c r="F770" s="216"/>
      <c r="G770" s="216" t="str">
        <f>IF(C770&lt;&gt;"",VLOOKUP(C770,DSKH!B:E,3,0),"")</f>
        <v/>
      </c>
      <c r="H770" s="222">
        <v>1099010217</v>
      </c>
      <c r="I770" s="217"/>
      <c r="J770" s="224"/>
      <c r="K770" s="216" t="str">
        <f t="shared" si="37"/>
        <v/>
      </c>
      <c r="L770" s="216"/>
      <c r="M770" s="216" t="str">
        <f t="shared" si="38"/>
        <v>- 1099010217 -MAY 07-</v>
      </c>
    </row>
    <row r="771" spans="1:13" ht="69">
      <c r="A771" s="216">
        <f>IF(C771&lt;&gt;"",SUBTOTAL(103,$C$8:C771),"")</f>
        <v>423</v>
      </c>
      <c r="B771" s="226">
        <v>43227</v>
      </c>
      <c r="C771" s="216" t="s">
        <v>1663</v>
      </c>
      <c r="D771" s="216" t="str">
        <f t="shared" si="36"/>
        <v>So 9, Duong Dong Tay, VSIP Hai Phong, Huyen Thuy Nguyen, thuoc KKT Dinh Vu, Cat Hai, Hai Phong, Viet Nam</v>
      </c>
      <c r="E771" s="215">
        <v>2</v>
      </c>
      <c r="F771" s="216" t="s">
        <v>2090</v>
      </c>
      <c r="G771" s="216">
        <f>IF(C771&lt;&gt;"",VLOOKUP(C771,DSKH!B:E,3,0),"")</f>
        <v>0</v>
      </c>
      <c r="H771" s="222">
        <v>1099393482</v>
      </c>
      <c r="I771" s="217" t="s">
        <v>2860</v>
      </c>
      <c r="J771" s="224" t="s">
        <v>3559</v>
      </c>
      <c r="K771" s="216">
        <f t="shared" si="37"/>
        <v>0</v>
      </c>
      <c r="L771" s="216">
        <f>0.44+0.32</f>
        <v>0.76</v>
      </c>
      <c r="M771" s="216" t="str">
        <f t="shared" si="38"/>
        <v>REGINA MIRACLE- 1099393482 -MAY 07-na002185819</v>
      </c>
    </row>
    <row r="772" spans="1:13" ht="41.4">
      <c r="A772" s="216">
        <f>IF(C772&lt;&gt;"",SUBTOTAL(103,$C$8:C772),"")</f>
        <v>424</v>
      </c>
      <c r="B772" s="226">
        <v>43227</v>
      </c>
      <c r="C772" s="216" t="s">
        <v>2737</v>
      </c>
      <c r="D772" s="216" t="str">
        <f t="shared" si="36"/>
        <v>KCN HOA MAC, DUY TIEN, HA NAM</v>
      </c>
      <c r="E772" s="215">
        <v>4</v>
      </c>
      <c r="F772" s="216" t="s">
        <v>2090</v>
      </c>
      <c r="G772" s="216" t="str">
        <f>IF(C772&lt;&gt;"",VLOOKUP(C772,DSKH!B:E,3,0),"")</f>
        <v>BOOK VIETTEL GOI ANH NAM 01679630423</v>
      </c>
      <c r="H772" s="222">
        <v>1099143327</v>
      </c>
      <c r="I772" s="217"/>
      <c r="J772" s="224" t="s">
        <v>3560</v>
      </c>
      <c r="K772" s="216" t="str">
        <f t="shared" si="37"/>
        <v>JOHN 01656201930</v>
      </c>
      <c r="L772" s="216">
        <v>0.4</v>
      </c>
      <c r="M772" s="216" t="str">
        <f t="shared" si="38"/>
        <v>PRETTY VINA- 1099143327 -MAY 07-na002185820</v>
      </c>
    </row>
    <row r="773" spans="1:13" ht="41.4">
      <c r="A773" s="216">
        <f>IF(C773&lt;&gt;"",SUBTOTAL(103,$C$8:C773),"")</f>
        <v>425</v>
      </c>
      <c r="B773" s="226">
        <v>43227</v>
      </c>
      <c r="C773" s="216" t="s">
        <v>1399</v>
      </c>
      <c r="D773" s="216" t="str">
        <f t="shared" si="36"/>
        <v>185B, 14/9 STREET, PHUONG 5, TP. VINH LONG, VINH LONG</v>
      </c>
      <c r="E773" s="215">
        <v>1</v>
      </c>
      <c r="F773" s="216"/>
      <c r="G773" s="216" t="str">
        <f>IF(C773&lt;&gt;"",VLOOKUP(C773,DSKH!B:E,3,0),"")</f>
        <v>cho XNK confirm</v>
      </c>
      <c r="H773" s="222">
        <v>1099384884</v>
      </c>
      <c r="I773" s="217" t="s">
        <v>2860</v>
      </c>
      <c r="J773" s="224" t="s">
        <v>3561</v>
      </c>
      <c r="K773" s="216" t="str">
        <f t="shared" si="37"/>
        <v>ANDIE NGO: 070 6252266</v>
      </c>
      <c r="L773" s="216">
        <v>0.1</v>
      </c>
      <c r="M773" s="216" t="str">
        <f t="shared" si="38"/>
        <v>NEOBAGS- 1099384884 -MAY 07-na002185821</v>
      </c>
    </row>
    <row r="774" spans="1:13" ht="41.4">
      <c r="A774" s="216">
        <f>IF(C774&lt;&gt;"",SUBTOTAL(103,$C$8:C774),"")</f>
        <v>426</v>
      </c>
      <c r="B774" s="226">
        <v>43227</v>
      </c>
      <c r="C774" s="216" t="s">
        <v>2934</v>
      </c>
      <c r="D774" s="216" t="str">
        <f t="shared" si="36"/>
        <v>KCN VA DO THI HOANG LONG, TAO XUYEN, THANH HOA</v>
      </c>
      <c r="E774" s="215">
        <v>6</v>
      </c>
      <c r="F774" s="216"/>
      <c r="G774" s="216" t="str">
        <f>IF(C774&lt;&gt;"",VLOOKUP(C774,DSKH!B:E,3,0),"")</f>
        <v>cho XNK confirm</v>
      </c>
      <c r="H774" s="222">
        <v>1099384662</v>
      </c>
      <c r="I774" s="217" t="s">
        <v>2860</v>
      </c>
      <c r="J774" s="224" t="s">
        <v>3562</v>
      </c>
      <c r="K774" s="216" t="str">
        <f t="shared" si="37"/>
        <v>ANH TRI 01633973037 HOAC HUONG 0973532565</v>
      </c>
      <c r="L774" s="216">
        <f>7.1+6.24+4.55+8.7+4.5+9.4+0</f>
        <v>40.49</v>
      </c>
      <c r="M774" s="216" t="str">
        <f t="shared" si="38"/>
        <v>ALERON- 1099384662 -MAY 07-na002185822</v>
      </c>
    </row>
    <row r="775" spans="1:13" ht="55.2">
      <c r="A775" s="216">
        <f>IF(C775&lt;&gt;"",SUBTOTAL(103,$C$8:C775),"")</f>
        <v>427</v>
      </c>
      <c r="B775" s="226">
        <v>43227</v>
      </c>
      <c r="C775" s="216" t="s">
        <v>2340</v>
      </c>
      <c r="D775" s="216" t="str">
        <f t="shared" si="36"/>
        <v>CN 13, KHAI QUANG INDUSTRIAL SUB ZONE, 
VINH PHUC TOWN,
 VINH PHUC</v>
      </c>
      <c r="E775" s="215">
        <v>6</v>
      </c>
      <c r="F775" s="216"/>
      <c r="G775" s="216" t="str">
        <f>IF(C775&lt;&gt;"",VLOOKUP(C775,DSKH!B:E,3,0),"")</f>
        <v>cho xnk confirm</v>
      </c>
      <c r="H775" s="222">
        <v>1099384661</v>
      </c>
      <c r="I775" s="217" t="s">
        <v>2860</v>
      </c>
      <c r="J775" s="224" t="s">
        <v>3563</v>
      </c>
      <c r="K775" s="216" t="str">
        <f t="shared" si="37"/>
        <v>Mr. Woo (Kyeong Hoon, Woo) 
+84-93-688-5694</v>
      </c>
      <c r="L775" s="216">
        <f>0.1+7.4+9.2+10.8+11.6+1.7</f>
        <v>40.800000000000004</v>
      </c>
      <c r="M775" s="216" t="str">
        <f t="shared" si="38"/>
        <v>VINA KOREA- 1099384661 -MAY 07-na002185823</v>
      </c>
    </row>
    <row r="776" spans="1:13">
      <c r="A776" s="216" t="str">
        <f>IF(C776&lt;&gt;"",SUBTOTAL(103,$C$8:C776),"")</f>
        <v/>
      </c>
      <c r="B776" s="226">
        <v>43227</v>
      </c>
      <c r="C776" s="216"/>
      <c r="D776" s="216" t="str">
        <f t="shared" si="36"/>
        <v/>
      </c>
      <c r="E776" s="215"/>
      <c r="F776" s="216"/>
      <c r="G776" s="216" t="str">
        <f>IF(C776&lt;&gt;"",VLOOKUP(C776,DSKH!B:E,3,0),"")</f>
        <v/>
      </c>
      <c r="H776" s="222">
        <v>1099365161</v>
      </c>
      <c r="I776" s="217"/>
      <c r="J776" s="224"/>
      <c r="K776" s="216" t="str">
        <f t="shared" si="37"/>
        <v/>
      </c>
      <c r="L776" s="216"/>
      <c r="M776" s="216" t="str">
        <f t="shared" si="38"/>
        <v>- 1099365161 -MAY 07-</v>
      </c>
    </row>
    <row r="777" spans="1:13" ht="27.6">
      <c r="A777" s="216">
        <f>IF(C777&lt;&gt;"",SUBTOTAL(103,$C$8:C777),"")</f>
        <v>428</v>
      </c>
      <c r="B777" s="226">
        <v>43227</v>
      </c>
      <c r="C777" s="216" t="s">
        <v>1329</v>
      </c>
      <c r="D777" s="216" t="str">
        <f t="shared" si="36"/>
        <v>KCN NGUYEN DUC CANH- THAI BINH</v>
      </c>
      <c r="E777" s="215">
        <v>20</v>
      </c>
      <c r="F777" s="216"/>
      <c r="G777" s="216">
        <f>IF(C777&lt;&gt;"",VLOOKUP(C777,DSKH!B:E,3,0),"")</f>
        <v>0</v>
      </c>
      <c r="H777" s="222">
        <v>1099382649</v>
      </c>
      <c r="I777" s="217" t="s">
        <v>2860</v>
      </c>
      <c r="J777" s="224" t="s">
        <v>3564</v>
      </c>
      <c r="K777" s="216" t="str">
        <f t="shared" si="37"/>
        <v>MS NGOC: 0974 856 259</v>
      </c>
      <c r="L777" s="216">
        <f>3.2*2+1.2+2.2+0.2+2.3+2.1+2+0.6+8.5+11+10+0.86+1.42+0.94+0.47+0.42+0.18</f>
        <v>50.79</v>
      </c>
      <c r="M777" s="216" t="str">
        <f t="shared" si="38"/>
        <v>MXP- 1099382649 -MAY 07-na002185824</v>
      </c>
    </row>
    <row r="778" spans="1:13" ht="55.2">
      <c r="A778" s="216">
        <f>IF(C778&lt;&gt;"",SUBTOTAL(103,$C$8:C778),"")</f>
        <v>429</v>
      </c>
      <c r="B778" s="226">
        <v>43227</v>
      </c>
      <c r="C778" s="216" t="s">
        <v>2078</v>
      </c>
      <c r="D778" s="216" t="str">
        <f t="shared" si="36"/>
        <v>KCN NAM SACH, HAI DUONG</v>
      </c>
      <c r="E778" s="215">
        <v>1</v>
      </c>
      <c r="F778" s="216"/>
      <c r="G778" s="216">
        <f>IF(C778&lt;&gt;"",VLOOKUP(C778,DSKH!B:E,3,0),"")</f>
        <v>0</v>
      </c>
      <c r="H778" s="222" t="s">
        <v>3567</v>
      </c>
      <c r="I778" s="217" t="s">
        <v>3566</v>
      </c>
      <c r="J778" s="224" t="s">
        <v>3565</v>
      </c>
      <c r="K778" s="216">
        <f t="shared" si="37"/>
        <v>0</v>
      </c>
      <c r="L778" s="216"/>
      <c r="M778" s="216" t="str">
        <f t="shared" si="38"/>
        <v xml:space="preserve">TINH LOI GAP INC- 24348437-1 -MAY 07-NA002184027  </v>
      </c>
    </row>
    <row r="779" spans="1:13" ht="41.4">
      <c r="A779" s="216">
        <f>IF(C779&lt;&gt;"",SUBTOTAL(103,$C$8:C779),"")</f>
        <v>430</v>
      </c>
      <c r="B779" s="226">
        <v>43227</v>
      </c>
      <c r="C779" s="216" t="s">
        <v>2735</v>
      </c>
      <c r="D779" s="216" t="str">
        <f t="shared" si="36"/>
        <v>CUM CN BINH NGUYEN, XA BINH NGUYEN, HUYEN BINH SON, QUANG NGAI</v>
      </c>
      <c r="E779" s="215">
        <f>3+8</f>
        <v>11</v>
      </c>
      <c r="F779" s="216" t="s">
        <v>2861</v>
      </c>
      <c r="G779" s="216">
        <f>IF(C779&lt;&gt;"",VLOOKUP(C779,DSKH!B:E,3,0),"")</f>
        <v>0</v>
      </c>
      <c r="H779" s="222">
        <v>1099393182</v>
      </c>
      <c r="I779" s="217" t="s">
        <v>2860</v>
      </c>
      <c r="J779" s="224" t="s">
        <v>3568</v>
      </c>
      <c r="K779" s="216">
        <f t="shared" si="37"/>
        <v>0</v>
      </c>
      <c r="L779" s="216">
        <f>5*15+13.2+12+5+2.78+0.16+6+0</f>
        <v>114.14</v>
      </c>
      <c r="M779" s="216" t="str">
        <f t="shared" si="38"/>
        <v>FIVE STARS- 1099393182 -MAY 07-na002185825</v>
      </c>
    </row>
    <row r="780" spans="1:13">
      <c r="A780" s="216" t="str">
        <f>IF(C780&lt;&gt;"",SUBTOTAL(103,$C$8:C780),"")</f>
        <v/>
      </c>
      <c r="B780" s="226">
        <v>43227</v>
      </c>
      <c r="C780" s="216"/>
      <c r="D780" s="216" t="str">
        <f t="shared" si="36"/>
        <v/>
      </c>
      <c r="E780" s="215"/>
      <c r="F780" s="216"/>
      <c r="G780" s="216" t="str">
        <f>IF(C780&lt;&gt;"",VLOOKUP(C780,DSKH!B:E,3,0),"")</f>
        <v/>
      </c>
      <c r="H780" s="222">
        <v>1099393183</v>
      </c>
      <c r="I780" s="217"/>
      <c r="J780" s="224"/>
      <c r="K780" s="216" t="str">
        <f t="shared" si="37"/>
        <v/>
      </c>
      <c r="L780" s="216"/>
      <c r="M780" s="216" t="str">
        <f t="shared" si="38"/>
        <v>- 1099393183 -MAY 07-</v>
      </c>
    </row>
    <row r="781" spans="1:13">
      <c r="A781" s="216" t="str">
        <f>IF(C781&lt;&gt;"",SUBTOTAL(103,$C$8:C781),"")</f>
        <v/>
      </c>
      <c r="B781" s="226">
        <v>43227</v>
      </c>
      <c r="C781" s="216"/>
      <c r="D781" s="216" t="str">
        <f t="shared" si="36"/>
        <v/>
      </c>
      <c r="E781" s="215"/>
      <c r="F781" s="216"/>
      <c r="G781" s="216" t="str">
        <f>IF(C781&lt;&gt;"",VLOOKUP(C781,DSKH!B:E,3,0),"")</f>
        <v/>
      </c>
      <c r="H781" s="222">
        <v>1099393303</v>
      </c>
      <c r="I781" s="217"/>
      <c r="J781" s="224"/>
      <c r="K781" s="216" t="str">
        <f t="shared" si="37"/>
        <v/>
      </c>
      <c r="L781" s="216"/>
      <c r="M781" s="216" t="str">
        <f t="shared" si="38"/>
        <v>- 1099393303 -MAY 07-</v>
      </c>
    </row>
    <row r="782" spans="1:13">
      <c r="A782" s="216" t="str">
        <f>IF(C782&lt;&gt;"",SUBTOTAL(103,$C$8:C782),"")</f>
        <v/>
      </c>
      <c r="B782" s="226">
        <v>43227</v>
      </c>
      <c r="C782" s="216"/>
      <c r="D782" s="216" t="str">
        <f t="shared" si="36"/>
        <v/>
      </c>
      <c r="E782" s="215"/>
      <c r="F782" s="216"/>
      <c r="G782" s="216" t="str">
        <f>IF(C782&lt;&gt;"",VLOOKUP(C782,DSKH!B:E,3,0),"")</f>
        <v/>
      </c>
      <c r="H782" s="222">
        <v>1099393338</v>
      </c>
      <c r="I782" s="217"/>
      <c r="J782" s="224"/>
      <c r="K782" s="216" t="str">
        <f t="shared" si="37"/>
        <v/>
      </c>
      <c r="L782" s="216"/>
      <c r="M782" s="216" t="str">
        <f t="shared" si="38"/>
        <v>- 1099393338 -MAY 07-</v>
      </c>
    </row>
    <row r="783" spans="1:13" ht="55.2">
      <c r="A783" s="216">
        <f>IF(C783&lt;&gt;"",SUBTOTAL(103,$C$8:C783),"")</f>
        <v>431</v>
      </c>
      <c r="B783" s="226">
        <v>43227</v>
      </c>
      <c r="C783" s="216" t="s">
        <v>920</v>
      </c>
      <c r="D783" s="216" t="str">
        <f t="shared" si="36"/>
        <v>36 ONG ICH DUONG STR-DA NANG CITY-VIET NAM</v>
      </c>
      <c r="E783" s="215">
        <v>1</v>
      </c>
      <c r="F783" s="216" t="s">
        <v>2861</v>
      </c>
      <c r="G783" s="216" t="str">
        <f>IF(C783&lt;&gt;"",VLOOKUP(C783,DSKH!B:E,3,0),"")</f>
        <v>HANG CHUNG HOA DON, NHAN INVISTA KHONG CO HOA DON</v>
      </c>
      <c r="H783" s="222">
        <v>1099392272</v>
      </c>
      <c r="I783" s="217" t="s">
        <v>2860</v>
      </c>
      <c r="J783" s="224" t="s">
        <v>3569</v>
      </c>
      <c r="K783" s="216" t="str">
        <f t="shared" si="37"/>
        <v>THAO 0905634611</v>
      </c>
      <c r="L783" s="216">
        <f>2.7</f>
        <v>2.7</v>
      </c>
      <c r="M783" s="216" t="str">
        <f t="shared" si="38"/>
        <v>HOA THO- 1099392272 -MAY 07-na002185826</v>
      </c>
    </row>
    <row r="784" spans="1:13" ht="55.2">
      <c r="A784" s="216">
        <f>IF(C784&lt;&gt;"",SUBTOTAL(103,$C$8:C784),"")</f>
        <v>432</v>
      </c>
      <c r="B784" s="226">
        <v>43227</v>
      </c>
      <c r="C784" s="216" t="s">
        <v>383</v>
      </c>
      <c r="D784" s="216" t="str">
        <f t="shared" si="36"/>
        <v>ADD. TAODOI INDUSTRY AREA, THUA TOWN, LUONG TAI DISTRICT, BACNINH PROVINCE</v>
      </c>
      <c r="E784" s="215">
        <v>1</v>
      </c>
      <c r="F784" s="216" t="s">
        <v>2090</v>
      </c>
      <c r="G784" s="216" t="str">
        <f>IF(C784&lt;&gt;"",VLOOKUP(C784,DSKH!B:E,3,0),"")</f>
        <v>KHDL</v>
      </c>
      <c r="H784" s="222">
        <v>1099143702</v>
      </c>
      <c r="I784" s="217" t="s">
        <v>2860</v>
      </c>
      <c r="J784" s="224" t="s">
        <v>3570</v>
      </c>
      <c r="K784" s="216">
        <f t="shared" si="37"/>
        <v>0</v>
      </c>
      <c r="L784" s="216">
        <v>2.2999999999999998</v>
      </c>
      <c r="M784" s="216" t="str">
        <f t="shared" si="38"/>
        <v>DHA BAC NINH- 1099143702 -MAY 07-na002185827</v>
      </c>
    </row>
    <row r="785" spans="1:13" ht="96.6">
      <c r="A785" s="216">
        <f>IF(C785&lt;&gt;"",SUBTOTAL(103,$C$8:C785),"")</f>
        <v>433</v>
      </c>
      <c r="B785" s="226">
        <v>43227</v>
      </c>
      <c r="C785" s="216" t="s">
        <v>1225</v>
      </c>
      <c r="D785" s="216" t="str">
        <f t="shared" si="36"/>
        <v>60-ME NHU-DA NANG</v>
      </c>
      <c r="E785" s="215">
        <v>1</v>
      </c>
      <c r="F785" s="216"/>
      <c r="G785" s="216" t="str">
        <f>IF(C785&lt;&gt;"",VLOOKUP(C785,DSKH!B:E,3,0),"")</f>
        <v>HANG GEN NHAN FIGS CHO EMAIL CONFIRM GIAO HANG CUA CS, KEM PKL CHI TIET (DECATHLON)</v>
      </c>
      <c r="H785" s="222">
        <v>1099384939</v>
      </c>
      <c r="I785" s="217" t="s">
        <v>2860</v>
      </c>
      <c r="J785" s="224" t="s">
        <v>3571</v>
      </c>
      <c r="K785" s="216" t="str">
        <f t="shared" si="37"/>
        <v>ANH CHAU- KHO PHU LIEU-05113-759249</v>
      </c>
      <c r="L785" s="216">
        <v>4.5999999999999996</v>
      </c>
      <c r="M785" s="216" t="str">
        <f t="shared" si="38"/>
        <v>MAY 29 03- 1099384939 -MAY 07-na002185829</v>
      </c>
    </row>
    <row r="786" spans="1:13" ht="27.6">
      <c r="A786" s="216">
        <f>IF(C786&lt;&gt;"",SUBTOTAL(103,$C$8:C786),"")</f>
        <v>434</v>
      </c>
      <c r="B786" s="226">
        <v>43227</v>
      </c>
      <c r="C786" s="216" t="s">
        <v>2135</v>
      </c>
      <c r="D786" s="216" t="str">
        <f t="shared" si="36"/>
        <v>KHA SON, PHU BINH, THAI NGUYEN</v>
      </c>
      <c r="E786" s="215">
        <v>2</v>
      </c>
      <c r="F786" s="216"/>
      <c r="G786" s="216">
        <f>IF(C786&lt;&gt;"",VLOOKUP(C786,DSKH!B:E,3,0),"")</f>
        <v>0</v>
      </c>
      <c r="H786" s="222">
        <v>1099411157</v>
      </c>
      <c r="I786" s="217" t="s">
        <v>2860</v>
      </c>
      <c r="J786" s="224" t="s">
        <v>3572</v>
      </c>
      <c r="K786" s="216" t="str">
        <f t="shared" si="37"/>
        <v>MR LANH 0987731294</v>
      </c>
      <c r="L786" s="216">
        <f>7.5*2</f>
        <v>15</v>
      </c>
      <c r="M786" s="216" t="str">
        <f t="shared" si="38"/>
        <v>TNG PHU BINH 1- 1099411157 -MAY 07-na002185830</v>
      </c>
    </row>
    <row r="787" spans="1:13" ht="27.6">
      <c r="A787" s="216">
        <f>IF(C787&lt;&gt;"",SUBTOTAL(103,$C$8:C787),"")</f>
        <v>435</v>
      </c>
      <c r="B787" s="226">
        <v>43227</v>
      </c>
      <c r="C787" s="216" t="s">
        <v>797</v>
      </c>
      <c r="D787" s="216" t="str">
        <f t="shared" si="36"/>
        <v>KM54+100M-QL5-NGOC CHAU-HAI DUONG</v>
      </c>
      <c r="E787" s="215">
        <v>2</v>
      </c>
      <c r="F787" s="216" t="s">
        <v>2861</v>
      </c>
      <c r="G787" s="216" t="str">
        <f>IF(C787&lt;&gt;"",VLOOKUP(C787,DSKH!B:E,3,0),"")</f>
        <v>HOI LAI XNK</v>
      </c>
      <c r="H787" s="222">
        <v>1099342157</v>
      </c>
      <c r="I787" s="217" t="s">
        <v>2860</v>
      </c>
      <c r="J787" s="224" t="s">
        <v>3573</v>
      </c>
      <c r="K787" s="216" t="str">
        <f t="shared" si="37"/>
        <v>MS HUONG: 0932 296 866</v>
      </c>
      <c r="L787" s="216">
        <f>2.9+0.5</f>
        <v>3.4</v>
      </c>
      <c r="M787" s="216" t="str">
        <f t="shared" si="38"/>
        <v>HAI DUONG- 1099342157 -MAY 07-na002185831</v>
      </c>
    </row>
    <row r="788" spans="1:13">
      <c r="A788" s="216" t="str">
        <f>IF(C788&lt;&gt;"",SUBTOTAL(103,$C$8:C788),"")</f>
        <v/>
      </c>
      <c r="B788" s="226">
        <v>43227</v>
      </c>
      <c r="C788" s="216"/>
      <c r="D788" s="216" t="str">
        <f t="shared" si="36"/>
        <v/>
      </c>
      <c r="E788" s="215"/>
      <c r="F788" s="216"/>
      <c r="G788" s="216" t="str">
        <f>IF(C788&lt;&gt;"",VLOOKUP(C788,DSKH!B:E,3,0),"")</f>
        <v/>
      </c>
      <c r="H788" s="222">
        <v>1099188917</v>
      </c>
      <c r="I788" s="217"/>
      <c r="J788" s="224"/>
      <c r="K788" s="216" t="str">
        <f t="shared" si="37"/>
        <v/>
      </c>
      <c r="L788" s="216"/>
      <c r="M788" s="216" t="str">
        <f t="shared" si="38"/>
        <v>- 1099188917 -MAY 07-</v>
      </c>
    </row>
    <row r="789" spans="1:13" ht="41.4">
      <c r="A789" s="216">
        <f>IF(C789&lt;&gt;"",SUBTOTAL(103,$C$8:C789),"")</f>
        <v>436</v>
      </c>
      <c r="B789" s="226">
        <v>43228</v>
      </c>
      <c r="C789" s="216" t="s">
        <v>2196</v>
      </c>
      <c r="D789" s="216" t="str">
        <f t="shared" si="36"/>
        <v>TAN DAN, YEN DUNG, BAC GIANG</v>
      </c>
      <c r="E789" s="215">
        <v>1</v>
      </c>
      <c r="F789" s="216"/>
      <c r="G789" s="216">
        <f>IF(C789&lt;&gt;"",VLOOKUP(C789,DSKH!B:E,3,0),"")</f>
        <v>0</v>
      </c>
      <c r="H789" s="222">
        <v>1099415859</v>
      </c>
      <c r="I789" s="217"/>
      <c r="J789" s="224" t="s">
        <v>3574</v>
      </c>
      <c r="K789" s="216" t="str">
        <f t="shared" si="37"/>
        <v xml:space="preserve">MS HUE: 0240 3768 467
</v>
      </c>
      <c r="L789" s="216">
        <v>0.1</v>
      </c>
      <c r="M789" s="216" t="str">
        <f>C789&amp;"-"&amp;" "&amp;H789&amp;" "&amp;"-"&amp;"MAY"&amp;" "&amp;"08"&amp;"-"&amp;J789</f>
        <v>UNICO BAC GIANG- 1099415859 -MAY 08-na002185832</v>
      </c>
    </row>
    <row r="790" spans="1:13" ht="55.2">
      <c r="A790" s="216">
        <f>IF(C790&lt;&gt;"",SUBTOTAL(103,$C$8:C790),"")</f>
        <v>437</v>
      </c>
      <c r="B790" s="226">
        <v>43228</v>
      </c>
      <c r="C790" s="216" t="s">
        <v>213</v>
      </c>
      <c r="D790" s="216" t="str">
        <f t="shared" si="36"/>
        <v>Khu Cong Nghiep Chon Thanh II, Xa Thanh Tam, Huyen Chon Thanh, Binh Phuoc</v>
      </c>
      <c r="E790" s="215">
        <v>2</v>
      </c>
      <c r="F790" s="216"/>
      <c r="G790" s="216">
        <f>IF(C790&lt;&gt;"",VLOOKUP(C790,DSKH!B:E,3,0),"")</f>
        <v>0</v>
      </c>
      <c r="H790" s="222">
        <v>1099405706</v>
      </c>
      <c r="I790" s="217"/>
      <c r="J790" s="224" t="s">
        <v>3575</v>
      </c>
      <c r="K790" s="216" t="str">
        <f t="shared" si="37"/>
        <v>TUNG +84 913 368181</v>
      </c>
      <c r="L790" s="216">
        <v>1.7</v>
      </c>
      <c r="M790" s="216" t="str">
        <f t="shared" ref="M790:M855" si="39">C790&amp;"-"&amp;" "&amp;H790&amp;" "&amp;"-"&amp;"MAY"&amp;" "&amp;"08"&amp;"-"&amp;J790</f>
        <v>BEESCO VINA- 1099405706 -MAY 08-na002185833</v>
      </c>
    </row>
    <row r="791" spans="1:13" ht="55.2">
      <c r="A791" s="216">
        <f>IF(C791&lt;&gt;"",SUBTOTAL(103,$C$8:C791),"")</f>
        <v>438</v>
      </c>
      <c r="B791" s="226">
        <v>43228</v>
      </c>
      <c r="C791" s="216" t="s">
        <v>1493</v>
      </c>
      <c r="D791" s="216" t="str">
        <f t="shared" si="36"/>
        <v>Duong 13, KCN Trang Bang, Quoc lo 22, Xa An Tinh, Huyen Trang Bang,  Tinh Tay Ninh</v>
      </c>
      <c r="E791" s="215">
        <v>3</v>
      </c>
      <c r="F791" s="216"/>
      <c r="G791" s="216" t="str">
        <f>IF(C791&lt;&gt;"",VLOOKUP(C791,DSKH!B:E,3,0),"")</f>
        <v>GIAO KEM HOA DON</v>
      </c>
      <c r="H791" s="222">
        <v>1099399516</v>
      </c>
      <c r="I791" s="217"/>
      <c r="J791" s="224" t="s">
        <v>3576</v>
      </c>
      <c r="K791" s="216">
        <f t="shared" si="37"/>
        <v>0</v>
      </c>
      <c r="L791" s="216">
        <f>1.5+2.8+0.7</f>
        <v>5</v>
      </c>
      <c r="M791" s="216" t="str">
        <f t="shared" si="39"/>
        <v>PARK CORP- 1099399516 -MAY 08-na002185834</v>
      </c>
    </row>
    <row r="792" spans="1:13" ht="27.6">
      <c r="A792" s="216">
        <f>IF(C792&lt;&gt;"",SUBTOTAL(103,$C$8:C792),"")</f>
        <v>439</v>
      </c>
      <c r="B792" s="226">
        <v>43228</v>
      </c>
      <c r="C792" s="216" t="s">
        <v>797</v>
      </c>
      <c r="D792" s="216" t="str">
        <f t="shared" si="36"/>
        <v>KM54+100M-QL5-NGOC CHAU-HAI DUONG</v>
      </c>
      <c r="E792" s="215">
        <v>1</v>
      </c>
      <c r="F792" s="216"/>
      <c r="G792" s="216" t="str">
        <f>IF(C792&lt;&gt;"",VLOOKUP(C792,DSKH!B:E,3,0),"")</f>
        <v>HOI LAI XNK</v>
      </c>
      <c r="H792" s="222">
        <v>1099030175</v>
      </c>
      <c r="I792" s="217"/>
      <c r="J792" s="224" t="s">
        <v>3577</v>
      </c>
      <c r="K792" s="216" t="str">
        <f t="shared" si="37"/>
        <v>MS HUONG: 0932 296 866</v>
      </c>
      <c r="L792" s="216">
        <v>8</v>
      </c>
      <c r="M792" s="216" t="str">
        <f t="shared" si="39"/>
        <v>HAI DUONG- 1099030175 -MAY 08-na002185835</v>
      </c>
    </row>
    <row r="793" spans="1:13" ht="41.4">
      <c r="A793" s="216">
        <f>IF(C793&lt;&gt;"",SUBTOTAL(103,$C$8:C793),"")</f>
        <v>440</v>
      </c>
      <c r="B793" s="226">
        <v>43228</v>
      </c>
      <c r="C793" s="216" t="s">
        <v>2347</v>
      </c>
      <c r="D793" s="216" t="str">
        <f t="shared" si="36"/>
        <v>khu 6, Đồn Tây, Xã Thanh Vinh, Thị Xã Phú Thọ, Phú Thọ</v>
      </c>
      <c r="E793" s="215">
        <v>4</v>
      </c>
      <c r="F793" s="216"/>
      <c r="G793" s="216" t="str">
        <f>IF(C793&lt;&gt;"",VLOOKUP(C793,DSKH!B:E,3,0),"")</f>
        <v>giao hang truoc-C.Trang -GIAO DAI SON</v>
      </c>
      <c r="H793" s="222">
        <v>1099336422</v>
      </c>
      <c r="I793" s="217"/>
      <c r="J793" s="224" t="s">
        <v>3578</v>
      </c>
      <c r="K793" s="216" t="str">
        <f t="shared" si="37"/>
        <v>HA: 0982 063 216</v>
      </c>
      <c r="L793" s="216">
        <f>0.6+1.4+0.75</f>
        <v>2.75</v>
      </c>
      <c r="M793" s="216" t="str">
        <f t="shared" si="39"/>
        <v>VINA KYUNG SEUNG- 1099336422 -MAY 08-na002185836</v>
      </c>
    </row>
    <row r="794" spans="1:13">
      <c r="A794" s="216" t="str">
        <f>IF(C794&lt;&gt;"",SUBTOTAL(103,$C$8:C794),"")</f>
        <v/>
      </c>
      <c r="B794" s="226">
        <v>43228</v>
      </c>
      <c r="C794" s="216"/>
      <c r="D794" s="216" t="str">
        <f t="shared" si="36"/>
        <v/>
      </c>
      <c r="E794" s="215"/>
      <c r="F794" s="216"/>
      <c r="G794" s="216" t="str">
        <f>IF(C794&lt;&gt;"",VLOOKUP(C794,DSKH!B:E,3,0),"")</f>
        <v/>
      </c>
      <c r="H794" s="222">
        <v>1099320734</v>
      </c>
      <c r="I794" s="217"/>
      <c r="J794" s="224"/>
      <c r="K794" s="216" t="str">
        <f t="shared" si="37"/>
        <v/>
      </c>
      <c r="L794" s="216"/>
      <c r="M794" s="216" t="str">
        <f t="shared" si="39"/>
        <v>- 1099320734 -MAY 08-</v>
      </c>
    </row>
    <row r="795" spans="1:13" ht="27.6">
      <c r="A795" s="216">
        <f>IF(C795&lt;&gt;"",SUBTOTAL(103,$C$8:C795),"")</f>
        <v>441</v>
      </c>
      <c r="B795" s="226">
        <v>43228</v>
      </c>
      <c r="C795" s="216" t="s">
        <v>2526</v>
      </c>
      <c r="D795" s="216" t="str">
        <f t="shared" si="36"/>
        <v>NO.B6,THUY VAN IZ,VIET TRI,PHU THO,VIET NAM</v>
      </c>
      <c r="E795" s="215">
        <v>17</v>
      </c>
      <c r="F795" s="216"/>
      <c r="G795" s="216" t="str">
        <f>IF(C795&lt;&gt;"",VLOOKUP(C795,DSKH!B:E,3,0),"")</f>
        <v>CTU</v>
      </c>
      <c r="H795" s="222">
        <v>1099348586</v>
      </c>
      <c r="I795" s="217"/>
      <c r="J795" s="224" t="s">
        <v>3579</v>
      </c>
      <c r="K795" s="216" t="str">
        <f t="shared" si="37"/>
        <v>QUYNH ANH: 0935 471 807</v>
      </c>
      <c r="L795" s="216">
        <f>4.1+4.2+2.3*2+1.9+0.86+2.5+1.3+0.6+0.9+1.1+0.6+0.96+1.2+4.1*2</f>
        <v>33.020000000000003</v>
      </c>
      <c r="M795" s="216" t="str">
        <f t="shared" si="39"/>
        <v>YAKJIN VIETNAM- 1099348586 -MAY 08-na002185837</v>
      </c>
    </row>
    <row r="796" spans="1:13">
      <c r="A796" s="216" t="str">
        <f>IF(C796&lt;&gt;"",SUBTOTAL(103,$C$8:C796),"")</f>
        <v/>
      </c>
      <c r="B796" s="226">
        <v>43228</v>
      </c>
      <c r="C796" s="216"/>
      <c r="D796" s="216" t="str">
        <f t="shared" si="36"/>
        <v/>
      </c>
      <c r="E796" s="215"/>
      <c r="F796" s="216"/>
      <c r="G796" s="216" t="str">
        <f>IF(C796&lt;&gt;"",VLOOKUP(C796,DSKH!B:E,3,0),"")</f>
        <v/>
      </c>
      <c r="H796" s="222">
        <v>1099349056</v>
      </c>
      <c r="I796" s="217"/>
      <c r="J796" s="224"/>
      <c r="K796" s="216" t="str">
        <f t="shared" si="37"/>
        <v/>
      </c>
      <c r="L796" s="216"/>
      <c r="M796" s="216" t="str">
        <f t="shared" si="39"/>
        <v>- 1099349056 -MAY 08-</v>
      </c>
    </row>
    <row r="797" spans="1:13">
      <c r="A797" s="216" t="str">
        <f>IF(C797&lt;&gt;"",SUBTOTAL(103,$C$8:C797),"")</f>
        <v/>
      </c>
      <c r="B797" s="226">
        <v>43228</v>
      </c>
      <c r="C797" s="216"/>
      <c r="D797" s="216" t="str">
        <f t="shared" si="36"/>
        <v/>
      </c>
      <c r="E797" s="215"/>
      <c r="F797" s="216"/>
      <c r="G797" s="216" t="str">
        <f>IF(C797&lt;&gt;"",VLOOKUP(C797,DSKH!B:E,3,0),"")</f>
        <v/>
      </c>
      <c r="H797" s="222">
        <v>1099348643</v>
      </c>
      <c r="I797" s="217"/>
      <c r="J797" s="224"/>
      <c r="K797" s="216" t="str">
        <f t="shared" si="37"/>
        <v/>
      </c>
      <c r="L797" s="216"/>
      <c r="M797" s="216" t="str">
        <f t="shared" si="39"/>
        <v>- 1099348643 -MAY 08-</v>
      </c>
    </row>
    <row r="798" spans="1:13">
      <c r="A798" s="216" t="str">
        <f>IF(C798&lt;&gt;"",SUBTOTAL(103,$C$8:C798),"")</f>
        <v/>
      </c>
      <c r="B798" s="226">
        <v>43228</v>
      </c>
      <c r="C798" s="216"/>
      <c r="D798" s="216" t="str">
        <f t="shared" si="36"/>
        <v/>
      </c>
      <c r="E798" s="215"/>
      <c r="F798" s="216"/>
      <c r="G798" s="216" t="str">
        <f>IF(C798&lt;&gt;"",VLOOKUP(C798,DSKH!B:E,3,0),"")</f>
        <v/>
      </c>
      <c r="H798" s="222">
        <v>1099334827</v>
      </c>
      <c r="I798" s="217"/>
      <c r="J798" s="224"/>
      <c r="K798" s="216" t="str">
        <f t="shared" si="37"/>
        <v/>
      </c>
      <c r="L798" s="216"/>
      <c r="M798" s="216" t="str">
        <f t="shared" si="39"/>
        <v>- 1099334827 -MAY 08-</v>
      </c>
    </row>
    <row r="799" spans="1:13">
      <c r="A799" s="216" t="str">
        <f>IF(C799&lt;&gt;"",SUBTOTAL(103,$C$8:C799),"")</f>
        <v/>
      </c>
      <c r="B799" s="226">
        <v>43228</v>
      </c>
      <c r="C799" s="216"/>
      <c r="D799" s="216" t="str">
        <f t="shared" si="36"/>
        <v/>
      </c>
      <c r="E799" s="215"/>
      <c r="F799" s="216"/>
      <c r="G799" s="216" t="str">
        <f>IF(C799&lt;&gt;"",VLOOKUP(C799,DSKH!B:E,3,0),"")</f>
        <v/>
      </c>
      <c r="H799" s="222">
        <v>1099333869</v>
      </c>
      <c r="I799" s="217"/>
      <c r="J799" s="224"/>
      <c r="K799" s="216" t="str">
        <f t="shared" si="37"/>
        <v/>
      </c>
      <c r="L799" s="216"/>
      <c r="M799" s="216" t="str">
        <f t="shared" si="39"/>
        <v>- 1099333869 -MAY 08-</v>
      </c>
    </row>
    <row r="800" spans="1:13">
      <c r="A800" s="216" t="str">
        <f>IF(C800&lt;&gt;"",SUBTOTAL(103,$C$8:C800),"")</f>
        <v/>
      </c>
      <c r="B800" s="226">
        <v>43228</v>
      </c>
      <c r="C800" s="216"/>
      <c r="D800" s="216" t="str">
        <f t="shared" si="36"/>
        <v/>
      </c>
      <c r="E800" s="215"/>
      <c r="F800" s="216"/>
      <c r="G800" s="216" t="str">
        <f>IF(C800&lt;&gt;"",VLOOKUP(C800,DSKH!B:E,3,0),"")</f>
        <v/>
      </c>
      <c r="H800" s="222">
        <v>1099335007</v>
      </c>
      <c r="I800" s="217"/>
      <c r="J800" s="224"/>
      <c r="K800" s="216" t="str">
        <f t="shared" si="37"/>
        <v/>
      </c>
      <c r="L800" s="216"/>
      <c r="M800" s="216" t="str">
        <f t="shared" si="39"/>
        <v>- 1099335007 -MAY 08-</v>
      </c>
    </row>
    <row r="801" spans="1:13">
      <c r="A801" s="216" t="str">
        <f>IF(C801&lt;&gt;"",SUBTOTAL(103,$C$8:C801),"")</f>
        <v/>
      </c>
      <c r="B801" s="226">
        <v>43228</v>
      </c>
      <c r="C801" s="216"/>
      <c r="D801" s="216" t="str">
        <f t="shared" si="36"/>
        <v/>
      </c>
      <c r="E801" s="215"/>
      <c r="F801" s="216"/>
      <c r="G801" s="216" t="str">
        <f>IF(C801&lt;&gt;"",VLOOKUP(C801,DSKH!B:E,3,0),"")</f>
        <v/>
      </c>
      <c r="H801" s="222">
        <v>1099334629</v>
      </c>
      <c r="I801" s="217"/>
      <c r="J801" s="224"/>
      <c r="K801" s="216" t="str">
        <f t="shared" si="37"/>
        <v/>
      </c>
      <c r="L801" s="216"/>
      <c r="M801" s="216" t="str">
        <f t="shared" si="39"/>
        <v>- 1099334629 -MAY 08-</v>
      </c>
    </row>
    <row r="802" spans="1:13" ht="69">
      <c r="A802" s="216">
        <f>IF(C802&lt;&gt;"",SUBTOTAL(103,$C$8:C802),"")</f>
        <v>442</v>
      </c>
      <c r="B802" s="226">
        <v>43228</v>
      </c>
      <c r="C802" s="216" t="s">
        <v>394</v>
      </c>
      <c r="D802" s="216" t="str">
        <f t="shared" si="36"/>
        <v>Lot B/B1, Ha Lam Industrial Group, Duoc Market,Binh Phuc Commune, Thang Binh Dist, Quang Nam Province, Viet Nam</v>
      </c>
      <c r="E802" s="215">
        <v>1</v>
      </c>
      <c r="F802" s="216"/>
      <c r="G802" s="216">
        <f>IF(C802&lt;&gt;"",VLOOKUP(C802,DSKH!B:E,3,0),"")</f>
        <v>0</v>
      </c>
      <c r="H802" s="222">
        <v>1099177104</v>
      </c>
      <c r="I802" s="217"/>
      <c r="J802" s="224" t="s">
        <v>3580</v>
      </c>
      <c r="K802" s="216" t="str">
        <f t="shared" si="37"/>
        <v>TEL : (+84)510 3665696   EXT : 892, HP : (+84)1268 540 595, chi Huong  01268 540 595</v>
      </c>
      <c r="L802" s="216">
        <v>0.81</v>
      </c>
      <c r="M802" s="216" t="str">
        <f t="shared" si="39"/>
        <v>DOMEX QUANG NAM- 1099177104 -MAY 08-na002185838</v>
      </c>
    </row>
    <row r="803" spans="1:13" ht="41.4">
      <c r="A803" s="216">
        <f>IF(C803&lt;&gt;"",SUBTOTAL(103,$C$8:C803),"")</f>
        <v>443</v>
      </c>
      <c r="B803" s="226">
        <v>43228</v>
      </c>
      <c r="C803" s="216" t="s">
        <v>2334</v>
      </c>
      <c r="D803" s="216" t="str">
        <f t="shared" si="36"/>
        <v>Khu 6, Go Don, Xa Huong Lung, Huyen Cam Khe, , Tinh Phu tho</v>
      </c>
      <c r="E803" s="215">
        <v>3</v>
      </c>
      <c r="F803" s="216"/>
      <c r="G803" s="216">
        <f>IF(C803&lt;&gt;"",VLOOKUP(C803,DSKH!B:E,3,0),"")</f>
        <v>0</v>
      </c>
      <c r="H803" s="222">
        <v>1099175476</v>
      </c>
      <c r="I803" s="217"/>
      <c r="J803" s="224" t="s">
        <v>3581</v>
      </c>
      <c r="K803" s="216">
        <f t="shared" si="37"/>
        <v>0</v>
      </c>
      <c r="L803" s="216">
        <f>3.1+0.2</f>
        <v>3.3000000000000003</v>
      </c>
      <c r="M803" s="216" t="str">
        <f t="shared" si="39"/>
        <v>VINA CKGF- 1099175476 -MAY 08-na002185839</v>
      </c>
    </row>
    <row r="804" spans="1:13">
      <c r="A804" s="216" t="str">
        <f>IF(C804&lt;&gt;"",SUBTOTAL(103,$C$8:C804),"")</f>
        <v/>
      </c>
      <c r="B804" s="226">
        <v>43228</v>
      </c>
      <c r="C804" s="216"/>
      <c r="D804" s="216" t="str">
        <f t="shared" si="36"/>
        <v/>
      </c>
      <c r="E804" s="215"/>
      <c r="F804" s="216"/>
      <c r="G804" s="216" t="str">
        <f>IF(C804&lt;&gt;"",VLOOKUP(C804,DSKH!B:E,3,0),"")</f>
        <v/>
      </c>
      <c r="H804" s="222">
        <v>1099143363</v>
      </c>
      <c r="I804" s="217"/>
      <c r="J804" s="224"/>
      <c r="K804" s="216" t="str">
        <f t="shared" si="37"/>
        <v/>
      </c>
      <c r="L804" s="216"/>
      <c r="M804" s="216" t="str">
        <f t="shared" si="39"/>
        <v>- 1099143363 -MAY 08-</v>
      </c>
    </row>
    <row r="805" spans="1:13" ht="96.6">
      <c r="A805" s="216">
        <f>IF(C805&lt;&gt;"",SUBTOTAL(103,$C$8:C805),"")</f>
        <v>444</v>
      </c>
      <c r="B805" s="226">
        <v>43228</v>
      </c>
      <c r="C805" s="216" t="s">
        <v>303</v>
      </c>
      <c r="D805" s="216" t="str">
        <f t="shared" si="36"/>
        <v>LOT R (R1) KCN QUANG CHAU, VIET YEN, BAC GIANG</v>
      </c>
      <c r="E805" s="215">
        <v>19</v>
      </c>
      <c r="F805" s="216" t="s">
        <v>2861</v>
      </c>
      <c r="G805" s="216" t="str">
        <f>IF(C805&lt;&gt;"",VLOOKUP(C805,DSKH!B:E,3,0),"")</f>
        <v>KEM PL CHI TIET DANH SO THU TU TREN KIEN HANG- CON NHAN H&amp;M LAM THEO FORM CS</v>
      </c>
      <c r="H805" s="222">
        <v>1099379507</v>
      </c>
      <c r="I805" s="217" t="s">
        <v>2860</v>
      </c>
      <c r="J805" s="224" t="s">
        <v>3582</v>
      </c>
      <c r="K805" s="216" t="str">
        <f t="shared" si="37"/>
        <v>Thanh: 0982 175 182</v>
      </c>
      <c r="L805" s="216">
        <f>0.4+2.3+0.4+1.5+12.6+14.6+15.4*3+6+14.8+15.4+16+15.4*2+8.2+16+13+5.1</f>
        <v>203.29999999999998</v>
      </c>
      <c r="M805" s="216" t="str">
        <f t="shared" si="39"/>
        <v>CRYSTAL MARTIN- 1099379507 -MAY 08-na002185840</v>
      </c>
    </row>
    <row r="806" spans="1:13">
      <c r="A806" s="216" t="str">
        <f>IF(C806&lt;&gt;"",SUBTOTAL(103,$C$8:C806),"")</f>
        <v/>
      </c>
      <c r="B806" s="226">
        <v>43228</v>
      </c>
      <c r="C806" s="216"/>
      <c r="D806" s="216" t="str">
        <f t="shared" si="36"/>
        <v/>
      </c>
      <c r="E806" s="215"/>
      <c r="F806" s="216"/>
      <c r="G806" s="216" t="str">
        <f>IF(C806&lt;&gt;"",VLOOKUP(C806,DSKH!B:E,3,0),"")</f>
        <v/>
      </c>
      <c r="H806" s="222">
        <v>1099379490</v>
      </c>
      <c r="I806" s="217"/>
      <c r="J806" s="224"/>
      <c r="K806" s="216" t="str">
        <f t="shared" si="37"/>
        <v/>
      </c>
      <c r="L806" s="216"/>
      <c r="M806" s="216" t="str">
        <f t="shared" si="39"/>
        <v>- 1099379490 -MAY 08-</v>
      </c>
    </row>
    <row r="807" spans="1:13">
      <c r="A807" s="216" t="str">
        <f>IF(C807&lt;&gt;"",SUBTOTAL(103,$C$8:C807),"")</f>
        <v/>
      </c>
      <c r="B807" s="226">
        <v>43228</v>
      </c>
      <c r="C807" s="216"/>
      <c r="D807" s="216" t="str">
        <f t="shared" si="36"/>
        <v/>
      </c>
      <c r="E807" s="215"/>
      <c r="F807" s="216"/>
      <c r="G807" s="216" t="str">
        <f>IF(C807&lt;&gt;"",VLOOKUP(C807,DSKH!B:E,3,0),"")</f>
        <v/>
      </c>
      <c r="H807" s="222">
        <v>1099379486</v>
      </c>
      <c r="I807" s="217"/>
      <c r="J807" s="224"/>
      <c r="K807" s="216" t="str">
        <f t="shared" si="37"/>
        <v/>
      </c>
      <c r="L807" s="216"/>
      <c r="M807" s="216" t="str">
        <f t="shared" si="39"/>
        <v>- 1099379486 -MAY 08-</v>
      </c>
    </row>
    <row r="808" spans="1:13" ht="41.4">
      <c r="A808" s="216">
        <f>IF(C808&lt;&gt;"",SUBTOTAL(103,$C$8:C808),"")</f>
        <v>445</v>
      </c>
      <c r="B808" s="226">
        <v>43228</v>
      </c>
      <c r="C808" s="216" t="s">
        <v>1759</v>
      </c>
      <c r="D808" s="216" t="str">
        <f t="shared" si="36"/>
        <v>Khe Xoan Hamlet – Doi Can commune – Tuyen Quang City</v>
      </c>
      <c r="E808" s="215">
        <v>5</v>
      </c>
      <c r="F808" s="216"/>
      <c r="G808" s="216">
        <f>IF(C808&lt;&gt;"",VLOOKUP(C808,DSKH!B:E,3,0),"")</f>
        <v>0</v>
      </c>
      <c r="H808" s="222">
        <v>1099349389</v>
      </c>
      <c r="I808" s="217"/>
      <c r="J808" s="224" t="s">
        <v>3583</v>
      </c>
      <c r="K808" s="216" t="str">
        <f t="shared" si="37"/>
        <v xml:space="preserve"> Khanh:  +84 273 898301~2</v>
      </c>
      <c r="L808" s="216">
        <f>1.32+5.2*2+0.55+1.5</f>
        <v>13.770000000000001</v>
      </c>
      <c r="M808" s="216" t="str">
        <f t="shared" si="39"/>
        <v>SESHIN VN2- 1099349389 -MAY 08-na002185841</v>
      </c>
    </row>
    <row r="809" spans="1:13">
      <c r="A809" s="216" t="str">
        <f>IF(C809&lt;&gt;"",SUBTOTAL(103,$C$8:C809),"")</f>
        <v/>
      </c>
      <c r="B809" s="226">
        <v>43228</v>
      </c>
      <c r="C809" s="216"/>
      <c r="D809" s="216" t="str">
        <f t="shared" si="36"/>
        <v/>
      </c>
      <c r="E809" s="215"/>
      <c r="F809" s="216"/>
      <c r="G809" s="216" t="str">
        <f>IF(C809&lt;&gt;"",VLOOKUP(C809,DSKH!B:E,3,0),"")</f>
        <v/>
      </c>
      <c r="H809" s="222">
        <v>1099347779</v>
      </c>
      <c r="I809" s="217"/>
      <c r="J809" s="224"/>
      <c r="K809" s="216" t="str">
        <f t="shared" si="37"/>
        <v/>
      </c>
      <c r="L809" s="216"/>
      <c r="M809" s="216" t="str">
        <f t="shared" si="39"/>
        <v>- 1099347779 -MAY 08-</v>
      </c>
    </row>
    <row r="810" spans="1:13">
      <c r="A810" s="216" t="str">
        <f>IF(C810&lt;&gt;"",SUBTOTAL(103,$C$8:C810),"")</f>
        <v/>
      </c>
      <c r="B810" s="226">
        <v>43228</v>
      </c>
      <c r="C810" s="216"/>
      <c r="D810" s="216" t="str">
        <f t="shared" si="36"/>
        <v/>
      </c>
      <c r="E810" s="215"/>
      <c r="F810" s="216"/>
      <c r="G810" s="216" t="str">
        <f>IF(C810&lt;&gt;"",VLOOKUP(C810,DSKH!B:E,3,0),"")</f>
        <v/>
      </c>
      <c r="H810" s="222">
        <v>1099334869</v>
      </c>
      <c r="I810" s="217"/>
      <c r="J810" s="224"/>
      <c r="K810" s="216" t="str">
        <f t="shared" si="37"/>
        <v/>
      </c>
      <c r="L810" s="216"/>
      <c r="M810" s="216" t="str">
        <f t="shared" si="39"/>
        <v>- 1099334869 -MAY 08-</v>
      </c>
    </row>
    <row r="811" spans="1:13" ht="41.4">
      <c r="A811" s="216">
        <f>IF(C811&lt;&gt;"",SUBTOTAL(103,$C$8:C811),"")</f>
        <v>446</v>
      </c>
      <c r="B811" s="226">
        <v>43228</v>
      </c>
      <c r="C811" s="216" t="s">
        <v>1247</v>
      </c>
      <c r="D811" s="216" t="str">
        <f t="shared" si="36"/>
        <v>Thôn: Bằng, xã Nghĩa Hòa, Huyện Lạng Giang, tỉnh Bắc Giang</v>
      </c>
      <c r="E811" s="215">
        <v>4</v>
      </c>
      <c r="F811" s="216"/>
      <c r="G811" s="216">
        <f>IF(C811&lt;&gt;"",VLOOKUP(C811,DSKH!B:E,3,0),"")</f>
        <v>0</v>
      </c>
      <c r="H811" s="222">
        <v>1098857149</v>
      </c>
      <c r="I811" s="217"/>
      <c r="J811" s="224" t="s">
        <v>3584</v>
      </c>
      <c r="K811" s="216">
        <f t="shared" si="37"/>
        <v>0</v>
      </c>
      <c r="L811" s="216">
        <f>6.2+4.45+1.46+1.1</f>
        <v>13.209999999999999</v>
      </c>
      <c r="M811" s="216" t="str">
        <f t="shared" si="39"/>
        <v>MAY LANG GIANG- 1098857149 -MAY 08-na002185842</v>
      </c>
    </row>
    <row r="812" spans="1:13">
      <c r="A812" s="216" t="str">
        <f>IF(C812&lt;&gt;"",SUBTOTAL(103,$C$8:C812),"")</f>
        <v/>
      </c>
      <c r="B812" s="226">
        <v>43228</v>
      </c>
      <c r="C812" s="216"/>
      <c r="D812" s="216" t="str">
        <f t="shared" si="36"/>
        <v/>
      </c>
      <c r="E812" s="215"/>
      <c r="F812" s="216"/>
      <c r="G812" s="216" t="str">
        <f>IF(C812&lt;&gt;"",VLOOKUP(C812,DSKH!B:E,3,0),"")</f>
        <v/>
      </c>
      <c r="H812" s="222">
        <v>1098833744</v>
      </c>
      <c r="I812" s="217"/>
      <c r="J812" s="224"/>
      <c r="K812" s="216" t="str">
        <f t="shared" si="37"/>
        <v/>
      </c>
      <c r="L812" s="216"/>
      <c r="M812" s="216" t="str">
        <f t="shared" si="39"/>
        <v>- 1098833744 -MAY 08-</v>
      </c>
    </row>
    <row r="813" spans="1:13" ht="41.4">
      <c r="A813" s="216">
        <f>IF(C813&lt;&gt;"",SUBTOTAL(103,$C$8:C813),"")</f>
        <v>447</v>
      </c>
      <c r="B813" s="226">
        <v>43228</v>
      </c>
      <c r="C813" s="216" t="s">
        <v>2934</v>
      </c>
      <c r="D813" s="216" t="str">
        <f t="shared" si="36"/>
        <v>KCN VA DO THI HOANG LONG, TAO XUYEN, THANH HOA</v>
      </c>
      <c r="E813" s="215">
        <v>13</v>
      </c>
      <c r="F813" s="216"/>
      <c r="G813" s="216" t="str">
        <f>IF(C813&lt;&gt;"",VLOOKUP(C813,DSKH!B:E,3,0),"")</f>
        <v>cho XNK confirm</v>
      </c>
      <c r="H813" s="222">
        <v>1099127360</v>
      </c>
      <c r="I813" s="217"/>
      <c r="J813" s="224" t="s">
        <v>3585</v>
      </c>
      <c r="K813" s="216" t="str">
        <f t="shared" si="37"/>
        <v>ANH TRI 01633973037 HOAC HUONG 0973532565</v>
      </c>
      <c r="L813" s="216">
        <f>0.2+3.7+4.3+1.9+2.4+4.1+2.7+3.5+2.7+3.2+2.6+5.6+5.4</f>
        <v>42.3</v>
      </c>
      <c r="M813" s="216" t="str">
        <f t="shared" si="39"/>
        <v>ALERON- 1099127360 -MAY 08-na002185843</v>
      </c>
    </row>
    <row r="814" spans="1:13">
      <c r="A814" s="216" t="str">
        <f>IF(C814&lt;&gt;"",SUBTOTAL(103,$C$8:C814),"")</f>
        <v/>
      </c>
      <c r="B814" s="226">
        <v>43228</v>
      </c>
      <c r="C814" s="216"/>
      <c r="D814" s="216" t="str">
        <f t="shared" si="36"/>
        <v/>
      </c>
      <c r="E814" s="215"/>
      <c r="F814" s="216"/>
      <c r="G814" s="216" t="str">
        <f>IF(C814&lt;&gt;"",VLOOKUP(C814,DSKH!B:E,3,0),"")</f>
        <v/>
      </c>
      <c r="H814" s="222">
        <v>1099143258</v>
      </c>
      <c r="I814" s="217"/>
      <c r="J814" s="224"/>
      <c r="K814" s="216" t="str">
        <f t="shared" si="37"/>
        <v/>
      </c>
      <c r="L814" s="216"/>
      <c r="M814" s="216" t="str">
        <f t="shared" si="39"/>
        <v>- 1099143258 -MAY 08-</v>
      </c>
    </row>
    <row r="815" spans="1:13" ht="41.4">
      <c r="A815" s="216">
        <f>IF(C815&lt;&gt;"",SUBTOTAL(103,$C$8:C815),"")</f>
        <v>448</v>
      </c>
      <c r="B815" s="226">
        <v>43228</v>
      </c>
      <c r="C815" s="216" t="s">
        <v>2934</v>
      </c>
      <c r="D815" s="216" t="str">
        <f t="shared" si="36"/>
        <v>KCN VA DO THI HOANG LONG, TAO XUYEN, THANH HOA</v>
      </c>
      <c r="E815" s="215">
        <v>3</v>
      </c>
      <c r="F815" s="216"/>
      <c r="G815" s="216" t="str">
        <f>IF(C815&lt;&gt;"",VLOOKUP(C815,DSKH!B:E,3,0),"")</f>
        <v>cho XNK confirm</v>
      </c>
      <c r="H815" s="222">
        <v>1099160470</v>
      </c>
      <c r="I815" s="217"/>
      <c r="J815" s="224" t="s">
        <v>3586</v>
      </c>
      <c r="K815" s="216" t="s">
        <v>3587</v>
      </c>
      <c r="L815" s="216">
        <f>0.04+0.8</f>
        <v>0.84000000000000008</v>
      </c>
      <c r="M815" s="216" t="str">
        <f t="shared" si="39"/>
        <v>ALERON- 1099160470 -MAY 08-na002185844</v>
      </c>
    </row>
    <row r="816" spans="1:13">
      <c r="A816" s="216" t="str">
        <f>IF(C816&lt;&gt;"",SUBTOTAL(103,$C$8:C816),"")</f>
        <v/>
      </c>
      <c r="B816" s="226">
        <v>43228</v>
      </c>
      <c r="C816" s="216"/>
      <c r="D816" s="216" t="str">
        <f t="shared" si="36"/>
        <v/>
      </c>
      <c r="E816" s="215"/>
      <c r="F816" s="216"/>
      <c r="G816" s="216" t="str">
        <f>IF(C816&lt;&gt;"",VLOOKUP(C816,DSKH!B:E,3,0),"")</f>
        <v/>
      </c>
      <c r="H816" s="222">
        <v>1099175937</v>
      </c>
      <c r="I816" s="217"/>
      <c r="J816" s="224"/>
      <c r="K816" s="216" t="str">
        <f t="shared" si="37"/>
        <v/>
      </c>
      <c r="L816" s="216"/>
      <c r="M816" s="216" t="str">
        <f t="shared" si="39"/>
        <v>- 1099175937 -MAY 08-</v>
      </c>
    </row>
    <row r="817" spans="1:13" ht="96.6">
      <c r="A817" s="216">
        <f>IF(C817&lt;&gt;"",SUBTOTAL(103,$C$8:C817),"")</f>
        <v>449</v>
      </c>
      <c r="B817" s="226">
        <v>43228</v>
      </c>
      <c r="C817" s="216" t="s">
        <v>1795</v>
      </c>
      <c r="D817" s="216" t="str">
        <f t="shared" si="36"/>
        <v>Cn 14- Khai quang sub-industrial zone, Khai Quang commune, Vinh Yen capital town, Vinh Phuc province.</v>
      </c>
      <c r="E817" s="215">
        <v>12</v>
      </c>
      <c r="F817" s="216"/>
      <c r="G817" s="216" t="str">
        <f>IF(C817&lt;&gt;"",VLOOKUP(C817,DSKH!B:E,3,0),"")</f>
        <v>NEU CO NOTE GIAO BAROM, BOOK BAROM MAIL, SAU 2H CHUYEN SANG NGAY MAI BOOK</v>
      </c>
      <c r="H817" s="222">
        <v>1099160589</v>
      </c>
      <c r="I817" s="217"/>
      <c r="J817" s="224" t="s">
        <v>3588</v>
      </c>
      <c r="K817" s="216">
        <f t="shared" si="37"/>
        <v>0</v>
      </c>
      <c r="L817" s="216">
        <f>0.94+1.3+0.9+1.6+2+1.6+1.9*2+0.56+0.4+0.9</f>
        <v>14.000000000000002</v>
      </c>
      <c r="M817" s="216" t="str">
        <f t="shared" si="39"/>
        <v>SHINWON EBENEZER VN- 1099160589 -MAY 08-na002185845</v>
      </c>
    </row>
    <row r="818" spans="1:13">
      <c r="A818" s="216" t="str">
        <f>IF(C818&lt;&gt;"",SUBTOTAL(103,$C$8:C818),"")</f>
        <v/>
      </c>
      <c r="B818" s="226">
        <v>43228</v>
      </c>
      <c r="C818" s="216"/>
      <c r="D818" s="216" t="str">
        <f t="shared" si="36"/>
        <v/>
      </c>
      <c r="E818" s="215"/>
      <c r="F818" s="216"/>
      <c r="G818" s="216" t="str">
        <f>IF(C818&lt;&gt;"",VLOOKUP(C818,DSKH!B:E,3,0),"")</f>
        <v/>
      </c>
      <c r="H818" s="222">
        <v>1099141331</v>
      </c>
      <c r="I818" s="217"/>
      <c r="J818" s="224"/>
      <c r="K818" s="216" t="str">
        <f t="shared" si="37"/>
        <v/>
      </c>
      <c r="L818" s="216"/>
      <c r="M818" s="216" t="str">
        <f t="shared" si="39"/>
        <v>- 1099141331 -MAY 08-</v>
      </c>
    </row>
    <row r="819" spans="1:13" ht="27.6">
      <c r="A819" s="216">
        <f>IF(C819&lt;&gt;"",SUBTOTAL(103,$C$8:C819),"")</f>
        <v>450</v>
      </c>
      <c r="B819" s="226">
        <v>43228</v>
      </c>
      <c r="C819" s="216" t="s">
        <v>2215</v>
      </c>
      <c r="D819" s="216" t="str">
        <f t="shared" si="36"/>
        <v>HONG CHAU, DONG HUNG, THAI BINH</v>
      </c>
      <c r="E819" s="215">
        <v>2</v>
      </c>
      <c r="F819" s="216"/>
      <c r="G819" s="216">
        <f>IF(C819&lt;&gt;"",VLOOKUP(C819,DSKH!B:E,3,0),"")</f>
        <v>0</v>
      </c>
      <c r="H819" s="222">
        <v>1099161087</v>
      </c>
      <c r="I819" s="217"/>
      <c r="J819" s="224" t="s">
        <v>3589</v>
      </c>
      <c r="K819" s="216" t="str">
        <f t="shared" si="37"/>
        <v>JS LEE/ SUSAN/ PHUONG: 0363 898 643</v>
      </c>
      <c r="L819" s="216">
        <v>17.600000000000001</v>
      </c>
      <c r="M819" s="216" t="str">
        <f t="shared" si="39"/>
        <v>V.J.ONE- 1099161087 -MAY 08-na002185846</v>
      </c>
    </row>
    <row r="820" spans="1:13">
      <c r="A820" s="216" t="str">
        <f>IF(C820&lt;&gt;"",SUBTOTAL(103,$C$8:C820),"")</f>
        <v/>
      </c>
      <c r="B820" s="226">
        <v>43228</v>
      </c>
      <c r="C820" s="216"/>
      <c r="D820" s="216" t="str">
        <f t="shared" si="36"/>
        <v/>
      </c>
      <c r="E820" s="215"/>
      <c r="F820" s="216"/>
      <c r="G820" s="216" t="str">
        <f>IF(C820&lt;&gt;"",VLOOKUP(C820,DSKH!B:E,3,0),"")</f>
        <v/>
      </c>
      <c r="H820" s="222">
        <v>1099185743</v>
      </c>
      <c r="I820" s="217"/>
      <c r="J820" s="224"/>
      <c r="K820" s="216" t="str">
        <f t="shared" si="37"/>
        <v/>
      </c>
      <c r="L820" s="216"/>
      <c r="M820" s="216" t="str">
        <f t="shared" si="39"/>
        <v>- 1099185743 -MAY 08-</v>
      </c>
    </row>
    <row r="821" spans="1:13" ht="41.4">
      <c r="A821" s="216">
        <f>IF(C821&lt;&gt;"",SUBTOTAL(103,$C$8:C821),"")</f>
        <v>451</v>
      </c>
      <c r="B821" s="226">
        <v>43228</v>
      </c>
      <c r="C821" s="216" t="s">
        <v>2825</v>
      </c>
      <c r="D821" s="216" t="str">
        <f t="shared" si="36"/>
        <v>KCN NAM GIANG, NAM DAN, NGHE AN</v>
      </c>
      <c r="E821" s="215">
        <v>9</v>
      </c>
      <c r="F821" s="216"/>
      <c r="G821" s="216">
        <f>IF(C821&lt;&gt;"",VLOOKUP(C821,DSKH!B:E,3,0),"")</f>
        <v>0</v>
      </c>
      <c r="H821" s="222">
        <v>1099185744</v>
      </c>
      <c r="I821" s="217"/>
      <c r="J821" s="224" t="s">
        <v>3590</v>
      </c>
      <c r="K821" s="216" t="str">
        <f t="shared" si="37"/>
        <v>MS HUONG 0919190266</v>
      </c>
      <c r="L821" s="216">
        <f>158.7-0.5</f>
        <v>158.19999999999999</v>
      </c>
      <c r="M821" s="216" t="str">
        <f t="shared" si="39"/>
        <v>HA NOI TEXTILE NGHE AN- 1099185744 -MAY 08-na002185847</v>
      </c>
    </row>
    <row r="822" spans="1:13" ht="27.6">
      <c r="A822" s="216">
        <f>IF(C822&lt;&gt;"",SUBTOTAL(103,$C$8:C822),"")</f>
        <v>452</v>
      </c>
      <c r="B822" s="226">
        <v>43228</v>
      </c>
      <c r="C822" s="216" t="s">
        <v>2602</v>
      </c>
      <c r="D822" s="216" t="str">
        <f t="shared" si="36"/>
        <v>KCN SUOI TRE. LONG KHANH, DONG NAI</v>
      </c>
      <c r="E822" s="215">
        <f>2+3</f>
        <v>5</v>
      </c>
      <c r="F822" s="216" t="s">
        <v>2861</v>
      </c>
      <c r="G822" s="216">
        <f>IF(C822&lt;&gt;"",VLOOKUP(C822,DSKH!B:E,3,0),"")</f>
        <v>0</v>
      </c>
      <c r="H822" s="222">
        <v>1098856030</v>
      </c>
      <c r="I822" s="217"/>
      <c r="J822" s="224" t="s">
        <v>3591</v>
      </c>
      <c r="K822" s="216">
        <f t="shared" si="37"/>
        <v>0</v>
      </c>
      <c r="L822" s="216">
        <f>6.65+0.09+0.8+2+1.34</f>
        <v>10.879999999999999</v>
      </c>
      <c r="M822" s="216" t="str">
        <f t="shared" si="39"/>
        <v>CI BAO- 1098856030 -MAY 08-na002185848</v>
      </c>
    </row>
    <row r="823" spans="1:13">
      <c r="A823" s="216" t="str">
        <f>IF(C823&lt;&gt;"",SUBTOTAL(103,$C$8:C823),"")</f>
        <v/>
      </c>
      <c r="B823" s="226">
        <v>43228</v>
      </c>
      <c r="C823" s="216"/>
      <c r="D823" s="216" t="str">
        <f t="shared" si="36"/>
        <v/>
      </c>
      <c r="E823" s="215"/>
      <c r="F823" s="216"/>
      <c r="G823" s="216" t="str">
        <f>IF(C823&lt;&gt;"",VLOOKUP(C823,DSKH!B:E,3,0),"")</f>
        <v/>
      </c>
      <c r="H823" s="222">
        <v>1098897828</v>
      </c>
      <c r="I823" s="217"/>
      <c r="J823" s="224"/>
      <c r="K823" s="216" t="str">
        <f t="shared" si="37"/>
        <v/>
      </c>
      <c r="L823" s="216"/>
      <c r="M823" s="216" t="str">
        <f t="shared" si="39"/>
        <v>- 1098897828 -MAY 08-</v>
      </c>
    </row>
    <row r="824" spans="1:13">
      <c r="A824" s="216" t="str">
        <f>IF(C824&lt;&gt;"",SUBTOTAL(103,$C$8:C824),"")</f>
        <v/>
      </c>
      <c r="B824" s="226">
        <v>43228</v>
      </c>
      <c r="C824" s="216"/>
      <c r="D824" s="216" t="str">
        <f t="shared" si="36"/>
        <v/>
      </c>
      <c r="E824" s="215"/>
      <c r="F824" s="216"/>
      <c r="G824" s="216" t="str">
        <f>IF(C824&lt;&gt;"",VLOOKUP(C824,DSKH!B:E,3,0),"")</f>
        <v/>
      </c>
      <c r="H824" s="222">
        <v>1098871048</v>
      </c>
      <c r="I824" s="217"/>
      <c r="J824" s="224"/>
      <c r="K824" s="216" t="str">
        <f t="shared" si="37"/>
        <v/>
      </c>
      <c r="L824" s="216"/>
      <c r="M824" s="216" t="str">
        <f t="shared" si="39"/>
        <v>- 1098871048 -MAY 08-</v>
      </c>
    </row>
    <row r="825" spans="1:13">
      <c r="A825" s="216" t="str">
        <f>IF(C825&lt;&gt;"",SUBTOTAL(103,$C$8:C825),"")</f>
        <v/>
      </c>
      <c r="B825" s="226">
        <v>43228</v>
      </c>
      <c r="C825" s="216"/>
      <c r="D825" s="216" t="str">
        <f t="shared" si="36"/>
        <v/>
      </c>
      <c r="E825" s="215"/>
      <c r="F825" s="216"/>
      <c r="G825" s="216" t="str">
        <f>IF(C825&lt;&gt;"",VLOOKUP(C825,DSKH!B:E,3,0),"")</f>
        <v/>
      </c>
      <c r="H825" s="222">
        <v>1098976019</v>
      </c>
      <c r="I825" s="217"/>
      <c r="J825" s="224"/>
      <c r="K825" s="216" t="str">
        <f t="shared" si="37"/>
        <v/>
      </c>
      <c r="L825" s="216"/>
      <c r="M825" s="216" t="str">
        <f t="shared" si="39"/>
        <v>- 1098976019 -MAY 08-</v>
      </c>
    </row>
    <row r="826" spans="1:13" ht="41.4">
      <c r="A826" s="216">
        <f>IF(C826&lt;&gt;"",SUBTOTAL(103,$C$8:C826),"")</f>
        <v>453</v>
      </c>
      <c r="B826" s="226">
        <v>43228</v>
      </c>
      <c r="C826" s="216" t="s">
        <v>1756</v>
      </c>
      <c r="D826" s="216" t="str">
        <f t="shared" si="36"/>
        <v>THUY VAN IZ-LOT 10-VIET TRI-PHU THO</v>
      </c>
      <c r="E826" s="215">
        <v>3</v>
      </c>
      <c r="F826" s="216"/>
      <c r="G826" s="216">
        <f>IF(C826&lt;&gt;"",VLOOKUP(C826,DSKH!B:E,3,0),"")</f>
        <v>0</v>
      </c>
      <c r="H826" s="222">
        <v>1098989266</v>
      </c>
      <c r="I826" s="217" t="s">
        <v>3593</v>
      </c>
      <c r="J826" s="224" t="s">
        <v>3592</v>
      </c>
      <c r="K826" s="216" t="str">
        <f t="shared" si="37"/>
        <v>TUAN: 0942 935 662</v>
      </c>
      <c r="L826" s="216">
        <f>11.9</f>
        <v>11.9</v>
      </c>
      <c r="M826" s="216" t="str">
        <f t="shared" si="39"/>
        <v>SESHIN- 1098989266 -MAY 08-na002185849</v>
      </c>
    </row>
    <row r="827" spans="1:13">
      <c r="A827" s="216" t="str">
        <f>IF(C827&lt;&gt;"",SUBTOTAL(103,$C$8:C827),"")</f>
        <v/>
      </c>
      <c r="B827" s="226">
        <v>43228</v>
      </c>
      <c r="C827" s="216"/>
      <c r="D827" s="216" t="str">
        <f t="shared" si="36"/>
        <v/>
      </c>
      <c r="E827" s="215"/>
      <c r="F827" s="216"/>
      <c r="G827" s="216" t="str">
        <f>IF(C827&lt;&gt;"",VLOOKUP(C827,DSKH!B:E,3,0),"")</f>
        <v/>
      </c>
      <c r="H827" s="222">
        <v>1099145976</v>
      </c>
      <c r="I827" s="217"/>
      <c r="J827" s="224"/>
      <c r="K827" s="216" t="str">
        <f t="shared" si="37"/>
        <v/>
      </c>
      <c r="L827" s="216"/>
      <c r="M827" s="216" t="str">
        <f t="shared" si="39"/>
        <v>- 1099145976 -MAY 08-</v>
      </c>
    </row>
    <row r="828" spans="1:13">
      <c r="A828" s="216" t="str">
        <f>IF(C828&lt;&gt;"",SUBTOTAL(103,$C$8:C828),"")</f>
        <v/>
      </c>
      <c r="B828" s="226">
        <v>43228</v>
      </c>
      <c r="C828" s="216"/>
      <c r="D828" s="216" t="str">
        <f t="shared" si="36"/>
        <v/>
      </c>
      <c r="E828" s="215"/>
      <c r="F828" s="216"/>
      <c r="G828" s="216" t="str">
        <f>IF(C828&lt;&gt;"",VLOOKUP(C828,DSKH!B:E,3,0),"")</f>
        <v/>
      </c>
      <c r="H828" s="222">
        <v>1099172667</v>
      </c>
      <c r="I828" s="217"/>
      <c r="J828" s="224"/>
      <c r="K828" s="216" t="str">
        <f t="shared" si="37"/>
        <v/>
      </c>
      <c r="L828" s="216"/>
      <c r="M828" s="216" t="str">
        <f t="shared" si="39"/>
        <v>- 1099172667 -MAY 08-</v>
      </c>
    </row>
    <row r="829" spans="1:13" ht="55.2">
      <c r="A829" s="216">
        <f>IF(C829&lt;&gt;"",SUBTOTAL(103,$C$8:C829),"")</f>
        <v>454</v>
      </c>
      <c r="B829" s="226">
        <v>43228</v>
      </c>
      <c r="C829" s="216" t="s">
        <v>1679</v>
      </c>
      <c r="D829" s="216" t="str">
        <f t="shared" si="36"/>
        <v>LO C7-1, C7-2, C7-3, C7-4 KCN HAM KIEM II - BITA'S, HAM THUAN NAM, BINH THUAN</v>
      </c>
      <c r="E829" s="215">
        <v>1</v>
      </c>
      <c r="F829" s="216"/>
      <c r="G829" s="216" t="str">
        <f>IF(C829&lt;&gt;"",VLOOKUP(C829,DSKH!B:E,3,0),"")</f>
        <v>HANG CHUNG CTU</v>
      </c>
      <c r="H829" s="222">
        <v>1099160605</v>
      </c>
      <c r="I829" s="217" t="s">
        <v>3595</v>
      </c>
      <c r="J829" s="224" t="s">
        <v>3594</v>
      </c>
      <c r="K829" s="216" t="str">
        <f t="shared" si="37"/>
        <v>MS QUYEN: 0975 358 064</v>
      </c>
      <c r="L829" s="216">
        <v>21</v>
      </c>
      <c r="M829" s="216" t="str">
        <f t="shared" si="39"/>
        <v>RIGHT RICH- 1099160605 -MAY 08-na002185850</v>
      </c>
    </row>
    <row r="830" spans="1:13" ht="41.4">
      <c r="A830" s="216">
        <f>IF(C830&lt;&gt;"",SUBTOTAL(103,$C$8:C830),"")</f>
        <v>455</v>
      </c>
      <c r="B830" s="226">
        <v>43228</v>
      </c>
      <c r="C830" s="216" t="s">
        <v>2568</v>
      </c>
      <c r="D830" s="216" t="str">
        <f t="shared" si="36"/>
        <v>PLOT D6, KCN MY TRUNG, MY LOC, NAM DINH</v>
      </c>
      <c r="E830" s="215">
        <v>13</v>
      </c>
      <c r="F830" s="216"/>
      <c r="G830" s="216" t="str">
        <f>IF(C830&lt;&gt;"",VLOOKUP(C830,DSKH!B:E,3,0),"")</f>
        <v>HANG CHUNG CTU</v>
      </c>
      <c r="H830" s="222">
        <v>1099317563</v>
      </c>
      <c r="I830" s="217"/>
      <c r="J830" s="224" t="s">
        <v>3596</v>
      </c>
      <c r="K830" s="216" t="str">
        <f t="shared" si="37"/>
        <v>THUY: 0350 3819 198</v>
      </c>
      <c r="L830" s="216">
        <f>15.6+16+8.2+3+15.8+2.8+7.7+2.3+2.4+0.9+8.5+0.4+5.6</f>
        <v>89.2</v>
      </c>
      <c r="M830" s="216" t="str">
        <f t="shared" si="39"/>
        <v>YSS- 1099317563 -MAY 08-na002185851</v>
      </c>
    </row>
    <row r="831" spans="1:13">
      <c r="A831" s="216"/>
      <c r="B831" s="226"/>
      <c r="C831" s="216"/>
      <c r="D831" s="216"/>
      <c r="E831" s="215"/>
      <c r="F831" s="216"/>
      <c r="G831" s="216"/>
      <c r="H831" s="222">
        <v>1099161193</v>
      </c>
      <c r="I831" s="217"/>
      <c r="J831" s="224"/>
      <c r="K831" s="216"/>
      <c r="L831" s="216"/>
      <c r="M831" s="216"/>
    </row>
    <row r="832" spans="1:13">
      <c r="A832" s="216"/>
      <c r="B832" s="226"/>
      <c r="C832" s="216"/>
      <c r="D832" s="216"/>
      <c r="E832" s="215"/>
      <c r="F832" s="216"/>
      <c r="G832" s="216"/>
      <c r="H832" s="222">
        <v>1098989285</v>
      </c>
      <c r="I832" s="217"/>
      <c r="J832" s="224"/>
      <c r="K832" s="216"/>
      <c r="L832" s="216"/>
      <c r="M832" s="216"/>
    </row>
    <row r="833" spans="1:13" ht="27.6">
      <c r="A833" s="216">
        <f>IF(C833&lt;&gt;"",SUBTOTAL(103,$C$8:C833),"")</f>
        <v>456</v>
      </c>
      <c r="B833" s="226">
        <v>43228</v>
      </c>
      <c r="C833" s="216" t="s">
        <v>761</v>
      </c>
      <c r="D833" s="216" t="str">
        <f t="shared" ref="D833:D896" si="40">IF(C833&lt;&gt;"",VLOOKUP(C833,DATA.DSKH,2,0),"")</f>
        <v>KM50+460, QL 5, CAM THUONG, HAI DUONG</v>
      </c>
      <c r="E833" s="215">
        <v>1</v>
      </c>
      <c r="F833" s="216"/>
      <c r="G833" s="216">
        <f>IF(C833&lt;&gt;"",VLOOKUP(C833,DSKH!B:E,3,0),"")</f>
        <v>0</v>
      </c>
      <c r="H833" s="222">
        <v>1099175640</v>
      </c>
      <c r="I833" s="217"/>
      <c r="J833" s="224" t="s">
        <v>3597</v>
      </c>
      <c r="K833" s="216" t="str">
        <f t="shared" ref="K833:K896" si="41">IF(C833&lt;&gt;"",VLOOKUP(C833,DATA.DSKH,4,0),"")</f>
        <v>Ms Bich Nga 0945 078 558</v>
      </c>
      <c r="L833" s="216">
        <v>0.4</v>
      </c>
      <c r="M833" s="216" t="str">
        <f t="shared" si="39"/>
        <v>HA HAE- 1099175640 -MAY 08-na002185852</v>
      </c>
    </row>
    <row r="834" spans="1:13" ht="41.4">
      <c r="A834" s="216">
        <f>IF(C834&lt;&gt;"",SUBTOTAL(103,$C$8:C834),"")</f>
        <v>457</v>
      </c>
      <c r="B834" s="226">
        <v>43228</v>
      </c>
      <c r="C834" s="216" t="s">
        <v>1164</v>
      </c>
      <c r="D834" s="216" t="str">
        <f t="shared" si="40"/>
        <v>KCN VU QUY, KIEN XUONG, THAI BINH</v>
      </c>
      <c r="E834" s="215">
        <v>50</v>
      </c>
      <c r="F834" s="216" t="s">
        <v>3599</v>
      </c>
      <c r="G834" s="216">
        <f>IF(C834&lt;&gt;"",VLOOKUP(C834,DSKH!B:E,3,0),"")</f>
        <v>0</v>
      </c>
      <c r="H834" s="222">
        <v>1099141934</v>
      </c>
      <c r="I834" s="217"/>
      <c r="J834" s="224" t="s">
        <v>3598</v>
      </c>
      <c r="K834" s="216">
        <f t="shared" si="41"/>
        <v>0</v>
      </c>
      <c r="L834" s="216">
        <f>50*19</f>
        <v>950</v>
      </c>
      <c r="M834" s="216" t="str">
        <f t="shared" si="39"/>
        <v>LONG HANH THIEN HA- 1099141934 -MAY 08-na002185853</v>
      </c>
    </row>
    <row r="835" spans="1:13" ht="41.4">
      <c r="A835" s="216">
        <f>IF(C835&lt;&gt;"",SUBTOTAL(103,$C$8:C835),"")</f>
        <v>458</v>
      </c>
      <c r="B835" s="226">
        <v>43228</v>
      </c>
      <c r="C835" s="216" t="s">
        <v>1192</v>
      </c>
      <c r="D835" s="216" t="str">
        <f t="shared" si="40"/>
        <v>THANH HAI -  THANH HA -  HAI DUONG</v>
      </c>
      <c r="E835" s="215">
        <v>1</v>
      </c>
      <c r="F835" s="216" t="s">
        <v>2861</v>
      </c>
      <c r="G835" s="216" t="str">
        <f>IF(C835&lt;&gt;"",VLOOKUP(C835,DSKH!B:E,3,0),"")</f>
        <v>VAT- DONG MOC TREO- CHUNG HD</v>
      </c>
      <c r="H835" s="222" t="s">
        <v>3600</v>
      </c>
      <c r="I835" s="217" t="s">
        <v>3600</v>
      </c>
      <c r="J835" s="224" t="s">
        <v>3601</v>
      </c>
      <c r="K835" s="216" t="str">
        <f t="shared" si="41"/>
        <v>ANH TUAN: 0979 399 357</v>
      </c>
      <c r="L835" s="216">
        <v>0.1</v>
      </c>
      <c r="M835" s="216" t="str">
        <f t="shared" si="39"/>
        <v>MAKALOT- 1 PHONG BI DONG MOC DN -MAY 08-na002185854</v>
      </c>
    </row>
    <row r="836" spans="1:13" ht="41.4">
      <c r="A836" s="216">
        <f>IF(C836&lt;&gt;"",SUBTOTAL(103,$C$8:C836),"")</f>
        <v>459</v>
      </c>
      <c r="B836" s="226">
        <v>43228</v>
      </c>
      <c r="C836" s="216" t="s">
        <v>2215</v>
      </c>
      <c r="D836" s="216" t="str">
        <f t="shared" si="40"/>
        <v>HONG CHAU, DONG HUNG, THAI BINH</v>
      </c>
      <c r="E836" s="215">
        <v>1</v>
      </c>
      <c r="F836" s="216" t="s">
        <v>2090</v>
      </c>
      <c r="G836" s="216">
        <f>IF(C836&lt;&gt;"",VLOOKUP(C836,DSKH!B:E,3,0),"")</f>
        <v>0</v>
      </c>
      <c r="H836" s="222"/>
      <c r="I836" s="217" t="s">
        <v>3602</v>
      </c>
      <c r="J836" s="224" t="s">
        <v>3603</v>
      </c>
      <c r="K836" s="216" t="s">
        <v>3604</v>
      </c>
      <c r="L836" s="216">
        <v>0.5</v>
      </c>
      <c r="M836" s="216" t="str">
        <f t="shared" si="39"/>
        <v>V.J.ONE-  -MAY 08-na001655824</v>
      </c>
    </row>
    <row r="837" spans="1:13" ht="110.4">
      <c r="A837" s="216">
        <f>IF(C837&lt;&gt;"",SUBTOTAL(103,$C$8:C837),"")</f>
        <v>460</v>
      </c>
      <c r="B837" s="226">
        <v>43228</v>
      </c>
      <c r="C837" s="216" t="s">
        <v>2672</v>
      </c>
      <c r="D837" s="216" t="str">
        <f t="shared" si="40"/>
        <v>CHAU TU, CHAU LOC, HAU LOC, THANH HOA</v>
      </c>
      <c r="E837" s="215">
        <v>1</v>
      </c>
      <c r="F837" s="216"/>
      <c r="G837" s="216">
        <f>IF(C837&lt;&gt;"",VLOOKUP(C837,DSKH!B:E,3,0),"")</f>
        <v>0</v>
      </c>
      <c r="H837" s="222">
        <v>1099359974</v>
      </c>
      <c r="I837" s="217"/>
      <c r="J837" s="224" t="s">
        <v>3606</v>
      </c>
      <c r="K837" s="216" t="s">
        <v>3605</v>
      </c>
      <c r="L837" s="216">
        <v>1.1000000000000001</v>
      </c>
      <c r="M837" s="216" t="str">
        <f t="shared" si="39"/>
        <v>NY HOA VIET- 1099359974 -MAY 08-na002185855</v>
      </c>
    </row>
    <row r="838" spans="1:13" ht="27.6">
      <c r="A838" s="216">
        <f>IF(C838&lt;&gt;"",SUBTOTAL(103,$C$8:C838),"")</f>
        <v>461</v>
      </c>
      <c r="B838" s="226">
        <v>43228</v>
      </c>
      <c r="C838" s="216" t="s">
        <v>210</v>
      </c>
      <c r="D838" s="216" t="str">
        <f t="shared" si="40"/>
        <v>THI TRAN TRAN CAO, PHU CU, HUNG YEN</v>
      </c>
      <c r="E838" s="215">
        <v>1</v>
      </c>
      <c r="F838" s="216" t="s">
        <v>2090</v>
      </c>
      <c r="G838" s="216">
        <f>IF(C838&lt;&gt;"",VLOOKUP(C838,DSKH!B:E,3,0),"")</f>
        <v>0</v>
      </c>
      <c r="H838" s="222">
        <v>1099509610</v>
      </c>
      <c r="I838" s="217" t="s">
        <v>2860</v>
      </c>
      <c r="J838" s="224" t="s">
        <v>3607</v>
      </c>
      <c r="K838" s="216" t="str">
        <f t="shared" si="41"/>
        <v>PHUONG: 0986 702 913</v>
      </c>
      <c r="L838" s="216">
        <v>0.2</v>
      </c>
      <c r="M838" s="216" t="str">
        <f t="shared" si="39"/>
        <v>BEEAHN- 1099509610 -MAY 08-na002185856</v>
      </c>
    </row>
    <row r="839" spans="1:13" ht="41.4">
      <c r="A839" s="216">
        <f>IF(C839&lt;&gt;"",SUBTOTAL(103,$C$8:C839),"")</f>
        <v>462</v>
      </c>
      <c r="B839" s="226">
        <v>43228</v>
      </c>
      <c r="C839" s="216" t="s">
        <v>2586</v>
      </c>
      <c r="D839" s="216" t="str">
        <f t="shared" si="40"/>
        <v>SO 15, DUONG 7, VSIP BAC NINH, PHU CHAN, TU SON, BAC NINH</v>
      </c>
      <c r="E839" s="215">
        <v>2</v>
      </c>
      <c r="F839" s="216" t="s">
        <v>2861</v>
      </c>
      <c r="G839" s="216">
        <f>IF(C839&lt;&gt;"",VLOOKUP(C839,DSKH!B:E,3,0),"")</f>
        <v>0</v>
      </c>
      <c r="H839" s="222">
        <v>1099164396</v>
      </c>
      <c r="I839" s="217" t="s">
        <v>2860</v>
      </c>
      <c r="J839" s="224" t="s">
        <v>3608</v>
      </c>
      <c r="K839" s="216">
        <f t="shared" si="41"/>
        <v>0</v>
      </c>
      <c r="L839" s="216">
        <v>1.4</v>
      </c>
      <c r="M839" s="216" t="str">
        <f t="shared" si="39"/>
        <v>MAPLE CHI NHANH PEONY- 1099164396 -MAY 08-na002185327</v>
      </c>
    </row>
    <row r="840" spans="1:13" ht="27.6">
      <c r="A840" s="216">
        <f>IF(C840&lt;&gt;"",SUBTOTAL(103,$C$8:C840),"")</f>
        <v>463</v>
      </c>
      <c r="B840" s="226">
        <v>43228</v>
      </c>
      <c r="C840" s="216" t="s">
        <v>628</v>
      </c>
      <c r="D840" s="216" t="str">
        <f t="shared" si="40"/>
        <v>KCN DONG VAN II, DUY TIEN, HA NAM</v>
      </c>
      <c r="E840" s="215">
        <v>1</v>
      </c>
      <c r="F840" s="216"/>
      <c r="G840" s="216">
        <f>IF(C840&lt;&gt;"",VLOOKUP(C840,DSKH!B:E,3,0),"")</f>
        <v>0</v>
      </c>
      <c r="H840" s="222">
        <v>1099520862</v>
      </c>
      <c r="I840" s="217" t="s">
        <v>2860</v>
      </c>
      <c r="J840" s="224" t="s">
        <v>3609</v>
      </c>
      <c r="K840" s="216" t="str">
        <f t="shared" si="41"/>
        <v>ANH HOANG: 0914366996</v>
      </c>
      <c r="L840" s="216">
        <v>0.3</v>
      </c>
      <c r="M840" s="216" t="str">
        <f t="shared" si="39"/>
        <v>GENTHERM- 1099520862 -MAY 08-na002185326</v>
      </c>
    </row>
    <row r="841" spans="1:13" ht="27.6">
      <c r="A841" s="216">
        <f>IF(C841&lt;&gt;"",SUBTOTAL(103,$C$8:C841),"")</f>
        <v>464</v>
      </c>
      <c r="B841" s="226">
        <v>43228</v>
      </c>
      <c r="C841" s="216" t="s">
        <v>1824</v>
      </c>
      <c r="D841" s="216" t="str">
        <f t="shared" si="40"/>
        <v>XUAN TRUONG, NAM DINH</v>
      </c>
      <c r="E841" s="215">
        <v>1</v>
      </c>
      <c r="F841" s="216"/>
      <c r="G841" s="216">
        <f>IF(C841&lt;&gt;"",VLOOKUP(C841,DSKH!B:E,3,0),"")</f>
        <v>0</v>
      </c>
      <c r="H841" s="222">
        <v>1099518332</v>
      </c>
      <c r="I841" s="217" t="s">
        <v>2860</v>
      </c>
      <c r="J841" s="224" t="s">
        <v>3610</v>
      </c>
      <c r="K841" s="216" t="str">
        <f t="shared" si="41"/>
        <v>MR HAN: 0912 520 704</v>
      </c>
      <c r="L841" s="216">
        <v>2.74</v>
      </c>
      <c r="M841" s="216" t="str">
        <f t="shared" si="39"/>
        <v>SONG HONG 4- 1099518332 -MAY 08-na002185330</v>
      </c>
    </row>
    <row r="842" spans="1:13" ht="55.2">
      <c r="A842" s="216">
        <f>IF(C842&lt;&gt;"",SUBTOTAL(103,$C$8:C842),"")</f>
        <v>465</v>
      </c>
      <c r="B842" s="226">
        <v>43228</v>
      </c>
      <c r="C842" s="216" t="s">
        <v>2289</v>
      </c>
      <c r="D842" s="216" t="str">
        <f t="shared" si="40"/>
        <v>QUYNH PHUC INDUSTRIAL PARK, PHUC THANH COMMUNE, KIMTHANH DIST</v>
      </c>
      <c r="E842" s="215">
        <v>1</v>
      </c>
      <c r="F842" s="216"/>
      <c r="G842" s="216">
        <f>IF(C842&lt;&gt;"",VLOOKUP(C842,DSKH!B:E,3,0),"")</f>
        <v>0</v>
      </c>
      <c r="H842" s="222">
        <v>1099520171</v>
      </c>
      <c r="I842" s="217" t="s">
        <v>2860</v>
      </c>
      <c r="J842" s="224" t="s">
        <v>3611</v>
      </c>
      <c r="K842" s="216">
        <f t="shared" si="41"/>
        <v>0</v>
      </c>
      <c r="L842" s="216">
        <v>0.5</v>
      </c>
      <c r="M842" s="216" t="str">
        <f t="shared" si="39"/>
        <v>VIET NAM CHUNG JYE- 1099520171 -MAY 08-na002185329</v>
      </c>
    </row>
    <row r="843" spans="1:13" ht="41.4">
      <c r="A843" s="216">
        <f>IF(C843&lt;&gt;"",SUBTOTAL(103,$C$8:C843),"")</f>
        <v>466</v>
      </c>
      <c r="B843" s="226">
        <v>43228</v>
      </c>
      <c r="C843" s="216" t="s">
        <v>3613</v>
      </c>
      <c r="D843" s="216" t="str">
        <f t="shared" si="40"/>
        <v>1800642 : Xom Ngoi Cheo, Xa Nam Hoa, Huyen Dong Hy, Tinh Thai Nguyen-----VN</v>
      </c>
      <c r="E843" s="215">
        <f>20+11</f>
        <v>31</v>
      </c>
      <c r="F843" s="216"/>
      <c r="G843" s="216">
        <f>IF(C843&lt;&gt;"",VLOOKUP(C843,DSKH!B:E,3,0),"")</f>
        <v>0</v>
      </c>
      <c r="H843" s="222">
        <v>1099379280</v>
      </c>
      <c r="I843" s="217" t="s">
        <v>2860</v>
      </c>
      <c r="J843" s="224" t="s">
        <v>3615</v>
      </c>
      <c r="K843" s="216" t="str">
        <f t="shared" si="41"/>
        <v>ATTN : TRAN QUANG TUAN - Tel 0913-227271</v>
      </c>
      <c r="L843" s="216">
        <f>242.92+5.71</f>
        <v>248.63</v>
      </c>
      <c r="M843" s="216" t="str">
        <f t="shared" si="39"/>
        <v>DG VN- 1099379280 -MAY 08-na002185332</v>
      </c>
    </row>
    <row r="844" spans="1:13">
      <c r="A844" s="216" t="str">
        <f>IF(C844&lt;&gt;"",SUBTOTAL(103,$C$8:C844),"")</f>
        <v/>
      </c>
      <c r="B844" s="226">
        <v>43228</v>
      </c>
      <c r="C844" s="216"/>
      <c r="D844" s="216" t="str">
        <f t="shared" si="40"/>
        <v/>
      </c>
      <c r="E844" s="215"/>
      <c r="F844" s="216"/>
      <c r="G844" s="216" t="str">
        <f>IF(C844&lt;&gt;"",VLOOKUP(C844,DSKH!B:E,3,0),"")</f>
        <v/>
      </c>
      <c r="H844" s="222">
        <v>1099527826</v>
      </c>
      <c r="I844" s="217"/>
      <c r="J844" s="224"/>
      <c r="K844" s="216" t="str">
        <f t="shared" si="41"/>
        <v/>
      </c>
      <c r="L844" s="216"/>
      <c r="M844" s="216" t="str">
        <f t="shared" si="39"/>
        <v>- 1099527826 -MAY 08-</v>
      </c>
    </row>
    <row r="845" spans="1:13">
      <c r="A845" s="216" t="str">
        <f>IF(C845&lt;&gt;"",SUBTOTAL(103,$C$8:C845),"")</f>
        <v/>
      </c>
      <c r="B845" s="226">
        <v>43228</v>
      </c>
      <c r="C845" s="216"/>
      <c r="D845" s="216" t="str">
        <f t="shared" si="40"/>
        <v/>
      </c>
      <c r="E845" s="215"/>
      <c r="F845" s="216"/>
      <c r="G845" s="216" t="str">
        <f>IF(C845&lt;&gt;"",VLOOKUP(C845,DSKH!B:E,3,0),"")</f>
        <v/>
      </c>
      <c r="H845" s="222">
        <v>1099527823</v>
      </c>
      <c r="I845" s="217"/>
      <c r="J845" s="224"/>
      <c r="K845" s="216" t="str">
        <f t="shared" si="41"/>
        <v/>
      </c>
      <c r="L845" s="216"/>
      <c r="M845" s="216" t="str">
        <f t="shared" si="39"/>
        <v>- 1099527823 -MAY 08-</v>
      </c>
    </row>
    <row r="846" spans="1:13">
      <c r="A846" s="216" t="str">
        <f>IF(C846&lt;&gt;"",SUBTOTAL(103,$C$8:C846),"")</f>
        <v/>
      </c>
      <c r="B846" s="226">
        <v>43228</v>
      </c>
      <c r="C846" s="216"/>
      <c r="D846" s="216" t="str">
        <f t="shared" si="40"/>
        <v/>
      </c>
      <c r="E846" s="215"/>
      <c r="F846" s="216"/>
      <c r="G846" s="216" t="str">
        <f>IF(C846&lt;&gt;"",VLOOKUP(C846,DSKH!B:E,3,0),"")</f>
        <v/>
      </c>
      <c r="H846" s="222">
        <v>1099515997</v>
      </c>
      <c r="I846" s="217"/>
      <c r="J846" s="224"/>
      <c r="K846" s="216" t="str">
        <f t="shared" si="41"/>
        <v/>
      </c>
      <c r="L846" s="216"/>
      <c r="M846" s="216" t="str">
        <f t="shared" si="39"/>
        <v>- 1099515997 -MAY 08-</v>
      </c>
    </row>
    <row r="847" spans="1:13">
      <c r="A847" s="216" t="str">
        <f>IF(C847&lt;&gt;"",SUBTOTAL(103,$C$8:C847),"")</f>
        <v/>
      </c>
      <c r="B847" s="226">
        <v>43228</v>
      </c>
      <c r="C847" s="216"/>
      <c r="D847" s="216" t="str">
        <f t="shared" si="40"/>
        <v/>
      </c>
      <c r="E847" s="215"/>
      <c r="F847" s="216"/>
      <c r="G847" s="216" t="str">
        <f>IF(C847&lt;&gt;"",VLOOKUP(C847,DSKH!B:E,3,0),"")</f>
        <v/>
      </c>
      <c r="H847" s="222"/>
      <c r="I847" s="217"/>
      <c r="J847" s="224"/>
      <c r="K847" s="216" t="str">
        <f t="shared" si="41"/>
        <v/>
      </c>
      <c r="L847" s="216"/>
      <c r="M847" s="216" t="str">
        <f t="shared" si="39"/>
        <v>-  -MAY 08-</v>
      </c>
    </row>
    <row r="848" spans="1:13">
      <c r="A848" s="216" t="str">
        <f>IF(C848&lt;&gt;"",SUBTOTAL(103,$C$8:C848),"")</f>
        <v/>
      </c>
      <c r="B848" s="226">
        <v>43228</v>
      </c>
      <c r="C848" s="216"/>
      <c r="D848" s="216" t="str">
        <f t="shared" si="40"/>
        <v/>
      </c>
      <c r="E848" s="215"/>
      <c r="F848" s="216"/>
      <c r="G848" s="216" t="str">
        <f>IF(C848&lt;&gt;"",VLOOKUP(C848,DSKH!B:E,3,0),"")</f>
        <v/>
      </c>
      <c r="H848" s="222"/>
      <c r="I848" s="217"/>
      <c r="J848" s="224"/>
      <c r="K848" s="216" t="str">
        <f t="shared" si="41"/>
        <v/>
      </c>
      <c r="L848" s="216"/>
      <c r="M848" s="216" t="str">
        <f t="shared" si="39"/>
        <v>-  -MAY 08-</v>
      </c>
    </row>
    <row r="849" spans="1:13">
      <c r="A849" s="216" t="str">
        <f>IF(C849&lt;&gt;"",SUBTOTAL(103,$C$8:C849),"")</f>
        <v/>
      </c>
      <c r="B849" s="226">
        <v>43228</v>
      </c>
      <c r="C849" s="216"/>
      <c r="D849" s="216" t="str">
        <f t="shared" si="40"/>
        <v/>
      </c>
      <c r="E849" s="215"/>
      <c r="F849" s="216"/>
      <c r="G849" s="216" t="str">
        <f>IF(C849&lt;&gt;"",VLOOKUP(C849,DSKH!B:E,3,0),"")</f>
        <v/>
      </c>
      <c r="H849" s="222"/>
      <c r="I849" s="217"/>
      <c r="J849" s="224"/>
      <c r="K849" s="216" t="str">
        <f t="shared" si="41"/>
        <v/>
      </c>
      <c r="L849" s="216"/>
      <c r="M849" s="216" t="str">
        <f t="shared" si="39"/>
        <v>-  -MAY 08-</v>
      </c>
    </row>
    <row r="850" spans="1:13">
      <c r="A850" s="216" t="str">
        <f>IF(C850&lt;&gt;"",SUBTOTAL(103,$C$8:C850),"")</f>
        <v/>
      </c>
      <c r="B850" s="226">
        <v>43228</v>
      </c>
      <c r="C850" s="216"/>
      <c r="D850" s="216" t="str">
        <f t="shared" si="40"/>
        <v/>
      </c>
      <c r="E850" s="215"/>
      <c r="F850" s="216"/>
      <c r="G850" s="216" t="str">
        <f>IF(C850&lt;&gt;"",VLOOKUP(C850,DSKH!B:E,3,0),"")</f>
        <v/>
      </c>
      <c r="H850" s="222"/>
      <c r="I850" s="217"/>
      <c r="J850" s="224"/>
      <c r="K850" s="216" t="str">
        <f t="shared" si="41"/>
        <v/>
      </c>
      <c r="L850" s="216"/>
      <c r="M850" s="216" t="str">
        <f t="shared" si="39"/>
        <v>-  -MAY 08-</v>
      </c>
    </row>
    <row r="851" spans="1:13">
      <c r="A851" s="216" t="str">
        <f>IF(C851&lt;&gt;"",SUBTOTAL(103,$C$8:C851),"")</f>
        <v/>
      </c>
      <c r="B851" s="226">
        <v>43228</v>
      </c>
      <c r="C851" s="216"/>
      <c r="D851" s="216" t="str">
        <f t="shared" si="40"/>
        <v/>
      </c>
      <c r="E851" s="215"/>
      <c r="F851" s="216"/>
      <c r="G851" s="216" t="str">
        <f>IF(C851&lt;&gt;"",VLOOKUP(C851,DSKH!B:E,3,0),"")</f>
        <v/>
      </c>
      <c r="H851" s="222"/>
      <c r="I851" s="217"/>
      <c r="J851" s="224"/>
      <c r="K851" s="216" t="str">
        <f t="shared" si="41"/>
        <v/>
      </c>
      <c r="L851" s="216"/>
      <c r="M851" s="216" t="str">
        <f t="shared" si="39"/>
        <v>-  -MAY 08-</v>
      </c>
    </row>
    <row r="852" spans="1:13">
      <c r="A852" s="216" t="str">
        <f>IF(C852&lt;&gt;"",SUBTOTAL(103,$C$8:C852),"")</f>
        <v/>
      </c>
      <c r="B852" s="226">
        <v>43228</v>
      </c>
      <c r="C852" s="216"/>
      <c r="D852" s="216" t="str">
        <f t="shared" si="40"/>
        <v/>
      </c>
      <c r="E852" s="215"/>
      <c r="F852" s="216"/>
      <c r="G852" s="216" t="str">
        <f>IF(C852&lt;&gt;"",VLOOKUP(C852,DSKH!B:E,3,0),"")</f>
        <v/>
      </c>
      <c r="H852" s="222"/>
      <c r="I852" s="217"/>
      <c r="J852" s="224"/>
      <c r="K852" s="216" t="str">
        <f t="shared" si="41"/>
        <v/>
      </c>
      <c r="L852" s="216"/>
      <c r="M852" s="216" t="str">
        <f t="shared" si="39"/>
        <v>-  -MAY 08-</v>
      </c>
    </row>
    <row r="853" spans="1:13">
      <c r="A853" s="216" t="str">
        <f>IF(C853&lt;&gt;"",SUBTOTAL(103,$C$8:C853),"")</f>
        <v/>
      </c>
      <c r="B853" s="226">
        <v>43228</v>
      </c>
      <c r="C853" s="216"/>
      <c r="D853" s="216" t="str">
        <f t="shared" si="40"/>
        <v/>
      </c>
      <c r="E853" s="215"/>
      <c r="F853" s="216"/>
      <c r="G853" s="216" t="str">
        <f>IF(C853&lt;&gt;"",VLOOKUP(C853,DSKH!B:E,3,0),"")</f>
        <v/>
      </c>
      <c r="H853" s="222"/>
      <c r="I853" s="217"/>
      <c r="J853" s="224"/>
      <c r="K853" s="216" t="str">
        <f t="shared" si="41"/>
        <v/>
      </c>
      <c r="L853" s="216"/>
      <c r="M853" s="216" t="str">
        <f t="shared" si="39"/>
        <v>-  -MAY 08-</v>
      </c>
    </row>
    <row r="854" spans="1:13">
      <c r="A854" s="216" t="str">
        <f>IF(C854&lt;&gt;"",SUBTOTAL(103,$C$8:C854),"")</f>
        <v/>
      </c>
      <c r="B854" s="226">
        <v>43228</v>
      </c>
      <c r="C854" s="216"/>
      <c r="D854" s="216" t="str">
        <f t="shared" si="40"/>
        <v/>
      </c>
      <c r="E854" s="215"/>
      <c r="F854" s="216"/>
      <c r="G854" s="216" t="str">
        <f>IF(C854&lt;&gt;"",VLOOKUP(C854,DSKH!B:E,3,0),"")</f>
        <v/>
      </c>
      <c r="H854" s="222"/>
      <c r="I854" s="217"/>
      <c r="J854" s="224"/>
      <c r="K854" s="216" t="str">
        <f t="shared" si="41"/>
        <v/>
      </c>
      <c r="L854" s="216"/>
      <c r="M854" s="216" t="str">
        <f t="shared" si="39"/>
        <v>-  -MAY 08-</v>
      </c>
    </row>
    <row r="855" spans="1:13">
      <c r="A855" s="216" t="str">
        <f>IF(C855&lt;&gt;"",SUBTOTAL(103,$C$8:C855),"")</f>
        <v/>
      </c>
      <c r="B855" s="226">
        <v>43228</v>
      </c>
      <c r="C855" s="216"/>
      <c r="D855" s="216" t="str">
        <f t="shared" si="40"/>
        <v/>
      </c>
      <c r="E855" s="215"/>
      <c r="F855" s="216"/>
      <c r="G855" s="216" t="str">
        <f>IF(C855&lt;&gt;"",VLOOKUP(C855,DSKH!B:E,3,0),"")</f>
        <v/>
      </c>
      <c r="H855" s="222"/>
      <c r="I855" s="217"/>
      <c r="J855" s="224"/>
      <c r="K855" s="216" t="str">
        <f t="shared" si="41"/>
        <v/>
      </c>
      <c r="L855" s="216"/>
      <c r="M855" s="216" t="str">
        <f t="shared" si="39"/>
        <v>-  -MAY 08-</v>
      </c>
    </row>
    <row r="856" spans="1:13">
      <c r="A856" s="216" t="str">
        <f>IF(C856&lt;&gt;"",SUBTOTAL(103,$C$8:C856),"")</f>
        <v/>
      </c>
      <c r="B856" s="226">
        <v>43228</v>
      </c>
      <c r="C856" s="216"/>
      <c r="D856" s="216" t="str">
        <f t="shared" si="40"/>
        <v/>
      </c>
      <c r="E856" s="215"/>
      <c r="F856" s="216"/>
      <c r="G856" s="216" t="str">
        <f>IF(C856&lt;&gt;"",VLOOKUP(C856,DSKH!B:E,3,0),"")</f>
        <v/>
      </c>
      <c r="H856" s="222"/>
      <c r="I856" s="217"/>
      <c r="J856" s="224"/>
      <c r="K856" s="216" t="str">
        <f t="shared" si="41"/>
        <v/>
      </c>
      <c r="L856" s="216"/>
      <c r="M856" s="216" t="str">
        <f t="shared" ref="M856:M919" si="42">C856&amp;"-"&amp;" "&amp;H856&amp;" "&amp;"-"&amp;"MAY"&amp;" "&amp;"08"&amp;"-"&amp;J856</f>
        <v>-  -MAY 08-</v>
      </c>
    </row>
    <row r="857" spans="1:13">
      <c r="A857" s="216" t="str">
        <f>IF(C857&lt;&gt;"",SUBTOTAL(103,$C$8:C857),"")</f>
        <v/>
      </c>
      <c r="B857" s="226">
        <v>43228</v>
      </c>
      <c r="C857" s="216"/>
      <c r="D857" s="216" t="str">
        <f t="shared" si="40"/>
        <v/>
      </c>
      <c r="E857" s="215"/>
      <c r="F857" s="216"/>
      <c r="G857" s="216" t="str">
        <f>IF(C857&lt;&gt;"",VLOOKUP(C857,DSKH!B:E,3,0),"")</f>
        <v/>
      </c>
      <c r="H857" s="222"/>
      <c r="I857" s="217"/>
      <c r="J857" s="224"/>
      <c r="K857" s="216" t="str">
        <f t="shared" si="41"/>
        <v/>
      </c>
      <c r="L857" s="216"/>
      <c r="M857" s="216" t="str">
        <f t="shared" si="42"/>
        <v>-  -MAY 08-</v>
      </c>
    </row>
    <row r="858" spans="1:13">
      <c r="A858" s="216" t="str">
        <f>IF(C858&lt;&gt;"",SUBTOTAL(103,$C$8:C858),"")</f>
        <v/>
      </c>
      <c r="B858" s="226">
        <v>43228</v>
      </c>
      <c r="C858" s="216"/>
      <c r="D858" s="216" t="str">
        <f t="shared" si="40"/>
        <v/>
      </c>
      <c r="E858" s="215"/>
      <c r="F858" s="216"/>
      <c r="G858" s="216" t="str">
        <f>IF(C858&lt;&gt;"",VLOOKUP(C858,DSKH!B:E,3,0),"")</f>
        <v/>
      </c>
      <c r="H858" s="222"/>
      <c r="I858" s="217"/>
      <c r="J858" s="224"/>
      <c r="K858" s="216" t="str">
        <f t="shared" si="41"/>
        <v/>
      </c>
      <c r="L858" s="216"/>
      <c r="M858" s="216" t="str">
        <f t="shared" si="42"/>
        <v>-  -MAY 08-</v>
      </c>
    </row>
    <row r="859" spans="1:13">
      <c r="A859" s="216" t="str">
        <f>IF(C859&lt;&gt;"",SUBTOTAL(103,$C$8:C859),"")</f>
        <v/>
      </c>
      <c r="B859" s="226">
        <v>43228</v>
      </c>
      <c r="C859" s="216"/>
      <c r="D859" s="216" t="str">
        <f t="shared" si="40"/>
        <v/>
      </c>
      <c r="E859" s="215"/>
      <c r="F859" s="216"/>
      <c r="G859" s="216" t="str">
        <f>IF(C859&lt;&gt;"",VLOOKUP(C859,DSKH!B:E,3,0),"")</f>
        <v/>
      </c>
      <c r="H859" s="222"/>
      <c r="I859" s="217"/>
      <c r="J859" s="224"/>
      <c r="K859" s="216" t="str">
        <f t="shared" si="41"/>
        <v/>
      </c>
      <c r="L859" s="216"/>
      <c r="M859" s="216" t="str">
        <f t="shared" si="42"/>
        <v>-  -MAY 08-</v>
      </c>
    </row>
    <row r="860" spans="1:13">
      <c r="A860" s="216" t="str">
        <f>IF(C860&lt;&gt;"",SUBTOTAL(103,$C$8:C860),"")</f>
        <v/>
      </c>
      <c r="B860" s="226">
        <v>43228</v>
      </c>
      <c r="C860" s="216"/>
      <c r="D860" s="216" t="str">
        <f t="shared" si="40"/>
        <v/>
      </c>
      <c r="E860" s="215"/>
      <c r="F860" s="216"/>
      <c r="G860" s="216" t="str">
        <f>IF(C860&lt;&gt;"",VLOOKUP(C860,DSKH!B:E,3,0),"")</f>
        <v/>
      </c>
      <c r="H860" s="222"/>
      <c r="I860" s="217"/>
      <c r="J860" s="224"/>
      <c r="K860" s="216" t="str">
        <f t="shared" si="41"/>
        <v/>
      </c>
      <c r="L860" s="216"/>
      <c r="M860" s="216" t="str">
        <f t="shared" si="42"/>
        <v>-  -MAY 08-</v>
      </c>
    </row>
    <row r="861" spans="1:13">
      <c r="A861" s="216" t="str">
        <f>IF(C861&lt;&gt;"",SUBTOTAL(103,$C$8:C861),"")</f>
        <v/>
      </c>
      <c r="B861" s="226">
        <v>43228</v>
      </c>
      <c r="C861" s="216"/>
      <c r="D861" s="216" t="str">
        <f t="shared" si="40"/>
        <v/>
      </c>
      <c r="E861" s="215"/>
      <c r="F861" s="216"/>
      <c r="G861" s="216" t="str">
        <f>IF(C861&lt;&gt;"",VLOOKUP(C861,DSKH!B:E,3,0),"")</f>
        <v/>
      </c>
      <c r="H861" s="222"/>
      <c r="I861" s="217"/>
      <c r="J861" s="224"/>
      <c r="K861" s="216" t="str">
        <f t="shared" si="41"/>
        <v/>
      </c>
      <c r="L861" s="216"/>
      <c r="M861" s="216" t="str">
        <f t="shared" si="42"/>
        <v>-  -MAY 08-</v>
      </c>
    </row>
    <row r="862" spans="1:13">
      <c r="A862" s="216" t="str">
        <f>IF(C862&lt;&gt;"",SUBTOTAL(103,$C$8:C862),"")</f>
        <v/>
      </c>
      <c r="B862" s="226">
        <v>43228</v>
      </c>
      <c r="C862" s="216"/>
      <c r="D862" s="216" t="str">
        <f t="shared" si="40"/>
        <v/>
      </c>
      <c r="E862" s="215"/>
      <c r="F862" s="216"/>
      <c r="G862" s="216" t="str">
        <f>IF(C862&lt;&gt;"",VLOOKUP(C862,DSKH!B:E,3,0),"")</f>
        <v/>
      </c>
      <c r="H862" s="222"/>
      <c r="I862" s="217"/>
      <c r="J862" s="224"/>
      <c r="K862" s="216" t="str">
        <f t="shared" si="41"/>
        <v/>
      </c>
      <c r="L862" s="216"/>
      <c r="M862" s="216" t="str">
        <f t="shared" si="42"/>
        <v>-  -MAY 08-</v>
      </c>
    </row>
    <row r="863" spans="1:13">
      <c r="A863" s="216" t="str">
        <f>IF(C863&lt;&gt;"",SUBTOTAL(103,$C$8:C863),"")</f>
        <v/>
      </c>
      <c r="B863" s="226">
        <v>43228</v>
      </c>
      <c r="C863" s="216"/>
      <c r="D863" s="216" t="str">
        <f t="shared" si="40"/>
        <v/>
      </c>
      <c r="E863" s="215"/>
      <c r="F863" s="216"/>
      <c r="G863" s="216" t="str">
        <f>IF(C863&lt;&gt;"",VLOOKUP(C863,DSKH!B:E,3,0),"")</f>
        <v/>
      </c>
      <c r="H863" s="222"/>
      <c r="I863" s="217"/>
      <c r="J863" s="224"/>
      <c r="K863" s="216" t="str">
        <f t="shared" si="41"/>
        <v/>
      </c>
      <c r="L863" s="216"/>
      <c r="M863" s="216" t="str">
        <f t="shared" si="42"/>
        <v>-  -MAY 08-</v>
      </c>
    </row>
    <row r="864" spans="1:13">
      <c r="A864" s="216" t="str">
        <f>IF(C864&lt;&gt;"",SUBTOTAL(103,$C$8:C864),"")</f>
        <v/>
      </c>
      <c r="B864" s="226">
        <v>43228</v>
      </c>
      <c r="C864" s="216"/>
      <c r="D864" s="216" t="str">
        <f t="shared" si="40"/>
        <v/>
      </c>
      <c r="E864" s="215"/>
      <c r="F864" s="216"/>
      <c r="G864" s="216" t="str">
        <f>IF(C864&lt;&gt;"",VLOOKUP(C864,DSKH!B:E,3,0),"")</f>
        <v/>
      </c>
      <c r="H864" s="222"/>
      <c r="I864" s="217"/>
      <c r="J864" s="224"/>
      <c r="K864" s="216" t="str">
        <f t="shared" si="41"/>
        <v/>
      </c>
      <c r="L864" s="216"/>
      <c r="M864" s="216" t="str">
        <f t="shared" si="42"/>
        <v>-  -MAY 08-</v>
      </c>
    </row>
    <row r="865" spans="1:13">
      <c r="A865" s="216" t="str">
        <f>IF(C865&lt;&gt;"",SUBTOTAL(103,$C$8:C865),"")</f>
        <v/>
      </c>
      <c r="B865" s="226">
        <v>43228</v>
      </c>
      <c r="C865" s="216"/>
      <c r="D865" s="216" t="str">
        <f t="shared" si="40"/>
        <v/>
      </c>
      <c r="E865" s="215"/>
      <c r="F865" s="216"/>
      <c r="G865" s="216" t="str">
        <f>IF(C865&lt;&gt;"",VLOOKUP(C865,DSKH!B:E,3,0),"")</f>
        <v/>
      </c>
      <c r="H865" s="222"/>
      <c r="I865" s="217"/>
      <c r="J865" s="224"/>
      <c r="K865" s="216" t="str">
        <f t="shared" si="41"/>
        <v/>
      </c>
      <c r="L865" s="216"/>
      <c r="M865" s="216" t="str">
        <f t="shared" si="42"/>
        <v>-  -MAY 08-</v>
      </c>
    </row>
    <row r="866" spans="1:13">
      <c r="A866" s="216" t="str">
        <f>IF(C866&lt;&gt;"",SUBTOTAL(103,$C$8:C866),"")</f>
        <v/>
      </c>
      <c r="B866" s="226">
        <v>43228</v>
      </c>
      <c r="C866" s="216"/>
      <c r="D866" s="216" t="str">
        <f t="shared" si="40"/>
        <v/>
      </c>
      <c r="E866" s="215"/>
      <c r="F866" s="216"/>
      <c r="G866" s="216" t="str">
        <f>IF(C866&lt;&gt;"",VLOOKUP(C866,DSKH!B:E,3,0),"")</f>
        <v/>
      </c>
      <c r="H866" s="222"/>
      <c r="I866" s="217"/>
      <c r="J866" s="224"/>
      <c r="K866" s="216" t="str">
        <f t="shared" si="41"/>
        <v/>
      </c>
      <c r="L866" s="216"/>
      <c r="M866" s="216" t="str">
        <f t="shared" si="42"/>
        <v>-  -MAY 08-</v>
      </c>
    </row>
    <row r="867" spans="1:13">
      <c r="A867" s="216" t="str">
        <f>IF(C867&lt;&gt;"",SUBTOTAL(103,$C$8:C867),"")</f>
        <v/>
      </c>
      <c r="B867" s="226">
        <v>43228</v>
      </c>
      <c r="C867" s="216"/>
      <c r="D867" s="216" t="str">
        <f t="shared" si="40"/>
        <v/>
      </c>
      <c r="E867" s="215"/>
      <c r="F867" s="216"/>
      <c r="G867" s="216" t="str">
        <f>IF(C867&lt;&gt;"",VLOOKUP(C867,DSKH!B:E,3,0),"")</f>
        <v/>
      </c>
      <c r="H867" s="222"/>
      <c r="I867" s="217"/>
      <c r="J867" s="224"/>
      <c r="K867" s="216" t="str">
        <f t="shared" si="41"/>
        <v/>
      </c>
      <c r="L867" s="216"/>
      <c r="M867" s="216" t="str">
        <f t="shared" si="42"/>
        <v>-  -MAY 08-</v>
      </c>
    </row>
    <row r="868" spans="1:13">
      <c r="A868" s="216" t="str">
        <f>IF(C868&lt;&gt;"",SUBTOTAL(103,$C$8:C868),"")</f>
        <v/>
      </c>
      <c r="B868" s="226">
        <v>43228</v>
      </c>
      <c r="C868" s="216"/>
      <c r="D868" s="216" t="str">
        <f t="shared" si="40"/>
        <v/>
      </c>
      <c r="E868" s="215"/>
      <c r="F868" s="216"/>
      <c r="G868" s="216" t="str">
        <f>IF(C868&lt;&gt;"",VLOOKUP(C868,DSKH!B:E,3,0),"")</f>
        <v/>
      </c>
      <c r="H868" s="222"/>
      <c r="I868" s="217"/>
      <c r="J868" s="224"/>
      <c r="K868" s="216" t="str">
        <f t="shared" si="41"/>
        <v/>
      </c>
      <c r="L868" s="216"/>
      <c r="M868" s="216" t="str">
        <f t="shared" si="42"/>
        <v>-  -MAY 08-</v>
      </c>
    </row>
    <row r="869" spans="1:13">
      <c r="A869" s="216" t="str">
        <f>IF(C869&lt;&gt;"",SUBTOTAL(103,$C$8:C869),"")</f>
        <v/>
      </c>
      <c r="B869" s="226">
        <v>43228</v>
      </c>
      <c r="C869" s="216"/>
      <c r="D869" s="216" t="str">
        <f t="shared" si="40"/>
        <v/>
      </c>
      <c r="E869" s="215"/>
      <c r="F869" s="216"/>
      <c r="G869" s="216" t="str">
        <f>IF(C869&lt;&gt;"",VLOOKUP(C869,DSKH!B:E,3,0),"")</f>
        <v/>
      </c>
      <c r="H869" s="222"/>
      <c r="I869" s="217"/>
      <c r="J869" s="224"/>
      <c r="K869" s="216" t="str">
        <f t="shared" si="41"/>
        <v/>
      </c>
      <c r="L869" s="216"/>
      <c r="M869" s="216" t="str">
        <f t="shared" si="42"/>
        <v>-  -MAY 08-</v>
      </c>
    </row>
    <row r="870" spans="1:13">
      <c r="A870" s="216" t="str">
        <f>IF(C870&lt;&gt;"",SUBTOTAL(103,$C$8:C870),"")</f>
        <v/>
      </c>
      <c r="B870" s="226">
        <v>43228</v>
      </c>
      <c r="C870" s="216"/>
      <c r="D870" s="216" t="str">
        <f t="shared" si="40"/>
        <v/>
      </c>
      <c r="E870" s="215"/>
      <c r="F870" s="216"/>
      <c r="G870" s="216" t="str">
        <f>IF(C870&lt;&gt;"",VLOOKUP(C870,DSKH!B:E,3,0),"")</f>
        <v/>
      </c>
      <c r="H870" s="222"/>
      <c r="I870" s="217"/>
      <c r="J870" s="224"/>
      <c r="K870" s="216" t="str">
        <f t="shared" si="41"/>
        <v/>
      </c>
      <c r="L870" s="216"/>
      <c r="M870" s="216" t="str">
        <f t="shared" si="42"/>
        <v>-  -MAY 08-</v>
      </c>
    </row>
    <row r="871" spans="1:13">
      <c r="A871" s="216" t="str">
        <f>IF(C871&lt;&gt;"",SUBTOTAL(103,$C$8:C871),"")</f>
        <v/>
      </c>
      <c r="B871" s="226">
        <v>43228</v>
      </c>
      <c r="C871" s="216"/>
      <c r="D871" s="216" t="str">
        <f t="shared" si="40"/>
        <v/>
      </c>
      <c r="E871" s="215"/>
      <c r="F871" s="216"/>
      <c r="G871" s="216" t="str">
        <f>IF(C871&lt;&gt;"",VLOOKUP(C871,DSKH!B:E,3,0),"")</f>
        <v/>
      </c>
      <c r="H871" s="222"/>
      <c r="I871" s="217"/>
      <c r="J871" s="224"/>
      <c r="K871" s="216" t="str">
        <f t="shared" si="41"/>
        <v/>
      </c>
      <c r="L871" s="216"/>
      <c r="M871" s="216" t="str">
        <f t="shared" si="42"/>
        <v>-  -MAY 08-</v>
      </c>
    </row>
    <row r="872" spans="1:13">
      <c r="A872" s="216" t="str">
        <f>IF(C872&lt;&gt;"",SUBTOTAL(103,$C$8:C872),"")</f>
        <v/>
      </c>
      <c r="B872" s="226">
        <v>43228</v>
      </c>
      <c r="C872" s="216"/>
      <c r="D872" s="216" t="str">
        <f t="shared" si="40"/>
        <v/>
      </c>
      <c r="E872" s="215"/>
      <c r="F872" s="216"/>
      <c r="G872" s="216" t="str">
        <f>IF(C872&lt;&gt;"",VLOOKUP(C872,DSKH!B:E,3,0),"")</f>
        <v/>
      </c>
      <c r="H872" s="222"/>
      <c r="I872" s="217"/>
      <c r="J872" s="224"/>
      <c r="K872" s="216" t="str">
        <f t="shared" si="41"/>
        <v/>
      </c>
      <c r="L872" s="216"/>
      <c r="M872" s="216" t="str">
        <f t="shared" si="42"/>
        <v>-  -MAY 08-</v>
      </c>
    </row>
    <row r="873" spans="1:13">
      <c r="A873" s="216" t="str">
        <f>IF(C873&lt;&gt;"",SUBTOTAL(103,$C$8:C873),"")</f>
        <v/>
      </c>
      <c r="B873" s="226">
        <v>43228</v>
      </c>
      <c r="C873" s="216"/>
      <c r="D873" s="216" t="str">
        <f t="shared" si="40"/>
        <v/>
      </c>
      <c r="E873" s="215"/>
      <c r="F873" s="216"/>
      <c r="G873" s="216" t="str">
        <f>IF(C873&lt;&gt;"",VLOOKUP(C873,DSKH!B:E,3,0),"")</f>
        <v/>
      </c>
      <c r="H873" s="222"/>
      <c r="I873" s="217"/>
      <c r="J873" s="224"/>
      <c r="K873" s="216" t="str">
        <f t="shared" si="41"/>
        <v/>
      </c>
      <c r="L873" s="216"/>
      <c r="M873" s="216" t="str">
        <f t="shared" si="42"/>
        <v>-  -MAY 08-</v>
      </c>
    </row>
    <row r="874" spans="1:13">
      <c r="A874" s="216" t="str">
        <f>IF(C874&lt;&gt;"",SUBTOTAL(103,$C$8:C874),"")</f>
        <v/>
      </c>
      <c r="B874" s="226">
        <v>43228</v>
      </c>
      <c r="C874" s="216"/>
      <c r="D874" s="216" t="str">
        <f t="shared" si="40"/>
        <v/>
      </c>
      <c r="E874" s="215"/>
      <c r="F874" s="216"/>
      <c r="G874" s="216" t="str">
        <f>IF(C874&lt;&gt;"",VLOOKUP(C874,DSKH!B:E,3,0),"")</f>
        <v/>
      </c>
      <c r="H874" s="222"/>
      <c r="I874" s="217"/>
      <c r="J874" s="224"/>
      <c r="K874" s="216" t="str">
        <f t="shared" si="41"/>
        <v/>
      </c>
      <c r="L874" s="216"/>
      <c r="M874" s="216" t="str">
        <f t="shared" si="42"/>
        <v>-  -MAY 08-</v>
      </c>
    </row>
    <row r="875" spans="1:13">
      <c r="A875" s="216" t="str">
        <f>IF(C875&lt;&gt;"",SUBTOTAL(103,$C$8:C875),"")</f>
        <v/>
      </c>
      <c r="B875" s="226">
        <v>43228</v>
      </c>
      <c r="C875" s="216"/>
      <c r="D875" s="216" t="str">
        <f t="shared" si="40"/>
        <v/>
      </c>
      <c r="E875" s="215"/>
      <c r="F875" s="216"/>
      <c r="G875" s="216" t="str">
        <f>IF(C875&lt;&gt;"",VLOOKUP(C875,DSKH!B:E,3,0),"")</f>
        <v/>
      </c>
      <c r="H875" s="222"/>
      <c r="I875" s="217"/>
      <c r="J875" s="224"/>
      <c r="K875" s="216" t="str">
        <f t="shared" si="41"/>
        <v/>
      </c>
      <c r="L875" s="216"/>
      <c r="M875" s="216" t="str">
        <f t="shared" si="42"/>
        <v>-  -MAY 08-</v>
      </c>
    </row>
    <row r="876" spans="1:13">
      <c r="A876" s="216" t="str">
        <f>IF(C876&lt;&gt;"",SUBTOTAL(103,$C$8:C876),"")</f>
        <v/>
      </c>
      <c r="B876" s="226">
        <v>43228</v>
      </c>
      <c r="C876" s="216"/>
      <c r="D876" s="216" t="str">
        <f t="shared" si="40"/>
        <v/>
      </c>
      <c r="E876" s="215"/>
      <c r="F876" s="216"/>
      <c r="G876" s="216" t="str">
        <f>IF(C876&lt;&gt;"",VLOOKUP(C876,DSKH!B:E,3,0),"")</f>
        <v/>
      </c>
      <c r="H876" s="222"/>
      <c r="I876" s="217"/>
      <c r="J876" s="224"/>
      <c r="K876" s="216" t="str">
        <f t="shared" si="41"/>
        <v/>
      </c>
      <c r="L876" s="216"/>
      <c r="M876" s="216" t="str">
        <f t="shared" si="42"/>
        <v>-  -MAY 08-</v>
      </c>
    </row>
    <row r="877" spans="1:13">
      <c r="A877" s="216" t="str">
        <f>IF(C877&lt;&gt;"",SUBTOTAL(103,$C$8:C877),"")</f>
        <v/>
      </c>
      <c r="B877" s="226">
        <v>43228</v>
      </c>
      <c r="C877" s="216"/>
      <c r="D877" s="216" t="str">
        <f t="shared" si="40"/>
        <v/>
      </c>
      <c r="E877" s="215"/>
      <c r="F877" s="216"/>
      <c r="G877" s="216" t="str">
        <f>IF(C877&lt;&gt;"",VLOOKUP(C877,DSKH!B:E,3,0),"")</f>
        <v/>
      </c>
      <c r="H877" s="222"/>
      <c r="I877" s="217"/>
      <c r="J877" s="224"/>
      <c r="K877" s="216" t="str">
        <f t="shared" si="41"/>
        <v/>
      </c>
      <c r="L877" s="216"/>
      <c r="M877" s="216" t="str">
        <f t="shared" si="42"/>
        <v>-  -MAY 08-</v>
      </c>
    </row>
    <row r="878" spans="1:13">
      <c r="A878" s="216" t="str">
        <f>IF(C878&lt;&gt;"",SUBTOTAL(103,$C$8:C878),"")</f>
        <v/>
      </c>
      <c r="B878" s="226">
        <v>43228</v>
      </c>
      <c r="C878" s="216"/>
      <c r="D878" s="216" t="str">
        <f t="shared" si="40"/>
        <v/>
      </c>
      <c r="E878" s="215"/>
      <c r="F878" s="216"/>
      <c r="G878" s="216" t="str">
        <f>IF(C878&lt;&gt;"",VLOOKUP(C878,DSKH!B:E,3,0),"")</f>
        <v/>
      </c>
      <c r="H878" s="222"/>
      <c r="I878" s="217"/>
      <c r="J878" s="224"/>
      <c r="K878" s="216" t="str">
        <f t="shared" si="41"/>
        <v/>
      </c>
      <c r="L878" s="216"/>
      <c r="M878" s="216" t="str">
        <f t="shared" si="42"/>
        <v>-  -MAY 08-</v>
      </c>
    </row>
    <row r="879" spans="1:13">
      <c r="A879" s="216" t="str">
        <f>IF(C879&lt;&gt;"",SUBTOTAL(103,$C$8:C879),"")</f>
        <v/>
      </c>
      <c r="B879" s="226">
        <v>43228</v>
      </c>
      <c r="C879" s="216"/>
      <c r="D879" s="216" t="str">
        <f t="shared" si="40"/>
        <v/>
      </c>
      <c r="E879" s="215"/>
      <c r="F879" s="216"/>
      <c r="G879" s="216" t="str">
        <f>IF(C879&lt;&gt;"",VLOOKUP(C879,DSKH!B:E,3,0),"")</f>
        <v/>
      </c>
      <c r="H879" s="222"/>
      <c r="I879" s="217"/>
      <c r="J879" s="224"/>
      <c r="K879" s="216" t="str">
        <f t="shared" si="41"/>
        <v/>
      </c>
      <c r="L879" s="216"/>
      <c r="M879" s="216" t="str">
        <f t="shared" si="42"/>
        <v>-  -MAY 08-</v>
      </c>
    </row>
    <row r="880" spans="1:13">
      <c r="A880" s="216" t="str">
        <f>IF(C880&lt;&gt;"",SUBTOTAL(103,$C$8:C880),"")</f>
        <v/>
      </c>
      <c r="B880" s="226">
        <v>43228</v>
      </c>
      <c r="C880" s="216"/>
      <c r="D880" s="216" t="str">
        <f t="shared" si="40"/>
        <v/>
      </c>
      <c r="E880" s="215"/>
      <c r="F880" s="216"/>
      <c r="G880" s="216" t="str">
        <f>IF(C880&lt;&gt;"",VLOOKUP(C880,DSKH!B:E,3,0),"")</f>
        <v/>
      </c>
      <c r="H880" s="222"/>
      <c r="I880" s="217"/>
      <c r="J880" s="224"/>
      <c r="K880" s="216" t="str">
        <f t="shared" si="41"/>
        <v/>
      </c>
      <c r="L880" s="216"/>
      <c r="M880" s="216" t="str">
        <f t="shared" si="42"/>
        <v>-  -MAY 08-</v>
      </c>
    </row>
    <row r="881" spans="1:13">
      <c r="A881" s="216" t="str">
        <f>IF(C881&lt;&gt;"",SUBTOTAL(103,$C$8:C881),"")</f>
        <v/>
      </c>
      <c r="B881" s="226">
        <v>43228</v>
      </c>
      <c r="C881" s="216"/>
      <c r="D881" s="216" t="str">
        <f t="shared" si="40"/>
        <v/>
      </c>
      <c r="E881" s="215"/>
      <c r="F881" s="216"/>
      <c r="G881" s="216" t="str">
        <f>IF(C881&lt;&gt;"",VLOOKUP(C881,DSKH!B:E,3,0),"")</f>
        <v/>
      </c>
      <c r="H881" s="222"/>
      <c r="I881" s="217"/>
      <c r="J881" s="224"/>
      <c r="K881" s="216" t="str">
        <f t="shared" si="41"/>
        <v/>
      </c>
      <c r="L881" s="216"/>
      <c r="M881" s="216" t="str">
        <f t="shared" si="42"/>
        <v>-  -MAY 08-</v>
      </c>
    </row>
    <row r="882" spans="1:13">
      <c r="A882" s="216" t="str">
        <f>IF(C882&lt;&gt;"",SUBTOTAL(103,$C$8:C882),"")</f>
        <v/>
      </c>
      <c r="B882" s="226">
        <v>43228</v>
      </c>
      <c r="C882" s="216"/>
      <c r="D882" s="216" t="str">
        <f t="shared" si="40"/>
        <v/>
      </c>
      <c r="E882" s="215"/>
      <c r="F882" s="216"/>
      <c r="G882" s="216" t="str">
        <f>IF(C882&lt;&gt;"",VLOOKUP(C882,DSKH!B:E,3,0),"")</f>
        <v/>
      </c>
      <c r="H882" s="222"/>
      <c r="I882" s="217"/>
      <c r="J882" s="224"/>
      <c r="K882" s="216" t="str">
        <f t="shared" si="41"/>
        <v/>
      </c>
      <c r="L882" s="216"/>
      <c r="M882" s="216" t="str">
        <f t="shared" si="42"/>
        <v>-  -MAY 08-</v>
      </c>
    </row>
    <row r="883" spans="1:13">
      <c r="A883" s="216" t="str">
        <f>IF(C883&lt;&gt;"",SUBTOTAL(103,$C$8:C883),"")</f>
        <v/>
      </c>
      <c r="B883" s="226">
        <v>43228</v>
      </c>
      <c r="C883" s="216"/>
      <c r="D883" s="216" t="str">
        <f t="shared" si="40"/>
        <v/>
      </c>
      <c r="E883" s="215"/>
      <c r="F883" s="216"/>
      <c r="G883" s="216" t="str">
        <f>IF(C883&lt;&gt;"",VLOOKUP(C883,DSKH!B:E,3,0),"")</f>
        <v/>
      </c>
      <c r="H883" s="222"/>
      <c r="I883" s="217"/>
      <c r="J883" s="224"/>
      <c r="K883" s="216" t="str">
        <f t="shared" si="41"/>
        <v/>
      </c>
      <c r="L883" s="216"/>
      <c r="M883" s="216" t="str">
        <f t="shared" si="42"/>
        <v>-  -MAY 08-</v>
      </c>
    </row>
    <row r="884" spans="1:13">
      <c r="A884" s="216" t="str">
        <f>IF(C884&lt;&gt;"",SUBTOTAL(103,$C$8:C884),"")</f>
        <v/>
      </c>
      <c r="B884" s="226">
        <v>43228</v>
      </c>
      <c r="C884" s="216"/>
      <c r="D884" s="216" t="str">
        <f t="shared" si="40"/>
        <v/>
      </c>
      <c r="E884" s="215"/>
      <c r="F884" s="216"/>
      <c r="G884" s="216" t="str">
        <f>IF(C884&lt;&gt;"",VLOOKUP(C884,DSKH!B:E,3,0),"")</f>
        <v/>
      </c>
      <c r="H884" s="222"/>
      <c r="I884" s="217"/>
      <c r="J884" s="224"/>
      <c r="K884" s="216" t="str">
        <f t="shared" si="41"/>
        <v/>
      </c>
      <c r="L884" s="216"/>
      <c r="M884" s="216" t="str">
        <f t="shared" si="42"/>
        <v>-  -MAY 08-</v>
      </c>
    </row>
    <row r="885" spans="1:13">
      <c r="A885" s="216" t="str">
        <f>IF(C885&lt;&gt;"",SUBTOTAL(103,$C$8:C885),"")</f>
        <v/>
      </c>
      <c r="B885" s="226">
        <v>43228</v>
      </c>
      <c r="C885" s="216"/>
      <c r="D885" s="216" t="str">
        <f t="shared" si="40"/>
        <v/>
      </c>
      <c r="E885" s="215"/>
      <c r="F885" s="216"/>
      <c r="G885" s="216" t="str">
        <f>IF(C885&lt;&gt;"",VLOOKUP(C885,DSKH!B:E,3,0),"")</f>
        <v/>
      </c>
      <c r="H885" s="222"/>
      <c r="I885" s="217"/>
      <c r="J885" s="224"/>
      <c r="K885" s="216" t="str">
        <f t="shared" si="41"/>
        <v/>
      </c>
      <c r="L885" s="216"/>
      <c r="M885" s="216" t="str">
        <f t="shared" si="42"/>
        <v>-  -MAY 08-</v>
      </c>
    </row>
    <row r="886" spans="1:13">
      <c r="A886" s="216" t="str">
        <f>IF(C886&lt;&gt;"",SUBTOTAL(103,$C$8:C886),"")</f>
        <v/>
      </c>
      <c r="B886" s="226">
        <v>43228</v>
      </c>
      <c r="C886" s="216"/>
      <c r="D886" s="216" t="str">
        <f t="shared" si="40"/>
        <v/>
      </c>
      <c r="E886" s="215"/>
      <c r="F886" s="216"/>
      <c r="G886" s="216" t="str">
        <f>IF(C886&lt;&gt;"",VLOOKUP(C886,DSKH!B:E,3,0),"")</f>
        <v/>
      </c>
      <c r="H886" s="222"/>
      <c r="I886" s="217"/>
      <c r="J886" s="224"/>
      <c r="K886" s="216" t="str">
        <f t="shared" si="41"/>
        <v/>
      </c>
      <c r="L886" s="216"/>
      <c r="M886" s="216" t="str">
        <f t="shared" si="42"/>
        <v>-  -MAY 08-</v>
      </c>
    </row>
    <row r="887" spans="1:13">
      <c r="A887" s="216" t="str">
        <f>IF(C887&lt;&gt;"",SUBTOTAL(103,$C$8:C887),"")</f>
        <v/>
      </c>
      <c r="B887" s="226">
        <v>43228</v>
      </c>
      <c r="C887" s="216"/>
      <c r="D887" s="216" t="str">
        <f t="shared" si="40"/>
        <v/>
      </c>
      <c r="E887" s="215"/>
      <c r="F887" s="216"/>
      <c r="G887" s="216" t="str">
        <f>IF(C887&lt;&gt;"",VLOOKUP(C887,DSKH!B:E,3,0),"")</f>
        <v/>
      </c>
      <c r="H887" s="222"/>
      <c r="I887" s="217"/>
      <c r="J887" s="224"/>
      <c r="K887" s="216" t="str">
        <f t="shared" si="41"/>
        <v/>
      </c>
      <c r="L887" s="216"/>
      <c r="M887" s="216" t="str">
        <f t="shared" si="42"/>
        <v>-  -MAY 08-</v>
      </c>
    </row>
    <row r="888" spans="1:13">
      <c r="A888" s="216" t="str">
        <f>IF(C888&lt;&gt;"",SUBTOTAL(103,$C$8:C888),"")</f>
        <v/>
      </c>
      <c r="B888" s="226">
        <v>43228</v>
      </c>
      <c r="C888" s="216"/>
      <c r="D888" s="216" t="str">
        <f t="shared" si="40"/>
        <v/>
      </c>
      <c r="E888" s="215"/>
      <c r="F888" s="216"/>
      <c r="G888" s="216" t="str">
        <f>IF(C888&lt;&gt;"",VLOOKUP(C888,DSKH!B:E,3,0),"")</f>
        <v/>
      </c>
      <c r="H888" s="222"/>
      <c r="I888" s="217"/>
      <c r="J888" s="224"/>
      <c r="K888" s="216" t="str">
        <f t="shared" si="41"/>
        <v/>
      </c>
      <c r="L888" s="216"/>
      <c r="M888" s="216" t="str">
        <f t="shared" si="42"/>
        <v>-  -MAY 08-</v>
      </c>
    </row>
    <row r="889" spans="1:13">
      <c r="A889" s="216" t="str">
        <f>IF(C889&lt;&gt;"",SUBTOTAL(103,$C$8:C889),"")</f>
        <v/>
      </c>
      <c r="B889" s="226">
        <v>43228</v>
      </c>
      <c r="C889" s="216"/>
      <c r="D889" s="216" t="str">
        <f t="shared" si="40"/>
        <v/>
      </c>
      <c r="E889" s="215"/>
      <c r="F889" s="216"/>
      <c r="G889" s="216" t="str">
        <f>IF(C889&lt;&gt;"",VLOOKUP(C889,DSKH!B:E,3,0),"")</f>
        <v/>
      </c>
      <c r="H889" s="222"/>
      <c r="I889" s="217"/>
      <c r="J889" s="224"/>
      <c r="K889" s="216" t="str">
        <f t="shared" si="41"/>
        <v/>
      </c>
      <c r="L889" s="216"/>
      <c r="M889" s="216" t="str">
        <f t="shared" si="42"/>
        <v>-  -MAY 08-</v>
      </c>
    </row>
    <row r="890" spans="1:13">
      <c r="A890" s="216" t="str">
        <f>IF(C890&lt;&gt;"",SUBTOTAL(103,$C$8:C890),"")</f>
        <v/>
      </c>
      <c r="B890" s="226">
        <v>43228</v>
      </c>
      <c r="C890" s="216"/>
      <c r="D890" s="216" t="str">
        <f t="shared" si="40"/>
        <v/>
      </c>
      <c r="E890" s="215"/>
      <c r="F890" s="216"/>
      <c r="G890" s="216" t="str">
        <f>IF(C890&lt;&gt;"",VLOOKUP(C890,DSKH!B:E,3,0),"")</f>
        <v/>
      </c>
      <c r="H890" s="222"/>
      <c r="I890" s="217"/>
      <c r="J890" s="224"/>
      <c r="K890" s="216" t="str">
        <f t="shared" si="41"/>
        <v/>
      </c>
      <c r="L890" s="216"/>
      <c r="M890" s="216" t="str">
        <f t="shared" si="42"/>
        <v>-  -MAY 08-</v>
      </c>
    </row>
    <row r="891" spans="1:13">
      <c r="A891" s="216" t="str">
        <f>IF(C891&lt;&gt;"",SUBTOTAL(103,$C$8:C891),"")</f>
        <v/>
      </c>
      <c r="B891" s="226">
        <v>43228</v>
      </c>
      <c r="C891" s="216"/>
      <c r="D891" s="216" t="str">
        <f t="shared" si="40"/>
        <v/>
      </c>
      <c r="E891" s="215"/>
      <c r="F891" s="216"/>
      <c r="G891" s="216" t="str">
        <f>IF(C891&lt;&gt;"",VLOOKUP(C891,DSKH!B:E,3,0),"")</f>
        <v/>
      </c>
      <c r="H891" s="222"/>
      <c r="I891" s="217"/>
      <c r="J891" s="224"/>
      <c r="K891" s="216" t="str">
        <f t="shared" si="41"/>
        <v/>
      </c>
      <c r="L891" s="216"/>
      <c r="M891" s="216" t="str">
        <f t="shared" si="42"/>
        <v>-  -MAY 08-</v>
      </c>
    </row>
    <row r="892" spans="1:13">
      <c r="A892" s="216" t="str">
        <f>IF(C892&lt;&gt;"",SUBTOTAL(103,$C$8:C892),"")</f>
        <v/>
      </c>
      <c r="B892" s="226">
        <v>43228</v>
      </c>
      <c r="C892" s="216"/>
      <c r="D892" s="216" t="str">
        <f t="shared" si="40"/>
        <v/>
      </c>
      <c r="E892" s="215"/>
      <c r="F892" s="216"/>
      <c r="G892" s="216" t="str">
        <f>IF(C892&lt;&gt;"",VLOOKUP(C892,DSKH!B:E,3,0),"")</f>
        <v/>
      </c>
      <c r="H892" s="222"/>
      <c r="I892" s="217"/>
      <c r="J892" s="224"/>
      <c r="K892" s="216" t="str">
        <f t="shared" si="41"/>
        <v/>
      </c>
      <c r="L892" s="216"/>
      <c r="M892" s="216" t="str">
        <f t="shared" si="42"/>
        <v>-  -MAY 08-</v>
      </c>
    </row>
    <row r="893" spans="1:13">
      <c r="A893" s="216" t="str">
        <f>IF(C893&lt;&gt;"",SUBTOTAL(103,$C$8:C893),"")</f>
        <v/>
      </c>
      <c r="B893" s="226">
        <v>43228</v>
      </c>
      <c r="C893" s="216"/>
      <c r="D893" s="216" t="str">
        <f t="shared" si="40"/>
        <v/>
      </c>
      <c r="E893" s="215"/>
      <c r="F893" s="216"/>
      <c r="G893" s="216" t="str">
        <f>IF(C893&lt;&gt;"",VLOOKUP(C893,DSKH!B:E,3,0),"")</f>
        <v/>
      </c>
      <c r="H893" s="222"/>
      <c r="I893" s="217"/>
      <c r="J893" s="224"/>
      <c r="K893" s="216" t="str">
        <f t="shared" si="41"/>
        <v/>
      </c>
      <c r="L893" s="216"/>
      <c r="M893" s="216" t="str">
        <f t="shared" si="42"/>
        <v>-  -MAY 08-</v>
      </c>
    </row>
    <row r="894" spans="1:13">
      <c r="A894" s="216" t="str">
        <f>IF(C894&lt;&gt;"",SUBTOTAL(103,$C$8:C894),"")</f>
        <v/>
      </c>
      <c r="B894" s="226">
        <v>43228</v>
      </c>
      <c r="C894" s="216"/>
      <c r="D894" s="216" t="str">
        <f t="shared" si="40"/>
        <v/>
      </c>
      <c r="E894" s="215"/>
      <c r="F894" s="216"/>
      <c r="G894" s="216" t="str">
        <f>IF(C894&lt;&gt;"",VLOOKUP(C894,DSKH!B:E,3,0),"")</f>
        <v/>
      </c>
      <c r="H894" s="222"/>
      <c r="I894" s="217"/>
      <c r="J894" s="224"/>
      <c r="K894" s="216" t="str">
        <f t="shared" si="41"/>
        <v/>
      </c>
      <c r="L894" s="216"/>
      <c r="M894" s="216" t="str">
        <f t="shared" si="42"/>
        <v>-  -MAY 08-</v>
      </c>
    </row>
    <row r="895" spans="1:13">
      <c r="A895" s="216" t="str">
        <f>IF(C895&lt;&gt;"",SUBTOTAL(103,$C$8:C895),"")</f>
        <v/>
      </c>
      <c r="B895" s="226">
        <v>43228</v>
      </c>
      <c r="C895" s="216"/>
      <c r="D895" s="216" t="str">
        <f t="shared" si="40"/>
        <v/>
      </c>
      <c r="E895" s="215"/>
      <c r="F895" s="216"/>
      <c r="G895" s="216" t="str">
        <f>IF(C895&lt;&gt;"",VLOOKUP(C895,DSKH!B:E,3,0),"")</f>
        <v/>
      </c>
      <c r="H895" s="222"/>
      <c r="I895" s="217"/>
      <c r="J895" s="224"/>
      <c r="K895" s="216" t="str">
        <f t="shared" si="41"/>
        <v/>
      </c>
      <c r="L895" s="216"/>
      <c r="M895" s="216" t="str">
        <f t="shared" si="42"/>
        <v>-  -MAY 08-</v>
      </c>
    </row>
    <row r="896" spans="1:13">
      <c r="A896" s="216" t="str">
        <f>IF(C896&lt;&gt;"",SUBTOTAL(103,$C$8:C896),"")</f>
        <v/>
      </c>
      <c r="B896" s="226">
        <v>43228</v>
      </c>
      <c r="C896" s="216"/>
      <c r="D896" s="216" t="str">
        <f t="shared" si="40"/>
        <v/>
      </c>
      <c r="E896" s="215"/>
      <c r="F896" s="216"/>
      <c r="G896" s="216" t="str">
        <f>IF(C896&lt;&gt;"",VLOOKUP(C896,DSKH!B:E,3,0),"")</f>
        <v/>
      </c>
      <c r="H896" s="222"/>
      <c r="I896" s="217"/>
      <c r="J896" s="224"/>
      <c r="K896" s="216" t="str">
        <f t="shared" si="41"/>
        <v/>
      </c>
      <c r="L896" s="216"/>
      <c r="M896" s="216" t="str">
        <f t="shared" si="42"/>
        <v>-  -MAY 08-</v>
      </c>
    </row>
    <row r="897" spans="1:13">
      <c r="A897" s="216" t="str">
        <f>IF(C897&lt;&gt;"",SUBTOTAL(103,$C$8:C897),"")</f>
        <v/>
      </c>
      <c r="B897" s="226">
        <v>43228</v>
      </c>
      <c r="C897" s="216"/>
      <c r="D897" s="216" t="str">
        <f t="shared" ref="D897:D933" si="43">IF(C897&lt;&gt;"",VLOOKUP(C897,DATA.DSKH,2,0),"")</f>
        <v/>
      </c>
      <c r="E897" s="215"/>
      <c r="F897" s="216"/>
      <c r="G897" s="216" t="str">
        <f>IF(C897&lt;&gt;"",VLOOKUP(C897,DSKH!B:E,3,0),"")</f>
        <v/>
      </c>
      <c r="H897" s="222"/>
      <c r="I897" s="217"/>
      <c r="J897" s="224"/>
      <c r="K897" s="216" t="str">
        <f t="shared" ref="K897:K933" si="44">IF(C897&lt;&gt;"",VLOOKUP(C897,DATA.DSKH,4,0),"")</f>
        <v/>
      </c>
      <c r="L897" s="216"/>
      <c r="M897" s="216" t="str">
        <f t="shared" si="42"/>
        <v>-  -MAY 08-</v>
      </c>
    </row>
    <row r="898" spans="1:13">
      <c r="A898" s="216" t="str">
        <f>IF(C898&lt;&gt;"",SUBTOTAL(103,$C$8:C898),"")</f>
        <v/>
      </c>
      <c r="B898" s="226">
        <v>43228</v>
      </c>
      <c r="C898" s="216"/>
      <c r="D898" s="216" t="str">
        <f t="shared" si="43"/>
        <v/>
      </c>
      <c r="E898" s="215"/>
      <c r="F898" s="216"/>
      <c r="G898" s="216" t="str">
        <f>IF(C898&lt;&gt;"",VLOOKUP(C898,DSKH!B:E,3,0),"")</f>
        <v/>
      </c>
      <c r="H898" s="222"/>
      <c r="I898" s="217"/>
      <c r="J898" s="224"/>
      <c r="K898" s="216" t="str">
        <f t="shared" si="44"/>
        <v/>
      </c>
      <c r="L898" s="216"/>
      <c r="M898" s="216" t="str">
        <f t="shared" si="42"/>
        <v>-  -MAY 08-</v>
      </c>
    </row>
    <row r="899" spans="1:13">
      <c r="A899" s="216" t="str">
        <f>IF(C899&lt;&gt;"",SUBTOTAL(103,$C$8:C899),"")</f>
        <v/>
      </c>
      <c r="B899" s="226">
        <v>43228</v>
      </c>
      <c r="C899" s="216"/>
      <c r="D899" s="216" t="str">
        <f t="shared" si="43"/>
        <v/>
      </c>
      <c r="E899" s="215"/>
      <c r="F899" s="216"/>
      <c r="G899" s="216" t="str">
        <f>IF(C899&lt;&gt;"",VLOOKUP(C899,DSKH!B:E,3,0),"")</f>
        <v/>
      </c>
      <c r="H899" s="222"/>
      <c r="I899" s="217"/>
      <c r="J899" s="224"/>
      <c r="K899" s="216" t="str">
        <f t="shared" si="44"/>
        <v/>
      </c>
      <c r="L899" s="216"/>
      <c r="M899" s="216" t="str">
        <f t="shared" si="42"/>
        <v>-  -MAY 08-</v>
      </c>
    </row>
    <row r="900" spans="1:13">
      <c r="A900" s="216" t="str">
        <f>IF(C900&lt;&gt;"",SUBTOTAL(103,$C$8:C900),"")</f>
        <v/>
      </c>
      <c r="B900" s="226">
        <v>43228</v>
      </c>
      <c r="C900" s="216"/>
      <c r="D900" s="216" t="str">
        <f t="shared" si="43"/>
        <v/>
      </c>
      <c r="E900" s="215"/>
      <c r="F900" s="216"/>
      <c r="G900" s="216" t="str">
        <f>IF(C900&lt;&gt;"",VLOOKUP(C900,DSKH!B:E,3,0),"")</f>
        <v/>
      </c>
      <c r="H900" s="222"/>
      <c r="I900" s="217"/>
      <c r="J900" s="224"/>
      <c r="K900" s="216" t="str">
        <f t="shared" si="44"/>
        <v/>
      </c>
      <c r="L900" s="216"/>
      <c r="M900" s="216" t="str">
        <f t="shared" si="42"/>
        <v>-  -MAY 08-</v>
      </c>
    </row>
    <row r="901" spans="1:13">
      <c r="A901" s="216" t="str">
        <f>IF(C901&lt;&gt;"",SUBTOTAL(103,$C$8:C901),"")</f>
        <v/>
      </c>
      <c r="B901" s="226">
        <v>43228</v>
      </c>
      <c r="C901" s="216"/>
      <c r="D901" s="216" t="str">
        <f t="shared" si="43"/>
        <v/>
      </c>
      <c r="E901" s="215"/>
      <c r="F901" s="216"/>
      <c r="G901" s="216" t="str">
        <f>IF(C901&lt;&gt;"",VLOOKUP(C901,DSKH!B:E,3,0),"")</f>
        <v/>
      </c>
      <c r="H901" s="222"/>
      <c r="I901" s="217"/>
      <c r="J901" s="224"/>
      <c r="K901" s="216" t="str">
        <f t="shared" si="44"/>
        <v/>
      </c>
      <c r="L901" s="216"/>
      <c r="M901" s="216" t="str">
        <f t="shared" si="42"/>
        <v>-  -MAY 08-</v>
      </c>
    </row>
    <row r="902" spans="1:13">
      <c r="A902" s="216" t="str">
        <f>IF(C902&lt;&gt;"",SUBTOTAL(103,$C$8:C902),"")</f>
        <v/>
      </c>
      <c r="B902" s="226">
        <v>43228</v>
      </c>
      <c r="C902" s="216"/>
      <c r="D902" s="216" t="str">
        <f t="shared" si="43"/>
        <v/>
      </c>
      <c r="E902" s="215"/>
      <c r="F902" s="216"/>
      <c r="G902" s="216" t="str">
        <f>IF(C902&lt;&gt;"",VLOOKUP(C902,DSKH!B:E,3,0),"")</f>
        <v/>
      </c>
      <c r="H902" s="222"/>
      <c r="I902" s="217"/>
      <c r="J902" s="224"/>
      <c r="K902" s="216" t="str">
        <f t="shared" si="44"/>
        <v/>
      </c>
      <c r="L902" s="216"/>
      <c r="M902" s="216" t="str">
        <f t="shared" si="42"/>
        <v>-  -MAY 08-</v>
      </c>
    </row>
    <row r="903" spans="1:13">
      <c r="A903" s="216" t="str">
        <f>IF(C903&lt;&gt;"",SUBTOTAL(103,$C$8:C903),"")</f>
        <v/>
      </c>
      <c r="B903" s="226">
        <v>43228</v>
      </c>
      <c r="C903" s="216"/>
      <c r="D903" s="216" t="str">
        <f t="shared" si="43"/>
        <v/>
      </c>
      <c r="E903" s="215"/>
      <c r="F903" s="216"/>
      <c r="G903" s="216" t="str">
        <f>IF(C903&lt;&gt;"",VLOOKUP(C903,DSKH!B:E,3,0),"")</f>
        <v/>
      </c>
      <c r="H903" s="222"/>
      <c r="I903" s="217"/>
      <c r="J903" s="224"/>
      <c r="K903" s="216" t="str">
        <f t="shared" si="44"/>
        <v/>
      </c>
      <c r="L903" s="216"/>
      <c r="M903" s="216" t="str">
        <f t="shared" si="42"/>
        <v>-  -MAY 08-</v>
      </c>
    </row>
    <row r="904" spans="1:13">
      <c r="A904" s="216" t="str">
        <f>IF(C904&lt;&gt;"",SUBTOTAL(103,$C$8:C904),"")</f>
        <v/>
      </c>
      <c r="B904" s="226">
        <v>43228</v>
      </c>
      <c r="C904" s="216"/>
      <c r="D904" s="216" t="str">
        <f t="shared" si="43"/>
        <v/>
      </c>
      <c r="E904" s="215"/>
      <c r="F904" s="216"/>
      <c r="G904" s="216" t="str">
        <f>IF(C904&lt;&gt;"",VLOOKUP(C904,DSKH!B:E,3,0),"")</f>
        <v/>
      </c>
      <c r="H904" s="222"/>
      <c r="I904" s="217"/>
      <c r="J904" s="224"/>
      <c r="K904" s="216" t="str">
        <f t="shared" si="44"/>
        <v/>
      </c>
      <c r="L904" s="216"/>
      <c r="M904" s="216" t="str">
        <f t="shared" si="42"/>
        <v>-  -MAY 08-</v>
      </c>
    </row>
    <row r="905" spans="1:13">
      <c r="A905" s="216" t="str">
        <f>IF(C905&lt;&gt;"",SUBTOTAL(103,$C$8:C905),"")</f>
        <v/>
      </c>
      <c r="B905" s="226">
        <v>43228</v>
      </c>
      <c r="C905" s="216"/>
      <c r="D905" s="216" t="str">
        <f t="shared" si="43"/>
        <v/>
      </c>
      <c r="E905" s="215"/>
      <c r="F905" s="216"/>
      <c r="G905" s="216" t="str">
        <f>IF(C905&lt;&gt;"",VLOOKUP(C905,DSKH!B:E,3,0),"")</f>
        <v/>
      </c>
      <c r="H905" s="222"/>
      <c r="I905" s="217"/>
      <c r="J905" s="224"/>
      <c r="K905" s="216" t="str">
        <f t="shared" si="44"/>
        <v/>
      </c>
      <c r="L905" s="216"/>
      <c r="M905" s="216" t="str">
        <f t="shared" si="42"/>
        <v>-  -MAY 08-</v>
      </c>
    </row>
    <row r="906" spans="1:13">
      <c r="A906" s="216" t="str">
        <f>IF(C906&lt;&gt;"",SUBTOTAL(103,$C$8:C906),"")</f>
        <v/>
      </c>
      <c r="B906" s="226">
        <v>43228</v>
      </c>
      <c r="C906" s="216"/>
      <c r="D906" s="216" t="str">
        <f t="shared" si="43"/>
        <v/>
      </c>
      <c r="E906" s="215"/>
      <c r="F906" s="216"/>
      <c r="G906" s="216" t="str">
        <f>IF(C906&lt;&gt;"",VLOOKUP(C906,DSKH!B:E,3,0),"")</f>
        <v/>
      </c>
      <c r="H906" s="222"/>
      <c r="I906" s="217"/>
      <c r="J906" s="224"/>
      <c r="K906" s="216" t="str">
        <f t="shared" si="44"/>
        <v/>
      </c>
      <c r="L906" s="216"/>
      <c r="M906" s="216" t="str">
        <f t="shared" si="42"/>
        <v>-  -MAY 08-</v>
      </c>
    </row>
    <row r="907" spans="1:13">
      <c r="A907" s="216" t="str">
        <f>IF(C907&lt;&gt;"",SUBTOTAL(103,$C$8:C907),"")</f>
        <v/>
      </c>
      <c r="B907" s="226">
        <v>43228</v>
      </c>
      <c r="C907" s="216"/>
      <c r="D907" s="216" t="str">
        <f t="shared" si="43"/>
        <v/>
      </c>
      <c r="E907" s="215"/>
      <c r="F907" s="216"/>
      <c r="G907" s="216" t="str">
        <f>IF(C907&lt;&gt;"",VLOOKUP(C907,DSKH!B:E,3,0),"")</f>
        <v/>
      </c>
      <c r="H907" s="222"/>
      <c r="I907" s="217"/>
      <c r="J907" s="224"/>
      <c r="K907" s="216" t="str">
        <f t="shared" si="44"/>
        <v/>
      </c>
      <c r="L907" s="216"/>
      <c r="M907" s="216" t="str">
        <f t="shared" si="42"/>
        <v>-  -MAY 08-</v>
      </c>
    </row>
    <row r="908" spans="1:13">
      <c r="A908" s="216" t="str">
        <f>IF(C908&lt;&gt;"",SUBTOTAL(103,$C$8:C908),"")</f>
        <v/>
      </c>
      <c r="B908" s="226">
        <v>43228</v>
      </c>
      <c r="C908" s="216"/>
      <c r="D908" s="216" t="str">
        <f t="shared" si="43"/>
        <v/>
      </c>
      <c r="E908" s="215"/>
      <c r="F908" s="216"/>
      <c r="G908" s="216" t="str">
        <f>IF(C908&lt;&gt;"",VLOOKUP(C908,DSKH!B:E,3,0),"")</f>
        <v/>
      </c>
      <c r="H908" s="222"/>
      <c r="I908" s="217"/>
      <c r="J908" s="224"/>
      <c r="K908" s="216" t="str">
        <f t="shared" si="44"/>
        <v/>
      </c>
      <c r="L908" s="216"/>
      <c r="M908" s="216" t="str">
        <f t="shared" si="42"/>
        <v>-  -MAY 08-</v>
      </c>
    </row>
    <row r="909" spans="1:13">
      <c r="A909" s="216" t="str">
        <f>IF(C909&lt;&gt;"",SUBTOTAL(103,$C$8:C909),"")</f>
        <v/>
      </c>
      <c r="B909" s="226">
        <v>43228</v>
      </c>
      <c r="C909" s="216"/>
      <c r="D909" s="216" t="str">
        <f t="shared" si="43"/>
        <v/>
      </c>
      <c r="E909" s="215"/>
      <c r="F909" s="216"/>
      <c r="G909" s="216" t="str">
        <f>IF(C909&lt;&gt;"",VLOOKUP(C909,DSKH!B:E,3,0),"")</f>
        <v/>
      </c>
      <c r="H909" s="222"/>
      <c r="I909" s="217"/>
      <c r="J909" s="224"/>
      <c r="K909" s="216" t="str">
        <f t="shared" si="44"/>
        <v/>
      </c>
      <c r="L909" s="216"/>
      <c r="M909" s="216" t="str">
        <f t="shared" si="42"/>
        <v>-  -MAY 08-</v>
      </c>
    </row>
    <row r="910" spans="1:13">
      <c r="A910" s="216" t="str">
        <f>IF(C910&lt;&gt;"",SUBTOTAL(103,$C$8:C910),"")</f>
        <v/>
      </c>
      <c r="B910" s="226">
        <v>43228</v>
      </c>
      <c r="C910" s="216"/>
      <c r="D910" s="216" t="str">
        <f t="shared" si="43"/>
        <v/>
      </c>
      <c r="E910" s="215"/>
      <c r="F910" s="216"/>
      <c r="G910" s="216" t="str">
        <f>IF(C910&lt;&gt;"",VLOOKUP(C910,DSKH!B:E,3,0),"")</f>
        <v/>
      </c>
      <c r="H910" s="222"/>
      <c r="I910" s="217"/>
      <c r="J910" s="224"/>
      <c r="K910" s="216" t="str">
        <f t="shared" si="44"/>
        <v/>
      </c>
      <c r="L910" s="216"/>
      <c r="M910" s="216" t="str">
        <f t="shared" si="42"/>
        <v>-  -MAY 08-</v>
      </c>
    </row>
    <row r="911" spans="1:13">
      <c r="A911" s="216" t="str">
        <f>IF(C911&lt;&gt;"",SUBTOTAL(103,$C$8:C911),"")</f>
        <v/>
      </c>
      <c r="B911" s="226">
        <v>43228</v>
      </c>
      <c r="C911" s="216"/>
      <c r="D911" s="216" t="str">
        <f t="shared" si="43"/>
        <v/>
      </c>
      <c r="E911" s="215"/>
      <c r="F911" s="216"/>
      <c r="G911" s="216" t="str">
        <f>IF(C911&lt;&gt;"",VLOOKUP(C911,DSKH!B:E,3,0),"")</f>
        <v/>
      </c>
      <c r="H911" s="222"/>
      <c r="I911" s="217"/>
      <c r="J911" s="224"/>
      <c r="K911" s="216" t="str">
        <f t="shared" si="44"/>
        <v/>
      </c>
      <c r="L911" s="216"/>
      <c r="M911" s="216" t="str">
        <f t="shared" si="42"/>
        <v>-  -MAY 08-</v>
      </c>
    </row>
    <row r="912" spans="1:13">
      <c r="A912" s="216" t="str">
        <f>IF(C912&lt;&gt;"",SUBTOTAL(103,$C$8:C912),"")</f>
        <v/>
      </c>
      <c r="B912" s="226">
        <v>43228</v>
      </c>
      <c r="C912" s="216"/>
      <c r="D912" s="216" t="str">
        <f t="shared" si="43"/>
        <v/>
      </c>
      <c r="E912" s="215"/>
      <c r="F912" s="216"/>
      <c r="G912" s="216" t="str">
        <f>IF(C912&lt;&gt;"",VLOOKUP(C912,DSKH!B:E,3,0),"")</f>
        <v/>
      </c>
      <c r="H912" s="222"/>
      <c r="I912" s="217"/>
      <c r="J912" s="224"/>
      <c r="K912" s="216" t="str">
        <f t="shared" si="44"/>
        <v/>
      </c>
      <c r="L912" s="216"/>
      <c r="M912" s="216" t="str">
        <f t="shared" si="42"/>
        <v>-  -MAY 08-</v>
      </c>
    </row>
    <row r="913" spans="1:13">
      <c r="A913" s="216" t="str">
        <f>IF(C913&lt;&gt;"",SUBTOTAL(103,$C$8:C913),"")</f>
        <v/>
      </c>
      <c r="B913" s="226">
        <v>43228</v>
      </c>
      <c r="C913" s="216"/>
      <c r="D913" s="216" t="str">
        <f t="shared" si="43"/>
        <v/>
      </c>
      <c r="E913" s="215"/>
      <c r="F913" s="216"/>
      <c r="G913" s="216" t="str">
        <f>IF(C913&lt;&gt;"",VLOOKUP(C913,DSKH!B:E,3,0),"")</f>
        <v/>
      </c>
      <c r="H913" s="222"/>
      <c r="I913" s="217"/>
      <c r="J913" s="224"/>
      <c r="K913" s="216" t="str">
        <f t="shared" si="44"/>
        <v/>
      </c>
      <c r="L913" s="216"/>
      <c r="M913" s="216" t="str">
        <f t="shared" si="42"/>
        <v>-  -MAY 08-</v>
      </c>
    </row>
    <row r="914" spans="1:13">
      <c r="A914" s="216" t="str">
        <f>IF(C914&lt;&gt;"",SUBTOTAL(103,$C$8:C914),"")</f>
        <v/>
      </c>
      <c r="B914" s="226">
        <v>43228</v>
      </c>
      <c r="C914" s="216"/>
      <c r="D914" s="216" t="str">
        <f t="shared" si="43"/>
        <v/>
      </c>
      <c r="E914" s="215"/>
      <c r="F914" s="216"/>
      <c r="G914" s="216" t="str">
        <f>IF(C914&lt;&gt;"",VLOOKUP(C914,DSKH!B:E,3,0),"")</f>
        <v/>
      </c>
      <c r="H914" s="222"/>
      <c r="I914" s="217"/>
      <c r="J914" s="224"/>
      <c r="K914" s="216" t="str">
        <f t="shared" si="44"/>
        <v/>
      </c>
      <c r="L914" s="216"/>
      <c r="M914" s="216" t="str">
        <f t="shared" si="42"/>
        <v>-  -MAY 08-</v>
      </c>
    </row>
    <row r="915" spans="1:13">
      <c r="A915" s="216" t="str">
        <f>IF(C915&lt;&gt;"",SUBTOTAL(103,$C$8:C915),"")</f>
        <v/>
      </c>
      <c r="B915" s="226">
        <v>43228</v>
      </c>
      <c r="C915" s="216"/>
      <c r="D915" s="216" t="str">
        <f t="shared" si="43"/>
        <v/>
      </c>
      <c r="E915" s="215"/>
      <c r="F915" s="216"/>
      <c r="G915" s="216" t="str">
        <f>IF(C915&lt;&gt;"",VLOOKUP(C915,DSKH!B:E,3,0),"")</f>
        <v/>
      </c>
      <c r="H915" s="222"/>
      <c r="I915" s="217"/>
      <c r="J915" s="224"/>
      <c r="K915" s="216" t="str">
        <f t="shared" si="44"/>
        <v/>
      </c>
      <c r="L915" s="216"/>
      <c r="M915" s="216" t="str">
        <f t="shared" si="42"/>
        <v>-  -MAY 08-</v>
      </c>
    </row>
    <row r="916" spans="1:13">
      <c r="A916" s="216" t="str">
        <f>IF(C916&lt;&gt;"",SUBTOTAL(103,$C$8:C916),"")</f>
        <v/>
      </c>
      <c r="B916" s="226">
        <v>43228</v>
      </c>
      <c r="C916" s="216"/>
      <c r="D916" s="216" t="str">
        <f t="shared" si="43"/>
        <v/>
      </c>
      <c r="E916" s="215"/>
      <c r="F916" s="216"/>
      <c r="G916" s="216" t="str">
        <f>IF(C916&lt;&gt;"",VLOOKUP(C916,DSKH!B:E,3,0),"")</f>
        <v/>
      </c>
      <c r="H916" s="222"/>
      <c r="I916" s="217"/>
      <c r="J916" s="224"/>
      <c r="K916" s="216" t="str">
        <f t="shared" si="44"/>
        <v/>
      </c>
      <c r="L916" s="216"/>
      <c r="M916" s="216" t="str">
        <f t="shared" si="42"/>
        <v>-  -MAY 08-</v>
      </c>
    </row>
    <row r="917" spans="1:13">
      <c r="A917" s="216" t="str">
        <f>IF(C917&lt;&gt;"",SUBTOTAL(103,$C$8:C917),"")</f>
        <v/>
      </c>
      <c r="B917" s="226">
        <v>43228</v>
      </c>
      <c r="C917" s="216"/>
      <c r="D917" s="216" t="str">
        <f t="shared" si="43"/>
        <v/>
      </c>
      <c r="E917" s="215"/>
      <c r="F917" s="216"/>
      <c r="G917" s="216" t="str">
        <f>IF(C917&lt;&gt;"",VLOOKUP(C917,DSKH!B:E,3,0),"")</f>
        <v/>
      </c>
      <c r="H917" s="222"/>
      <c r="I917" s="217"/>
      <c r="J917" s="224"/>
      <c r="K917" s="216" t="str">
        <f t="shared" si="44"/>
        <v/>
      </c>
      <c r="L917" s="216"/>
      <c r="M917" s="216" t="str">
        <f t="shared" si="42"/>
        <v>-  -MAY 08-</v>
      </c>
    </row>
    <row r="918" spans="1:13">
      <c r="A918" s="216" t="str">
        <f>IF(C918&lt;&gt;"",SUBTOTAL(103,$C$8:C918),"")</f>
        <v/>
      </c>
      <c r="B918" s="226">
        <v>43228</v>
      </c>
      <c r="C918" s="216"/>
      <c r="D918" s="216" t="str">
        <f t="shared" si="43"/>
        <v/>
      </c>
      <c r="E918" s="215"/>
      <c r="F918" s="216"/>
      <c r="G918" s="216" t="str">
        <f>IF(C918&lt;&gt;"",VLOOKUP(C918,DSKH!B:E,3,0),"")</f>
        <v/>
      </c>
      <c r="H918" s="222"/>
      <c r="I918" s="217"/>
      <c r="J918" s="224"/>
      <c r="K918" s="216" t="str">
        <f t="shared" si="44"/>
        <v/>
      </c>
      <c r="L918" s="216"/>
      <c r="M918" s="216" t="str">
        <f t="shared" si="42"/>
        <v>-  -MAY 08-</v>
      </c>
    </row>
    <row r="919" spans="1:13">
      <c r="A919" s="216" t="str">
        <f>IF(C919&lt;&gt;"",SUBTOTAL(103,$C$8:C919),"")</f>
        <v/>
      </c>
      <c r="B919" s="226">
        <v>43228</v>
      </c>
      <c r="C919" s="216"/>
      <c r="D919" s="216" t="str">
        <f t="shared" si="43"/>
        <v/>
      </c>
      <c r="E919" s="215"/>
      <c r="F919" s="216"/>
      <c r="G919" s="216" t="str">
        <f>IF(C919&lt;&gt;"",VLOOKUP(C919,DSKH!B:E,3,0),"")</f>
        <v/>
      </c>
      <c r="H919" s="222"/>
      <c r="I919" s="217"/>
      <c r="J919" s="224"/>
      <c r="K919" s="216" t="str">
        <f t="shared" si="44"/>
        <v/>
      </c>
      <c r="L919" s="216"/>
      <c r="M919" s="216" t="str">
        <f t="shared" si="42"/>
        <v>-  -MAY 08-</v>
      </c>
    </row>
    <row r="920" spans="1:13">
      <c r="A920" s="216" t="str">
        <f>IF(C920&lt;&gt;"",SUBTOTAL(103,$C$8:C920),"")</f>
        <v/>
      </c>
      <c r="B920" s="226">
        <v>43228</v>
      </c>
      <c r="C920" s="216"/>
      <c r="D920" s="216" t="str">
        <f t="shared" si="43"/>
        <v/>
      </c>
      <c r="E920" s="215"/>
      <c r="F920" s="216"/>
      <c r="G920" s="216" t="str">
        <f>IF(C920&lt;&gt;"",VLOOKUP(C920,DSKH!B:E,3,0),"")</f>
        <v/>
      </c>
      <c r="H920" s="222"/>
      <c r="I920" s="217"/>
      <c r="J920" s="224"/>
      <c r="K920" s="216" t="str">
        <f t="shared" si="44"/>
        <v/>
      </c>
      <c r="L920" s="216"/>
      <c r="M920" s="216" t="str">
        <f t="shared" ref="M920:M933" si="45">C920&amp;"-"&amp;" "&amp;H920&amp;" "&amp;"-"&amp;"MAY"&amp;" "&amp;"08"&amp;"-"&amp;J920</f>
        <v>-  -MAY 08-</v>
      </c>
    </row>
    <row r="921" spans="1:13">
      <c r="A921" s="216" t="str">
        <f>IF(C921&lt;&gt;"",SUBTOTAL(103,$C$8:C921),"")</f>
        <v/>
      </c>
      <c r="B921" s="226">
        <v>43228</v>
      </c>
      <c r="C921" s="216"/>
      <c r="D921" s="216" t="str">
        <f t="shared" si="43"/>
        <v/>
      </c>
      <c r="E921" s="215"/>
      <c r="F921" s="216"/>
      <c r="G921" s="216" t="str">
        <f>IF(C921&lt;&gt;"",VLOOKUP(C921,DSKH!B:E,3,0),"")</f>
        <v/>
      </c>
      <c r="H921" s="222"/>
      <c r="I921" s="217"/>
      <c r="J921" s="224"/>
      <c r="K921" s="216" t="str">
        <f t="shared" si="44"/>
        <v/>
      </c>
      <c r="L921" s="216"/>
      <c r="M921" s="216" t="str">
        <f t="shared" si="45"/>
        <v>-  -MAY 08-</v>
      </c>
    </row>
    <row r="922" spans="1:13">
      <c r="A922" s="216" t="str">
        <f>IF(C922&lt;&gt;"",SUBTOTAL(103,$C$8:C922),"")</f>
        <v/>
      </c>
      <c r="B922" s="226">
        <v>43228</v>
      </c>
      <c r="C922" s="216"/>
      <c r="D922" s="216" t="str">
        <f t="shared" si="43"/>
        <v/>
      </c>
      <c r="E922" s="215"/>
      <c r="F922" s="216"/>
      <c r="G922" s="216" t="str">
        <f>IF(C922&lt;&gt;"",VLOOKUP(C922,DSKH!B:E,3,0),"")</f>
        <v/>
      </c>
      <c r="H922" s="222"/>
      <c r="I922" s="217"/>
      <c r="J922" s="224"/>
      <c r="K922" s="216" t="str">
        <f t="shared" si="44"/>
        <v/>
      </c>
      <c r="L922" s="216"/>
      <c r="M922" s="216" t="str">
        <f t="shared" si="45"/>
        <v>-  -MAY 08-</v>
      </c>
    </row>
    <row r="923" spans="1:13">
      <c r="A923" s="216" t="str">
        <f>IF(C923&lt;&gt;"",SUBTOTAL(103,$C$8:C923),"")</f>
        <v/>
      </c>
      <c r="B923" s="226">
        <v>43228</v>
      </c>
      <c r="C923" s="216"/>
      <c r="D923" s="216" t="str">
        <f t="shared" si="43"/>
        <v/>
      </c>
      <c r="E923" s="215"/>
      <c r="F923" s="216"/>
      <c r="G923" s="216" t="str">
        <f>IF(C923&lt;&gt;"",VLOOKUP(C923,DSKH!B:E,3,0),"")</f>
        <v/>
      </c>
      <c r="H923" s="222"/>
      <c r="I923" s="217"/>
      <c r="J923" s="224"/>
      <c r="K923" s="216" t="str">
        <f t="shared" si="44"/>
        <v/>
      </c>
      <c r="L923" s="216"/>
      <c r="M923" s="216" t="str">
        <f t="shared" si="45"/>
        <v>-  -MAY 08-</v>
      </c>
    </row>
    <row r="924" spans="1:13">
      <c r="A924" s="216" t="str">
        <f>IF(C924&lt;&gt;"",SUBTOTAL(103,$C$8:C924),"")</f>
        <v/>
      </c>
      <c r="B924" s="226">
        <v>43228</v>
      </c>
      <c r="C924" s="216"/>
      <c r="D924" s="216" t="str">
        <f t="shared" si="43"/>
        <v/>
      </c>
      <c r="E924" s="215"/>
      <c r="F924" s="216"/>
      <c r="G924" s="216" t="str">
        <f>IF(C924&lt;&gt;"",VLOOKUP(C924,DSKH!B:E,3,0),"")</f>
        <v/>
      </c>
      <c r="H924" s="222"/>
      <c r="I924" s="217"/>
      <c r="J924" s="224"/>
      <c r="K924" s="216" t="str">
        <f t="shared" si="44"/>
        <v/>
      </c>
      <c r="L924" s="216"/>
      <c r="M924" s="216" t="str">
        <f t="shared" si="45"/>
        <v>-  -MAY 08-</v>
      </c>
    </row>
    <row r="925" spans="1:13">
      <c r="A925" s="216" t="str">
        <f>IF(C925&lt;&gt;"",SUBTOTAL(103,$C$8:C925),"")</f>
        <v/>
      </c>
      <c r="B925" s="226">
        <v>43228</v>
      </c>
      <c r="C925" s="216"/>
      <c r="D925" s="216" t="str">
        <f t="shared" si="43"/>
        <v/>
      </c>
      <c r="E925" s="215"/>
      <c r="F925" s="216"/>
      <c r="G925" s="216" t="str">
        <f>IF(C925&lt;&gt;"",VLOOKUP(C925,DSKH!B:E,3,0),"")</f>
        <v/>
      </c>
      <c r="H925" s="222"/>
      <c r="I925" s="217"/>
      <c r="J925" s="224"/>
      <c r="K925" s="216" t="str">
        <f t="shared" si="44"/>
        <v/>
      </c>
      <c r="L925" s="216"/>
      <c r="M925" s="216" t="str">
        <f t="shared" si="45"/>
        <v>-  -MAY 08-</v>
      </c>
    </row>
    <row r="926" spans="1:13">
      <c r="A926" s="216" t="str">
        <f>IF(C926&lt;&gt;"",SUBTOTAL(103,$C$8:C926),"")</f>
        <v/>
      </c>
      <c r="B926" s="226">
        <v>43228</v>
      </c>
      <c r="C926" s="216"/>
      <c r="D926" s="216" t="str">
        <f t="shared" si="43"/>
        <v/>
      </c>
      <c r="E926" s="215"/>
      <c r="F926" s="216"/>
      <c r="G926" s="216" t="str">
        <f>IF(C926&lt;&gt;"",VLOOKUP(C926,DSKH!B:E,3,0),"")</f>
        <v/>
      </c>
      <c r="H926" s="222"/>
      <c r="I926" s="217"/>
      <c r="J926" s="224"/>
      <c r="K926" s="216" t="str">
        <f t="shared" si="44"/>
        <v/>
      </c>
      <c r="L926" s="216"/>
      <c r="M926" s="216" t="str">
        <f t="shared" si="45"/>
        <v>-  -MAY 08-</v>
      </c>
    </row>
    <row r="927" spans="1:13">
      <c r="A927" s="216" t="str">
        <f>IF(C927&lt;&gt;"",SUBTOTAL(103,$C$8:C927),"")</f>
        <v/>
      </c>
      <c r="B927" s="226">
        <v>43228</v>
      </c>
      <c r="C927" s="216"/>
      <c r="D927" s="216" t="str">
        <f t="shared" si="43"/>
        <v/>
      </c>
      <c r="E927" s="215"/>
      <c r="F927" s="216"/>
      <c r="G927" s="216" t="str">
        <f>IF(C927&lt;&gt;"",VLOOKUP(C927,DSKH!B:E,3,0),"")</f>
        <v/>
      </c>
      <c r="H927" s="222"/>
      <c r="I927" s="217"/>
      <c r="J927" s="224"/>
      <c r="K927" s="216" t="str">
        <f t="shared" si="44"/>
        <v/>
      </c>
      <c r="L927" s="216"/>
      <c r="M927" s="216" t="str">
        <f t="shared" si="45"/>
        <v>-  -MAY 08-</v>
      </c>
    </row>
    <row r="928" spans="1:13">
      <c r="A928" s="216" t="str">
        <f>IF(C928&lt;&gt;"",SUBTOTAL(103,$C$8:C928),"")</f>
        <v/>
      </c>
      <c r="B928" s="226">
        <v>43228</v>
      </c>
      <c r="C928" s="216"/>
      <c r="D928" s="216" t="str">
        <f t="shared" si="43"/>
        <v/>
      </c>
      <c r="E928" s="215"/>
      <c r="F928" s="216"/>
      <c r="G928" s="216" t="str">
        <f>IF(C928&lt;&gt;"",VLOOKUP(C928,DSKH!B:E,3,0),"")</f>
        <v/>
      </c>
      <c r="H928" s="222"/>
      <c r="I928" s="217"/>
      <c r="J928" s="224"/>
      <c r="K928" s="216" t="str">
        <f t="shared" si="44"/>
        <v/>
      </c>
      <c r="L928" s="216"/>
      <c r="M928" s="216" t="str">
        <f t="shared" si="45"/>
        <v>-  -MAY 08-</v>
      </c>
    </row>
    <row r="929" spans="1:13">
      <c r="A929" s="216" t="str">
        <f>IF(C929&lt;&gt;"",SUBTOTAL(103,$C$8:C929),"")</f>
        <v/>
      </c>
      <c r="B929" s="226">
        <v>43228</v>
      </c>
      <c r="C929" s="216"/>
      <c r="D929" s="216" t="str">
        <f t="shared" si="43"/>
        <v/>
      </c>
      <c r="E929" s="215"/>
      <c r="F929" s="216"/>
      <c r="G929" s="216" t="str">
        <f>IF(C929&lt;&gt;"",VLOOKUP(C929,DSKH!B:E,3,0),"")</f>
        <v/>
      </c>
      <c r="H929" s="222"/>
      <c r="I929" s="217"/>
      <c r="J929" s="224"/>
      <c r="K929" s="216" t="str">
        <f t="shared" si="44"/>
        <v/>
      </c>
      <c r="L929" s="216"/>
      <c r="M929" s="216" t="str">
        <f t="shared" si="45"/>
        <v>-  -MAY 08-</v>
      </c>
    </row>
    <row r="930" spans="1:13">
      <c r="A930" s="216" t="str">
        <f>IF(C930&lt;&gt;"",SUBTOTAL(103,$C$8:C930),"")</f>
        <v/>
      </c>
      <c r="B930" s="226">
        <v>43228</v>
      </c>
      <c r="C930" s="216"/>
      <c r="D930" s="216" t="str">
        <f t="shared" si="43"/>
        <v/>
      </c>
      <c r="E930" s="215"/>
      <c r="F930" s="216"/>
      <c r="G930" s="216" t="str">
        <f>IF(C930&lt;&gt;"",VLOOKUP(C930,DSKH!B:E,3,0),"")</f>
        <v/>
      </c>
      <c r="H930" s="222"/>
      <c r="I930" s="217"/>
      <c r="J930" s="224"/>
      <c r="K930" s="216" t="str">
        <f t="shared" si="44"/>
        <v/>
      </c>
      <c r="L930" s="216"/>
      <c r="M930" s="216" t="str">
        <f t="shared" si="45"/>
        <v>-  -MAY 08-</v>
      </c>
    </row>
    <row r="931" spans="1:13">
      <c r="A931" s="216" t="str">
        <f>IF(C931&lt;&gt;"",SUBTOTAL(103,$C$8:C931),"")</f>
        <v/>
      </c>
      <c r="B931" s="226">
        <v>43228</v>
      </c>
      <c r="C931" s="216"/>
      <c r="D931" s="216" t="str">
        <f t="shared" si="43"/>
        <v/>
      </c>
      <c r="E931" s="215"/>
      <c r="F931" s="216"/>
      <c r="G931" s="216" t="str">
        <f>IF(C931&lt;&gt;"",VLOOKUP(C931,DSKH!B:E,3,0),"")</f>
        <v/>
      </c>
      <c r="H931" s="222"/>
      <c r="I931" s="217"/>
      <c r="J931" s="224"/>
      <c r="K931" s="216" t="str">
        <f t="shared" si="44"/>
        <v/>
      </c>
      <c r="L931" s="216"/>
      <c r="M931" s="216" t="str">
        <f t="shared" si="45"/>
        <v>-  -MAY 08-</v>
      </c>
    </row>
    <row r="932" spans="1:13">
      <c r="A932" s="216" t="str">
        <f>IF(C932&lt;&gt;"",SUBTOTAL(103,$C$8:C932),"")</f>
        <v/>
      </c>
      <c r="B932" s="226">
        <v>43228</v>
      </c>
      <c r="C932" s="216"/>
      <c r="D932" s="216" t="str">
        <f t="shared" si="43"/>
        <v/>
      </c>
      <c r="E932" s="215"/>
      <c r="F932" s="216"/>
      <c r="G932" s="216" t="str">
        <f>IF(C932&lt;&gt;"",VLOOKUP(C932,DSKH!B:E,3,0),"")</f>
        <v/>
      </c>
      <c r="H932" s="222"/>
      <c r="I932" s="217"/>
      <c r="J932" s="224"/>
      <c r="K932" s="216" t="str">
        <f t="shared" si="44"/>
        <v/>
      </c>
      <c r="L932" s="216"/>
      <c r="M932" s="216" t="str">
        <f t="shared" si="45"/>
        <v>-  -MAY 08-</v>
      </c>
    </row>
    <row r="933" spans="1:13">
      <c r="A933" s="216" t="str">
        <f>IF(C933&lt;&gt;"",SUBTOTAL(103,$C$8:C933),"")</f>
        <v/>
      </c>
      <c r="B933" s="226">
        <v>43228</v>
      </c>
      <c r="C933" s="216"/>
      <c r="D933" s="216" t="str">
        <f t="shared" si="43"/>
        <v/>
      </c>
      <c r="E933" s="215"/>
      <c r="F933" s="216"/>
      <c r="G933" s="216" t="str">
        <f>IF(C933&lt;&gt;"",VLOOKUP(C933,DSKH!B:E,3,0),"")</f>
        <v/>
      </c>
      <c r="H933" s="222"/>
      <c r="I933" s="217"/>
      <c r="J933" s="224"/>
      <c r="K933" s="216" t="str">
        <f t="shared" si="44"/>
        <v/>
      </c>
      <c r="L933" s="216"/>
      <c r="M933" s="216" t="str">
        <f t="shared" si="45"/>
        <v>-  -MAY 08-</v>
      </c>
    </row>
  </sheetData>
  <mergeCells count="1">
    <mergeCell ref="G2:J2"/>
  </mergeCells>
  <conditionalFormatting sqref="H934:H1048576">
    <cfRule type="duplicateValues" dxfId="5013" priority="9307"/>
  </conditionalFormatting>
  <conditionalFormatting sqref="H9:H99 H106:H297 H303:H1048576">
    <cfRule type="duplicateValues" dxfId="5012" priority="10024"/>
  </conditionalFormatting>
  <conditionalFormatting sqref="J9:J1048576">
    <cfRule type="duplicateValues" dxfId="5011" priority="10026"/>
  </conditionalFormatting>
  <conditionalFormatting sqref="H1:H7 H9:H99 H106:H297 H303:H1048576">
    <cfRule type="duplicateValues" dxfId="5010" priority="26"/>
  </conditionalFormatting>
  <conditionalFormatting sqref="H9:H99 H106:H297 H303:H933">
    <cfRule type="expression" dxfId="5009" priority="15">
      <formula>LEN($H9)&lt;&gt;10</formula>
    </cfRule>
  </conditionalFormatting>
  <conditionalFormatting sqref="J9:J933">
    <cfRule type="expression" dxfId="5008" priority="13">
      <formula>LEN($J9)&lt;&gt;11</formula>
    </cfRule>
  </conditionalFormatting>
  <conditionalFormatting sqref="H7">
    <cfRule type="duplicateValues" dxfId="5007" priority="10095"/>
  </conditionalFormatting>
  <conditionalFormatting sqref="H1:H7">
    <cfRule type="duplicateValues" dxfId="5006" priority="10096"/>
  </conditionalFormatting>
  <conditionalFormatting sqref="J1:J7">
    <cfRule type="duplicateValues" dxfId="5005" priority="10099"/>
  </conditionalFormatting>
  <conditionalFormatting sqref="H1:H7">
    <cfRule type="duplicateValues" dxfId="5004" priority="10100"/>
  </conditionalFormatting>
  <conditionalFormatting sqref="J8">
    <cfRule type="duplicateValues" dxfId="5003" priority="10102"/>
  </conditionalFormatting>
  <conditionalFormatting sqref="H8">
    <cfRule type="duplicateValues" dxfId="5002" priority="10103"/>
  </conditionalFormatting>
  <conditionalFormatting sqref="H9:H99 H106:H297 H303:H933">
    <cfRule type="duplicateValues" dxfId="5001" priority="10250"/>
  </conditionalFormatting>
  <pageMargins left="0.25" right="0.25" top="0.75" bottom="0.75" header="0.3" footer="0.3"/>
  <pageSetup paperSize="9" scale="3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R1860"/>
  <sheetViews>
    <sheetView topLeftCell="A888" workbookViewId="0">
      <selection activeCell="F925" sqref="F925"/>
    </sheetView>
  </sheetViews>
  <sheetFormatPr defaultColWidth="9.88671875" defaultRowHeight="13.2"/>
  <cols>
    <col min="1" max="1" width="7.5546875" style="1" customWidth="1"/>
    <col min="2" max="2" width="19.109375" style="11" customWidth="1"/>
    <col min="3" max="3" width="17.6640625" style="13" customWidth="1"/>
    <col min="4" max="4" width="14.109375" style="11" customWidth="1"/>
    <col min="5" max="5" width="27.109375" style="30" customWidth="1"/>
    <col min="6" max="6" width="17.88671875" style="15" customWidth="1"/>
    <col min="7" max="7" width="0" style="1" hidden="1" customWidth="1"/>
    <col min="8" max="8" width="29.109375" style="1" hidden="1" customWidth="1"/>
    <col min="9" max="9" width="14.44140625" style="1" hidden="1" customWidth="1"/>
    <col min="10" max="12" width="0" style="1" hidden="1" customWidth="1"/>
    <col min="13" max="13" width="12.5546875" style="1" hidden="1" customWidth="1"/>
    <col min="14" max="14" width="0" style="1" hidden="1" customWidth="1"/>
    <col min="15" max="15" width="3.5546875" style="1" customWidth="1"/>
    <col min="16" max="16" width="62.33203125" style="1" customWidth="1"/>
    <col min="17" max="17" width="22.44140625" style="1" customWidth="1"/>
    <col min="18" max="16384" width="9.88671875" style="1"/>
  </cols>
  <sheetData>
    <row r="1" spans="1:18" ht="14.4">
      <c r="B1" s="2" t="s">
        <v>14</v>
      </c>
      <c r="C1" s="3" t="s">
        <v>15</v>
      </c>
      <c r="D1" s="276" t="s">
        <v>16</v>
      </c>
      <c r="E1" s="277"/>
      <c r="F1" s="4"/>
      <c r="G1" s="5"/>
      <c r="H1" s="5"/>
      <c r="I1" s="5"/>
      <c r="P1" s="270" t="s">
        <v>4</v>
      </c>
      <c r="Q1" t="s">
        <v>569</v>
      </c>
      <c r="R1"/>
    </row>
    <row r="2" spans="1:18" ht="14.4">
      <c r="B2" s="2" t="s">
        <v>17</v>
      </c>
      <c r="C2" s="3" t="s">
        <v>18</v>
      </c>
      <c r="D2" s="6" t="s">
        <v>19</v>
      </c>
      <c r="E2" s="7" t="s">
        <v>20</v>
      </c>
      <c r="F2" s="8"/>
      <c r="G2" s="5"/>
      <c r="H2" s="5"/>
      <c r="I2" s="5"/>
      <c r="P2"/>
      <c r="Q2"/>
      <c r="R2"/>
    </row>
    <row r="3" spans="1:18" ht="14.4">
      <c r="B3" s="2" t="s">
        <v>21</v>
      </c>
      <c r="C3" s="3" t="s">
        <v>22</v>
      </c>
      <c r="D3" s="278" t="s">
        <v>23</v>
      </c>
      <c r="E3" s="279"/>
      <c r="F3" s="8"/>
      <c r="G3" s="5"/>
      <c r="H3" s="5"/>
      <c r="I3" s="5"/>
      <c r="P3" s="270" t="s">
        <v>2994</v>
      </c>
      <c r="Q3"/>
      <c r="R3"/>
    </row>
    <row r="4" spans="1:18" ht="14.4">
      <c r="B4" s="9"/>
      <c r="C4" s="9" t="s">
        <v>4</v>
      </c>
      <c r="D4" s="266"/>
      <c r="E4" s="266"/>
      <c r="F4" s="8"/>
      <c r="G4" s="5"/>
      <c r="H4" s="5"/>
      <c r="I4" s="5"/>
      <c r="P4" s="267" t="s">
        <v>557</v>
      </c>
      <c r="Q4"/>
      <c r="R4"/>
    </row>
    <row r="5" spans="1:18" ht="14.4">
      <c r="B5" s="9"/>
      <c r="C5" s="280" t="s">
        <v>24</v>
      </c>
      <c r="D5" s="280"/>
      <c r="E5" s="280"/>
      <c r="F5" s="8"/>
      <c r="G5" s="5"/>
      <c r="H5" s="5"/>
      <c r="I5" s="5"/>
      <c r="P5" s="268" t="s">
        <v>570</v>
      </c>
      <c r="Q5"/>
      <c r="R5"/>
    </row>
    <row r="6" spans="1:18" ht="26.4">
      <c r="B6" s="10" t="s">
        <v>25</v>
      </c>
      <c r="C6" s="10" t="s">
        <v>26</v>
      </c>
      <c r="D6" s="11" t="s">
        <v>27</v>
      </c>
      <c r="E6" s="12"/>
      <c r="F6" s="8"/>
      <c r="G6" s="5"/>
      <c r="H6" s="5"/>
      <c r="I6" s="5"/>
      <c r="P6" s="267" t="s">
        <v>2995</v>
      </c>
      <c r="Q6"/>
      <c r="R6"/>
    </row>
    <row r="7" spans="1:18" ht="14.4">
      <c r="A7" s="13"/>
      <c r="B7" s="14" t="s">
        <v>28</v>
      </c>
      <c r="C7" s="14" t="s">
        <v>29</v>
      </c>
      <c r="D7" s="14" t="s">
        <v>30</v>
      </c>
      <c r="E7" s="14" t="s">
        <v>31</v>
      </c>
      <c r="G7" s="16"/>
      <c r="H7" s="16"/>
      <c r="I7" s="16"/>
      <c r="J7" s="16"/>
      <c r="K7" s="16"/>
      <c r="P7"/>
      <c r="Q7"/>
      <c r="R7"/>
    </row>
    <row r="8" spans="1:18" ht="14.4">
      <c r="A8" s="13"/>
      <c r="B8" s="14" t="s">
        <v>32</v>
      </c>
      <c r="C8" s="14" t="s">
        <v>33</v>
      </c>
      <c r="D8" s="14" t="s">
        <v>34</v>
      </c>
      <c r="E8" s="14" t="s">
        <v>35</v>
      </c>
      <c r="F8" s="15" t="s">
        <v>36</v>
      </c>
      <c r="G8" s="16"/>
      <c r="H8" s="16"/>
      <c r="I8" s="16"/>
      <c r="J8" s="16"/>
      <c r="K8" s="16"/>
      <c r="P8"/>
      <c r="Q8"/>
      <c r="R8"/>
    </row>
    <row r="9" spans="1:18" ht="14.4">
      <c r="A9" s="13"/>
      <c r="B9" s="14" t="s">
        <v>37</v>
      </c>
      <c r="C9" s="14" t="s">
        <v>38</v>
      </c>
      <c r="D9" s="14" t="s">
        <v>39</v>
      </c>
      <c r="E9" s="14" t="s">
        <v>40</v>
      </c>
      <c r="G9" s="16"/>
      <c r="H9" s="16"/>
      <c r="I9" s="16"/>
      <c r="J9" s="16"/>
      <c r="K9" s="16"/>
      <c r="P9"/>
      <c r="Q9"/>
      <c r="R9"/>
    </row>
    <row r="10" spans="1:18" ht="14.4">
      <c r="A10" s="13"/>
      <c r="B10" s="14" t="s">
        <v>41</v>
      </c>
      <c r="C10" s="14" t="s">
        <v>42</v>
      </c>
      <c r="D10" s="14" t="s">
        <v>43</v>
      </c>
      <c r="E10" s="14" t="s">
        <v>44</v>
      </c>
      <c r="G10" s="16"/>
      <c r="H10" s="16"/>
      <c r="I10" s="16"/>
      <c r="J10" s="16"/>
      <c r="K10" s="16"/>
      <c r="P10"/>
      <c r="Q10"/>
      <c r="R10"/>
    </row>
    <row r="11" spans="1:18" ht="14.4">
      <c r="A11" s="17" t="s">
        <v>2</v>
      </c>
      <c r="B11" s="17" t="s">
        <v>4</v>
      </c>
      <c r="C11" s="17" t="s">
        <v>5</v>
      </c>
      <c r="D11" s="17" t="s">
        <v>45</v>
      </c>
      <c r="E11" s="17" t="s">
        <v>12</v>
      </c>
      <c r="F11" s="17" t="s">
        <v>46</v>
      </c>
      <c r="G11" s="18"/>
      <c r="H11" s="18"/>
      <c r="P11"/>
      <c r="Q11"/>
      <c r="R11"/>
    </row>
    <row r="12" spans="1:18" ht="52.8">
      <c r="A12" s="19">
        <v>1</v>
      </c>
      <c r="B12" s="20" t="s">
        <v>47</v>
      </c>
      <c r="C12" s="21" t="s">
        <v>48</v>
      </c>
      <c r="D12" s="20" t="s">
        <v>49</v>
      </c>
      <c r="E12" s="22" t="s">
        <v>50</v>
      </c>
      <c r="F12" s="41"/>
      <c r="G12" s="19"/>
      <c r="H12" s="19"/>
      <c r="I12" s="19"/>
      <c r="J12" s="19"/>
      <c r="K12" s="19"/>
      <c r="L12" s="19"/>
      <c r="M12" s="19"/>
      <c r="N12" s="19"/>
      <c r="O12" s="19"/>
      <c r="P12"/>
      <c r="Q12"/>
      <c r="R12"/>
    </row>
    <row r="13" spans="1:18" ht="118.8">
      <c r="A13" s="19">
        <v>2</v>
      </c>
      <c r="B13" s="20" t="s">
        <v>51</v>
      </c>
      <c r="C13" s="21" t="s">
        <v>52</v>
      </c>
      <c r="D13" s="20"/>
      <c r="E13" s="22" t="s">
        <v>53</v>
      </c>
      <c r="F13" s="41"/>
      <c r="G13" s="19"/>
      <c r="H13" s="19"/>
      <c r="I13" s="19"/>
      <c r="J13" s="19"/>
      <c r="K13" s="19"/>
      <c r="L13" s="19"/>
      <c r="M13" s="19"/>
      <c r="N13" s="19"/>
      <c r="O13" s="19"/>
      <c r="P13"/>
      <c r="Q13"/>
      <c r="R13"/>
    </row>
    <row r="14" spans="1:18" ht="52.8">
      <c r="A14" s="19"/>
      <c r="B14" s="20" t="s">
        <v>2944</v>
      </c>
      <c r="C14" s="21" t="s">
        <v>2987</v>
      </c>
      <c r="D14" s="20"/>
      <c r="E14" s="22" t="s">
        <v>2988</v>
      </c>
      <c r="F14" s="41"/>
      <c r="G14" s="19"/>
      <c r="H14" s="19"/>
      <c r="I14" s="19"/>
      <c r="J14" s="19"/>
      <c r="K14" s="19"/>
      <c r="L14" s="19"/>
      <c r="M14" s="19"/>
      <c r="N14" s="19"/>
      <c r="O14" s="19"/>
      <c r="P14"/>
      <c r="Q14"/>
      <c r="R14"/>
    </row>
    <row r="15" spans="1:18" ht="52.8">
      <c r="A15" s="19">
        <v>3</v>
      </c>
      <c r="B15" s="24" t="s">
        <v>54</v>
      </c>
      <c r="C15" s="21" t="s">
        <v>55</v>
      </c>
      <c r="D15" s="25"/>
      <c r="E15" s="26" t="s">
        <v>56</v>
      </c>
      <c r="F15" s="49"/>
      <c r="G15" s="25"/>
      <c r="H15" s="27"/>
      <c r="I15" s="21"/>
      <c r="J15" s="28"/>
      <c r="K15" s="28"/>
      <c r="L15" s="28"/>
      <c r="M15" s="28"/>
      <c r="N15" s="28"/>
      <c r="O15" s="28"/>
      <c r="P15"/>
      <c r="Q15"/>
      <c r="R15"/>
    </row>
    <row r="16" spans="1:18" ht="52.8">
      <c r="A16" s="19">
        <v>4</v>
      </c>
      <c r="B16" s="20" t="s">
        <v>57</v>
      </c>
      <c r="C16" s="21" t="s">
        <v>58</v>
      </c>
      <c r="D16" s="20" t="s">
        <v>59</v>
      </c>
      <c r="E16" s="20" t="s">
        <v>60</v>
      </c>
      <c r="F16" s="41"/>
      <c r="G16" s="19"/>
      <c r="H16" s="19"/>
      <c r="I16" s="19"/>
      <c r="J16" s="19"/>
      <c r="K16" s="19"/>
      <c r="L16" s="19"/>
      <c r="M16" s="19"/>
      <c r="N16" s="19"/>
      <c r="O16" s="19"/>
      <c r="P16"/>
      <c r="Q16"/>
      <c r="R16"/>
    </row>
    <row r="17" spans="1:18" ht="39.6">
      <c r="A17" s="19">
        <v>5</v>
      </c>
      <c r="B17" s="20" t="s">
        <v>2651</v>
      </c>
      <c r="C17" s="21" t="s">
        <v>61</v>
      </c>
      <c r="D17" s="20"/>
      <c r="E17" s="22"/>
      <c r="F17" s="41"/>
      <c r="G17" s="19"/>
      <c r="H17" s="19"/>
      <c r="I17" s="19"/>
      <c r="J17" s="19"/>
      <c r="K17" s="19"/>
      <c r="L17" s="19"/>
      <c r="M17" s="19"/>
      <c r="N17" s="19"/>
      <c r="O17" s="19"/>
      <c r="P17"/>
      <c r="Q17"/>
      <c r="R17"/>
    </row>
    <row r="18" spans="1:18" ht="66">
      <c r="A18" s="19"/>
      <c r="B18" s="20" t="s">
        <v>2941</v>
      </c>
      <c r="C18" s="21" t="s">
        <v>2984</v>
      </c>
      <c r="D18" s="20"/>
      <c r="E18" s="22"/>
      <c r="F18" s="41"/>
      <c r="G18" s="19"/>
      <c r="H18" s="19"/>
      <c r="I18" s="19"/>
      <c r="J18" s="19"/>
      <c r="K18" s="19"/>
      <c r="L18" s="19"/>
      <c r="M18" s="19"/>
      <c r="N18" s="19"/>
      <c r="O18" s="19"/>
      <c r="P18"/>
      <c r="Q18"/>
      <c r="R18"/>
    </row>
    <row r="19" spans="1:18" ht="79.2">
      <c r="A19" s="19">
        <v>6</v>
      </c>
      <c r="B19" s="20" t="s">
        <v>62</v>
      </c>
      <c r="C19" s="21" t="s">
        <v>63</v>
      </c>
      <c r="D19" s="20"/>
      <c r="E19" s="22" t="s">
        <v>64</v>
      </c>
      <c r="F19" s="41" t="s">
        <v>65</v>
      </c>
      <c r="G19" s="19"/>
      <c r="H19" s="19"/>
      <c r="I19" s="19"/>
      <c r="J19" s="19"/>
      <c r="K19" s="19"/>
      <c r="L19" s="19"/>
      <c r="M19" s="19"/>
      <c r="N19" s="19"/>
      <c r="O19" s="19"/>
      <c r="P19"/>
      <c r="Q19"/>
      <c r="R19"/>
    </row>
    <row r="20" spans="1:18" ht="79.2">
      <c r="A20" s="19">
        <v>7</v>
      </c>
      <c r="B20" s="20" t="s">
        <v>66</v>
      </c>
      <c r="C20" s="21" t="s">
        <v>67</v>
      </c>
      <c r="D20" s="20"/>
      <c r="E20" s="22" t="s">
        <v>68</v>
      </c>
      <c r="F20" s="41"/>
      <c r="G20" s="19"/>
      <c r="H20" s="19" t="s">
        <v>69</v>
      </c>
      <c r="I20" s="19"/>
      <c r="J20" s="19"/>
      <c r="K20" s="19"/>
      <c r="L20" s="19"/>
      <c r="M20" s="19"/>
      <c r="N20" s="19"/>
      <c r="O20" s="19"/>
      <c r="P20"/>
      <c r="Q20"/>
      <c r="R20"/>
    </row>
    <row r="21" spans="1:18" ht="39.6">
      <c r="A21" s="19">
        <v>8</v>
      </c>
      <c r="B21" s="20" t="s">
        <v>70</v>
      </c>
      <c r="C21" s="21" t="s">
        <v>71</v>
      </c>
      <c r="D21" s="20"/>
      <c r="E21" s="22" t="s">
        <v>72</v>
      </c>
      <c r="F21" s="41"/>
      <c r="G21" s="19"/>
      <c r="I21" s="19"/>
      <c r="J21" s="19"/>
      <c r="K21" s="19"/>
      <c r="L21" s="19"/>
      <c r="M21" s="19"/>
      <c r="N21" s="19"/>
      <c r="O21" s="19"/>
      <c r="P21"/>
      <c r="Q21" s="19"/>
      <c r="R21" s="19"/>
    </row>
    <row r="22" spans="1:18" ht="79.2">
      <c r="A22" s="19">
        <v>9</v>
      </c>
      <c r="B22" s="20" t="s">
        <v>73</v>
      </c>
      <c r="C22" s="21" t="s">
        <v>74</v>
      </c>
      <c r="D22" s="20" t="s">
        <v>2953</v>
      </c>
      <c r="E22" s="29"/>
      <c r="F22" s="49"/>
      <c r="G22" s="19"/>
      <c r="H22" s="18"/>
      <c r="I22" s="19"/>
      <c r="J22" s="19"/>
      <c r="K22" s="19"/>
      <c r="L22" s="19"/>
      <c r="M22" s="19"/>
      <c r="N22" s="19"/>
      <c r="O22" s="19"/>
      <c r="P22"/>
      <c r="Q22" s="19"/>
      <c r="R22" s="19"/>
    </row>
    <row r="23" spans="1:18" ht="79.2">
      <c r="A23" s="19">
        <v>10</v>
      </c>
      <c r="B23" s="216" t="s">
        <v>75</v>
      </c>
      <c r="C23" s="21" t="s">
        <v>76</v>
      </c>
      <c r="D23" s="20" t="s">
        <v>2973</v>
      </c>
      <c r="E23" s="22" t="s">
        <v>78</v>
      </c>
      <c r="F23" s="41"/>
      <c r="G23" s="19"/>
      <c r="I23" s="19"/>
      <c r="J23" s="19"/>
      <c r="K23" s="19"/>
      <c r="L23" s="19"/>
      <c r="M23" s="19"/>
      <c r="N23" s="19"/>
      <c r="O23" s="19"/>
      <c r="P23"/>
      <c r="Q23" s="19"/>
      <c r="R23" s="19"/>
    </row>
    <row r="24" spans="1:18" ht="26.4">
      <c r="A24" s="19">
        <v>11</v>
      </c>
      <c r="B24" s="20" t="s">
        <v>79</v>
      </c>
      <c r="C24" s="21" t="s">
        <v>80</v>
      </c>
      <c r="D24" s="20"/>
      <c r="E24" s="22" t="s">
        <v>81</v>
      </c>
      <c r="F24" s="41"/>
      <c r="G24" s="19"/>
      <c r="H24" s="19"/>
      <c r="I24" s="19"/>
      <c r="J24" s="19"/>
      <c r="K24" s="19"/>
      <c r="L24" s="19"/>
      <c r="M24" s="19"/>
      <c r="N24" s="19"/>
      <c r="O24" s="19"/>
      <c r="P24"/>
      <c r="Q24" s="19"/>
      <c r="R24" s="19"/>
    </row>
    <row r="25" spans="1:18" ht="39.6">
      <c r="A25" s="19">
        <v>12</v>
      </c>
      <c r="B25" s="20" t="s">
        <v>79</v>
      </c>
      <c r="C25" s="21" t="s">
        <v>82</v>
      </c>
      <c r="D25" s="20"/>
      <c r="E25" s="22" t="s">
        <v>83</v>
      </c>
      <c r="F25" s="41"/>
      <c r="G25" s="19"/>
      <c r="H25" s="19"/>
      <c r="I25" s="19"/>
      <c r="J25" s="19"/>
      <c r="K25" s="19"/>
      <c r="L25" s="19"/>
      <c r="M25" s="19"/>
      <c r="N25" s="19"/>
      <c r="O25" s="19"/>
      <c r="P25"/>
      <c r="Q25" s="19"/>
      <c r="R25" s="19"/>
    </row>
    <row r="26" spans="1:18" ht="39.6">
      <c r="A26" s="19">
        <v>13</v>
      </c>
      <c r="B26" s="20" t="s">
        <v>84</v>
      </c>
      <c r="C26" s="21" t="s">
        <v>85</v>
      </c>
      <c r="D26" s="20" t="s">
        <v>86</v>
      </c>
      <c r="E26" s="22" t="s">
        <v>87</v>
      </c>
      <c r="F26" s="41"/>
      <c r="G26" s="19"/>
      <c r="H26" s="19"/>
      <c r="I26" s="19"/>
      <c r="J26" s="19"/>
      <c r="K26" s="19"/>
      <c r="L26" s="19"/>
      <c r="M26" s="19"/>
      <c r="N26" s="19"/>
      <c r="O26" s="19"/>
      <c r="P26"/>
      <c r="Q26" s="19"/>
      <c r="R26" s="19"/>
    </row>
    <row r="27" spans="1:18" ht="39.6">
      <c r="A27" s="19">
        <v>14</v>
      </c>
      <c r="B27" s="20" t="s">
        <v>88</v>
      </c>
      <c r="C27" s="21" t="s">
        <v>2607</v>
      </c>
      <c r="D27" s="31" t="s">
        <v>89</v>
      </c>
      <c r="E27" s="22" t="s">
        <v>90</v>
      </c>
      <c r="F27" s="41"/>
      <c r="G27" s="19"/>
      <c r="H27" s="19"/>
      <c r="I27" s="19"/>
      <c r="J27" s="19"/>
      <c r="K27" s="19"/>
      <c r="L27" s="19"/>
      <c r="M27" s="19"/>
      <c r="N27" s="19"/>
      <c r="O27" s="19"/>
      <c r="P27"/>
      <c r="Q27" s="19"/>
      <c r="R27" s="19"/>
    </row>
    <row r="28" spans="1:18" ht="171.6">
      <c r="A28" s="19">
        <v>15</v>
      </c>
      <c r="B28" s="20" t="s">
        <v>91</v>
      </c>
      <c r="C28" s="21" t="s">
        <v>92</v>
      </c>
      <c r="D28" s="20" t="s">
        <v>2952</v>
      </c>
      <c r="E28" s="22" t="s">
        <v>93</v>
      </c>
      <c r="F28" s="41"/>
      <c r="G28" s="19"/>
      <c r="H28" s="19"/>
      <c r="I28" s="19"/>
      <c r="J28" s="19"/>
      <c r="K28" s="19"/>
      <c r="L28" s="19"/>
      <c r="M28" s="19"/>
      <c r="N28" s="19"/>
      <c r="O28" s="19"/>
      <c r="P28"/>
      <c r="Q28" s="19"/>
      <c r="R28" s="19"/>
    </row>
    <row r="29" spans="1:18" ht="52.8">
      <c r="A29" s="19">
        <v>16</v>
      </c>
      <c r="B29" s="20" t="s">
        <v>94</v>
      </c>
      <c r="C29" s="21" t="s">
        <v>95</v>
      </c>
      <c r="D29" s="20" t="s">
        <v>96</v>
      </c>
      <c r="E29" s="32" t="s">
        <v>97</v>
      </c>
      <c r="F29" s="41" t="s">
        <v>98</v>
      </c>
      <c r="G29" s="19"/>
      <c r="H29" s="19"/>
      <c r="I29" s="19"/>
      <c r="J29" s="19"/>
      <c r="K29" s="19"/>
      <c r="L29" s="19"/>
      <c r="M29" s="19"/>
      <c r="N29" s="19"/>
      <c r="O29" s="19"/>
      <c r="P29"/>
      <c r="Q29" s="19"/>
      <c r="R29" s="19"/>
    </row>
    <row r="30" spans="1:18" ht="39.6">
      <c r="A30" s="19">
        <v>17</v>
      </c>
      <c r="B30" s="20" t="s">
        <v>2765</v>
      </c>
      <c r="C30" s="21" t="s">
        <v>99</v>
      </c>
      <c r="D30" s="20"/>
      <c r="E30" s="33" t="s">
        <v>2764</v>
      </c>
      <c r="F30" s="41"/>
      <c r="G30" s="19"/>
      <c r="H30" s="19"/>
      <c r="I30" s="19"/>
      <c r="J30" s="19"/>
      <c r="K30" s="19"/>
      <c r="L30" s="19"/>
      <c r="M30" s="19"/>
      <c r="N30" s="19"/>
      <c r="O30" s="19"/>
      <c r="P30"/>
      <c r="Q30" s="19"/>
      <c r="R30" s="19"/>
    </row>
    <row r="31" spans="1:18" ht="66">
      <c r="A31" s="19">
        <v>18</v>
      </c>
      <c r="B31" s="20" t="s">
        <v>100</v>
      </c>
      <c r="C31" s="28" t="s">
        <v>101</v>
      </c>
      <c r="D31" s="28"/>
      <c r="E31" s="28"/>
      <c r="F31" s="53"/>
      <c r="G31" s="28"/>
      <c r="H31" s="28"/>
      <c r="I31" s="28"/>
      <c r="J31" s="28"/>
      <c r="K31" s="28"/>
      <c r="L31" s="28"/>
      <c r="M31" s="28"/>
      <c r="N31" s="28"/>
      <c r="O31" s="19"/>
      <c r="P31"/>
      <c r="Q31" s="19"/>
      <c r="R31" s="19"/>
    </row>
    <row r="32" spans="1:18" ht="39.6">
      <c r="A32" s="19">
        <v>19</v>
      </c>
      <c r="B32" s="20" t="s">
        <v>102</v>
      </c>
      <c r="C32" s="21" t="s">
        <v>103</v>
      </c>
      <c r="D32" s="20"/>
      <c r="E32" s="22" t="s">
        <v>104</v>
      </c>
      <c r="F32" s="41"/>
      <c r="G32" s="19"/>
      <c r="H32" s="19"/>
      <c r="I32" s="19"/>
      <c r="J32" s="19"/>
      <c r="K32" s="19"/>
      <c r="L32" s="19"/>
      <c r="M32" s="19"/>
      <c r="N32" s="19"/>
      <c r="O32" s="19"/>
      <c r="P32"/>
      <c r="Q32" s="19"/>
      <c r="R32" s="19"/>
    </row>
    <row r="33" spans="1:18" ht="39.6">
      <c r="A33" s="19">
        <v>20</v>
      </c>
      <c r="B33" s="20" t="s">
        <v>105</v>
      </c>
      <c r="C33" s="21" t="s">
        <v>106</v>
      </c>
      <c r="D33" s="20"/>
      <c r="E33" s="22" t="s">
        <v>107</v>
      </c>
      <c r="F33" s="41"/>
      <c r="G33" s="19"/>
      <c r="H33" s="19"/>
      <c r="I33" s="19"/>
      <c r="J33" s="19"/>
      <c r="K33" s="19"/>
      <c r="L33" s="19"/>
      <c r="M33" s="19"/>
      <c r="N33" s="19"/>
      <c r="O33" s="19"/>
      <c r="P33"/>
      <c r="Q33" s="19"/>
      <c r="R33" s="19"/>
    </row>
    <row r="34" spans="1:18" ht="39.6">
      <c r="A34" s="19">
        <v>21</v>
      </c>
      <c r="B34" s="20" t="s">
        <v>108</v>
      </c>
      <c r="C34" s="21" t="s">
        <v>109</v>
      </c>
      <c r="D34" s="20"/>
      <c r="E34" s="22" t="s">
        <v>110</v>
      </c>
      <c r="F34" s="41"/>
      <c r="G34" s="19"/>
      <c r="H34" s="19"/>
      <c r="I34" s="19"/>
      <c r="J34" s="19"/>
      <c r="K34" s="19"/>
      <c r="L34" s="19"/>
      <c r="M34" s="19"/>
      <c r="N34" s="19"/>
      <c r="O34" s="19"/>
      <c r="P34"/>
      <c r="Q34" s="19"/>
      <c r="R34" s="19"/>
    </row>
    <row r="35" spans="1:18" ht="39.6">
      <c r="A35" s="19"/>
      <c r="B35" s="20" t="s">
        <v>2817</v>
      </c>
      <c r="C35" s="21" t="s">
        <v>2818</v>
      </c>
      <c r="D35" s="20"/>
      <c r="E35" s="22" t="s">
        <v>2917</v>
      </c>
      <c r="F35" s="34"/>
      <c r="G35" s="35"/>
      <c r="H35" s="35"/>
      <c r="I35" s="35"/>
      <c r="J35" s="35"/>
      <c r="K35" s="35"/>
      <c r="L35" s="35"/>
      <c r="M35" s="35"/>
      <c r="N35" s="35"/>
      <c r="O35" s="35"/>
      <c r="P35"/>
      <c r="Q35" s="19"/>
      <c r="R35" s="19"/>
    </row>
    <row r="36" spans="1:18" ht="79.2">
      <c r="A36" s="19">
        <v>22</v>
      </c>
      <c r="B36" s="20" t="s">
        <v>111</v>
      </c>
      <c r="C36" s="21" t="s">
        <v>112</v>
      </c>
      <c r="D36" s="20"/>
      <c r="E36" s="22" t="s">
        <v>113</v>
      </c>
      <c r="F36" s="34"/>
      <c r="G36" s="35"/>
      <c r="H36" s="35"/>
      <c r="I36" s="35"/>
      <c r="J36" s="35"/>
      <c r="K36" s="35"/>
      <c r="L36" s="35"/>
      <c r="M36" s="35"/>
      <c r="N36" s="35"/>
      <c r="O36" s="35"/>
      <c r="P36"/>
      <c r="Q36" s="19"/>
      <c r="R36" s="19"/>
    </row>
    <row r="37" spans="1:18" ht="39.6">
      <c r="A37" s="19">
        <v>23</v>
      </c>
      <c r="B37" s="20" t="s">
        <v>114</v>
      </c>
      <c r="C37" s="21" t="s">
        <v>115</v>
      </c>
      <c r="D37" s="20" t="s">
        <v>49</v>
      </c>
      <c r="E37" s="22" t="s">
        <v>116</v>
      </c>
      <c r="F37" s="41"/>
      <c r="G37" s="19"/>
      <c r="H37" s="19"/>
      <c r="I37" s="19"/>
      <c r="J37" s="19"/>
      <c r="K37" s="19"/>
      <c r="L37" s="19"/>
      <c r="M37" s="19"/>
      <c r="N37" s="19"/>
      <c r="O37" s="19"/>
      <c r="P37"/>
      <c r="Q37" s="19"/>
      <c r="R37" s="19"/>
    </row>
    <row r="38" spans="1:18" ht="66">
      <c r="A38" s="19">
        <v>24</v>
      </c>
      <c r="B38" s="20" t="s">
        <v>117</v>
      </c>
      <c r="C38" s="21" t="s">
        <v>118</v>
      </c>
      <c r="D38" s="20"/>
      <c r="E38" s="22" t="s">
        <v>119</v>
      </c>
      <c r="F38" s="41"/>
      <c r="G38" s="19"/>
      <c r="H38" s="19"/>
      <c r="I38" s="19"/>
      <c r="J38" s="19"/>
      <c r="K38" s="19"/>
      <c r="L38" s="19"/>
      <c r="M38" s="19"/>
      <c r="N38" s="19"/>
      <c r="O38" s="19"/>
      <c r="P38"/>
      <c r="Q38" s="19"/>
      <c r="R38" s="19"/>
    </row>
    <row r="39" spans="1:18" ht="52.8">
      <c r="A39" s="19">
        <v>25</v>
      </c>
      <c r="B39" s="20" t="s">
        <v>120</v>
      </c>
      <c r="C39" s="21" t="s">
        <v>121</v>
      </c>
      <c r="D39" s="20"/>
      <c r="E39" s="22" t="s">
        <v>122</v>
      </c>
      <c r="F39" s="41"/>
      <c r="G39" s="19"/>
      <c r="H39" s="19"/>
      <c r="I39" s="19"/>
      <c r="J39" s="19"/>
      <c r="K39" s="19"/>
      <c r="L39" s="19"/>
      <c r="M39" s="19"/>
      <c r="N39" s="19"/>
      <c r="O39" s="19"/>
      <c r="P39"/>
      <c r="Q39" s="19"/>
      <c r="R39" s="19"/>
    </row>
    <row r="40" spans="1:18" ht="39.6">
      <c r="A40" s="19">
        <v>26</v>
      </c>
      <c r="B40" s="20" t="s">
        <v>123</v>
      </c>
      <c r="C40" s="21" t="s">
        <v>124</v>
      </c>
      <c r="D40" s="20" t="s">
        <v>125</v>
      </c>
      <c r="E40" s="22" t="s">
        <v>126</v>
      </c>
      <c r="F40" s="41"/>
      <c r="G40" s="19"/>
      <c r="H40" s="19"/>
      <c r="I40" s="19"/>
      <c r="J40" s="19"/>
      <c r="K40" s="19"/>
      <c r="L40" s="19"/>
      <c r="M40" s="19"/>
      <c r="N40" s="19"/>
      <c r="O40" s="19"/>
      <c r="P40"/>
      <c r="Q40" s="19"/>
      <c r="R40" s="19"/>
    </row>
    <row r="41" spans="1:18" ht="39.6">
      <c r="A41" s="19">
        <v>27</v>
      </c>
      <c r="B41" s="20" t="s">
        <v>127</v>
      </c>
      <c r="C41" s="21" t="s">
        <v>128</v>
      </c>
      <c r="D41" s="20"/>
      <c r="E41" s="22" t="s">
        <v>129</v>
      </c>
      <c r="F41" s="41"/>
      <c r="G41" s="19"/>
      <c r="H41" s="19"/>
      <c r="I41" s="19"/>
      <c r="J41" s="19"/>
      <c r="K41" s="19"/>
      <c r="L41" s="19"/>
      <c r="M41" s="19"/>
      <c r="N41" s="19"/>
      <c r="O41" s="19"/>
      <c r="P41"/>
      <c r="Q41" s="19"/>
      <c r="R41" s="19"/>
    </row>
    <row r="42" spans="1:18" ht="118.8">
      <c r="A42" s="19">
        <v>28</v>
      </c>
      <c r="B42" s="20" t="s">
        <v>130</v>
      </c>
      <c r="C42" s="21" t="s">
        <v>131</v>
      </c>
      <c r="D42" s="20" t="s">
        <v>2992</v>
      </c>
      <c r="E42" s="22" t="s">
        <v>132</v>
      </c>
      <c r="F42" s="41"/>
      <c r="G42" s="19"/>
      <c r="H42" s="19"/>
      <c r="I42" s="19"/>
      <c r="J42" s="19"/>
      <c r="K42" s="19"/>
      <c r="L42" s="19"/>
      <c r="M42" s="19"/>
      <c r="N42" s="19"/>
      <c r="O42" s="19"/>
      <c r="P42"/>
      <c r="Q42" s="19"/>
      <c r="R42" s="19"/>
    </row>
    <row r="43" spans="1:18" ht="39.6">
      <c r="A43" s="19">
        <v>29</v>
      </c>
      <c r="B43" s="20" t="s">
        <v>133</v>
      </c>
      <c r="C43" s="21" t="s">
        <v>131</v>
      </c>
      <c r="D43" s="20"/>
      <c r="E43" s="22" t="s">
        <v>134</v>
      </c>
      <c r="F43" s="41"/>
      <c r="G43" s="19"/>
      <c r="H43" s="19"/>
      <c r="I43" s="19"/>
      <c r="J43" s="19"/>
      <c r="K43" s="19"/>
      <c r="L43" s="19"/>
      <c r="M43" s="19"/>
      <c r="N43" s="19"/>
      <c r="O43" s="19"/>
      <c r="P43"/>
      <c r="Q43" s="19"/>
      <c r="R43" s="19"/>
    </row>
    <row r="44" spans="1:18" ht="39.6">
      <c r="A44" s="19">
        <v>30</v>
      </c>
      <c r="B44" s="20" t="s">
        <v>135</v>
      </c>
      <c r="C44" s="21" t="s">
        <v>115</v>
      </c>
      <c r="D44" s="20"/>
      <c r="E44" s="22">
        <v>4</v>
      </c>
      <c r="F44" s="41"/>
      <c r="G44" s="19">
        <v>1088733647</v>
      </c>
      <c r="H44" s="19"/>
      <c r="I44" s="19"/>
      <c r="J44" s="19" t="s">
        <v>2862</v>
      </c>
      <c r="K44" s="19">
        <f>2.2+5.3+3.3+7.6</f>
        <v>18.399999999999999</v>
      </c>
      <c r="L44" s="19"/>
      <c r="M44" s="19"/>
      <c r="N44" s="19"/>
      <c r="O44" s="19"/>
      <c r="P44"/>
      <c r="Q44" s="19"/>
      <c r="R44" s="19"/>
    </row>
    <row r="45" spans="1:18" ht="52.8">
      <c r="A45" s="19"/>
      <c r="B45" s="20" t="s">
        <v>2791</v>
      </c>
      <c r="C45" s="21" t="s">
        <v>2792</v>
      </c>
      <c r="D45" s="20"/>
      <c r="E45" s="22"/>
      <c r="F45" s="41"/>
      <c r="G45" s="19">
        <v>1088727901</v>
      </c>
      <c r="H45" s="19"/>
      <c r="I45" s="19"/>
      <c r="J45" s="19"/>
      <c r="K45" s="19"/>
      <c r="L45" s="19"/>
      <c r="M45" s="19"/>
      <c r="N45" s="19"/>
      <c r="O45" s="19"/>
      <c r="P45"/>
      <c r="Q45" s="19"/>
      <c r="R45" s="19"/>
    </row>
    <row r="46" spans="1:18" ht="66">
      <c r="A46" s="19">
        <v>31</v>
      </c>
      <c r="B46" s="20" t="s">
        <v>136</v>
      </c>
      <c r="C46" s="21" t="s">
        <v>137</v>
      </c>
      <c r="D46" s="20"/>
      <c r="E46" s="22" t="s">
        <v>138</v>
      </c>
      <c r="F46" s="41"/>
      <c r="G46" s="19"/>
      <c r="H46" s="19"/>
      <c r="I46" s="19"/>
      <c r="J46" s="19"/>
      <c r="K46" s="19"/>
      <c r="L46" s="19"/>
      <c r="M46" s="19"/>
      <c r="N46" s="19"/>
      <c r="O46" s="19"/>
      <c r="P46"/>
      <c r="Q46" s="19"/>
      <c r="R46" s="19"/>
    </row>
    <row r="47" spans="1:18" ht="52.8">
      <c r="A47" s="19">
        <v>32</v>
      </c>
      <c r="B47" s="20" t="s">
        <v>139</v>
      </c>
      <c r="C47" s="21" t="s">
        <v>140</v>
      </c>
      <c r="D47" s="20"/>
      <c r="E47" s="22"/>
      <c r="F47" s="41"/>
      <c r="G47" s="19"/>
      <c r="H47" s="19"/>
      <c r="I47" s="19"/>
      <c r="J47" s="19"/>
      <c r="K47" s="19"/>
      <c r="L47" s="19"/>
      <c r="M47" s="19"/>
      <c r="N47" s="19"/>
      <c r="O47" s="19"/>
      <c r="P47"/>
      <c r="Q47" s="19"/>
      <c r="R47" s="19"/>
    </row>
    <row r="48" spans="1:18" ht="66">
      <c r="A48" s="19">
        <v>33</v>
      </c>
      <c r="B48" s="20" t="s">
        <v>141</v>
      </c>
      <c r="C48" s="21" t="s">
        <v>142</v>
      </c>
      <c r="D48" s="20"/>
      <c r="E48" s="22" t="s">
        <v>143</v>
      </c>
      <c r="F48" s="41"/>
      <c r="G48" s="19"/>
      <c r="H48" s="19"/>
      <c r="I48" s="19"/>
      <c r="J48" s="19"/>
      <c r="K48" s="19"/>
      <c r="L48" s="19"/>
      <c r="M48" s="19"/>
      <c r="N48" s="19"/>
      <c r="O48" s="19"/>
      <c r="P48"/>
      <c r="Q48" s="19"/>
      <c r="R48" s="19"/>
    </row>
    <row r="49" spans="1:18" ht="26.4">
      <c r="A49" s="19">
        <v>34</v>
      </c>
      <c r="B49" s="20" t="s">
        <v>144</v>
      </c>
      <c r="C49" s="21" t="s">
        <v>145</v>
      </c>
      <c r="D49" s="20" t="s">
        <v>146</v>
      </c>
      <c r="E49" s="22" t="s">
        <v>147</v>
      </c>
      <c r="F49" s="41"/>
      <c r="G49" s="19"/>
      <c r="H49" s="19"/>
      <c r="I49" s="19"/>
      <c r="J49" s="19"/>
      <c r="K49" s="19"/>
      <c r="L49" s="19"/>
      <c r="M49" s="19"/>
      <c r="N49" s="19"/>
      <c r="O49" s="19"/>
      <c r="P49"/>
      <c r="Q49" s="19"/>
      <c r="R49" s="19"/>
    </row>
    <row r="50" spans="1:18" ht="39.6">
      <c r="A50" s="19">
        <v>35</v>
      </c>
      <c r="B50" s="20" t="s">
        <v>148</v>
      </c>
      <c r="C50" s="21" t="s">
        <v>149</v>
      </c>
      <c r="D50" s="20" t="s">
        <v>49</v>
      </c>
      <c r="E50" s="22" t="s">
        <v>150</v>
      </c>
      <c r="F50" s="66" t="s">
        <v>151</v>
      </c>
      <c r="G50" s="19"/>
      <c r="H50" s="19"/>
      <c r="I50" s="19"/>
      <c r="J50" s="19"/>
      <c r="K50" s="19"/>
      <c r="L50" s="19"/>
      <c r="M50" s="19"/>
      <c r="N50" s="19"/>
      <c r="O50" s="19"/>
      <c r="P50"/>
      <c r="Q50" s="19"/>
      <c r="R50" s="19"/>
    </row>
    <row r="51" spans="1:18" ht="26.4">
      <c r="A51" s="19">
        <v>36</v>
      </c>
      <c r="B51" s="20" t="s">
        <v>152</v>
      </c>
      <c r="C51" s="21" t="s">
        <v>153</v>
      </c>
      <c r="D51" s="20">
        <v>0</v>
      </c>
      <c r="E51" s="22" t="s">
        <v>2824</v>
      </c>
      <c r="F51" s="41"/>
      <c r="G51" s="19"/>
      <c r="H51" s="19"/>
      <c r="I51" s="19"/>
      <c r="J51" s="19"/>
      <c r="K51" s="19"/>
      <c r="L51" s="19"/>
      <c r="M51" s="19"/>
      <c r="N51" s="19"/>
      <c r="O51" s="19"/>
      <c r="P51"/>
      <c r="Q51" s="19"/>
      <c r="R51" s="19"/>
    </row>
    <row r="52" spans="1:18" ht="66">
      <c r="A52" s="19">
        <v>37</v>
      </c>
      <c r="B52" s="20" t="s">
        <v>154</v>
      </c>
      <c r="C52" s="21" t="s">
        <v>155</v>
      </c>
      <c r="D52" s="20"/>
      <c r="E52" s="22"/>
      <c r="F52" s="41"/>
      <c r="G52" s="19"/>
      <c r="H52" s="19"/>
      <c r="I52" s="19"/>
      <c r="J52" s="19"/>
      <c r="K52" s="19"/>
      <c r="L52" s="19"/>
      <c r="M52" s="19"/>
      <c r="N52" s="19"/>
      <c r="O52" s="19"/>
      <c r="P52"/>
      <c r="Q52" s="19"/>
      <c r="R52" s="19"/>
    </row>
    <row r="53" spans="1:18" ht="39.6">
      <c r="A53" s="19">
        <v>38</v>
      </c>
      <c r="B53" s="20" t="s">
        <v>156</v>
      </c>
      <c r="C53" s="32" t="s">
        <v>157</v>
      </c>
      <c r="D53" s="32"/>
      <c r="E53" s="22" t="s">
        <v>158</v>
      </c>
      <c r="F53" s="41"/>
      <c r="G53" s="19"/>
      <c r="H53" s="19"/>
      <c r="I53" s="19"/>
      <c r="J53" s="19"/>
      <c r="K53" s="19"/>
      <c r="L53" s="19"/>
      <c r="M53" s="19"/>
      <c r="N53" s="19"/>
      <c r="O53" s="19"/>
      <c r="P53"/>
      <c r="Q53" s="19"/>
      <c r="R53" s="19"/>
    </row>
    <row r="54" spans="1:18" ht="52.8">
      <c r="A54" s="19"/>
      <c r="B54" s="20" t="s">
        <v>2677</v>
      </c>
      <c r="C54" s="32" t="s">
        <v>2678</v>
      </c>
      <c r="D54" s="32"/>
      <c r="E54" s="22"/>
      <c r="F54" s="41"/>
      <c r="G54" s="19"/>
      <c r="H54" s="19"/>
      <c r="I54" s="19"/>
      <c r="J54" s="19"/>
      <c r="K54" s="19"/>
      <c r="L54" s="19"/>
      <c r="M54" s="19"/>
      <c r="N54" s="19"/>
      <c r="O54" s="19"/>
      <c r="P54"/>
      <c r="Q54" s="19"/>
      <c r="R54" s="19"/>
    </row>
    <row r="55" spans="1:18" ht="39.6">
      <c r="A55" s="19">
        <v>39</v>
      </c>
      <c r="B55" s="20" t="s">
        <v>159</v>
      </c>
      <c r="C55" s="21" t="s">
        <v>160</v>
      </c>
      <c r="D55" s="20"/>
      <c r="E55" s="22" t="s">
        <v>161</v>
      </c>
      <c r="F55" s="41"/>
      <c r="G55" s="19"/>
      <c r="H55" s="19"/>
      <c r="I55" s="19"/>
      <c r="J55" s="19"/>
      <c r="K55" s="19"/>
      <c r="L55" s="19"/>
      <c r="M55" s="19"/>
      <c r="N55" s="19"/>
      <c r="O55" s="19"/>
      <c r="P55"/>
      <c r="Q55" s="19"/>
      <c r="R55" s="19"/>
    </row>
    <row r="56" spans="1:18" ht="39.6">
      <c r="A56" s="19">
        <v>40</v>
      </c>
      <c r="B56" s="20" t="s">
        <v>162</v>
      </c>
      <c r="C56" s="21" t="s">
        <v>160</v>
      </c>
      <c r="D56" s="20"/>
      <c r="E56" s="37" t="s">
        <v>163</v>
      </c>
      <c r="F56" s="41"/>
      <c r="G56" s="19"/>
      <c r="H56" s="19"/>
      <c r="I56" s="19"/>
      <c r="J56" s="19"/>
      <c r="K56" s="19"/>
      <c r="L56" s="19">
        <f>1.7+5.6+0.6</f>
        <v>7.8999999999999995</v>
      </c>
      <c r="M56" s="19"/>
      <c r="N56" s="19"/>
      <c r="O56" s="19"/>
      <c r="P56"/>
      <c r="Q56" s="19"/>
      <c r="R56" s="19"/>
    </row>
    <row r="57" spans="1:18" ht="39.6">
      <c r="A57" s="19">
        <v>41</v>
      </c>
      <c r="B57" s="20" t="s">
        <v>164</v>
      </c>
      <c r="C57" s="21" t="s">
        <v>165</v>
      </c>
      <c r="D57" s="20" t="s">
        <v>166</v>
      </c>
      <c r="E57" s="21" t="s">
        <v>167</v>
      </c>
      <c r="F57" s="41"/>
      <c r="G57" s="19"/>
      <c r="H57" s="19"/>
      <c r="I57" s="19"/>
      <c r="J57" s="19"/>
      <c r="K57" s="19"/>
      <c r="L57" s="19"/>
      <c r="M57" s="19"/>
      <c r="N57" s="19"/>
      <c r="O57" s="19"/>
      <c r="P57"/>
      <c r="Q57" s="19"/>
      <c r="R57" s="19"/>
    </row>
    <row r="58" spans="1:18" ht="39.6">
      <c r="A58" s="19"/>
      <c r="B58" s="20" t="s">
        <v>2915</v>
      </c>
      <c r="C58" s="21" t="s">
        <v>2916</v>
      </c>
      <c r="D58" s="20"/>
      <c r="E58" s="21"/>
      <c r="F58" s="41"/>
      <c r="G58" s="19"/>
      <c r="H58" s="19"/>
      <c r="I58" s="19"/>
      <c r="J58" s="19"/>
      <c r="K58" s="19"/>
      <c r="L58" s="19"/>
      <c r="M58" s="19"/>
      <c r="N58" s="19"/>
      <c r="O58" s="19"/>
      <c r="P58"/>
      <c r="Q58" s="19"/>
      <c r="R58" s="19"/>
    </row>
    <row r="59" spans="1:18" ht="66">
      <c r="A59" s="19">
        <v>42</v>
      </c>
      <c r="B59" s="20" t="s">
        <v>168</v>
      </c>
      <c r="C59" s="21" t="s">
        <v>169</v>
      </c>
      <c r="D59" s="20"/>
      <c r="E59" s="22" t="s">
        <v>170</v>
      </c>
      <c r="F59" s="41"/>
      <c r="G59" s="19"/>
      <c r="H59" s="19"/>
      <c r="I59" s="19"/>
      <c r="J59" s="19"/>
      <c r="K59" s="19"/>
      <c r="L59" s="19"/>
      <c r="M59" s="19"/>
      <c r="N59" s="19"/>
      <c r="O59" s="19"/>
      <c r="P59"/>
      <c r="Q59" s="19"/>
      <c r="R59" s="19"/>
    </row>
    <row r="60" spans="1:18" ht="39.6">
      <c r="A60" s="19">
        <v>43</v>
      </c>
      <c r="B60" s="20" t="s">
        <v>171</v>
      </c>
      <c r="C60" s="21" t="s">
        <v>172</v>
      </c>
      <c r="D60" s="20"/>
      <c r="E60" s="22"/>
      <c r="F60" s="41"/>
      <c r="G60" s="19"/>
      <c r="H60" s="19"/>
      <c r="I60" s="19"/>
      <c r="J60" s="19"/>
      <c r="K60" s="19"/>
      <c r="L60" s="19"/>
      <c r="M60" s="19"/>
      <c r="N60" s="19"/>
      <c r="O60" s="19"/>
      <c r="P60"/>
      <c r="Q60" s="19"/>
      <c r="R60" s="19"/>
    </row>
    <row r="61" spans="1:18" ht="52.8">
      <c r="A61" s="19">
        <v>44</v>
      </c>
      <c r="B61" s="20" t="s">
        <v>173</v>
      </c>
      <c r="C61" s="21" t="s">
        <v>174</v>
      </c>
      <c r="D61" s="20" t="s">
        <v>175</v>
      </c>
      <c r="E61" s="22" t="s">
        <v>176</v>
      </c>
      <c r="F61" s="41"/>
      <c r="G61" s="19"/>
      <c r="H61" s="19"/>
      <c r="I61" s="19"/>
      <c r="J61" s="19"/>
      <c r="K61" s="19"/>
      <c r="L61" s="19"/>
      <c r="M61" s="19"/>
      <c r="N61" s="19"/>
      <c r="O61" s="19"/>
      <c r="P61"/>
      <c r="Q61" s="19"/>
      <c r="R61" s="19"/>
    </row>
    <row r="62" spans="1:18" ht="39.6">
      <c r="A62" s="19">
        <v>45</v>
      </c>
      <c r="B62" s="20" t="s">
        <v>177</v>
      </c>
      <c r="C62" s="21" t="s">
        <v>178</v>
      </c>
      <c r="D62" s="20">
        <v>0</v>
      </c>
      <c r="E62" s="22" t="s">
        <v>179</v>
      </c>
      <c r="F62" s="41"/>
      <c r="G62" s="19"/>
      <c r="H62" s="19"/>
      <c r="I62" s="19"/>
      <c r="J62" s="19"/>
      <c r="K62" s="19"/>
      <c r="L62" s="19"/>
      <c r="M62" s="19"/>
      <c r="N62" s="19"/>
      <c r="O62" s="19"/>
      <c r="P62"/>
      <c r="Q62" s="19"/>
      <c r="R62" s="19"/>
    </row>
    <row r="63" spans="1:18" ht="52.8">
      <c r="A63" s="19">
        <v>46</v>
      </c>
      <c r="B63" s="20" t="s">
        <v>180</v>
      </c>
      <c r="C63" s="21" t="s">
        <v>181</v>
      </c>
      <c r="D63" s="20"/>
      <c r="E63" s="29" t="s">
        <v>182</v>
      </c>
      <c r="F63" s="49"/>
      <c r="G63" s="19"/>
      <c r="H63" s="19"/>
      <c r="I63" s="19"/>
      <c r="J63" s="19"/>
      <c r="K63" s="19"/>
      <c r="L63" s="19"/>
      <c r="M63" s="19"/>
      <c r="N63" s="19"/>
      <c r="O63" s="19"/>
      <c r="P63"/>
      <c r="Q63" s="19"/>
      <c r="R63" s="19"/>
    </row>
    <row r="64" spans="1:18" ht="39.6">
      <c r="A64" s="19">
        <v>47</v>
      </c>
      <c r="B64" s="20" t="s">
        <v>183</v>
      </c>
      <c r="C64" s="21" t="s">
        <v>184</v>
      </c>
      <c r="D64" s="20"/>
      <c r="E64" s="22" t="s">
        <v>185</v>
      </c>
      <c r="F64" s="41"/>
      <c r="G64" s="19"/>
      <c r="H64" s="19">
        <f>8.3+5.4+4.3+12.5+12.2</f>
        <v>42.7</v>
      </c>
      <c r="I64" s="19"/>
      <c r="J64" s="19"/>
      <c r="K64" s="19"/>
      <c r="L64" s="19"/>
      <c r="M64" s="19"/>
      <c r="N64" s="19"/>
      <c r="O64" s="19"/>
      <c r="P64"/>
      <c r="Q64" s="19"/>
      <c r="R64" s="19"/>
    </row>
    <row r="65" spans="1:18" ht="52.8">
      <c r="A65" s="19">
        <v>48</v>
      </c>
      <c r="B65" s="20" t="s">
        <v>186</v>
      </c>
      <c r="C65" s="21" t="s">
        <v>187</v>
      </c>
      <c r="D65" s="20" t="s">
        <v>188</v>
      </c>
      <c r="E65" s="22" t="s">
        <v>189</v>
      </c>
      <c r="F65" s="41"/>
      <c r="G65" s="19"/>
      <c r="H65" s="19"/>
      <c r="I65" s="19"/>
      <c r="J65" s="19"/>
      <c r="K65" s="19"/>
      <c r="L65" s="19"/>
      <c r="M65" s="19"/>
      <c r="N65" s="19"/>
      <c r="O65" s="19"/>
      <c r="P65"/>
      <c r="Q65" s="19"/>
      <c r="R65" s="19"/>
    </row>
    <row r="66" spans="1:18" ht="26.4">
      <c r="A66" s="19">
        <v>49</v>
      </c>
      <c r="B66" s="20" t="s">
        <v>190</v>
      </c>
      <c r="C66" s="21" t="s">
        <v>191</v>
      </c>
      <c r="D66" s="20"/>
      <c r="E66" s="38" t="s">
        <v>192</v>
      </c>
      <c r="F66" s="146" t="s">
        <v>193</v>
      </c>
      <c r="G66" s="19"/>
      <c r="H66" s="19"/>
      <c r="I66" s="19"/>
      <c r="J66" s="19"/>
      <c r="K66" s="19"/>
      <c r="L66" s="19"/>
      <c r="M66" s="19"/>
      <c r="N66" s="19"/>
      <c r="O66" s="19"/>
      <c r="P66"/>
      <c r="Q66" s="19"/>
      <c r="R66" s="19"/>
    </row>
    <row r="67" spans="1:18" ht="26.4">
      <c r="A67" s="19">
        <v>50</v>
      </c>
      <c r="B67" s="20" t="s">
        <v>194</v>
      </c>
      <c r="C67" s="21" t="s">
        <v>195</v>
      </c>
      <c r="D67" s="20"/>
      <c r="E67" s="22"/>
      <c r="F67" s="41"/>
      <c r="G67" s="19"/>
      <c r="H67" s="19"/>
      <c r="I67" s="19"/>
      <c r="J67" s="19"/>
      <c r="K67" s="19"/>
      <c r="L67" s="19"/>
      <c r="M67" s="19"/>
      <c r="N67" s="19"/>
      <c r="O67" s="19"/>
      <c r="P67"/>
      <c r="Q67" s="19"/>
      <c r="R67" s="19"/>
    </row>
    <row r="68" spans="1:18" ht="52.8">
      <c r="A68" s="19">
        <v>51</v>
      </c>
      <c r="B68" s="20" t="s">
        <v>196</v>
      </c>
      <c r="C68" s="21" t="s">
        <v>197</v>
      </c>
      <c r="D68" s="20"/>
      <c r="E68" s="22" t="s">
        <v>198</v>
      </c>
      <c r="F68" s="41"/>
      <c r="G68" s="19"/>
      <c r="H68" s="19"/>
      <c r="I68" s="19"/>
      <c r="J68" s="19"/>
      <c r="K68" s="19"/>
      <c r="L68" s="19"/>
      <c r="M68" s="19"/>
      <c r="N68" s="19"/>
      <c r="O68" s="19"/>
      <c r="P68"/>
      <c r="Q68" s="19"/>
      <c r="R68" s="19"/>
    </row>
    <row r="69" spans="1:18" ht="39.6">
      <c r="A69" s="19">
        <v>52</v>
      </c>
      <c r="B69" s="20" t="s">
        <v>199</v>
      </c>
      <c r="C69" s="21" t="s">
        <v>200</v>
      </c>
      <c r="D69" s="20"/>
      <c r="E69" s="22" t="s">
        <v>201</v>
      </c>
      <c r="F69" s="41"/>
      <c r="G69" s="19"/>
      <c r="H69" s="19"/>
      <c r="I69" s="19"/>
      <c r="J69" s="19"/>
      <c r="K69" s="19"/>
      <c r="L69" s="19"/>
      <c r="M69" s="19"/>
      <c r="N69" s="19"/>
      <c r="O69" s="19"/>
      <c r="P69"/>
      <c r="Q69" s="19"/>
      <c r="R69" s="19"/>
    </row>
    <row r="70" spans="1:18" ht="66">
      <c r="A70" s="19">
        <v>53</v>
      </c>
      <c r="B70" s="20" t="s">
        <v>202</v>
      </c>
      <c r="C70" s="21" t="s">
        <v>203</v>
      </c>
      <c r="D70" s="20" t="s">
        <v>204</v>
      </c>
      <c r="E70" s="22" t="s">
        <v>205</v>
      </c>
      <c r="F70" s="41"/>
      <c r="G70" s="19"/>
      <c r="H70" s="19"/>
      <c r="I70" s="19"/>
      <c r="J70" s="19"/>
      <c r="K70" s="19"/>
      <c r="L70" s="19"/>
      <c r="M70" s="19"/>
      <c r="N70" s="19"/>
      <c r="O70" s="19"/>
      <c r="P70"/>
      <c r="Q70" s="19"/>
      <c r="R70" s="19"/>
    </row>
    <row r="71" spans="1:18" ht="39.6">
      <c r="A71" s="19">
        <v>54</v>
      </c>
      <c r="B71" s="20" t="s">
        <v>202</v>
      </c>
      <c r="C71" s="21" t="s">
        <v>206</v>
      </c>
      <c r="D71" s="20"/>
      <c r="E71" s="22"/>
      <c r="F71" s="41"/>
      <c r="G71" s="19"/>
      <c r="H71" s="19"/>
      <c r="I71" s="19"/>
      <c r="J71" s="19"/>
      <c r="K71" s="19"/>
      <c r="L71" s="19"/>
      <c r="M71" s="19"/>
      <c r="N71" s="19"/>
      <c r="O71" s="19"/>
      <c r="P71"/>
      <c r="Q71" s="19"/>
      <c r="R71" s="19"/>
    </row>
    <row r="72" spans="1:18" ht="39.6">
      <c r="A72" s="19"/>
      <c r="B72" s="20" t="s">
        <v>2602</v>
      </c>
      <c r="C72" s="21" t="s">
        <v>2603</v>
      </c>
      <c r="D72" s="20"/>
      <c r="E72" s="22"/>
      <c r="F72" s="41"/>
      <c r="G72" s="19"/>
      <c r="H72" s="19"/>
      <c r="I72" s="19"/>
      <c r="J72" s="19"/>
      <c r="K72" s="19"/>
      <c r="L72" s="19"/>
      <c r="M72" s="19"/>
      <c r="N72" s="19"/>
      <c r="O72" s="19"/>
      <c r="P72"/>
      <c r="Q72" s="19"/>
      <c r="R72" s="19"/>
    </row>
    <row r="73" spans="1:18" ht="39.6">
      <c r="A73" s="19">
        <v>55</v>
      </c>
      <c r="B73" s="20" t="s">
        <v>207</v>
      </c>
      <c r="C73" s="21" t="s">
        <v>208</v>
      </c>
      <c r="D73" s="20" t="s">
        <v>77</v>
      </c>
      <c r="E73" s="22" t="s">
        <v>209</v>
      </c>
      <c r="F73" s="41"/>
      <c r="G73" s="19"/>
      <c r="H73" s="19"/>
      <c r="I73" s="19"/>
      <c r="J73" s="19"/>
      <c r="K73" s="19"/>
      <c r="L73" s="19"/>
      <c r="M73" s="19"/>
      <c r="N73" s="19"/>
      <c r="O73" s="19"/>
      <c r="P73"/>
      <c r="Q73" s="19"/>
      <c r="R73" s="19"/>
    </row>
    <row r="74" spans="1:18" ht="39.6">
      <c r="A74" s="19">
        <v>56</v>
      </c>
      <c r="B74" s="20" t="s">
        <v>210</v>
      </c>
      <c r="C74" s="21" t="s">
        <v>211</v>
      </c>
      <c r="D74" s="20"/>
      <c r="E74" s="22" t="s">
        <v>212</v>
      </c>
      <c r="F74" s="41"/>
      <c r="G74" s="19"/>
      <c r="H74" s="19"/>
      <c r="I74" s="19"/>
      <c r="J74" s="19"/>
      <c r="K74" s="19"/>
      <c r="L74" s="19"/>
      <c r="M74" s="19"/>
      <c r="N74" s="19"/>
      <c r="O74" s="19"/>
      <c r="P74"/>
      <c r="Q74" s="19"/>
      <c r="R74" s="19"/>
    </row>
    <row r="75" spans="1:18" ht="66">
      <c r="A75" s="19">
        <v>57</v>
      </c>
      <c r="B75" s="20" t="s">
        <v>213</v>
      </c>
      <c r="C75" s="21" t="s">
        <v>214</v>
      </c>
      <c r="D75" s="20"/>
      <c r="E75" s="22" t="s">
        <v>215</v>
      </c>
      <c r="F75" s="41"/>
      <c r="G75" s="19"/>
      <c r="H75" s="19"/>
      <c r="I75" s="19"/>
      <c r="J75" s="19"/>
      <c r="K75" s="19"/>
      <c r="L75" s="19"/>
      <c r="M75" s="19"/>
      <c r="N75" s="19"/>
      <c r="O75" s="19"/>
      <c r="P75"/>
      <c r="Q75" s="19"/>
      <c r="R75" s="19"/>
    </row>
    <row r="76" spans="1:18" ht="39.6">
      <c r="A76" s="19">
        <v>58</v>
      </c>
      <c r="B76" s="39" t="s">
        <v>216</v>
      </c>
      <c r="C76" s="39" t="s">
        <v>217</v>
      </c>
      <c r="D76" s="39"/>
      <c r="E76" s="39" t="s">
        <v>218</v>
      </c>
      <c r="F76" s="68"/>
      <c r="G76" s="39"/>
      <c r="H76" s="39"/>
      <c r="I76" s="39"/>
      <c r="J76" s="39"/>
      <c r="K76" s="39"/>
      <c r="L76" s="39"/>
      <c r="M76" s="39"/>
      <c r="N76" s="39"/>
      <c r="O76" s="39"/>
      <c r="P76"/>
      <c r="Q76" s="39"/>
      <c r="R76" s="39"/>
    </row>
    <row r="77" spans="1:18" ht="39.6">
      <c r="A77" s="19">
        <v>59</v>
      </c>
      <c r="B77" s="20" t="s">
        <v>219</v>
      </c>
      <c r="C77" s="21" t="s">
        <v>220</v>
      </c>
      <c r="D77" s="20"/>
      <c r="E77" s="22" t="s">
        <v>221</v>
      </c>
      <c r="F77" s="41"/>
      <c r="G77" s="19"/>
      <c r="H77" s="19"/>
      <c r="I77" s="19"/>
      <c r="J77" s="19"/>
      <c r="K77" s="19"/>
      <c r="L77" s="19"/>
      <c r="M77" s="19"/>
      <c r="N77" s="19"/>
      <c r="O77" s="19"/>
      <c r="P77"/>
      <c r="Q77" s="19"/>
      <c r="R77" s="19"/>
    </row>
    <row r="78" spans="1:18" ht="39.6">
      <c r="A78" s="19">
        <v>60</v>
      </c>
      <c r="B78" s="20" t="s">
        <v>222</v>
      </c>
      <c r="C78" s="21" t="s">
        <v>223</v>
      </c>
      <c r="D78" s="20"/>
      <c r="E78" s="22" t="s">
        <v>224</v>
      </c>
      <c r="F78" s="41"/>
      <c r="G78" s="19"/>
      <c r="H78" s="19"/>
      <c r="I78" s="19"/>
      <c r="J78" s="19"/>
      <c r="K78" s="19"/>
      <c r="L78" s="19"/>
      <c r="M78" s="19"/>
      <c r="N78" s="19"/>
      <c r="O78" s="19"/>
      <c r="P78"/>
      <c r="Q78" s="19"/>
      <c r="R78" s="19"/>
    </row>
    <row r="79" spans="1:18" ht="52.8">
      <c r="A79" s="19">
        <v>61</v>
      </c>
      <c r="B79" s="20" t="s">
        <v>225</v>
      </c>
      <c r="C79" s="21" t="s">
        <v>226</v>
      </c>
      <c r="D79" s="20"/>
      <c r="E79" s="22" t="s">
        <v>227</v>
      </c>
      <c r="F79" s="41"/>
      <c r="G79" s="19"/>
      <c r="H79" s="19"/>
      <c r="I79" s="19"/>
      <c r="J79" s="19"/>
      <c r="K79" s="19"/>
      <c r="L79" s="19"/>
      <c r="M79" s="19"/>
      <c r="N79" s="19"/>
      <c r="O79" s="19"/>
      <c r="P79"/>
      <c r="Q79" s="19"/>
      <c r="R79" s="19"/>
    </row>
    <row r="80" spans="1:18" ht="52.8">
      <c r="A80" s="19">
        <v>62</v>
      </c>
      <c r="B80" s="20" t="s">
        <v>228</v>
      </c>
      <c r="C80" s="40" t="s">
        <v>229</v>
      </c>
      <c r="D80" s="20"/>
      <c r="E80" s="22" t="s">
        <v>230</v>
      </c>
      <c r="F80" s="41"/>
      <c r="G80" s="19"/>
      <c r="H80" s="19"/>
      <c r="I80" s="19"/>
      <c r="J80" s="19"/>
      <c r="K80" s="19"/>
      <c r="L80" s="19"/>
      <c r="M80" s="19"/>
      <c r="N80" s="19"/>
      <c r="O80" s="19"/>
      <c r="P80"/>
      <c r="Q80" s="19"/>
      <c r="R80" s="19"/>
    </row>
    <row r="81" spans="1:18" ht="52.8">
      <c r="A81" s="19">
        <v>63</v>
      </c>
      <c r="B81" s="20" t="s">
        <v>231</v>
      </c>
      <c r="C81" s="21" t="s">
        <v>232</v>
      </c>
      <c r="D81" s="20"/>
      <c r="E81" s="22" t="s">
        <v>233</v>
      </c>
      <c r="F81" s="41"/>
      <c r="G81" s="19"/>
      <c r="H81" s="19"/>
      <c r="I81" s="19"/>
      <c r="J81" s="19"/>
      <c r="K81" s="19"/>
      <c r="L81" s="19"/>
      <c r="M81" s="19"/>
      <c r="N81" s="19"/>
      <c r="O81" s="19"/>
      <c r="P81"/>
      <c r="Q81" s="19"/>
      <c r="R81" s="19"/>
    </row>
    <row r="82" spans="1:18" ht="66">
      <c r="A82" s="19">
        <v>64</v>
      </c>
      <c r="B82" s="20" t="s">
        <v>234</v>
      </c>
      <c r="C82" s="21" t="s">
        <v>235</v>
      </c>
      <c r="D82" s="20"/>
      <c r="E82" s="22" t="s">
        <v>236</v>
      </c>
      <c r="F82" s="41"/>
      <c r="G82" s="19"/>
      <c r="H82" s="19"/>
      <c r="I82" s="19"/>
      <c r="J82" s="19"/>
      <c r="K82" s="19"/>
      <c r="L82" s="19"/>
      <c r="M82" s="19"/>
      <c r="N82" s="19"/>
      <c r="O82" s="19"/>
      <c r="P82"/>
      <c r="Q82" s="19"/>
      <c r="R82" s="19"/>
    </row>
    <row r="83" spans="1:18" ht="52.8">
      <c r="A83" s="19">
        <v>65</v>
      </c>
      <c r="B83" s="20" t="s">
        <v>237</v>
      </c>
      <c r="C83" s="21" t="s">
        <v>238</v>
      </c>
      <c r="D83" s="20" t="s">
        <v>239</v>
      </c>
      <c r="E83" s="22" t="s">
        <v>240</v>
      </c>
      <c r="F83" s="41"/>
      <c r="G83" s="19"/>
      <c r="H83" s="19"/>
      <c r="I83" s="19"/>
      <c r="J83" s="19"/>
      <c r="K83" s="19"/>
      <c r="L83" s="19"/>
      <c r="M83" s="19"/>
      <c r="N83" s="19"/>
      <c r="O83" s="19"/>
      <c r="P83"/>
      <c r="Q83" s="19"/>
      <c r="R83" s="19"/>
    </row>
    <row r="84" spans="1:18" ht="39.6">
      <c r="A84" s="19">
        <v>66</v>
      </c>
      <c r="B84" s="20" t="s">
        <v>241</v>
      </c>
      <c r="C84" s="21" t="s">
        <v>242</v>
      </c>
      <c r="D84" s="20"/>
      <c r="E84" s="22" t="s">
        <v>243</v>
      </c>
      <c r="F84" s="41"/>
      <c r="G84" s="19"/>
      <c r="H84" s="19"/>
      <c r="I84" s="19"/>
      <c r="J84" s="19"/>
      <c r="K84" s="19"/>
      <c r="L84" s="19"/>
      <c r="M84" s="19"/>
      <c r="N84" s="19"/>
      <c r="O84" s="19"/>
      <c r="P84"/>
      <c r="Q84" s="19"/>
      <c r="R84" s="19"/>
    </row>
    <row r="85" spans="1:18" ht="39.6">
      <c r="A85" s="19">
        <v>67</v>
      </c>
      <c r="B85" s="20" t="s">
        <v>2669</v>
      </c>
      <c r="C85" s="21" t="s">
        <v>244</v>
      </c>
      <c r="D85" s="20"/>
      <c r="E85" s="22" t="s">
        <v>2680</v>
      </c>
      <c r="F85" s="41"/>
      <c r="G85" s="19"/>
      <c r="H85" s="19"/>
      <c r="I85" s="19"/>
      <c r="J85" s="19"/>
      <c r="K85" s="19"/>
      <c r="L85" s="19"/>
      <c r="M85" s="19"/>
      <c r="N85" s="19"/>
      <c r="O85" s="19"/>
      <c r="P85"/>
      <c r="Q85" s="19"/>
      <c r="R85" s="19"/>
    </row>
    <row r="86" spans="1:18" ht="39.6">
      <c r="A86" s="19">
        <v>68</v>
      </c>
      <c r="B86" s="39" t="s">
        <v>245</v>
      </c>
      <c r="C86" s="21" t="s">
        <v>246</v>
      </c>
      <c r="D86" s="20"/>
      <c r="E86" s="42" t="s">
        <v>247</v>
      </c>
      <c r="F86" s="41"/>
      <c r="G86" s="19"/>
      <c r="H86" s="19"/>
      <c r="I86" s="19"/>
      <c r="J86" s="19"/>
      <c r="K86" s="19"/>
      <c r="L86" s="19"/>
      <c r="M86" s="19"/>
      <c r="N86" s="19"/>
      <c r="O86" s="19"/>
      <c r="P86"/>
      <c r="Q86" s="19"/>
      <c r="R86" s="19"/>
    </row>
    <row r="87" spans="1:18" ht="14.4">
      <c r="A87" s="19">
        <v>69</v>
      </c>
      <c r="B87" s="20" t="s">
        <v>248</v>
      </c>
      <c r="C87" s="43" t="s">
        <v>249</v>
      </c>
      <c r="D87" s="43"/>
      <c r="E87" s="44" t="s">
        <v>250</v>
      </c>
      <c r="F87" s="45"/>
      <c r="G87" s="43"/>
      <c r="H87" s="43"/>
      <c r="I87" s="43"/>
      <c r="J87" s="43"/>
      <c r="K87" s="43"/>
      <c r="L87" s="43"/>
      <c r="M87" s="43"/>
      <c r="N87" s="43"/>
      <c r="O87" s="43"/>
      <c r="P87"/>
      <c r="Q87" s="43"/>
      <c r="R87" s="19"/>
    </row>
    <row r="88" spans="1:18" ht="52.8">
      <c r="A88" s="19">
        <v>70</v>
      </c>
      <c r="B88" s="20" t="s">
        <v>251</v>
      </c>
      <c r="C88" s="21" t="s">
        <v>252</v>
      </c>
      <c r="D88" s="20" t="s">
        <v>49</v>
      </c>
      <c r="E88" s="22" t="s">
        <v>253</v>
      </c>
      <c r="F88" s="41"/>
      <c r="G88" s="19"/>
      <c r="H88" s="19"/>
      <c r="I88" s="19"/>
      <c r="J88" s="19"/>
      <c r="K88" s="19"/>
      <c r="L88" s="19"/>
      <c r="M88" s="19"/>
      <c r="N88" s="19"/>
      <c r="O88" s="19"/>
      <c r="P88"/>
      <c r="Q88" s="19"/>
      <c r="R88" s="19"/>
    </row>
    <row r="89" spans="1:18" ht="52.8">
      <c r="A89" s="19"/>
      <c r="B89" s="20" t="s">
        <v>2666</v>
      </c>
      <c r="C89" s="21" t="s">
        <v>2696</v>
      </c>
      <c r="D89" s="20"/>
      <c r="E89" s="22"/>
      <c r="F89" s="41"/>
      <c r="G89" s="19"/>
      <c r="H89" s="19"/>
      <c r="I89" s="19"/>
      <c r="J89" s="19"/>
      <c r="K89" s="19"/>
      <c r="L89" s="19"/>
      <c r="M89" s="19"/>
      <c r="N89" s="19"/>
      <c r="O89" s="19"/>
      <c r="P89"/>
      <c r="Q89" s="19"/>
      <c r="R89" s="19"/>
    </row>
    <row r="90" spans="1:18" ht="66">
      <c r="A90" s="19">
        <v>71</v>
      </c>
      <c r="B90" s="20" t="s">
        <v>254</v>
      </c>
      <c r="C90" s="21" t="s">
        <v>255</v>
      </c>
      <c r="D90" s="20"/>
      <c r="E90" s="22" t="s">
        <v>256</v>
      </c>
      <c r="F90" s="41"/>
      <c r="G90" s="19"/>
      <c r="H90" s="19"/>
      <c r="I90" s="19"/>
      <c r="J90" s="19"/>
      <c r="K90" s="19"/>
      <c r="L90" s="19"/>
      <c r="M90" s="19"/>
      <c r="N90" s="19"/>
      <c r="O90" s="19"/>
      <c r="P90"/>
      <c r="Q90" s="19"/>
      <c r="R90" s="19"/>
    </row>
    <row r="91" spans="1:18" ht="26.4">
      <c r="A91" s="19">
        <v>72</v>
      </c>
      <c r="B91" s="20" t="s">
        <v>257</v>
      </c>
      <c r="C91" s="21" t="s">
        <v>2966</v>
      </c>
      <c r="D91" s="20"/>
      <c r="E91" s="22" t="s">
        <v>2967</v>
      </c>
      <c r="F91" s="41"/>
      <c r="G91" s="19"/>
      <c r="H91" s="19"/>
      <c r="I91" s="19"/>
      <c r="J91" s="19"/>
      <c r="K91" s="19"/>
      <c r="L91" s="19"/>
      <c r="M91" s="19"/>
      <c r="N91" s="19"/>
      <c r="O91" s="19"/>
      <c r="P91"/>
      <c r="Q91" s="19"/>
      <c r="R91" s="19"/>
    </row>
    <row r="92" spans="1:18" ht="52.8">
      <c r="A92" s="19">
        <v>73</v>
      </c>
      <c r="B92" s="20" t="s">
        <v>258</v>
      </c>
      <c r="C92" s="21" t="s">
        <v>259</v>
      </c>
      <c r="D92" s="31" t="s">
        <v>260</v>
      </c>
      <c r="E92" s="46" t="s">
        <v>261</v>
      </c>
      <c r="F92" s="47" t="s">
        <v>262</v>
      </c>
      <c r="G92" s="19"/>
      <c r="H92" s="19"/>
      <c r="I92" s="19"/>
      <c r="J92" s="19"/>
      <c r="K92" s="19"/>
      <c r="L92" s="19"/>
      <c r="M92" s="19"/>
      <c r="N92" s="19"/>
      <c r="O92" s="19"/>
      <c r="P92"/>
      <c r="Q92" s="19"/>
      <c r="R92" s="19"/>
    </row>
    <row r="93" spans="1:18" ht="52.8">
      <c r="A93" s="19">
        <v>74</v>
      </c>
      <c r="B93" s="20" t="s">
        <v>263</v>
      </c>
      <c r="C93" s="21" t="s">
        <v>264</v>
      </c>
      <c r="D93" s="20"/>
      <c r="E93" s="22" t="s">
        <v>265</v>
      </c>
      <c r="F93" s="41"/>
      <c r="G93" s="19"/>
      <c r="H93" s="19"/>
      <c r="I93" s="19"/>
      <c r="J93" s="19"/>
      <c r="K93" s="19"/>
      <c r="L93" s="19"/>
      <c r="M93" s="19"/>
      <c r="N93" s="19"/>
      <c r="O93" s="19"/>
      <c r="P93"/>
      <c r="Q93" s="19"/>
      <c r="R93" s="19"/>
    </row>
    <row r="94" spans="1:18" ht="26.4">
      <c r="A94" s="19">
        <v>75</v>
      </c>
      <c r="B94" s="20" t="s">
        <v>266</v>
      </c>
      <c r="C94" s="32" t="s">
        <v>267</v>
      </c>
      <c r="D94" s="20"/>
      <c r="E94" s="22" t="s">
        <v>268</v>
      </c>
      <c r="F94" s="41"/>
      <c r="G94" s="19"/>
      <c r="H94" s="19"/>
      <c r="I94" s="19"/>
      <c r="J94" s="19"/>
      <c r="K94" s="19"/>
      <c r="L94" s="19"/>
      <c r="M94" s="19"/>
      <c r="N94" s="19"/>
      <c r="O94" s="19"/>
      <c r="P94"/>
      <c r="Q94" s="19"/>
      <c r="R94" s="19"/>
    </row>
    <row r="95" spans="1:18" ht="52.8">
      <c r="A95" s="19">
        <v>76</v>
      </c>
      <c r="B95" s="20" t="s">
        <v>269</v>
      </c>
      <c r="C95" s="21" t="s">
        <v>270</v>
      </c>
      <c r="D95" s="20"/>
      <c r="E95" s="22" t="s">
        <v>271</v>
      </c>
      <c r="F95" s="41"/>
      <c r="G95" s="19"/>
      <c r="H95" s="19"/>
      <c r="I95" s="19"/>
      <c r="J95" s="19"/>
      <c r="K95" s="19"/>
      <c r="L95" s="19"/>
      <c r="M95" s="19"/>
      <c r="N95" s="19"/>
      <c r="O95" s="19"/>
      <c r="P95"/>
      <c r="Q95" s="19"/>
      <c r="R95" s="19"/>
    </row>
    <row r="96" spans="1:18" ht="39.6">
      <c r="A96" s="19"/>
      <c r="B96" s="20" t="s">
        <v>2801</v>
      </c>
      <c r="C96" s="21" t="s">
        <v>2802</v>
      </c>
      <c r="D96" s="20"/>
      <c r="E96" s="22" t="s">
        <v>2803</v>
      </c>
      <c r="F96" s="41"/>
      <c r="G96" s="19"/>
      <c r="H96" s="19"/>
      <c r="I96" s="19"/>
      <c r="J96" s="19"/>
      <c r="K96" s="19"/>
      <c r="L96" s="19"/>
      <c r="M96" s="19"/>
      <c r="N96" s="19"/>
      <c r="O96" s="19"/>
      <c r="P96"/>
      <c r="Q96" s="19"/>
      <c r="R96" s="19"/>
    </row>
    <row r="97" spans="1:18" ht="39.6">
      <c r="A97" s="19"/>
      <c r="B97" s="20" t="s">
        <v>2798</v>
      </c>
      <c r="C97" s="21" t="s">
        <v>2799</v>
      </c>
      <c r="D97" s="20"/>
      <c r="E97" s="22" t="s">
        <v>2800</v>
      </c>
      <c r="F97" s="41"/>
      <c r="G97" s="19"/>
      <c r="H97" s="19"/>
      <c r="I97" s="19"/>
      <c r="J97" s="19"/>
      <c r="K97" s="19"/>
      <c r="L97" s="19"/>
      <c r="M97" s="19"/>
      <c r="N97" s="19"/>
      <c r="O97" s="19"/>
      <c r="P97"/>
      <c r="Q97" s="19"/>
      <c r="R97" s="19"/>
    </row>
    <row r="98" spans="1:18" ht="26.4">
      <c r="A98" s="19">
        <v>77</v>
      </c>
      <c r="B98" s="20" t="s">
        <v>272</v>
      </c>
      <c r="C98" s="21" t="s">
        <v>273</v>
      </c>
      <c r="D98" s="20"/>
      <c r="E98" s="22"/>
      <c r="F98" s="41"/>
      <c r="G98" s="19"/>
      <c r="H98" s="19"/>
      <c r="I98" s="19"/>
      <c r="J98" s="19"/>
      <c r="K98" s="19"/>
      <c r="L98" s="19"/>
      <c r="M98" s="19"/>
      <c r="N98" s="19"/>
      <c r="O98" s="19"/>
      <c r="P98"/>
      <c r="Q98" s="19"/>
      <c r="R98" s="19"/>
    </row>
    <row r="99" spans="1:18" ht="66">
      <c r="A99" s="19"/>
      <c r="B99" s="20" t="s">
        <v>2697</v>
      </c>
      <c r="C99" s="21" t="s">
        <v>2698</v>
      </c>
      <c r="D99" s="20"/>
      <c r="E99" s="22" t="s">
        <v>2699</v>
      </c>
      <c r="F99" s="41"/>
      <c r="G99" s="19"/>
      <c r="H99" s="19"/>
      <c r="I99" s="19"/>
      <c r="J99" s="19"/>
      <c r="K99" s="19"/>
      <c r="L99" s="19"/>
      <c r="M99" s="19"/>
      <c r="N99" s="19"/>
      <c r="O99" s="19"/>
      <c r="P99"/>
      <c r="Q99" s="19"/>
      <c r="R99" s="19"/>
    </row>
    <row r="100" spans="1:18" ht="39.6">
      <c r="A100" s="19">
        <v>78</v>
      </c>
      <c r="B100" s="20" t="s">
        <v>274</v>
      </c>
      <c r="C100" s="21" t="s">
        <v>275</v>
      </c>
      <c r="D100" s="20" t="s">
        <v>125</v>
      </c>
      <c r="E100" s="22" t="s">
        <v>276</v>
      </c>
      <c r="F100" s="41"/>
      <c r="G100" s="19"/>
      <c r="H100" s="19"/>
      <c r="I100" s="19"/>
      <c r="J100" s="19"/>
      <c r="K100" s="19"/>
      <c r="L100" s="19"/>
      <c r="M100" s="19"/>
      <c r="N100" s="19"/>
      <c r="O100" s="19"/>
      <c r="P100"/>
      <c r="Q100" s="19"/>
      <c r="R100" s="19"/>
    </row>
    <row r="101" spans="1:18" ht="39.6">
      <c r="A101" s="19">
        <v>79</v>
      </c>
      <c r="B101" s="20" t="s">
        <v>277</v>
      </c>
      <c r="C101" s="21" t="s">
        <v>278</v>
      </c>
      <c r="D101" s="20"/>
      <c r="E101" s="22" t="s">
        <v>279</v>
      </c>
      <c r="F101" s="41"/>
      <c r="G101" s="19"/>
      <c r="H101" s="19"/>
      <c r="I101" s="19"/>
      <c r="J101" s="19"/>
      <c r="K101" s="19"/>
      <c r="L101" s="19"/>
      <c r="M101" s="19"/>
      <c r="N101" s="19"/>
      <c r="O101" s="19"/>
      <c r="P101"/>
      <c r="Q101" s="19"/>
      <c r="R101" s="19"/>
    </row>
    <row r="102" spans="1:18" ht="92.4">
      <c r="A102" s="19">
        <v>80</v>
      </c>
      <c r="B102" s="20" t="s">
        <v>280</v>
      </c>
      <c r="C102" s="21" t="s">
        <v>281</v>
      </c>
      <c r="D102" s="65" t="s">
        <v>2965</v>
      </c>
      <c r="E102" s="22"/>
      <c r="F102" s="41"/>
      <c r="G102" s="19"/>
      <c r="H102" s="19"/>
      <c r="I102" s="19"/>
      <c r="J102" s="19"/>
      <c r="K102" s="19"/>
      <c r="L102" s="19"/>
      <c r="M102" s="19"/>
      <c r="N102" s="19"/>
      <c r="O102" s="19"/>
      <c r="P102"/>
      <c r="Q102" s="19"/>
      <c r="R102" s="19"/>
    </row>
    <row r="103" spans="1:18" ht="39.6">
      <c r="A103" s="19">
        <v>81</v>
      </c>
      <c r="B103" s="20" t="s">
        <v>282</v>
      </c>
      <c r="C103" s="21" t="s">
        <v>283</v>
      </c>
      <c r="D103" s="20"/>
      <c r="E103" s="22" t="s">
        <v>284</v>
      </c>
      <c r="F103" s="41"/>
      <c r="G103" s="19"/>
      <c r="H103" s="19"/>
      <c r="I103" s="19"/>
      <c r="J103" s="19"/>
      <c r="K103" s="19"/>
      <c r="L103" s="19"/>
      <c r="M103" s="19"/>
      <c r="N103" s="19"/>
      <c r="O103" s="19"/>
      <c r="P103"/>
      <c r="Q103" s="19"/>
      <c r="R103" s="19"/>
    </row>
    <row r="104" spans="1:18" ht="79.2">
      <c r="A104" s="19">
        <v>82</v>
      </c>
      <c r="B104" s="20" t="s">
        <v>2616</v>
      </c>
      <c r="C104" s="21" t="s">
        <v>285</v>
      </c>
      <c r="D104" s="20"/>
      <c r="E104" s="22"/>
      <c r="F104" s="41"/>
      <c r="G104" s="19"/>
      <c r="H104" s="19"/>
      <c r="I104" s="19"/>
      <c r="J104" s="19"/>
      <c r="K104" s="19"/>
      <c r="L104" s="19"/>
      <c r="M104" s="19"/>
      <c r="N104" s="19"/>
      <c r="O104" s="19"/>
      <c r="P104"/>
      <c r="Q104" s="19"/>
      <c r="R104" s="19"/>
    </row>
    <row r="105" spans="1:18" ht="39.6">
      <c r="A105" s="19">
        <v>83</v>
      </c>
      <c r="B105" s="48" t="s">
        <v>286</v>
      </c>
      <c r="C105" s="21" t="s">
        <v>287</v>
      </c>
      <c r="D105" s="25"/>
      <c r="E105" s="28" t="s">
        <v>288</v>
      </c>
      <c r="F105" s="49"/>
      <c r="G105" s="25"/>
      <c r="H105" s="27"/>
      <c r="I105" s="21"/>
      <c r="J105" s="28"/>
      <c r="K105" s="28"/>
      <c r="L105" s="28"/>
      <c r="M105" s="28"/>
      <c r="N105" s="28"/>
      <c r="O105" s="28"/>
      <c r="P105"/>
      <c r="Q105" s="28"/>
      <c r="R105" s="28"/>
    </row>
    <row r="106" spans="1:18" ht="66">
      <c r="A106" s="19">
        <v>84</v>
      </c>
      <c r="B106" s="20" t="s">
        <v>289</v>
      </c>
      <c r="C106" s="21" t="s">
        <v>290</v>
      </c>
      <c r="D106" s="20"/>
      <c r="E106" s="22" t="s">
        <v>291</v>
      </c>
      <c r="F106" s="41"/>
      <c r="G106" s="19"/>
      <c r="H106" s="19"/>
      <c r="I106" s="19"/>
      <c r="J106" s="19"/>
      <c r="K106" s="19"/>
      <c r="L106" s="19"/>
      <c r="M106" s="19"/>
      <c r="N106" s="19"/>
      <c r="O106" s="19"/>
      <c r="P106"/>
      <c r="Q106" s="19"/>
      <c r="R106" s="19"/>
    </row>
    <row r="107" spans="1:18" ht="39.6">
      <c r="A107" s="19">
        <v>85</v>
      </c>
      <c r="B107" s="20" t="s">
        <v>292</v>
      </c>
      <c r="C107" s="21" t="s">
        <v>293</v>
      </c>
      <c r="D107" s="20"/>
      <c r="E107" s="22" t="s">
        <v>294</v>
      </c>
      <c r="F107" s="41"/>
      <c r="G107" s="19"/>
      <c r="H107" s="19"/>
      <c r="I107" s="19"/>
      <c r="J107" s="19"/>
      <c r="K107" s="19"/>
      <c r="L107" s="19"/>
      <c r="M107" s="19"/>
      <c r="N107" s="19"/>
      <c r="O107" s="19"/>
      <c r="P107"/>
      <c r="Q107" s="19"/>
      <c r="R107" s="19"/>
    </row>
    <row r="108" spans="1:18" ht="79.8">
      <c r="A108" s="19">
        <v>86</v>
      </c>
      <c r="B108" s="20" t="s">
        <v>295</v>
      </c>
      <c r="C108" s="50" t="s">
        <v>296</v>
      </c>
      <c r="D108" s="20"/>
      <c r="E108" s="22"/>
      <c r="F108" s="41"/>
      <c r="G108" s="19"/>
      <c r="H108" s="19"/>
      <c r="I108" s="19"/>
      <c r="J108" s="19"/>
      <c r="K108" s="19"/>
      <c r="L108" s="19"/>
      <c r="M108" s="19"/>
      <c r="N108" s="19"/>
      <c r="O108" s="19"/>
      <c r="P108"/>
      <c r="Q108" s="19"/>
      <c r="R108" s="19"/>
    </row>
    <row r="109" spans="1:18" ht="27">
      <c r="A109" s="19"/>
      <c r="B109" s="20" t="s">
        <v>1385</v>
      </c>
      <c r="C109" s="50" t="s">
        <v>2842</v>
      </c>
      <c r="D109" s="20"/>
      <c r="E109" s="22"/>
      <c r="F109" s="41"/>
      <c r="G109" s="19"/>
      <c r="H109" s="19"/>
      <c r="I109" s="19"/>
      <c r="J109" s="19"/>
      <c r="K109" s="19"/>
      <c r="L109" s="19"/>
      <c r="M109" s="19"/>
      <c r="N109" s="19"/>
      <c r="O109" s="19"/>
      <c r="P109"/>
      <c r="Q109" s="19"/>
      <c r="R109" s="19"/>
    </row>
    <row r="110" spans="1:18" ht="53.4">
      <c r="A110" s="19">
        <v>87</v>
      </c>
      <c r="B110" s="20" t="s">
        <v>297</v>
      </c>
      <c r="C110" s="50" t="s">
        <v>298</v>
      </c>
      <c r="D110" s="20"/>
      <c r="E110" s="22" t="s">
        <v>299</v>
      </c>
      <c r="F110" s="41"/>
      <c r="G110" s="19"/>
      <c r="H110" s="19"/>
      <c r="I110" s="19"/>
      <c r="J110" s="19"/>
      <c r="K110" s="19"/>
      <c r="L110" s="19"/>
      <c r="M110" s="19"/>
      <c r="N110" s="19"/>
      <c r="O110" s="19"/>
      <c r="P110"/>
      <c r="Q110" s="19"/>
      <c r="R110" s="19"/>
    </row>
    <row r="111" spans="1:18" ht="92.4">
      <c r="A111" s="19">
        <v>88</v>
      </c>
      <c r="B111" s="20" t="s">
        <v>300</v>
      </c>
      <c r="C111" s="21" t="s">
        <v>301</v>
      </c>
      <c r="D111" s="20"/>
      <c r="E111" s="22" t="s">
        <v>302</v>
      </c>
      <c r="F111" s="41"/>
      <c r="G111" s="19"/>
      <c r="H111" s="19"/>
      <c r="I111" s="19"/>
      <c r="J111" s="19"/>
      <c r="K111" s="19"/>
      <c r="L111" s="19"/>
      <c r="M111" s="19"/>
      <c r="N111" s="19"/>
      <c r="O111" s="19"/>
      <c r="P111"/>
      <c r="Q111" s="19"/>
      <c r="R111" s="19"/>
    </row>
    <row r="112" spans="1:18" ht="61.2">
      <c r="A112" s="19">
        <v>89</v>
      </c>
      <c r="B112" s="20" t="s">
        <v>303</v>
      </c>
      <c r="C112" s="21" t="s">
        <v>304</v>
      </c>
      <c r="D112" s="51" t="s">
        <v>305</v>
      </c>
      <c r="E112" s="22" t="s">
        <v>306</v>
      </c>
      <c r="F112" s="41"/>
      <c r="G112" s="19"/>
      <c r="H112" s="19"/>
      <c r="I112" s="19"/>
      <c r="J112" s="19"/>
      <c r="K112" s="19"/>
      <c r="L112" s="19"/>
      <c r="M112" s="19"/>
      <c r="N112" s="19"/>
      <c r="O112" s="19"/>
      <c r="P112"/>
      <c r="Q112" s="19"/>
      <c r="R112" s="19"/>
    </row>
    <row r="113" spans="1:18" ht="93">
      <c r="A113" s="19">
        <v>90</v>
      </c>
      <c r="B113" s="20" t="s">
        <v>307</v>
      </c>
      <c r="C113" s="50" t="s">
        <v>308</v>
      </c>
      <c r="D113" s="20"/>
      <c r="E113" s="22"/>
      <c r="F113" s="41"/>
      <c r="G113" s="19"/>
      <c r="H113" s="19"/>
      <c r="I113" s="19"/>
      <c r="J113" s="19"/>
      <c r="K113" s="19"/>
      <c r="L113" s="19"/>
      <c r="M113" s="19"/>
      <c r="N113" s="19"/>
      <c r="O113" s="19"/>
      <c r="P113"/>
      <c r="Q113" s="19"/>
      <c r="R113" s="19"/>
    </row>
    <row r="114" spans="1:18" ht="79.8">
      <c r="A114" s="19"/>
      <c r="B114" s="20" t="s">
        <v>2939</v>
      </c>
      <c r="C114" s="50" t="s">
        <v>2981</v>
      </c>
      <c r="D114" s="20"/>
      <c r="E114" s="22" t="s">
        <v>2982</v>
      </c>
      <c r="F114" s="41"/>
      <c r="G114" s="19"/>
      <c r="H114" s="19"/>
      <c r="I114" s="19"/>
      <c r="J114" s="19"/>
      <c r="K114" s="19"/>
      <c r="L114" s="19"/>
      <c r="M114" s="19"/>
      <c r="N114" s="19"/>
      <c r="O114" s="19"/>
      <c r="P114"/>
      <c r="Q114" s="19"/>
      <c r="R114" s="19"/>
    </row>
    <row r="115" spans="1:18" ht="39.6">
      <c r="A115" s="19">
        <v>91</v>
      </c>
      <c r="B115" s="20" t="s">
        <v>309</v>
      </c>
      <c r="C115" s="21" t="s">
        <v>310</v>
      </c>
      <c r="D115" s="20" t="s">
        <v>125</v>
      </c>
      <c r="E115" s="33" t="s">
        <v>2680</v>
      </c>
      <c r="F115" s="41"/>
      <c r="G115" s="19"/>
      <c r="H115" s="19"/>
      <c r="I115" s="19"/>
      <c r="J115" s="19"/>
      <c r="K115" s="19"/>
      <c r="L115" s="19"/>
      <c r="M115" s="19"/>
      <c r="N115" s="19"/>
      <c r="O115" s="19"/>
      <c r="P115"/>
      <c r="Q115" s="19"/>
      <c r="R115" s="19"/>
    </row>
    <row r="116" spans="1:18" ht="52.8">
      <c r="A116" s="19">
        <v>92</v>
      </c>
      <c r="B116" s="20" t="s">
        <v>2863</v>
      </c>
      <c r="C116" s="21" t="s">
        <v>311</v>
      </c>
      <c r="D116" s="20"/>
      <c r="E116" s="22" t="s">
        <v>312</v>
      </c>
      <c r="F116" s="41"/>
      <c r="G116" s="19"/>
      <c r="H116" s="19"/>
      <c r="I116" s="19"/>
      <c r="J116" s="19"/>
      <c r="K116" s="19"/>
      <c r="L116" s="19"/>
      <c r="M116" s="19"/>
      <c r="N116" s="19"/>
      <c r="O116" s="19"/>
      <c r="P116"/>
      <c r="Q116" s="19"/>
      <c r="R116" s="19"/>
    </row>
    <row r="117" spans="1:18" ht="39.6">
      <c r="A117" s="19">
        <v>93</v>
      </c>
      <c r="B117" s="20" t="s">
        <v>313</v>
      </c>
      <c r="C117" s="21" t="s">
        <v>314</v>
      </c>
      <c r="D117" s="20"/>
      <c r="E117" s="22" t="s">
        <v>315</v>
      </c>
      <c r="F117" s="41"/>
      <c r="G117" s="19"/>
      <c r="H117" s="19"/>
      <c r="I117" s="19"/>
      <c r="J117" s="19"/>
      <c r="K117" s="19"/>
      <c r="L117" s="19"/>
      <c r="M117" s="19"/>
      <c r="N117" s="19"/>
      <c r="O117" s="19"/>
      <c r="P117"/>
      <c r="Q117" s="19"/>
      <c r="R117" s="19"/>
    </row>
    <row r="118" spans="1:18" ht="66">
      <c r="A118" s="19">
        <v>94</v>
      </c>
      <c r="B118" s="52" t="s">
        <v>316</v>
      </c>
      <c r="C118" s="21" t="s">
        <v>317</v>
      </c>
      <c r="D118" s="20" t="s">
        <v>59</v>
      </c>
      <c r="E118" s="21" t="s">
        <v>318</v>
      </c>
      <c r="F118" s="41"/>
      <c r="G118" s="23"/>
      <c r="H118" s="23"/>
      <c r="I118" s="23"/>
      <c r="J118" s="23"/>
      <c r="K118" s="23"/>
      <c r="L118" s="23"/>
      <c r="M118" s="23"/>
      <c r="N118" s="23"/>
      <c r="O118" s="23"/>
      <c r="P118"/>
      <c r="Q118" s="23"/>
      <c r="R118" s="23"/>
    </row>
    <row r="119" spans="1:18" ht="52.8">
      <c r="A119" s="19">
        <v>95</v>
      </c>
      <c r="B119" s="20" t="s">
        <v>319</v>
      </c>
      <c r="C119" s="21" t="s">
        <v>320</v>
      </c>
      <c r="D119" s="20" t="s">
        <v>2956</v>
      </c>
      <c r="E119" s="22"/>
      <c r="F119" s="41"/>
      <c r="G119" s="19"/>
      <c r="H119" s="19"/>
      <c r="I119" s="19"/>
      <c r="J119" s="19"/>
      <c r="K119" s="19"/>
      <c r="L119" s="19"/>
      <c r="M119" s="19"/>
      <c r="N119" s="19"/>
      <c r="O119" s="19"/>
      <c r="P119"/>
      <c r="Q119" s="19"/>
      <c r="R119" s="19"/>
    </row>
    <row r="120" spans="1:18" ht="39.6">
      <c r="A120" s="19"/>
      <c r="B120" s="20" t="s">
        <v>3198</v>
      </c>
      <c r="C120" s="21" t="s">
        <v>3199</v>
      </c>
      <c r="D120" s="20"/>
      <c r="E120" s="22" t="s">
        <v>3200</v>
      </c>
      <c r="F120" s="41"/>
      <c r="G120" s="19"/>
      <c r="H120" s="19"/>
      <c r="I120" s="19"/>
      <c r="J120" s="19"/>
      <c r="K120" s="19"/>
      <c r="L120" s="19"/>
      <c r="M120" s="19"/>
      <c r="N120" s="19"/>
      <c r="O120" s="19"/>
      <c r="P120"/>
      <c r="Q120" s="19"/>
      <c r="R120" s="19"/>
    </row>
    <row r="121" spans="1:18" ht="26.4">
      <c r="A121" s="19">
        <v>96</v>
      </c>
      <c r="B121" s="20" t="s">
        <v>321</v>
      </c>
      <c r="C121" s="21" t="s">
        <v>322</v>
      </c>
      <c r="D121" s="20"/>
      <c r="E121" s="22" t="s">
        <v>323</v>
      </c>
      <c r="F121" s="41"/>
      <c r="G121" s="19"/>
      <c r="H121" s="19"/>
      <c r="I121" s="19"/>
      <c r="J121" s="19"/>
      <c r="K121" s="19"/>
      <c r="L121" s="19"/>
      <c r="M121" s="19"/>
      <c r="N121" s="19"/>
      <c r="O121" s="19"/>
      <c r="P121"/>
      <c r="Q121" s="19"/>
      <c r="R121" s="19"/>
    </row>
    <row r="122" spans="1:18" ht="66">
      <c r="A122" s="19">
        <v>97</v>
      </c>
      <c r="B122" s="20" t="s">
        <v>324</v>
      </c>
      <c r="C122" s="21" t="s">
        <v>325</v>
      </c>
      <c r="D122" s="20"/>
      <c r="E122" s="22"/>
      <c r="F122" s="41"/>
      <c r="G122" s="19"/>
      <c r="H122" s="19"/>
      <c r="I122" s="19"/>
      <c r="J122" s="19"/>
      <c r="K122" s="19"/>
      <c r="L122" s="19"/>
      <c r="M122" s="19"/>
      <c r="N122" s="19"/>
      <c r="O122" s="19"/>
      <c r="P122"/>
      <c r="Q122" s="19"/>
      <c r="R122" s="19"/>
    </row>
    <row r="123" spans="1:18" ht="52.8">
      <c r="A123" s="19">
        <v>98</v>
      </c>
      <c r="B123" s="20" t="s">
        <v>326</v>
      </c>
      <c r="C123" s="21" t="s">
        <v>327</v>
      </c>
      <c r="D123" s="20" t="s">
        <v>328</v>
      </c>
      <c r="E123" s="22" t="s">
        <v>329</v>
      </c>
      <c r="F123" s="41"/>
      <c r="G123" s="19"/>
      <c r="H123" s="19"/>
      <c r="I123" s="19"/>
      <c r="J123" s="19"/>
      <c r="K123" s="19"/>
      <c r="L123" s="19"/>
      <c r="M123" s="19"/>
      <c r="N123" s="19"/>
      <c r="O123" s="19"/>
      <c r="P123"/>
      <c r="Q123" s="19"/>
      <c r="R123" s="19"/>
    </row>
    <row r="124" spans="1:18" ht="52.8">
      <c r="A124" s="19">
        <v>99</v>
      </c>
      <c r="B124" s="20" t="s">
        <v>330</v>
      </c>
      <c r="C124" s="28" t="s">
        <v>331</v>
      </c>
      <c r="D124" s="28"/>
      <c r="E124" s="28"/>
      <c r="F124" s="53"/>
      <c r="G124" s="28"/>
      <c r="H124" s="28"/>
      <c r="I124" s="28"/>
      <c r="J124" s="28"/>
      <c r="K124" s="28"/>
      <c r="L124" s="28"/>
      <c r="M124" s="28"/>
      <c r="N124" s="28"/>
      <c r="O124" s="28"/>
      <c r="P124"/>
      <c r="Q124" s="19"/>
      <c r="R124" s="19"/>
    </row>
    <row r="125" spans="1:18" ht="52.8">
      <c r="A125" s="19">
        <v>100</v>
      </c>
      <c r="B125" s="20" t="s">
        <v>332</v>
      </c>
      <c r="C125" s="21" t="s">
        <v>333</v>
      </c>
      <c r="D125" s="20"/>
      <c r="E125" s="22" t="s">
        <v>334</v>
      </c>
      <c r="F125" s="41"/>
      <c r="G125" s="19"/>
      <c r="H125" s="19"/>
      <c r="I125" s="19"/>
      <c r="J125" s="19"/>
      <c r="K125" s="19"/>
      <c r="L125" s="19"/>
      <c r="M125" s="19"/>
      <c r="N125" s="19"/>
      <c r="O125" s="19"/>
      <c r="P125"/>
      <c r="Q125" s="19"/>
      <c r="R125" s="19"/>
    </row>
    <row r="126" spans="1:18" ht="52.8">
      <c r="A126" s="19">
        <v>101</v>
      </c>
      <c r="B126" s="20" t="s">
        <v>335</v>
      </c>
      <c r="C126" s="21" t="s">
        <v>336</v>
      </c>
      <c r="D126" s="54" t="s">
        <v>337</v>
      </c>
      <c r="E126" s="22" t="s">
        <v>338</v>
      </c>
      <c r="F126" s="41"/>
      <c r="G126" s="19"/>
      <c r="H126" s="19"/>
      <c r="I126" s="19"/>
      <c r="J126" s="19"/>
      <c r="K126" s="19"/>
      <c r="L126" s="19"/>
      <c r="M126" s="19"/>
      <c r="N126" s="19"/>
      <c r="O126" s="19"/>
      <c r="P126"/>
      <c r="Q126" s="19"/>
      <c r="R126" s="19"/>
    </row>
    <row r="127" spans="1:18" ht="39.6">
      <c r="A127" s="19">
        <v>102</v>
      </c>
      <c r="B127" s="20" t="s">
        <v>339</v>
      </c>
      <c r="C127" s="21" t="s">
        <v>340</v>
      </c>
      <c r="D127" s="20"/>
      <c r="E127" s="22" t="s">
        <v>341</v>
      </c>
      <c r="F127" s="41"/>
      <c r="G127" s="19"/>
      <c r="H127" s="19"/>
      <c r="I127" s="19"/>
      <c r="J127" s="19"/>
      <c r="K127" s="19"/>
      <c r="L127" s="19"/>
      <c r="M127" s="19"/>
      <c r="N127" s="19"/>
      <c r="O127" s="19"/>
      <c r="P127"/>
      <c r="Q127" s="19"/>
      <c r="R127" s="19"/>
    </row>
    <row r="128" spans="1:18" ht="52.8">
      <c r="A128" s="19">
        <v>103</v>
      </c>
      <c r="B128" s="20" t="s">
        <v>342</v>
      </c>
      <c r="C128" s="21" t="s">
        <v>343</v>
      </c>
      <c r="D128" s="20"/>
      <c r="E128" s="33" t="s">
        <v>344</v>
      </c>
      <c r="F128" s="41"/>
      <c r="G128" s="19"/>
      <c r="H128" s="19"/>
      <c r="I128" s="19"/>
      <c r="J128" s="19"/>
      <c r="K128" s="19"/>
      <c r="L128" s="19"/>
      <c r="M128" s="19"/>
      <c r="N128" s="19"/>
      <c r="O128" s="19"/>
      <c r="P128"/>
      <c r="Q128" s="19"/>
      <c r="R128" s="19"/>
    </row>
    <row r="129" spans="1:18" ht="39.6">
      <c r="A129" s="19"/>
      <c r="B129" s="20" t="s">
        <v>2601</v>
      </c>
      <c r="C129" s="67" t="s">
        <v>2613</v>
      </c>
      <c r="D129" s="20"/>
      <c r="E129" s="33" t="s">
        <v>2755</v>
      </c>
      <c r="F129" s="41"/>
      <c r="G129" s="19"/>
      <c r="H129" s="19"/>
      <c r="I129" s="19"/>
      <c r="J129" s="19"/>
      <c r="K129" s="19"/>
      <c r="L129" s="19"/>
      <c r="M129" s="19"/>
      <c r="N129" s="19"/>
      <c r="O129" s="19"/>
      <c r="P129"/>
      <c r="Q129" s="19"/>
      <c r="R129" s="19"/>
    </row>
    <row r="130" spans="1:18" ht="53.4">
      <c r="A130" s="19">
        <v>104</v>
      </c>
      <c r="B130" s="20" t="s">
        <v>345</v>
      </c>
      <c r="C130" s="218" t="s">
        <v>2591</v>
      </c>
      <c r="D130" s="20"/>
      <c r="E130" s="33" t="s">
        <v>346</v>
      </c>
      <c r="F130" s="41"/>
      <c r="G130" s="19"/>
      <c r="H130" s="19"/>
      <c r="I130" s="19"/>
      <c r="J130" s="19"/>
      <c r="K130" s="19"/>
      <c r="L130" s="19"/>
      <c r="M130" s="19"/>
      <c r="N130" s="19"/>
      <c r="O130" s="19"/>
      <c r="P130"/>
      <c r="Q130" s="19"/>
      <c r="R130" s="19"/>
    </row>
    <row r="131" spans="1:18" ht="66">
      <c r="A131" s="19">
        <v>105</v>
      </c>
      <c r="B131" s="20" t="s">
        <v>347</v>
      </c>
      <c r="C131" s="21" t="s">
        <v>348</v>
      </c>
      <c r="D131" s="20" t="s">
        <v>349</v>
      </c>
      <c r="E131" s="22"/>
      <c r="F131" s="41"/>
      <c r="G131" s="19"/>
      <c r="H131" s="19"/>
      <c r="I131" s="19"/>
      <c r="J131" s="19"/>
      <c r="K131" s="19"/>
      <c r="L131" s="19"/>
      <c r="M131" s="19"/>
      <c r="N131" s="19"/>
      <c r="O131" s="19"/>
      <c r="P131"/>
      <c r="Q131" s="19"/>
      <c r="R131" s="19"/>
    </row>
    <row r="132" spans="1:18" ht="26.4">
      <c r="A132" s="19">
        <v>106</v>
      </c>
      <c r="B132" s="20" t="s">
        <v>350</v>
      </c>
      <c r="C132" s="21" t="s">
        <v>351</v>
      </c>
      <c r="D132" s="20" t="s">
        <v>49</v>
      </c>
      <c r="E132" s="22" t="s">
        <v>352</v>
      </c>
      <c r="F132" s="41"/>
      <c r="G132" s="19"/>
      <c r="H132" s="19"/>
      <c r="I132" s="19"/>
      <c r="J132" s="19"/>
      <c r="K132" s="19"/>
      <c r="L132" s="19"/>
      <c r="M132" s="19"/>
      <c r="N132" s="19"/>
      <c r="O132" s="19"/>
      <c r="P132"/>
      <c r="Q132" s="19"/>
      <c r="R132" s="19"/>
    </row>
    <row r="133" spans="1:18" ht="52.8">
      <c r="A133" s="19">
        <v>107</v>
      </c>
      <c r="B133" s="20" t="s">
        <v>353</v>
      </c>
      <c r="C133" s="21" t="s">
        <v>354</v>
      </c>
      <c r="D133" s="20" t="s">
        <v>355</v>
      </c>
      <c r="E133" s="22" t="s">
        <v>356</v>
      </c>
      <c r="F133" s="41"/>
      <c r="G133" s="19"/>
      <c r="H133" s="19"/>
      <c r="I133" s="19"/>
      <c r="J133" s="19"/>
      <c r="K133" s="19"/>
      <c r="L133" s="19"/>
      <c r="M133" s="19"/>
      <c r="N133" s="19"/>
      <c r="O133" s="19"/>
      <c r="P133"/>
      <c r="Q133" s="19"/>
      <c r="R133" s="19"/>
    </row>
    <row r="134" spans="1:18" ht="66">
      <c r="A134" s="19">
        <v>108</v>
      </c>
      <c r="B134" s="20" t="s">
        <v>357</v>
      </c>
      <c r="C134" s="21" t="s">
        <v>358</v>
      </c>
      <c r="D134" s="20" t="s">
        <v>359</v>
      </c>
      <c r="E134" s="55" t="s">
        <v>360</v>
      </c>
      <c r="F134" s="41"/>
      <c r="G134" s="19"/>
      <c r="H134" s="19"/>
      <c r="I134" s="19"/>
      <c r="J134" s="19"/>
      <c r="K134" s="19"/>
      <c r="L134" s="19">
        <f>2.7+0.3+0.4+1.1+2.4</f>
        <v>6.9</v>
      </c>
      <c r="M134" s="19"/>
      <c r="N134" s="19"/>
      <c r="O134" s="19"/>
      <c r="P134"/>
      <c r="Q134" s="19"/>
      <c r="R134" s="19"/>
    </row>
    <row r="135" spans="1:18" ht="26.4">
      <c r="A135" s="19">
        <v>109</v>
      </c>
      <c r="B135" s="20" t="s">
        <v>361</v>
      </c>
      <c r="C135" s="21" t="s">
        <v>362</v>
      </c>
      <c r="D135" s="20" t="s">
        <v>363</v>
      </c>
      <c r="E135" s="22" t="s">
        <v>364</v>
      </c>
      <c r="F135" s="41" t="s">
        <v>365</v>
      </c>
      <c r="G135" s="19"/>
      <c r="H135" s="19"/>
      <c r="I135" s="19"/>
      <c r="J135" s="19"/>
      <c r="K135" s="19"/>
      <c r="L135" s="19"/>
      <c r="M135" s="19"/>
      <c r="N135" s="19"/>
      <c r="O135" s="19"/>
      <c r="P135"/>
      <c r="Q135" s="19"/>
      <c r="R135" s="19"/>
    </row>
    <row r="136" spans="1:18" ht="39.6">
      <c r="A136" s="19">
        <v>110</v>
      </c>
      <c r="B136" s="20" t="s">
        <v>366</v>
      </c>
      <c r="C136" s="21" t="s">
        <v>367</v>
      </c>
      <c r="D136" s="20" t="s">
        <v>3018</v>
      </c>
      <c r="E136" s="22" t="s">
        <v>368</v>
      </c>
      <c r="F136" s="41"/>
      <c r="G136" s="19"/>
      <c r="H136" s="19"/>
      <c r="I136" s="19"/>
      <c r="J136" s="19"/>
      <c r="K136" s="19"/>
      <c r="L136" s="19"/>
      <c r="M136" s="19"/>
      <c r="N136" s="19"/>
      <c r="O136" s="19"/>
      <c r="P136"/>
      <c r="Q136" s="19"/>
      <c r="R136" s="19"/>
    </row>
    <row r="137" spans="1:18" ht="40.200000000000003">
      <c r="A137" s="19"/>
      <c r="B137" s="20" t="s">
        <v>2756</v>
      </c>
      <c r="C137" s="234" t="s">
        <v>2757</v>
      </c>
      <c r="D137" s="20"/>
      <c r="E137" s="22" t="s">
        <v>2758</v>
      </c>
      <c r="F137" s="41"/>
      <c r="G137" s="19"/>
      <c r="H137" s="19"/>
      <c r="I137" s="19"/>
      <c r="J137" s="19"/>
      <c r="K137" s="19"/>
      <c r="L137" s="19"/>
      <c r="M137" s="19"/>
      <c r="N137" s="19"/>
      <c r="O137" s="19"/>
      <c r="P137"/>
      <c r="Q137" s="19"/>
      <c r="R137" s="19"/>
    </row>
    <row r="138" spans="1:18" ht="52.8">
      <c r="A138" s="19">
        <v>111</v>
      </c>
      <c r="B138" s="20" t="s">
        <v>369</v>
      </c>
      <c r="C138" s="21" t="s">
        <v>370</v>
      </c>
      <c r="D138" s="20" t="s">
        <v>371</v>
      </c>
      <c r="E138" s="43" t="s">
        <v>372</v>
      </c>
      <c r="F138" s="41"/>
      <c r="G138" s="19"/>
      <c r="H138" s="19"/>
      <c r="I138" s="19"/>
      <c r="J138" s="19"/>
      <c r="K138" s="19"/>
      <c r="L138" s="19"/>
      <c r="M138" s="19"/>
      <c r="N138" s="19"/>
      <c r="O138" s="19"/>
      <c r="P138"/>
      <c r="Q138" s="19"/>
      <c r="R138" s="19"/>
    </row>
    <row r="139" spans="1:18" ht="66">
      <c r="A139" s="19">
        <v>112</v>
      </c>
      <c r="B139" s="20" t="s">
        <v>373</v>
      </c>
      <c r="C139" s="21" t="s">
        <v>374</v>
      </c>
      <c r="D139" s="20"/>
      <c r="E139" s="22"/>
      <c r="F139" s="41"/>
      <c r="G139" s="19"/>
      <c r="H139" s="19"/>
      <c r="I139" s="19"/>
      <c r="J139" s="19"/>
      <c r="K139" s="19"/>
      <c r="L139" s="19"/>
      <c r="M139" s="19"/>
      <c r="N139" s="19"/>
      <c r="O139" s="19"/>
      <c r="P139"/>
      <c r="Q139" s="19"/>
      <c r="R139" s="19"/>
    </row>
    <row r="140" spans="1:18" ht="39.6">
      <c r="A140" s="19">
        <v>113</v>
      </c>
      <c r="B140" s="20" t="s">
        <v>375</v>
      </c>
      <c r="C140" s="21" t="s">
        <v>376</v>
      </c>
      <c r="D140" s="20"/>
      <c r="E140" s="22"/>
      <c r="F140" s="41"/>
      <c r="G140" s="19"/>
      <c r="H140" s="19"/>
      <c r="I140" s="19"/>
      <c r="J140" s="19"/>
      <c r="K140" s="19"/>
      <c r="L140" s="19"/>
      <c r="M140" s="19"/>
      <c r="N140" s="19"/>
      <c r="O140" s="19"/>
      <c r="P140"/>
      <c r="Q140" s="19"/>
      <c r="R140" s="19"/>
    </row>
    <row r="141" spans="1:18" ht="39.6">
      <c r="A141" s="19"/>
      <c r="B141" s="216" t="s">
        <v>1169</v>
      </c>
      <c r="C141" s="21" t="s">
        <v>2650</v>
      </c>
      <c r="D141" s="20"/>
      <c r="E141" s="22" t="s">
        <v>2655</v>
      </c>
      <c r="F141" s="41"/>
      <c r="G141" s="19"/>
      <c r="H141" s="19"/>
      <c r="I141" s="19"/>
      <c r="J141" s="19"/>
      <c r="K141" s="19"/>
      <c r="L141" s="19"/>
      <c r="M141" s="19"/>
      <c r="N141" s="19"/>
      <c r="O141" s="19"/>
      <c r="P141"/>
      <c r="Q141" s="19"/>
      <c r="R141" s="19"/>
    </row>
    <row r="142" spans="1:18" ht="79.2">
      <c r="A142" s="19"/>
      <c r="B142" s="216" t="s">
        <v>2692</v>
      </c>
      <c r="C142" s="21" t="s">
        <v>2594</v>
      </c>
      <c r="D142" s="20"/>
      <c r="E142" s="22" t="s">
        <v>2655</v>
      </c>
      <c r="F142" s="41"/>
      <c r="G142" s="19"/>
      <c r="H142" s="19"/>
      <c r="I142" s="19"/>
      <c r="J142" s="19"/>
      <c r="K142" s="19"/>
      <c r="L142" s="19"/>
      <c r="M142" s="19"/>
      <c r="N142" s="19"/>
      <c r="O142" s="19"/>
      <c r="P142"/>
      <c r="Q142" s="19"/>
      <c r="R142" s="19"/>
    </row>
    <row r="143" spans="1:18" ht="66">
      <c r="A143" s="19">
        <v>114</v>
      </c>
      <c r="B143" s="20" t="s">
        <v>377</v>
      </c>
      <c r="C143" s="21" t="s">
        <v>378</v>
      </c>
      <c r="D143" s="20" t="s">
        <v>3009</v>
      </c>
      <c r="E143" s="56" t="s">
        <v>379</v>
      </c>
      <c r="F143" s="41"/>
      <c r="G143" s="19"/>
      <c r="H143" s="19"/>
      <c r="I143" s="19"/>
      <c r="J143" s="19"/>
      <c r="K143" s="19"/>
      <c r="L143" s="19"/>
      <c r="M143" s="19"/>
      <c r="N143" s="19"/>
      <c r="O143" s="19"/>
      <c r="P143"/>
      <c r="Q143" s="19"/>
      <c r="R143" s="19"/>
    </row>
    <row r="144" spans="1:18" ht="26.4">
      <c r="A144" s="19">
        <v>115</v>
      </c>
      <c r="B144" s="20" t="s">
        <v>380</v>
      </c>
      <c r="C144" s="21" t="s">
        <v>381</v>
      </c>
      <c r="D144" s="20"/>
      <c r="E144" s="22" t="s">
        <v>382</v>
      </c>
      <c r="F144" s="41"/>
      <c r="G144" s="19"/>
      <c r="H144" s="19"/>
      <c r="I144" s="19"/>
      <c r="J144" s="19"/>
      <c r="K144" s="19"/>
      <c r="L144" s="19"/>
      <c r="M144" s="19"/>
      <c r="N144" s="19"/>
      <c r="O144" s="19"/>
      <c r="P144"/>
      <c r="Q144" s="19"/>
      <c r="R144" s="19"/>
    </row>
    <row r="145" spans="1:18" ht="92.4">
      <c r="A145" s="19">
        <v>116</v>
      </c>
      <c r="B145" s="20" t="s">
        <v>383</v>
      </c>
      <c r="C145" s="21" t="s">
        <v>384</v>
      </c>
      <c r="D145" s="20" t="s">
        <v>385</v>
      </c>
      <c r="E145" s="22"/>
      <c r="F145" s="41"/>
      <c r="G145" s="19"/>
      <c r="H145" s="19"/>
      <c r="I145" s="19"/>
      <c r="J145" s="19"/>
      <c r="K145" s="19"/>
      <c r="L145" s="19"/>
      <c r="M145" s="19"/>
      <c r="N145" s="19"/>
      <c r="O145" s="19"/>
      <c r="P145"/>
      <c r="Q145" s="19"/>
      <c r="R145" s="19"/>
    </row>
    <row r="146" spans="1:18" ht="39.6">
      <c r="A146" s="19">
        <v>117</v>
      </c>
      <c r="B146" s="20" t="s">
        <v>386</v>
      </c>
      <c r="C146" s="21" t="s">
        <v>387</v>
      </c>
      <c r="D146" s="20"/>
      <c r="E146" s="22" t="s">
        <v>388</v>
      </c>
      <c r="F146" s="41"/>
      <c r="G146" s="19"/>
      <c r="H146" s="19"/>
      <c r="I146" s="19"/>
      <c r="J146" s="19"/>
      <c r="K146" s="19"/>
      <c r="L146" s="19"/>
      <c r="M146" s="19"/>
      <c r="N146" s="19"/>
      <c r="O146" s="19"/>
      <c r="P146"/>
      <c r="Q146" s="19"/>
      <c r="R146" s="19"/>
    </row>
    <row r="147" spans="1:18" ht="39.6">
      <c r="A147" s="19">
        <v>118</v>
      </c>
      <c r="B147" s="20" t="s">
        <v>389</v>
      </c>
      <c r="C147" s="21" t="s">
        <v>390</v>
      </c>
      <c r="D147" s="20"/>
      <c r="E147" s="22" t="s">
        <v>391</v>
      </c>
      <c r="F147" s="41"/>
      <c r="G147" s="19"/>
      <c r="H147" s="19"/>
      <c r="I147" s="19"/>
      <c r="J147" s="19"/>
      <c r="K147" s="19"/>
      <c r="L147" s="19"/>
      <c r="M147" s="19"/>
      <c r="N147" s="19"/>
      <c r="O147" s="19"/>
      <c r="P147"/>
      <c r="Q147" s="19"/>
      <c r="R147" s="19"/>
    </row>
    <row r="148" spans="1:18" ht="79.2">
      <c r="A148" s="19">
        <v>119</v>
      </c>
      <c r="B148" s="20" t="s">
        <v>392</v>
      </c>
      <c r="C148" s="21" t="s">
        <v>393</v>
      </c>
      <c r="D148" s="20"/>
      <c r="E148" s="22"/>
      <c r="F148" s="41"/>
      <c r="G148" s="19"/>
      <c r="H148" s="19"/>
      <c r="I148" s="19"/>
      <c r="J148" s="19"/>
      <c r="K148" s="19"/>
      <c r="L148" s="19"/>
      <c r="M148" s="19"/>
      <c r="N148" s="19"/>
      <c r="O148" s="19"/>
      <c r="P148"/>
      <c r="Q148" s="19"/>
      <c r="R148" s="19"/>
    </row>
    <row r="149" spans="1:18" ht="93">
      <c r="A149" s="19">
        <v>120</v>
      </c>
      <c r="B149" s="57" t="s">
        <v>394</v>
      </c>
      <c r="C149" s="58" t="s">
        <v>395</v>
      </c>
      <c r="D149" s="20"/>
      <c r="E149" s="147" t="s">
        <v>396</v>
      </c>
      <c r="F149" s="41"/>
      <c r="G149" s="19"/>
      <c r="H149" s="19"/>
      <c r="I149" s="19"/>
      <c r="J149" s="19"/>
      <c r="K149" s="19"/>
      <c r="L149" s="19"/>
      <c r="M149" s="19"/>
      <c r="N149" s="19"/>
      <c r="O149" s="19"/>
      <c r="P149"/>
      <c r="Q149" s="19"/>
      <c r="R149" s="19"/>
    </row>
    <row r="150" spans="1:18" ht="92.4">
      <c r="A150" s="19">
        <v>121</v>
      </c>
      <c r="B150" s="20" t="s">
        <v>2619</v>
      </c>
      <c r="C150" s="21" t="s">
        <v>397</v>
      </c>
      <c r="D150" s="31" t="s">
        <v>398</v>
      </c>
      <c r="E150" s="22" t="s">
        <v>399</v>
      </c>
      <c r="F150" s="41"/>
      <c r="H150" s="19"/>
      <c r="I150" s="19"/>
      <c r="J150" s="19"/>
      <c r="K150" s="19"/>
      <c r="L150" s="19"/>
      <c r="M150" s="19"/>
      <c r="N150" s="19"/>
      <c r="O150" s="19"/>
      <c r="P150"/>
      <c r="Q150" s="19"/>
      <c r="R150" s="19"/>
    </row>
    <row r="151" spans="1:18" ht="39.6">
      <c r="A151" s="19">
        <v>122</v>
      </c>
      <c r="B151" s="20" t="s">
        <v>400</v>
      </c>
      <c r="C151" s="59" t="s">
        <v>401</v>
      </c>
      <c r="D151" s="20" t="s">
        <v>402</v>
      </c>
      <c r="E151" s="29" t="s">
        <v>403</v>
      </c>
      <c r="F151" s="41"/>
      <c r="G151" s="19"/>
      <c r="H151" s="19"/>
      <c r="I151" s="19"/>
      <c r="J151" s="19"/>
      <c r="K151" s="19"/>
      <c r="L151" s="19"/>
      <c r="M151" s="19"/>
      <c r="N151" s="19"/>
      <c r="O151" s="19"/>
      <c r="P151"/>
      <c r="Q151" s="19"/>
      <c r="R151" s="19"/>
    </row>
    <row r="152" spans="1:18" ht="26.4">
      <c r="A152" s="19">
        <v>123</v>
      </c>
      <c r="B152" s="20" t="s">
        <v>404</v>
      </c>
      <c r="C152" s="21" t="s">
        <v>405</v>
      </c>
      <c r="D152" s="20"/>
      <c r="E152" s="22" t="s">
        <v>406</v>
      </c>
      <c r="F152" s="41" t="s">
        <v>30</v>
      </c>
      <c r="G152" s="19"/>
      <c r="H152" s="19"/>
      <c r="I152" s="19"/>
      <c r="J152" s="19"/>
      <c r="K152" s="19"/>
      <c r="L152" s="19"/>
      <c r="M152" s="19"/>
      <c r="N152" s="19"/>
      <c r="O152" s="19"/>
      <c r="P152"/>
      <c r="Q152" s="19"/>
      <c r="R152" s="19"/>
    </row>
    <row r="153" spans="1:18" ht="39.6">
      <c r="A153" s="19">
        <v>124</v>
      </c>
      <c r="B153" s="20" t="s">
        <v>407</v>
      </c>
      <c r="C153" s="21" t="s">
        <v>408</v>
      </c>
      <c r="D153" s="20"/>
      <c r="E153" s="22" t="s">
        <v>409</v>
      </c>
      <c r="G153" s="19"/>
      <c r="H153" s="19"/>
      <c r="I153" s="19"/>
      <c r="K153" s="19"/>
      <c r="L153" s="19"/>
      <c r="M153" s="19"/>
      <c r="O153" s="19"/>
      <c r="P153"/>
      <c r="Q153" s="19"/>
    </row>
    <row r="154" spans="1:18" ht="39.6">
      <c r="A154" s="19">
        <v>125</v>
      </c>
      <c r="B154" s="20" t="s">
        <v>410</v>
      </c>
      <c r="C154" s="21" t="s">
        <v>411</v>
      </c>
      <c r="D154" s="20" t="s">
        <v>371</v>
      </c>
      <c r="E154" s="22" t="s">
        <v>412</v>
      </c>
      <c r="F154" s="60"/>
      <c r="G154" s="61"/>
      <c r="H154" s="61"/>
      <c r="I154" s="61"/>
      <c r="J154" s="61"/>
      <c r="K154" s="61"/>
      <c r="L154" s="61"/>
      <c r="M154" s="61"/>
      <c r="N154" s="61"/>
      <c r="O154" s="61"/>
      <c r="P154"/>
      <c r="Q154" s="61"/>
    </row>
    <row r="155" spans="1:18" ht="39.6">
      <c r="A155" s="19">
        <v>126</v>
      </c>
      <c r="B155" s="20" t="s">
        <v>413</v>
      </c>
      <c r="C155" s="21" t="s">
        <v>414</v>
      </c>
      <c r="D155" s="20"/>
      <c r="E155" s="22" t="s">
        <v>415</v>
      </c>
      <c r="F155" s="41"/>
      <c r="G155" s="19"/>
      <c r="H155" s="19"/>
      <c r="I155" s="19"/>
      <c r="J155" s="19"/>
      <c r="K155" s="19"/>
      <c r="L155" s="19"/>
      <c r="M155" s="19"/>
      <c r="N155" s="19"/>
      <c r="O155" s="19"/>
      <c r="P155"/>
      <c r="Q155" s="19"/>
      <c r="R155" s="19"/>
    </row>
    <row r="156" spans="1:18" ht="39.6">
      <c r="A156" s="19">
        <v>127</v>
      </c>
      <c r="B156" s="20" t="s">
        <v>416</v>
      </c>
      <c r="C156" s="21" t="s">
        <v>417</v>
      </c>
      <c r="D156" s="20"/>
      <c r="E156" s="22" t="s">
        <v>418</v>
      </c>
      <c r="F156" s="41"/>
      <c r="G156" s="19"/>
      <c r="H156" s="19"/>
      <c r="I156" s="19"/>
      <c r="J156" s="19"/>
      <c r="K156" s="19"/>
      <c r="L156" s="19"/>
      <c r="M156" s="19"/>
      <c r="N156" s="19"/>
      <c r="O156" s="19"/>
      <c r="P156"/>
      <c r="Q156" s="19"/>
      <c r="R156" s="19"/>
    </row>
    <row r="157" spans="1:18" ht="52.8">
      <c r="A157" s="19">
        <v>128</v>
      </c>
      <c r="B157" s="20" t="s">
        <v>419</v>
      </c>
      <c r="C157" s="21" t="s">
        <v>420</v>
      </c>
      <c r="D157" s="20" t="s">
        <v>421</v>
      </c>
      <c r="E157" s="22"/>
      <c r="F157" s="41"/>
      <c r="G157" s="19"/>
      <c r="H157" s="19"/>
      <c r="I157" s="19"/>
      <c r="J157" s="19"/>
      <c r="K157" s="19"/>
      <c r="L157" s="19"/>
      <c r="M157" s="19"/>
      <c r="N157" s="19"/>
      <c r="O157" s="19"/>
      <c r="P157"/>
      <c r="Q157" s="19"/>
      <c r="R157" s="19"/>
    </row>
    <row r="158" spans="1:18" ht="39.6">
      <c r="A158" s="19">
        <v>129</v>
      </c>
      <c r="B158" s="20" t="s">
        <v>422</v>
      </c>
      <c r="C158" s="21" t="s">
        <v>423</v>
      </c>
      <c r="D158" s="20"/>
      <c r="E158" s="22" t="s">
        <v>424</v>
      </c>
      <c r="F158" s="41"/>
      <c r="G158" s="19"/>
      <c r="H158" s="19"/>
      <c r="I158" s="19"/>
      <c r="J158" s="19"/>
      <c r="K158" s="19"/>
      <c r="L158" s="19"/>
      <c r="M158" s="19"/>
      <c r="N158" s="19"/>
      <c r="O158" s="19"/>
      <c r="P158"/>
      <c r="Q158" s="19"/>
      <c r="R158" s="19"/>
    </row>
    <row r="159" spans="1:18" ht="39.6">
      <c r="A159" s="19">
        <v>130</v>
      </c>
      <c r="B159" s="20" t="s">
        <v>425</v>
      </c>
      <c r="C159" s="21" t="s">
        <v>423</v>
      </c>
      <c r="D159" s="20" t="s">
        <v>49</v>
      </c>
      <c r="E159" s="22" t="s">
        <v>426</v>
      </c>
      <c r="F159" s="41"/>
      <c r="G159" s="19"/>
      <c r="H159" s="19"/>
      <c r="I159" s="19"/>
      <c r="J159" s="19"/>
      <c r="K159" s="19"/>
      <c r="L159" s="19"/>
      <c r="M159" s="19"/>
      <c r="N159" s="19"/>
      <c r="O159" s="19"/>
      <c r="P159"/>
      <c r="Q159" s="19"/>
      <c r="R159" s="19"/>
    </row>
    <row r="160" spans="1:18" ht="39.6">
      <c r="A160" s="19">
        <v>131</v>
      </c>
      <c r="B160" s="20" t="s">
        <v>427</v>
      </c>
      <c r="C160" s="21" t="s">
        <v>428</v>
      </c>
      <c r="D160" s="20"/>
      <c r="E160" s="22" t="s">
        <v>429</v>
      </c>
      <c r="F160" s="41"/>
      <c r="G160" s="19"/>
      <c r="H160" s="19"/>
      <c r="I160" s="19"/>
      <c r="J160" s="19"/>
      <c r="K160" s="19"/>
      <c r="L160" s="19"/>
      <c r="M160" s="19"/>
      <c r="N160" s="19"/>
      <c r="O160" s="19"/>
      <c r="P160"/>
      <c r="Q160" s="19"/>
      <c r="R160" s="19"/>
    </row>
    <row r="161" spans="1:18" ht="40.200000000000003">
      <c r="A161" s="19">
        <v>132</v>
      </c>
      <c r="B161" s="20" t="s">
        <v>430</v>
      </c>
      <c r="C161" s="50" t="s">
        <v>431</v>
      </c>
      <c r="D161" s="50"/>
      <c r="E161" s="50"/>
      <c r="F161" s="62"/>
      <c r="G161" s="50"/>
      <c r="H161" s="50"/>
      <c r="I161" s="50"/>
      <c r="J161" s="50"/>
      <c r="K161" s="50"/>
      <c r="L161" s="50"/>
      <c r="M161" s="50"/>
      <c r="N161" s="50"/>
      <c r="O161" s="50"/>
      <c r="P161"/>
      <c r="Q161" s="19"/>
      <c r="R161" s="19"/>
    </row>
    <row r="162" spans="1:18" ht="39.6">
      <c r="A162" s="19">
        <v>133</v>
      </c>
      <c r="B162" s="20" t="s">
        <v>432</v>
      </c>
      <c r="C162" s="21" t="s">
        <v>433</v>
      </c>
      <c r="D162" s="20"/>
      <c r="E162" s="22"/>
      <c r="F162" s="41"/>
      <c r="G162" s="19"/>
      <c r="H162" s="19"/>
      <c r="I162" s="19"/>
      <c r="J162" s="19"/>
      <c r="K162" s="19"/>
      <c r="L162" s="19"/>
      <c r="M162" s="19"/>
      <c r="N162" s="19"/>
      <c r="O162" s="19"/>
      <c r="P162"/>
      <c r="Q162" s="19"/>
      <c r="R162" s="19"/>
    </row>
    <row r="163" spans="1:18" ht="39.6">
      <c r="A163" s="19">
        <v>134</v>
      </c>
      <c r="B163" s="20" t="s">
        <v>434</v>
      </c>
      <c r="C163" s="21" t="s">
        <v>435</v>
      </c>
      <c r="D163" s="20"/>
      <c r="E163" s="22" t="s">
        <v>436</v>
      </c>
      <c r="F163" s="41"/>
      <c r="G163" s="19"/>
      <c r="H163" s="19"/>
      <c r="I163" s="19"/>
      <c r="J163" s="19"/>
      <c r="K163" s="19"/>
      <c r="L163" s="19"/>
      <c r="M163" s="19"/>
      <c r="N163" s="19"/>
      <c r="O163" s="19"/>
      <c r="P163"/>
      <c r="Q163" s="19"/>
      <c r="R163" s="19"/>
    </row>
    <row r="164" spans="1:18" ht="52.8">
      <c r="A164" s="19">
        <v>135</v>
      </c>
      <c r="B164" s="20" t="s">
        <v>2919</v>
      </c>
      <c r="C164" s="21" t="s">
        <v>438</v>
      </c>
      <c r="D164" s="20"/>
      <c r="E164" s="22" t="s">
        <v>2918</v>
      </c>
      <c r="F164" s="41"/>
      <c r="G164" s="19"/>
      <c r="H164" s="19"/>
      <c r="I164" s="19"/>
      <c r="J164" s="19"/>
      <c r="K164" s="19"/>
      <c r="L164" s="19"/>
      <c r="M164" s="19"/>
      <c r="N164" s="19"/>
      <c r="O164" s="19"/>
      <c r="P164"/>
      <c r="Q164" s="19"/>
      <c r="R164" s="19"/>
    </row>
    <row r="165" spans="1:18" ht="52.8">
      <c r="A165" s="19"/>
      <c r="B165" s="20" t="s">
        <v>437</v>
      </c>
      <c r="C165" s="21" t="s">
        <v>438</v>
      </c>
      <c r="D165" s="20"/>
      <c r="E165" s="22" t="s">
        <v>2951</v>
      </c>
      <c r="F165" s="41"/>
      <c r="G165" s="19"/>
      <c r="H165" s="19"/>
      <c r="I165" s="19"/>
      <c r="J165" s="19"/>
      <c r="K165" s="19"/>
      <c r="L165" s="19"/>
      <c r="M165" s="19"/>
      <c r="N165" s="19"/>
      <c r="O165" s="19"/>
      <c r="P165"/>
      <c r="Q165" s="19"/>
      <c r="R165" s="19"/>
    </row>
    <row r="166" spans="1:18" ht="52.8">
      <c r="A166" s="19"/>
      <c r="B166" s="20" t="s">
        <v>2936</v>
      </c>
      <c r="C166" s="21" t="s">
        <v>2968</v>
      </c>
      <c r="D166" s="20"/>
      <c r="E166" s="22"/>
      <c r="F166" s="41"/>
      <c r="G166" s="19"/>
      <c r="H166" s="19"/>
      <c r="I166" s="19"/>
      <c r="J166" s="19"/>
      <c r="K166" s="19"/>
      <c r="L166" s="19"/>
      <c r="M166" s="19"/>
      <c r="N166" s="19"/>
      <c r="O166" s="19"/>
      <c r="P166"/>
      <c r="Q166" s="19"/>
      <c r="R166" s="19"/>
    </row>
    <row r="167" spans="1:18" ht="52.8">
      <c r="A167" s="19"/>
      <c r="B167" s="20" t="s">
        <v>2656</v>
      </c>
      <c r="C167" s="21" t="s">
        <v>438</v>
      </c>
      <c r="D167" s="20"/>
      <c r="E167" s="22" t="s">
        <v>2657</v>
      </c>
      <c r="F167" s="41"/>
      <c r="G167" s="19"/>
      <c r="H167" s="19"/>
      <c r="I167" s="19"/>
      <c r="J167" s="19"/>
      <c r="K167" s="19"/>
      <c r="L167" s="19"/>
      <c r="M167" s="19"/>
      <c r="N167" s="19"/>
      <c r="O167" s="19"/>
      <c r="P167"/>
      <c r="Q167" s="19"/>
      <c r="R167" s="19"/>
    </row>
    <row r="168" spans="1:18" ht="52.8">
      <c r="A168" s="19">
        <v>136</v>
      </c>
      <c r="B168" s="20" t="s">
        <v>439</v>
      </c>
      <c r="C168" s="21" t="s">
        <v>440</v>
      </c>
      <c r="D168" s="20"/>
      <c r="E168" s="22"/>
      <c r="F168" s="41"/>
      <c r="G168" s="19"/>
      <c r="H168" s="19"/>
      <c r="I168" s="19"/>
      <c r="J168" s="19"/>
      <c r="K168" s="19"/>
      <c r="L168" s="19"/>
      <c r="M168" s="19"/>
      <c r="N168" s="19"/>
      <c r="O168" s="19"/>
      <c r="P168"/>
      <c r="Q168" s="19"/>
      <c r="R168" s="19"/>
    </row>
    <row r="169" spans="1:18" ht="39.6">
      <c r="A169" s="19">
        <v>137</v>
      </c>
      <c r="B169" s="20" t="s">
        <v>441</v>
      </c>
      <c r="C169" s="21" t="s">
        <v>442</v>
      </c>
      <c r="D169" s="20" t="s">
        <v>443</v>
      </c>
      <c r="E169" s="22" t="s">
        <v>444</v>
      </c>
      <c r="F169" s="41"/>
      <c r="G169" s="19"/>
      <c r="H169" s="19"/>
      <c r="I169" s="19"/>
      <c r="J169" s="19"/>
      <c r="K169" s="19"/>
      <c r="L169" s="19"/>
      <c r="M169" s="19"/>
      <c r="N169" s="19"/>
      <c r="O169" s="19"/>
      <c r="P169"/>
      <c r="Q169" s="19"/>
      <c r="R169" s="19"/>
    </row>
    <row r="170" spans="1:18" ht="39.6">
      <c r="A170" s="19">
        <v>138</v>
      </c>
      <c r="B170" s="20" t="s">
        <v>445</v>
      </c>
      <c r="C170" s="21" t="s">
        <v>442</v>
      </c>
      <c r="D170" s="20"/>
      <c r="E170" s="22" t="s">
        <v>446</v>
      </c>
      <c r="F170" s="41"/>
      <c r="G170" s="19"/>
      <c r="H170" s="19"/>
      <c r="I170" s="19"/>
      <c r="J170" s="19"/>
      <c r="K170" s="19"/>
      <c r="L170" s="19"/>
      <c r="M170" s="19"/>
      <c r="N170" s="19"/>
      <c r="O170" s="19"/>
      <c r="P170"/>
      <c r="Q170" s="19"/>
      <c r="R170" s="19"/>
    </row>
    <row r="171" spans="1:18" ht="52.8">
      <c r="A171" s="19">
        <v>139</v>
      </c>
      <c r="B171" s="20" t="s">
        <v>447</v>
      </c>
      <c r="C171" s="21" t="s">
        <v>440</v>
      </c>
      <c r="D171" s="20"/>
      <c r="E171" s="22" t="s">
        <v>448</v>
      </c>
      <c r="F171" s="41"/>
      <c r="G171" s="19"/>
      <c r="H171" s="19"/>
      <c r="I171" s="19"/>
      <c r="J171" s="19"/>
      <c r="K171" s="19"/>
      <c r="L171" s="19"/>
      <c r="M171" s="19"/>
      <c r="N171" s="19"/>
      <c r="O171" s="19"/>
      <c r="P171"/>
      <c r="Q171" s="19"/>
      <c r="R171" s="19"/>
    </row>
    <row r="172" spans="1:18" ht="39.6">
      <c r="A172" s="19">
        <v>140</v>
      </c>
      <c r="B172" s="20" t="s">
        <v>449</v>
      </c>
      <c r="C172" s="21" t="s">
        <v>2612</v>
      </c>
      <c r="D172" s="20" t="s">
        <v>450</v>
      </c>
      <c r="E172" s="22" t="s">
        <v>451</v>
      </c>
      <c r="F172" s="41"/>
      <c r="G172" s="19"/>
      <c r="H172" s="19"/>
      <c r="I172" s="19"/>
      <c r="J172" s="19"/>
      <c r="K172" s="19"/>
      <c r="L172" s="19"/>
      <c r="M172" s="19"/>
      <c r="N172" s="19"/>
      <c r="O172" s="19"/>
      <c r="P172"/>
      <c r="Q172" s="19"/>
      <c r="R172" s="19"/>
    </row>
    <row r="173" spans="1:18" ht="52.8">
      <c r="A173" s="19">
        <v>141</v>
      </c>
      <c r="B173" s="20" t="s">
        <v>452</v>
      </c>
      <c r="C173" s="21" t="s">
        <v>453</v>
      </c>
      <c r="D173" s="20"/>
      <c r="E173" s="22" t="s">
        <v>454</v>
      </c>
      <c r="F173" s="41"/>
      <c r="G173" s="19"/>
      <c r="H173" s="19"/>
      <c r="I173" s="19"/>
      <c r="J173" s="19"/>
      <c r="K173" s="19"/>
      <c r="L173" s="19"/>
      <c r="M173" s="19"/>
      <c r="N173" s="19"/>
      <c r="O173" s="19"/>
      <c r="P173"/>
      <c r="Q173" s="19"/>
      <c r="R173" s="19"/>
    </row>
    <row r="174" spans="1:18" ht="26.4">
      <c r="A174" s="19"/>
      <c r="B174" s="20" t="s">
        <v>2614</v>
      </c>
      <c r="C174" s="21" t="s">
        <v>2615</v>
      </c>
      <c r="D174" s="20"/>
      <c r="E174" s="22"/>
      <c r="F174" s="41"/>
      <c r="G174" s="19"/>
      <c r="H174" s="19"/>
      <c r="I174" s="19"/>
      <c r="J174" s="19"/>
      <c r="K174" s="19"/>
      <c r="L174" s="19"/>
      <c r="M174" s="19"/>
      <c r="N174" s="19"/>
      <c r="O174" s="19"/>
      <c r="P174"/>
      <c r="Q174" s="19"/>
      <c r="R174" s="19"/>
    </row>
    <row r="175" spans="1:18" ht="79.2">
      <c r="A175" s="19">
        <v>142</v>
      </c>
      <c r="B175" s="20" t="s">
        <v>455</v>
      </c>
      <c r="C175" s="21" t="s">
        <v>2804</v>
      </c>
      <c r="D175" s="20" t="s">
        <v>456</v>
      </c>
      <c r="E175" s="22" t="s">
        <v>457</v>
      </c>
      <c r="F175" s="41"/>
      <c r="G175" s="19"/>
      <c r="H175" s="19"/>
      <c r="I175" s="19"/>
      <c r="J175" s="19"/>
      <c r="K175" s="19"/>
      <c r="L175" s="19"/>
      <c r="M175" s="19"/>
      <c r="N175" s="19"/>
      <c r="O175" s="19"/>
      <c r="P175"/>
      <c r="Q175" s="19"/>
      <c r="R175" s="19"/>
    </row>
    <row r="176" spans="1:18" ht="39.6">
      <c r="A176" s="19">
        <v>143</v>
      </c>
      <c r="B176" s="20" t="s">
        <v>458</v>
      </c>
      <c r="C176" s="28" t="s">
        <v>459</v>
      </c>
      <c r="D176" s="28"/>
      <c r="E176" s="28"/>
      <c r="F176" s="53"/>
      <c r="G176" s="28"/>
      <c r="H176" s="28"/>
      <c r="I176" s="28"/>
      <c r="J176" s="28"/>
      <c r="K176" s="28"/>
      <c r="L176" s="28"/>
      <c r="M176" s="28"/>
      <c r="N176" s="28"/>
      <c r="O176" s="28"/>
      <c r="P176"/>
      <c r="Q176" s="19"/>
      <c r="R176" s="19"/>
    </row>
    <row r="177" spans="1:18" ht="39.6">
      <c r="A177" s="19"/>
      <c r="B177" s="20" t="s">
        <v>2652</v>
      </c>
      <c r="C177" s="28" t="s">
        <v>2653</v>
      </c>
      <c r="D177" s="28"/>
      <c r="E177" s="28"/>
      <c r="F177" s="228"/>
      <c r="G177" s="228"/>
      <c r="H177" s="228"/>
      <c r="I177" s="228"/>
      <c r="J177" s="228"/>
      <c r="K177" s="228"/>
      <c r="L177" s="228"/>
      <c r="M177" s="228"/>
      <c r="N177" s="53"/>
      <c r="O177" s="28"/>
      <c r="P177"/>
      <c r="Q177" s="19"/>
      <c r="R177" s="19"/>
    </row>
    <row r="178" spans="1:18" ht="39.6">
      <c r="A178" s="19">
        <v>144</v>
      </c>
      <c r="B178" s="20" t="s">
        <v>460</v>
      </c>
      <c r="C178" s="21" t="s">
        <v>461</v>
      </c>
      <c r="D178" s="20"/>
      <c r="E178" s="22"/>
      <c r="F178" s="34"/>
      <c r="G178" s="35"/>
      <c r="H178" s="35"/>
      <c r="I178" s="35"/>
      <c r="J178" s="35"/>
      <c r="K178" s="35"/>
      <c r="L178" s="35"/>
      <c r="M178" s="35"/>
      <c r="N178" s="64"/>
      <c r="O178" s="19"/>
      <c r="P178"/>
      <c r="Q178" s="19"/>
      <c r="R178" s="19"/>
    </row>
    <row r="179" spans="1:18" ht="39.6">
      <c r="A179" s="19">
        <v>145</v>
      </c>
      <c r="B179" s="20" t="s">
        <v>462</v>
      </c>
      <c r="C179" s="21" t="s">
        <v>463</v>
      </c>
      <c r="D179" s="20"/>
      <c r="E179" s="22" t="s">
        <v>464</v>
      </c>
      <c r="F179" s="41"/>
      <c r="G179" s="19"/>
      <c r="H179" s="19"/>
      <c r="I179" s="19"/>
      <c r="J179" s="19"/>
      <c r="K179" s="19"/>
      <c r="L179" s="19"/>
      <c r="M179" s="19"/>
      <c r="N179" s="19"/>
      <c r="O179" s="19"/>
      <c r="P179"/>
      <c r="Q179" s="19"/>
      <c r="R179" s="19"/>
    </row>
    <row r="180" spans="1:18" ht="79.2">
      <c r="A180" s="19">
        <v>146</v>
      </c>
      <c r="B180" s="20" t="s">
        <v>465</v>
      </c>
      <c r="C180" s="21" t="s">
        <v>466</v>
      </c>
      <c r="D180" s="20"/>
      <c r="E180" s="22" t="s">
        <v>464</v>
      </c>
      <c r="F180" s="41"/>
      <c r="G180" s="19"/>
      <c r="H180" s="19"/>
      <c r="I180" s="19"/>
      <c r="J180" s="19"/>
      <c r="K180" s="19"/>
      <c r="L180" s="19"/>
      <c r="M180" s="19"/>
      <c r="N180" s="19"/>
      <c r="O180" s="19"/>
      <c r="P180"/>
      <c r="Q180" s="19"/>
      <c r="R180" s="19"/>
    </row>
    <row r="181" spans="1:18" ht="79.2">
      <c r="A181" s="19">
        <v>147</v>
      </c>
      <c r="B181" s="48" t="s">
        <v>467</v>
      </c>
      <c r="C181" s="21" t="s">
        <v>468</v>
      </c>
      <c r="D181" s="25"/>
      <c r="E181" s="25" t="s">
        <v>469</v>
      </c>
      <c r="F181" s="49" t="s">
        <v>470</v>
      </c>
      <c r="G181" s="25"/>
      <c r="H181" s="27" t="s">
        <v>469</v>
      </c>
      <c r="I181" s="21"/>
      <c r="J181" s="28"/>
      <c r="K181" s="28"/>
      <c r="L181" s="28"/>
      <c r="M181" s="28"/>
      <c r="N181" s="28"/>
      <c r="O181" s="28"/>
      <c r="P181"/>
      <c r="Q181" s="28"/>
      <c r="R181" s="28"/>
    </row>
    <row r="182" spans="1:18" ht="39.6">
      <c r="A182" s="19">
        <v>148</v>
      </c>
      <c r="B182" s="20" t="s">
        <v>471</v>
      </c>
      <c r="C182" s="21" t="s">
        <v>472</v>
      </c>
      <c r="D182" s="20"/>
      <c r="E182" s="22" t="s">
        <v>473</v>
      </c>
      <c r="F182" s="41"/>
      <c r="G182" s="19"/>
      <c r="H182" s="19"/>
      <c r="I182" s="19"/>
      <c r="J182" s="19"/>
      <c r="K182" s="19"/>
      <c r="L182" s="19"/>
      <c r="M182" s="19"/>
      <c r="N182" s="19"/>
      <c r="O182" s="19"/>
      <c r="P182"/>
      <c r="Q182" s="19"/>
      <c r="R182" s="19"/>
    </row>
    <row r="183" spans="1:18" ht="39.6">
      <c r="A183" s="19">
        <v>149</v>
      </c>
      <c r="B183" s="20" t="s">
        <v>474</v>
      </c>
      <c r="C183" s="21" t="s">
        <v>475</v>
      </c>
      <c r="D183" s="20" t="s">
        <v>476</v>
      </c>
      <c r="E183" s="22" t="s">
        <v>477</v>
      </c>
      <c r="F183" s="41"/>
      <c r="G183" s="19"/>
      <c r="H183" s="19"/>
      <c r="I183" s="19"/>
      <c r="J183" s="19"/>
      <c r="K183" s="19"/>
      <c r="L183" s="19"/>
      <c r="M183" s="19"/>
      <c r="N183" s="19"/>
      <c r="O183" s="19"/>
      <c r="P183"/>
      <c r="Q183" s="19"/>
      <c r="R183" s="19"/>
    </row>
    <row r="184" spans="1:18" ht="39.6">
      <c r="A184" s="19">
        <v>150</v>
      </c>
      <c r="B184" s="65" t="s">
        <v>478</v>
      </c>
      <c r="C184" s="21" t="s">
        <v>479</v>
      </c>
      <c r="D184" s="20" t="s">
        <v>86</v>
      </c>
      <c r="E184" s="22" t="s">
        <v>480</v>
      </c>
      <c r="F184" s="66" t="s">
        <v>365</v>
      </c>
      <c r="G184" s="19"/>
      <c r="H184" s="19"/>
      <c r="I184" s="19"/>
      <c r="J184" s="19"/>
      <c r="K184" s="19"/>
      <c r="L184" s="19"/>
      <c r="M184" s="19"/>
      <c r="N184" s="19"/>
      <c r="O184" s="19"/>
      <c r="P184"/>
      <c r="Q184" s="19"/>
      <c r="R184" s="19"/>
    </row>
    <row r="185" spans="1:18" ht="66">
      <c r="A185" s="19">
        <v>151</v>
      </c>
      <c r="B185" s="20" t="s">
        <v>481</v>
      </c>
      <c r="C185" s="21" t="s">
        <v>482</v>
      </c>
      <c r="D185" s="20"/>
      <c r="E185" s="22" t="s">
        <v>483</v>
      </c>
      <c r="F185" s="41"/>
      <c r="G185" s="19"/>
      <c r="H185" s="19"/>
      <c r="I185" s="19"/>
      <c r="J185" s="19"/>
      <c r="K185" s="19"/>
      <c r="L185" s="19"/>
      <c r="M185" s="19"/>
      <c r="N185" s="19"/>
      <c r="O185" s="19"/>
      <c r="P185"/>
      <c r="Q185" s="19"/>
      <c r="R185" s="19"/>
    </row>
    <row r="186" spans="1:18" ht="39.6">
      <c r="A186" s="19">
        <v>152</v>
      </c>
      <c r="B186" s="20" t="s">
        <v>484</v>
      </c>
      <c r="C186" s="21" t="s">
        <v>485</v>
      </c>
      <c r="D186" s="20"/>
      <c r="E186" s="22" t="s">
        <v>486</v>
      </c>
      <c r="F186" s="41"/>
      <c r="G186" s="19"/>
      <c r="H186" s="19"/>
      <c r="I186" s="19"/>
      <c r="J186" s="19"/>
      <c r="K186" s="19"/>
      <c r="L186" s="19"/>
      <c r="M186" s="19"/>
      <c r="N186" s="19"/>
      <c r="O186" s="19"/>
      <c r="P186"/>
      <c r="Q186" s="19"/>
      <c r="R186" s="19"/>
    </row>
    <row r="187" spans="1:18" ht="52.8">
      <c r="A187" s="19">
        <v>153</v>
      </c>
      <c r="B187" s="20" t="s">
        <v>487</v>
      </c>
      <c r="C187" s="21" t="s">
        <v>485</v>
      </c>
      <c r="D187" s="20" t="s">
        <v>488</v>
      </c>
      <c r="E187" s="22" t="s">
        <v>489</v>
      </c>
      <c r="F187" s="41"/>
      <c r="G187" s="19"/>
      <c r="H187" s="19"/>
      <c r="I187" s="19"/>
      <c r="J187" s="19"/>
      <c r="K187" s="19"/>
      <c r="L187" s="19"/>
      <c r="M187" s="19"/>
      <c r="N187" s="19"/>
      <c r="O187" s="19"/>
      <c r="P187"/>
      <c r="Q187" s="19"/>
      <c r="R187" s="19"/>
    </row>
    <row r="188" spans="1:18" ht="39.6">
      <c r="A188" s="19">
        <v>154</v>
      </c>
      <c r="B188" s="20" t="s">
        <v>490</v>
      </c>
      <c r="C188" s="21" t="s">
        <v>485</v>
      </c>
      <c r="D188" s="20"/>
      <c r="E188" s="22" t="s">
        <v>486</v>
      </c>
      <c r="F188" s="41"/>
      <c r="G188" s="19"/>
      <c r="H188" s="19">
        <f>1.8+1.3+1.7+0.2</f>
        <v>5</v>
      </c>
      <c r="I188" s="19"/>
      <c r="J188" s="19"/>
      <c r="K188" s="19"/>
      <c r="L188" s="19"/>
      <c r="M188" s="19"/>
      <c r="N188" s="19"/>
      <c r="O188" s="19"/>
      <c r="P188"/>
      <c r="Q188" s="19"/>
      <c r="R188" s="19"/>
    </row>
    <row r="189" spans="1:18" ht="52.8">
      <c r="A189" s="19">
        <v>155</v>
      </c>
      <c r="B189" s="20" t="s">
        <v>491</v>
      </c>
      <c r="C189" s="21" t="s">
        <v>492</v>
      </c>
      <c r="D189" s="20" t="s">
        <v>493</v>
      </c>
      <c r="E189" s="22" t="s">
        <v>494</v>
      </c>
      <c r="F189" s="41"/>
      <c r="G189" s="19"/>
      <c r="H189" s="19"/>
      <c r="I189" s="19"/>
      <c r="J189" s="19"/>
      <c r="K189" s="19"/>
      <c r="L189" s="19"/>
      <c r="M189" s="19"/>
      <c r="N189" s="19"/>
      <c r="O189" s="19"/>
      <c r="P189"/>
      <c r="Q189" s="19"/>
      <c r="R189" s="19"/>
    </row>
    <row r="190" spans="1:18" ht="66">
      <c r="A190" s="19">
        <v>156</v>
      </c>
      <c r="B190" s="20" t="s">
        <v>495</v>
      </c>
      <c r="C190" s="21" t="s">
        <v>496</v>
      </c>
      <c r="D190" s="20" t="s">
        <v>497</v>
      </c>
      <c r="E190" s="22"/>
      <c r="F190" s="41"/>
      <c r="G190" s="19"/>
      <c r="H190" s="19"/>
      <c r="I190" s="19"/>
      <c r="J190" s="19"/>
      <c r="K190" s="19"/>
      <c r="L190" s="19"/>
      <c r="M190" s="19"/>
      <c r="N190" s="19"/>
      <c r="O190" s="19"/>
      <c r="P190"/>
      <c r="Q190" s="19"/>
      <c r="R190" s="19"/>
    </row>
    <row r="191" spans="1:18" ht="39.6">
      <c r="A191" s="19">
        <v>157</v>
      </c>
      <c r="B191" s="20" t="s">
        <v>498</v>
      </c>
      <c r="C191" s="21" t="s">
        <v>499</v>
      </c>
      <c r="D191" s="20"/>
      <c r="E191" s="22" t="s">
        <v>500</v>
      </c>
      <c r="F191" s="41"/>
      <c r="G191" s="19"/>
      <c r="H191" s="19"/>
      <c r="I191" s="19"/>
      <c r="J191" s="19"/>
      <c r="K191" s="19"/>
      <c r="L191" s="19"/>
      <c r="M191" s="19"/>
      <c r="N191" s="19"/>
      <c r="O191" s="19"/>
      <c r="P191"/>
      <c r="Q191" s="19"/>
      <c r="R191" s="19"/>
    </row>
    <row r="192" spans="1:18" ht="39.6">
      <c r="A192" s="19">
        <v>158</v>
      </c>
      <c r="B192" s="39" t="s">
        <v>501</v>
      </c>
      <c r="C192" s="39" t="s">
        <v>502</v>
      </c>
      <c r="D192" s="39"/>
      <c r="E192" s="39" t="s">
        <v>503</v>
      </c>
      <c r="F192" s="68"/>
      <c r="G192" s="39"/>
      <c r="H192" s="39"/>
      <c r="I192" s="39"/>
      <c r="J192" s="39"/>
      <c r="K192" s="39"/>
      <c r="L192" s="39"/>
      <c r="M192" s="39"/>
      <c r="N192" s="39"/>
      <c r="O192" s="39"/>
      <c r="P192"/>
      <c r="Q192" s="39"/>
      <c r="R192" s="39"/>
    </row>
    <row r="193" spans="1:18" ht="66">
      <c r="A193" s="19">
        <v>159</v>
      </c>
      <c r="B193" s="20" t="s">
        <v>504</v>
      </c>
      <c r="C193" s="21" t="s">
        <v>505</v>
      </c>
      <c r="D193" s="20"/>
      <c r="E193" s="22"/>
      <c r="F193" s="41"/>
      <c r="G193" s="19"/>
      <c r="H193" s="19"/>
      <c r="I193" s="19"/>
      <c r="J193" s="19"/>
      <c r="K193" s="19"/>
      <c r="L193" s="19"/>
      <c r="M193" s="19"/>
      <c r="N193" s="19"/>
      <c r="O193" s="19"/>
      <c r="P193"/>
      <c r="Q193" s="19"/>
      <c r="R193" s="19"/>
    </row>
    <row r="194" spans="1:18" ht="79.2">
      <c r="A194" s="19">
        <v>160</v>
      </c>
      <c r="B194" s="20" t="s">
        <v>506</v>
      </c>
      <c r="C194" s="21" t="s">
        <v>507</v>
      </c>
      <c r="D194" s="20"/>
      <c r="E194" s="22" t="s">
        <v>508</v>
      </c>
      <c r="F194" s="41"/>
      <c r="G194" s="19"/>
      <c r="H194" s="19"/>
      <c r="I194" s="19"/>
      <c r="J194" s="19"/>
      <c r="K194" s="19"/>
      <c r="L194" s="19"/>
      <c r="M194" s="19"/>
      <c r="N194" s="19"/>
      <c r="O194" s="19"/>
      <c r="P194"/>
      <c r="Q194" s="19"/>
      <c r="R194" s="19"/>
    </row>
    <row r="195" spans="1:18" ht="52.8">
      <c r="A195" s="19">
        <v>161</v>
      </c>
      <c r="B195" s="20" t="s">
        <v>509</v>
      </c>
      <c r="C195" s="21" t="s">
        <v>510</v>
      </c>
      <c r="D195" s="21" t="s">
        <v>511</v>
      </c>
      <c r="E195" s="42" t="s">
        <v>512</v>
      </c>
      <c r="F195" s="41"/>
      <c r="G195" s="19"/>
      <c r="H195" s="19"/>
      <c r="I195" s="19"/>
      <c r="J195" s="19"/>
      <c r="K195" s="19"/>
      <c r="L195" s="19"/>
      <c r="M195" s="19"/>
      <c r="N195" s="19"/>
      <c r="O195" s="19"/>
      <c r="P195"/>
      <c r="Q195" s="19"/>
      <c r="R195" s="19"/>
    </row>
    <row r="196" spans="1:18" ht="66">
      <c r="A196" s="19">
        <v>162</v>
      </c>
      <c r="B196" s="20" t="s">
        <v>513</v>
      </c>
      <c r="C196" s="21" t="s">
        <v>514</v>
      </c>
      <c r="D196" s="54"/>
      <c r="E196" s="148" t="s">
        <v>515</v>
      </c>
      <c r="F196" s="69" t="s">
        <v>365</v>
      </c>
      <c r="G196" s="70"/>
      <c r="H196" s="70"/>
      <c r="I196" s="70"/>
      <c r="J196" s="19"/>
      <c r="K196" s="19"/>
      <c r="L196" s="19"/>
      <c r="M196" s="19"/>
      <c r="N196" s="19"/>
      <c r="O196" s="19"/>
      <c r="P196"/>
      <c r="Q196" s="19"/>
      <c r="R196" s="19"/>
    </row>
    <row r="197" spans="1:18" ht="26.4">
      <c r="A197" s="19">
        <v>163</v>
      </c>
      <c r="B197" s="20" t="s">
        <v>516</v>
      </c>
      <c r="C197" s="21" t="s">
        <v>517</v>
      </c>
      <c r="D197" s="20" t="s">
        <v>518</v>
      </c>
      <c r="E197" s="22" t="s">
        <v>519</v>
      </c>
      <c r="F197" s="41"/>
      <c r="G197" s="19"/>
      <c r="H197" s="19"/>
      <c r="I197" s="19"/>
      <c r="J197" s="19"/>
      <c r="K197" s="19"/>
      <c r="L197" s="19"/>
      <c r="M197" s="19"/>
      <c r="N197" s="19"/>
      <c r="O197" s="19"/>
      <c r="P197"/>
      <c r="Q197" s="19"/>
      <c r="R197" s="19"/>
    </row>
    <row r="198" spans="1:18" ht="39.6">
      <c r="A198" s="19">
        <v>164</v>
      </c>
      <c r="B198" s="20" t="s">
        <v>520</v>
      </c>
      <c r="C198" s="21" t="s">
        <v>521</v>
      </c>
      <c r="D198" s="20"/>
      <c r="E198" s="22" t="s">
        <v>522</v>
      </c>
      <c r="F198" s="41"/>
      <c r="G198" s="19"/>
      <c r="H198" s="19"/>
      <c r="I198" s="19"/>
      <c r="J198" s="19"/>
      <c r="K198" s="19"/>
      <c r="L198" s="19"/>
      <c r="M198" s="19"/>
      <c r="N198" s="19"/>
      <c r="O198" s="19"/>
      <c r="P198"/>
      <c r="Q198" s="19"/>
      <c r="R198" s="19"/>
    </row>
    <row r="199" spans="1:18" ht="14.4">
      <c r="A199" s="19">
        <v>165</v>
      </c>
      <c r="B199" s="20" t="s">
        <v>520</v>
      </c>
      <c r="C199" s="21"/>
      <c r="D199" s="20"/>
      <c r="E199" s="22"/>
      <c r="F199" s="41"/>
      <c r="G199" s="19"/>
      <c r="H199" s="19"/>
      <c r="I199" s="19"/>
      <c r="J199" s="19"/>
      <c r="K199" s="19"/>
      <c r="L199" s="19"/>
      <c r="M199" s="19"/>
      <c r="N199" s="19"/>
      <c r="O199" s="19"/>
      <c r="P199"/>
      <c r="Q199" s="19"/>
      <c r="R199" s="19"/>
    </row>
    <row r="200" spans="1:18" ht="52.8">
      <c r="A200" s="19">
        <v>166</v>
      </c>
      <c r="B200" s="20" t="s">
        <v>523</v>
      </c>
      <c r="C200" s="21" t="s">
        <v>524</v>
      </c>
      <c r="D200" s="20"/>
      <c r="E200" s="22"/>
      <c r="F200" s="41"/>
      <c r="G200" s="19"/>
      <c r="H200" s="19"/>
      <c r="I200" s="19"/>
      <c r="J200" s="19"/>
      <c r="K200" s="19"/>
      <c r="L200" s="19"/>
      <c r="M200" s="19"/>
      <c r="N200" s="19"/>
      <c r="O200" s="19"/>
      <c r="P200"/>
      <c r="Q200" s="19"/>
      <c r="R200" s="19"/>
    </row>
    <row r="201" spans="1:18" ht="39.6">
      <c r="A201" s="19">
        <v>167</v>
      </c>
      <c r="B201" s="20" t="s">
        <v>525</v>
      </c>
      <c r="C201" s="21" t="s">
        <v>526</v>
      </c>
      <c r="D201" s="20"/>
      <c r="E201" s="22" t="s">
        <v>528</v>
      </c>
      <c r="F201" s="41"/>
      <c r="G201" s="19"/>
      <c r="H201" s="19"/>
      <c r="I201" s="19"/>
      <c r="J201" s="19"/>
      <c r="K201" s="19"/>
      <c r="L201" s="19"/>
      <c r="M201" s="19"/>
      <c r="N201" s="19"/>
      <c r="O201" s="19"/>
      <c r="P201"/>
      <c r="Q201" s="19"/>
      <c r="R201" s="19"/>
    </row>
    <row r="202" spans="1:18" ht="39.6">
      <c r="A202" s="19">
        <v>168</v>
      </c>
      <c r="B202" s="20" t="s">
        <v>529</v>
      </c>
      <c r="C202" s="21" t="s">
        <v>530</v>
      </c>
      <c r="D202" s="20" t="s">
        <v>531</v>
      </c>
      <c r="E202" s="22" t="s">
        <v>532</v>
      </c>
      <c r="F202" s="41"/>
      <c r="G202" s="19"/>
      <c r="H202" s="19"/>
      <c r="I202" s="19"/>
      <c r="J202" s="19"/>
      <c r="K202" s="19"/>
      <c r="L202" s="19"/>
      <c r="M202" s="19"/>
      <c r="N202" s="19"/>
      <c r="O202" s="19"/>
      <c r="P202"/>
      <c r="Q202" s="19"/>
      <c r="R202" s="19"/>
    </row>
    <row r="203" spans="1:18" ht="26.4">
      <c r="A203" s="19"/>
      <c r="B203" s="20" t="s">
        <v>2808</v>
      </c>
      <c r="C203" s="21" t="s">
        <v>2809</v>
      </c>
      <c r="D203" s="20"/>
      <c r="E203" s="22" t="s">
        <v>2810</v>
      </c>
      <c r="F203" s="41"/>
      <c r="G203" s="19"/>
      <c r="H203" s="19"/>
      <c r="I203" s="19"/>
      <c r="J203" s="19"/>
      <c r="K203" s="19"/>
      <c r="L203" s="19"/>
      <c r="M203" s="19"/>
      <c r="N203" s="19"/>
      <c r="O203" s="19"/>
      <c r="P203"/>
      <c r="Q203" s="19"/>
      <c r="R203" s="19"/>
    </row>
    <row r="204" spans="1:18" ht="39.6">
      <c r="A204" s="19"/>
      <c r="B204" s="20" t="s">
        <v>2811</v>
      </c>
      <c r="C204" s="21" t="s">
        <v>2812</v>
      </c>
      <c r="D204" s="20"/>
      <c r="E204" s="22" t="s">
        <v>2813</v>
      </c>
      <c r="F204" s="41"/>
      <c r="G204" s="19"/>
      <c r="H204" s="19"/>
      <c r="I204" s="19"/>
      <c r="J204" s="19"/>
      <c r="K204" s="19"/>
      <c r="L204" s="19"/>
      <c r="M204" s="19"/>
      <c r="N204" s="19"/>
      <c r="O204" s="19"/>
      <c r="P204"/>
      <c r="Q204" s="19"/>
      <c r="R204" s="19"/>
    </row>
    <row r="205" spans="1:18" ht="105.6">
      <c r="A205" s="19">
        <v>169</v>
      </c>
      <c r="B205" s="20" t="s">
        <v>533</v>
      </c>
      <c r="C205" s="21" t="s">
        <v>534</v>
      </c>
      <c r="D205" s="20" t="s">
        <v>535</v>
      </c>
      <c r="E205" s="22" t="s">
        <v>536</v>
      </c>
      <c r="F205" s="41"/>
      <c r="G205" s="19"/>
      <c r="H205" s="19"/>
      <c r="I205" s="71" t="s">
        <v>537</v>
      </c>
      <c r="J205" s="19"/>
      <c r="K205" s="19"/>
      <c r="L205" s="19"/>
      <c r="M205" s="19"/>
      <c r="N205" s="19"/>
      <c r="O205" s="19"/>
      <c r="P205"/>
      <c r="Q205" s="19"/>
      <c r="R205" s="19"/>
    </row>
    <row r="206" spans="1:18" ht="66">
      <c r="A206" s="19">
        <v>170</v>
      </c>
      <c r="B206" s="20" t="s">
        <v>538</v>
      </c>
      <c r="C206" s="21" t="s">
        <v>539</v>
      </c>
      <c r="D206" s="20"/>
      <c r="E206" s="22" t="s">
        <v>540</v>
      </c>
      <c r="F206" s="41"/>
      <c r="G206" s="19"/>
      <c r="H206" s="19"/>
      <c r="I206" s="19"/>
      <c r="J206" s="19"/>
      <c r="K206" s="19"/>
      <c r="L206" s="19"/>
      <c r="M206" s="19"/>
      <c r="N206" s="19"/>
      <c r="O206" s="19"/>
      <c r="P206"/>
      <c r="Q206" s="19"/>
      <c r="R206" s="19"/>
    </row>
    <row r="207" spans="1:18" ht="39.6">
      <c r="A207" s="19"/>
      <c r="B207" s="20" t="s">
        <v>2882</v>
      </c>
      <c r="C207" s="21" t="s">
        <v>2883</v>
      </c>
      <c r="D207" s="20"/>
      <c r="E207" s="22"/>
      <c r="F207" s="41"/>
      <c r="G207" s="19"/>
      <c r="H207" s="19"/>
      <c r="I207" s="19"/>
      <c r="J207" s="19"/>
      <c r="K207" s="19"/>
      <c r="L207" s="19"/>
      <c r="M207" s="19"/>
      <c r="N207" s="19"/>
      <c r="O207" s="19"/>
      <c r="P207"/>
      <c r="Q207" s="19"/>
      <c r="R207" s="19"/>
    </row>
    <row r="208" spans="1:18" ht="26.4">
      <c r="A208" s="19"/>
      <c r="B208" s="20" t="s">
        <v>2884</v>
      </c>
      <c r="C208" s="21" t="s">
        <v>2075</v>
      </c>
      <c r="D208" s="20"/>
      <c r="E208" s="22" t="s">
        <v>2734</v>
      </c>
      <c r="F208" s="41"/>
      <c r="G208" s="19"/>
      <c r="H208" s="19"/>
      <c r="I208" s="19"/>
      <c r="J208" s="19"/>
      <c r="K208" s="19"/>
      <c r="L208" s="19"/>
      <c r="M208" s="19"/>
      <c r="N208" s="19"/>
      <c r="O208" s="19"/>
      <c r="P208"/>
      <c r="Q208" s="19"/>
      <c r="R208" s="19"/>
    </row>
    <row r="209" spans="1:18" ht="79.2">
      <c r="A209" s="19">
        <v>171</v>
      </c>
      <c r="B209" s="20" t="s">
        <v>538</v>
      </c>
      <c r="C209" s="21" t="s">
        <v>541</v>
      </c>
      <c r="D209" s="20"/>
      <c r="E209" s="22" t="s">
        <v>542</v>
      </c>
      <c r="F209" s="41"/>
      <c r="G209" s="19"/>
      <c r="H209" s="19"/>
      <c r="I209" s="19"/>
      <c r="J209" s="19"/>
      <c r="K209" s="19"/>
      <c r="L209" s="19"/>
      <c r="M209" s="19"/>
      <c r="N209" s="19"/>
      <c r="O209" s="19"/>
      <c r="P209"/>
      <c r="Q209" s="19"/>
      <c r="R209" s="19"/>
    </row>
    <row r="210" spans="1:18" ht="26.4">
      <c r="A210" s="19">
        <v>172</v>
      </c>
      <c r="B210" s="20" t="s">
        <v>543</v>
      </c>
      <c r="C210" s="21" t="s">
        <v>544</v>
      </c>
      <c r="D210" s="72" t="s">
        <v>545</v>
      </c>
      <c r="E210" s="22"/>
      <c r="F210" s="41"/>
      <c r="G210" s="19"/>
      <c r="H210" s="19"/>
      <c r="I210" s="19"/>
      <c r="J210" s="19"/>
      <c r="K210" s="19"/>
      <c r="L210" s="19"/>
      <c r="M210" s="19"/>
      <c r="N210" s="19"/>
      <c r="O210" s="19"/>
      <c r="P210"/>
      <c r="Q210" s="19"/>
      <c r="R210" s="19"/>
    </row>
    <row r="211" spans="1:18" ht="39.6">
      <c r="A211" s="19">
        <v>173</v>
      </c>
      <c r="B211" s="20" t="s">
        <v>546</v>
      </c>
      <c r="C211" s="21" t="s">
        <v>547</v>
      </c>
      <c r="D211" s="20" t="s">
        <v>548</v>
      </c>
      <c r="E211" s="22" t="s">
        <v>549</v>
      </c>
      <c r="F211" s="41"/>
      <c r="G211" s="19"/>
      <c r="H211" s="19"/>
      <c r="I211" s="19"/>
      <c r="J211" s="19"/>
      <c r="K211" s="19"/>
      <c r="L211" s="19"/>
      <c r="M211" s="19"/>
      <c r="N211" s="19"/>
      <c r="O211" s="19"/>
      <c r="P211"/>
      <c r="Q211" s="19"/>
      <c r="R211" s="19"/>
    </row>
    <row r="212" spans="1:18" ht="26.4">
      <c r="A212" s="19">
        <v>174</v>
      </c>
      <c r="B212" s="20" t="s">
        <v>550</v>
      </c>
      <c r="C212" s="21" t="s">
        <v>551</v>
      </c>
      <c r="D212" s="20"/>
      <c r="E212" s="22" t="s">
        <v>552</v>
      </c>
      <c r="F212" s="41"/>
      <c r="G212" s="19"/>
      <c r="H212" s="19"/>
      <c r="I212" s="19"/>
      <c r="J212" s="19"/>
      <c r="K212" s="19"/>
      <c r="L212" s="19"/>
      <c r="M212" s="19"/>
      <c r="N212" s="19"/>
      <c r="O212" s="19"/>
      <c r="P212"/>
      <c r="Q212" s="19"/>
      <c r="R212" s="19"/>
    </row>
    <row r="213" spans="1:18" ht="92.4">
      <c r="A213" s="19">
        <v>175</v>
      </c>
      <c r="B213" s="20" t="s">
        <v>553</v>
      </c>
      <c r="C213" s="21" t="s">
        <v>554</v>
      </c>
      <c r="D213" s="20"/>
      <c r="E213" s="22" t="s">
        <v>555</v>
      </c>
      <c r="F213" s="41"/>
      <c r="G213" s="19"/>
      <c r="H213" s="19"/>
      <c r="I213" s="19"/>
      <c r="J213" s="19"/>
      <c r="K213" s="19"/>
      <c r="L213" s="19"/>
      <c r="M213" s="19"/>
      <c r="N213" s="19"/>
      <c r="O213" s="19"/>
      <c r="P213"/>
      <c r="Q213" s="19"/>
      <c r="R213" s="19"/>
    </row>
    <row r="214" spans="1:18" ht="52.8">
      <c r="A214" s="19">
        <v>176</v>
      </c>
      <c r="B214" s="20" t="s">
        <v>556</v>
      </c>
      <c r="C214" s="21" t="s">
        <v>557</v>
      </c>
      <c r="D214" s="20"/>
      <c r="E214" s="22" t="s">
        <v>558</v>
      </c>
      <c r="F214" s="41"/>
      <c r="G214" s="19"/>
      <c r="H214" s="19"/>
      <c r="I214" s="19"/>
      <c r="J214" s="19"/>
      <c r="K214" s="19"/>
      <c r="L214" s="19"/>
      <c r="M214" s="19"/>
      <c r="N214" s="19"/>
      <c r="O214" s="19"/>
      <c r="P214"/>
      <c r="Q214" s="19"/>
      <c r="R214" s="19"/>
    </row>
    <row r="215" spans="1:18" ht="52.8">
      <c r="A215" s="19">
        <v>177</v>
      </c>
      <c r="B215" s="73" t="s">
        <v>559</v>
      </c>
      <c r="C215" s="21" t="s">
        <v>557</v>
      </c>
      <c r="D215" s="20" t="s">
        <v>560</v>
      </c>
      <c r="E215" s="22" t="s">
        <v>561</v>
      </c>
      <c r="F215" s="74"/>
      <c r="G215" s="19" t="s">
        <v>562</v>
      </c>
      <c r="H215" s="19"/>
      <c r="I215" s="19"/>
      <c r="J215" s="19"/>
      <c r="K215" s="19"/>
      <c r="L215" s="19"/>
      <c r="M215" s="19"/>
      <c r="N215" s="19"/>
      <c r="O215" s="19"/>
      <c r="P215"/>
      <c r="Q215" s="19"/>
      <c r="R215" s="19"/>
    </row>
    <row r="216" spans="1:18" ht="52.8">
      <c r="A216" s="19">
        <v>178</v>
      </c>
      <c r="B216" s="20" t="s">
        <v>563</v>
      </c>
      <c r="C216" s="21" t="s">
        <v>557</v>
      </c>
      <c r="D216" s="20"/>
      <c r="E216" s="22" t="s">
        <v>564</v>
      </c>
      <c r="F216" s="41"/>
      <c r="G216" s="19"/>
      <c r="H216" s="19"/>
      <c r="I216" s="19"/>
      <c r="J216" s="19"/>
      <c r="K216" s="19"/>
      <c r="L216" s="19"/>
      <c r="M216" s="19"/>
      <c r="N216" s="19"/>
      <c r="O216" s="19"/>
      <c r="P216"/>
      <c r="Q216" s="19"/>
      <c r="R216" s="19"/>
    </row>
    <row r="217" spans="1:18" ht="52.8">
      <c r="A217" s="19">
        <v>179</v>
      </c>
      <c r="B217" s="73" t="s">
        <v>565</v>
      </c>
      <c r="C217" s="21" t="s">
        <v>557</v>
      </c>
      <c r="D217" s="20"/>
      <c r="E217" s="22" t="s">
        <v>566</v>
      </c>
      <c r="F217" s="74"/>
      <c r="G217" s="19"/>
      <c r="H217" s="19"/>
      <c r="I217" s="19"/>
      <c r="J217" s="19"/>
      <c r="K217" s="19"/>
      <c r="L217" s="19"/>
      <c r="M217" s="19"/>
      <c r="N217" s="19"/>
      <c r="O217" s="19"/>
      <c r="P217"/>
      <c r="Q217" s="19"/>
      <c r="R217" s="19"/>
    </row>
    <row r="218" spans="1:18" ht="52.8">
      <c r="A218" s="19">
        <v>180</v>
      </c>
      <c r="B218" s="73" t="s">
        <v>567</v>
      </c>
      <c r="C218" s="21" t="s">
        <v>557</v>
      </c>
      <c r="D218" s="20"/>
      <c r="E218" s="22" t="s">
        <v>568</v>
      </c>
      <c r="F218" s="74"/>
      <c r="G218" s="19"/>
      <c r="H218" s="19"/>
      <c r="I218" s="19"/>
      <c r="J218" s="19"/>
      <c r="K218" s="19"/>
      <c r="L218" s="19"/>
      <c r="M218" s="19"/>
      <c r="N218" s="19"/>
      <c r="O218" s="19"/>
      <c r="P218"/>
      <c r="Q218" s="19"/>
      <c r="R218" s="19"/>
    </row>
    <row r="219" spans="1:18" ht="52.8">
      <c r="A219" s="19">
        <v>181</v>
      </c>
      <c r="B219" s="73" t="s">
        <v>569</v>
      </c>
      <c r="C219" s="21" t="s">
        <v>557</v>
      </c>
      <c r="D219" s="20" t="s">
        <v>570</v>
      </c>
      <c r="E219" s="22" t="s">
        <v>571</v>
      </c>
      <c r="F219" s="63"/>
      <c r="G219" s="35"/>
      <c r="H219" s="35"/>
      <c r="I219" s="35"/>
      <c r="J219" s="35"/>
      <c r="K219" s="35"/>
      <c r="L219" s="35"/>
      <c r="M219" s="35"/>
      <c r="N219" s="35"/>
      <c r="O219" s="35"/>
      <c r="P219"/>
      <c r="Q219" s="19"/>
      <c r="R219" s="19"/>
    </row>
    <row r="220" spans="1:18" ht="52.8">
      <c r="A220" s="19">
        <v>182</v>
      </c>
      <c r="B220" s="20" t="s">
        <v>572</v>
      </c>
      <c r="C220" s="21" t="s">
        <v>573</v>
      </c>
      <c r="D220" s="20"/>
      <c r="E220" s="22" t="s">
        <v>574</v>
      </c>
      <c r="F220" s="34"/>
      <c r="G220" s="35"/>
      <c r="H220" s="35"/>
      <c r="I220" s="35"/>
      <c r="J220" s="35"/>
      <c r="K220" s="35"/>
      <c r="L220" s="35"/>
      <c r="M220" s="35"/>
      <c r="N220" s="35"/>
      <c r="O220" s="35"/>
      <c r="P220"/>
      <c r="Q220" s="19"/>
      <c r="R220" s="19"/>
    </row>
    <row r="221" spans="1:18" ht="52.8">
      <c r="A221" s="19">
        <v>183</v>
      </c>
      <c r="B221" s="20" t="s">
        <v>575</v>
      </c>
      <c r="C221" s="21" t="s">
        <v>557</v>
      </c>
      <c r="D221" s="20"/>
      <c r="E221" s="22" t="s">
        <v>576</v>
      </c>
      <c r="F221" s="34"/>
      <c r="G221" s="35"/>
      <c r="H221" s="35"/>
      <c r="I221" s="35"/>
      <c r="J221" s="35"/>
      <c r="K221" s="35"/>
      <c r="L221" s="35"/>
      <c r="M221" s="35"/>
      <c r="N221" s="35"/>
      <c r="O221" s="35"/>
      <c r="P221"/>
      <c r="Q221" s="19"/>
      <c r="R221" s="19"/>
    </row>
    <row r="222" spans="1:18" ht="52.8">
      <c r="A222" s="19">
        <v>184</v>
      </c>
      <c r="B222" s="73" t="s">
        <v>577</v>
      </c>
      <c r="C222" s="21" t="s">
        <v>557</v>
      </c>
      <c r="D222" s="20"/>
      <c r="E222" s="22" t="s">
        <v>578</v>
      </c>
      <c r="F222" s="74"/>
      <c r="G222" s="19"/>
      <c r="H222" s="19"/>
      <c r="I222" s="19"/>
      <c r="J222" s="19"/>
      <c r="K222" s="19"/>
      <c r="L222" s="19"/>
      <c r="M222" s="19"/>
      <c r="N222" s="19"/>
      <c r="O222" s="19"/>
      <c r="P222"/>
      <c r="Q222" s="19"/>
      <c r="R222" s="19"/>
    </row>
    <row r="223" spans="1:18" ht="52.8">
      <c r="A223" s="19">
        <v>185</v>
      </c>
      <c r="B223" s="73" t="s">
        <v>579</v>
      </c>
      <c r="C223" s="21" t="s">
        <v>557</v>
      </c>
      <c r="D223" s="20" t="s">
        <v>570</v>
      </c>
      <c r="E223" s="22" t="s">
        <v>580</v>
      </c>
      <c r="F223" s="74"/>
      <c r="G223" s="19"/>
      <c r="H223" s="19"/>
      <c r="I223" s="19"/>
      <c r="J223" s="19"/>
      <c r="K223" s="19"/>
      <c r="L223" s="19"/>
      <c r="M223" s="19"/>
      <c r="N223" s="19"/>
      <c r="O223" s="19"/>
      <c r="P223"/>
      <c r="Q223" s="19"/>
      <c r="R223" s="19"/>
    </row>
    <row r="224" spans="1:18" ht="52.8">
      <c r="A224" s="19">
        <v>186</v>
      </c>
      <c r="B224" s="20" t="s">
        <v>581</v>
      </c>
      <c r="C224" s="21" t="s">
        <v>582</v>
      </c>
      <c r="D224" s="20"/>
      <c r="E224" s="22" t="s">
        <v>583</v>
      </c>
      <c r="F224" s="41"/>
      <c r="G224" s="19"/>
      <c r="H224" s="19"/>
      <c r="I224" s="19"/>
      <c r="J224" s="19"/>
      <c r="K224" s="19"/>
      <c r="L224" s="19"/>
      <c r="M224" s="19"/>
      <c r="N224" s="19"/>
      <c r="O224" s="19"/>
      <c r="P224"/>
      <c r="Q224" s="19"/>
      <c r="R224" s="19"/>
    </row>
    <row r="225" spans="1:18" ht="53.4">
      <c r="A225" s="19">
        <v>187</v>
      </c>
      <c r="B225" s="20" t="s">
        <v>584</v>
      </c>
      <c r="C225" s="50" t="s">
        <v>585</v>
      </c>
      <c r="D225" s="20"/>
      <c r="E225" s="50" t="s">
        <v>586</v>
      </c>
      <c r="F225" s="62"/>
      <c r="G225" s="50"/>
      <c r="H225" s="50"/>
      <c r="I225" s="50"/>
      <c r="J225" s="50"/>
      <c r="K225" s="50"/>
      <c r="L225" s="50"/>
      <c r="M225" s="50"/>
      <c r="N225" s="50"/>
      <c r="O225" s="50"/>
      <c r="P225"/>
      <c r="Q225" s="50"/>
      <c r="R225" s="21"/>
    </row>
    <row r="226" spans="1:18" ht="52.8">
      <c r="A226" s="19">
        <v>188</v>
      </c>
      <c r="B226" s="73" t="s">
        <v>587</v>
      </c>
      <c r="C226" s="21" t="s">
        <v>557</v>
      </c>
      <c r="D226" s="20" t="s">
        <v>570</v>
      </c>
      <c r="E226" s="22" t="s">
        <v>580</v>
      </c>
      <c r="F226" s="74"/>
      <c r="G226" s="19"/>
      <c r="H226" s="19"/>
      <c r="I226" s="19"/>
      <c r="J226" s="19"/>
      <c r="K226" s="19"/>
      <c r="L226" s="19"/>
      <c r="M226" s="19"/>
      <c r="N226" s="19"/>
      <c r="O226" s="19"/>
      <c r="P226"/>
      <c r="Q226" s="19"/>
      <c r="R226" s="19"/>
    </row>
    <row r="227" spans="1:18" ht="52.8">
      <c r="A227" s="19">
        <v>189</v>
      </c>
      <c r="B227" s="20" t="s">
        <v>588</v>
      </c>
      <c r="C227" s="21" t="s">
        <v>557</v>
      </c>
      <c r="D227" s="20"/>
      <c r="E227" s="22" t="s">
        <v>589</v>
      </c>
      <c r="F227" s="41"/>
      <c r="G227" s="19"/>
      <c r="H227" s="19"/>
      <c r="I227" s="19"/>
      <c r="J227" s="19"/>
      <c r="K227" s="19"/>
      <c r="L227" s="19"/>
      <c r="M227" s="19"/>
      <c r="N227" s="19"/>
      <c r="O227" s="19"/>
      <c r="P227"/>
      <c r="Q227" s="19"/>
      <c r="R227" s="19"/>
    </row>
    <row r="228" spans="1:18" ht="52.8">
      <c r="A228" s="19">
        <v>190</v>
      </c>
      <c r="B228" s="73" t="s">
        <v>590</v>
      </c>
      <c r="C228" s="21" t="s">
        <v>557</v>
      </c>
      <c r="D228" s="20"/>
      <c r="E228" s="22" t="s">
        <v>558</v>
      </c>
      <c r="F228" s="74"/>
      <c r="G228" s="19"/>
      <c r="H228" s="19"/>
      <c r="I228" s="19"/>
      <c r="J228" s="19"/>
      <c r="K228" s="19"/>
      <c r="L228" s="19"/>
      <c r="M228" s="19"/>
      <c r="N228" s="19"/>
      <c r="O228" s="19"/>
      <c r="P228"/>
      <c r="Q228" s="19"/>
      <c r="R228" s="19"/>
    </row>
    <row r="229" spans="1:18" ht="52.8">
      <c r="A229" s="19">
        <v>191</v>
      </c>
      <c r="B229" s="20" t="s">
        <v>591</v>
      </c>
      <c r="C229" s="21" t="s">
        <v>557</v>
      </c>
      <c r="D229" s="20" t="s">
        <v>592</v>
      </c>
      <c r="E229" s="22" t="s">
        <v>593</v>
      </c>
      <c r="F229" s="41"/>
      <c r="G229" s="19"/>
      <c r="H229" s="19"/>
      <c r="I229" s="19"/>
      <c r="J229" s="19"/>
      <c r="K229" s="19"/>
      <c r="L229" s="19"/>
      <c r="M229" s="19"/>
      <c r="N229" s="19"/>
      <c r="O229" s="19"/>
      <c r="P229"/>
      <c r="Q229" s="19"/>
      <c r="R229" s="19"/>
    </row>
    <row r="230" spans="1:18" ht="52.8">
      <c r="A230" s="19">
        <v>192</v>
      </c>
      <c r="B230" s="73" t="s">
        <v>594</v>
      </c>
      <c r="C230" s="21" t="s">
        <v>557</v>
      </c>
      <c r="D230" s="20"/>
      <c r="E230" s="76" t="s">
        <v>595</v>
      </c>
      <c r="F230" s="74"/>
      <c r="G230" s="19"/>
      <c r="H230" s="19"/>
      <c r="I230" s="19"/>
      <c r="J230" s="19"/>
      <c r="K230" s="19"/>
      <c r="L230" s="19"/>
      <c r="M230" s="19"/>
      <c r="N230" s="19"/>
      <c r="O230" s="19"/>
      <c r="P230"/>
      <c r="Q230" s="19"/>
      <c r="R230" s="19"/>
    </row>
    <row r="231" spans="1:18" ht="52.8">
      <c r="A231" s="19">
        <v>193</v>
      </c>
      <c r="B231" s="73" t="s">
        <v>596</v>
      </c>
      <c r="C231" s="21" t="s">
        <v>557</v>
      </c>
      <c r="D231" s="20" t="s">
        <v>560</v>
      </c>
      <c r="E231" s="22" t="s">
        <v>597</v>
      </c>
      <c r="F231" s="74"/>
      <c r="G231" s="19"/>
      <c r="H231" s="19"/>
      <c r="I231" s="19"/>
      <c r="J231" s="19"/>
      <c r="K231" s="19"/>
      <c r="L231" s="19"/>
      <c r="M231" s="19"/>
      <c r="N231" s="19"/>
      <c r="O231" s="19"/>
      <c r="P231"/>
      <c r="Q231" s="19"/>
      <c r="R231" s="19"/>
    </row>
    <row r="232" spans="1:18" ht="52.8">
      <c r="A232" s="19">
        <v>194</v>
      </c>
      <c r="B232" s="20" t="s">
        <v>598</v>
      </c>
      <c r="C232" s="21" t="s">
        <v>599</v>
      </c>
      <c r="D232" s="20"/>
      <c r="E232" s="22" t="s">
        <v>600</v>
      </c>
      <c r="F232" s="41"/>
      <c r="G232" s="19"/>
      <c r="H232" s="19"/>
      <c r="I232" s="19"/>
      <c r="J232" s="19"/>
      <c r="K232" s="19"/>
      <c r="L232" s="19"/>
      <c r="M232" s="19"/>
      <c r="N232" s="19"/>
      <c r="O232" s="19"/>
      <c r="P232"/>
      <c r="Q232" s="19"/>
      <c r="R232" s="19"/>
    </row>
    <row r="233" spans="1:18" ht="52.8">
      <c r="A233" s="19">
        <v>195</v>
      </c>
      <c r="B233" s="73" t="s">
        <v>598</v>
      </c>
      <c r="C233" s="21" t="s">
        <v>557</v>
      </c>
      <c r="D233" s="20"/>
      <c r="E233" s="21" t="s">
        <v>601</v>
      </c>
      <c r="F233" s="74"/>
      <c r="G233" s="19"/>
      <c r="H233" s="19"/>
      <c r="I233" s="19"/>
      <c r="J233" s="19"/>
      <c r="K233" s="19"/>
      <c r="L233" s="19"/>
      <c r="M233" s="19"/>
      <c r="N233" s="19"/>
      <c r="O233" s="19"/>
      <c r="P233"/>
      <c r="Q233" s="19"/>
      <c r="R233" s="19"/>
    </row>
    <row r="234" spans="1:18" ht="39.6">
      <c r="A234" s="19">
        <v>196</v>
      </c>
      <c r="B234" s="20" t="s">
        <v>602</v>
      </c>
      <c r="C234" s="21" t="s">
        <v>603</v>
      </c>
      <c r="D234" s="20" t="s">
        <v>604</v>
      </c>
      <c r="E234" s="22" t="s">
        <v>605</v>
      </c>
      <c r="F234" s="41"/>
      <c r="G234" s="19"/>
      <c r="H234" s="19"/>
      <c r="I234" s="19"/>
      <c r="J234" s="19"/>
      <c r="K234" s="19"/>
      <c r="L234" s="19"/>
      <c r="M234" s="19"/>
      <c r="N234" s="19"/>
      <c r="O234" s="19"/>
      <c r="P234"/>
      <c r="Q234" s="19"/>
      <c r="R234" s="19"/>
    </row>
    <row r="235" spans="1:18" ht="52.8">
      <c r="A235" s="19">
        <v>197</v>
      </c>
      <c r="B235" s="20" t="s">
        <v>606</v>
      </c>
      <c r="C235" s="21" t="s">
        <v>607</v>
      </c>
      <c r="D235" s="20"/>
      <c r="E235" s="22" t="s">
        <v>608</v>
      </c>
      <c r="F235" s="41"/>
      <c r="G235" s="19"/>
      <c r="H235" s="19"/>
      <c r="I235" s="19"/>
      <c r="J235" s="19"/>
      <c r="K235" s="19"/>
      <c r="L235" s="19"/>
      <c r="M235" s="19"/>
      <c r="N235" s="19"/>
      <c r="O235" s="19"/>
      <c r="P235"/>
      <c r="Q235" s="19"/>
      <c r="R235" s="19"/>
    </row>
    <row r="236" spans="1:18" ht="52.8">
      <c r="A236" s="19">
        <v>198</v>
      </c>
      <c r="B236" s="20" t="s">
        <v>609</v>
      </c>
      <c r="C236" s="21" t="s">
        <v>610</v>
      </c>
      <c r="D236" s="20"/>
      <c r="E236" s="22" t="s">
        <v>611</v>
      </c>
      <c r="F236" s="41"/>
      <c r="G236" s="19"/>
      <c r="H236" s="19"/>
      <c r="I236" s="19"/>
      <c r="J236" s="19"/>
      <c r="K236" s="19"/>
      <c r="L236" s="19"/>
      <c r="M236" s="19"/>
      <c r="N236" s="19"/>
      <c r="O236" s="19"/>
      <c r="P236"/>
      <c r="Q236" s="19"/>
      <c r="R236" s="19"/>
    </row>
    <row r="237" spans="1:18" ht="39.6">
      <c r="A237" s="19">
        <v>199</v>
      </c>
      <c r="B237" s="20" t="s">
        <v>612</v>
      </c>
      <c r="C237" s="21" t="s">
        <v>613</v>
      </c>
      <c r="D237" s="20" t="s">
        <v>614</v>
      </c>
      <c r="E237" s="22" t="s">
        <v>615</v>
      </c>
      <c r="F237" s="41"/>
      <c r="G237" s="19"/>
      <c r="H237" s="19"/>
      <c r="I237" s="19"/>
      <c r="J237" s="19"/>
      <c r="K237" s="19"/>
      <c r="L237" s="19"/>
      <c r="M237" s="19"/>
      <c r="N237" s="19"/>
      <c r="O237" s="19"/>
      <c r="P237"/>
      <c r="Q237" s="19"/>
      <c r="R237" s="19"/>
    </row>
    <row r="238" spans="1:18" ht="39.6">
      <c r="A238" s="19">
        <v>200</v>
      </c>
      <c r="B238" s="20" t="s">
        <v>616</v>
      </c>
      <c r="C238" s="21" t="s">
        <v>617</v>
      </c>
      <c r="D238" s="20"/>
      <c r="E238" s="22" t="s">
        <v>618</v>
      </c>
      <c r="F238" s="41"/>
      <c r="G238" s="19"/>
      <c r="H238" s="19"/>
      <c r="I238" s="19"/>
      <c r="J238" s="19"/>
      <c r="K238" s="19"/>
      <c r="L238" s="19"/>
      <c r="M238" s="19"/>
      <c r="N238" s="19"/>
      <c r="O238" s="19"/>
      <c r="P238"/>
      <c r="Q238" s="19"/>
      <c r="R238" s="19"/>
    </row>
    <row r="239" spans="1:18" ht="52.8">
      <c r="A239" s="19">
        <v>201</v>
      </c>
      <c r="B239" s="20" t="s">
        <v>619</v>
      </c>
      <c r="C239" s="21" t="s">
        <v>620</v>
      </c>
      <c r="D239" s="20"/>
      <c r="E239" s="22" t="s">
        <v>621</v>
      </c>
      <c r="F239" s="41"/>
      <c r="G239" s="19"/>
      <c r="H239" s="19"/>
      <c r="I239" s="19"/>
      <c r="J239" s="19"/>
      <c r="K239" s="19"/>
      <c r="L239" s="19"/>
      <c r="M239" s="19"/>
      <c r="N239" s="19"/>
      <c r="O239" s="19"/>
      <c r="P239"/>
      <c r="Q239" s="19"/>
      <c r="R239" s="19"/>
    </row>
    <row r="240" spans="1:18" ht="79.2">
      <c r="A240" s="19">
        <v>202</v>
      </c>
      <c r="B240" s="20" t="s">
        <v>622</v>
      </c>
      <c r="C240" s="21" t="s">
        <v>623</v>
      </c>
      <c r="D240" s="20"/>
      <c r="E240" s="22"/>
      <c r="F240" s="41"/>
      <c r="G240" s="19"/>
      <c r="H240" s="19"/>
      <c r="I240" s="19"/>
      <c r="J240" s="19"/>
      <c r="K240" s="19"/>
      <c r="L240" s="19"/>
      <c r="M240" s="19"/>
      <c r="N240" s="19"/>
      <c r="O240" s="19"/>
      <c r="P240"/>
      <c r="Q240" s="19"/>
      <c r="R240" s="19"/>
    </row>
    <row r="241" spans="1:18" ht="52.8">
      <c r="A241" s="19">
        <v>203</v>
      </c>
      <c r="B241" s="20" t="s">
        <v>624</v>
      </c>
      <c r="C241" s="21" t="s">
        <v>625</v>
      </c>
      <c r="D241" s="20" t="s">
        <v>626</v>
      </c>
      <c r="E241" s="22" t="s">
        <v>627</v>
      </c>
      <c r="F241" s="41"/>
      <c r="G241" s="19"/>
      <c r="H241" s="19"/>
      <c r="I241" s="19"/>
      <c r="J241" s="19"/>
      <c r="K241" s="19"/>
      <c r="L241" s="19"/>
      <c r="M241" s="19"/>
      <c r="N241" s="19"/>
      <c r="O241" s="19"/>
      <c r="P241"/>
      <c r="Q241" s="19"/>
      <c r="R241" s="19"/>
    </row>
    <row r="242" spans="1:18" ht="26.4">
      <c r="A242" s="19">
        <v>204</v>
      </c>
      <c r="B242" s="20" t="s">
        <v>628</v>
      </c>
      <c r="C242" s="21" t="s">
        <v>629</v>
      </c>
      <c r="D242" s="20"/>
      <c r="E242" s="22" t="s">
        <v>630</v>
      </c>
      <c r="F242" s="41"/>
      <c r="G242" s="19"/>
      <c r="H242" s="19"/>
      <c r="I242" s="19"/>
      <c r="J242" s="19"/>
      <c r="K242" s="19"/>
      <c r="L242" s="19"/>
      <c r="M242" s="19"/>
      <c r="N242" s="19"/>
      <c r="O242" s="19"/>
      <c r="P242"/>
      <c r="Q242" s="19"/>
      <c r="R242" s="19"/>
    </row>
    <row r="243" spans="1:18" ht="52.8">
      <c r="A243" s="19">
        <v>205</v>
      </c>
      <c r="B243" s="20" t="s">
        <v>631</v>
      </c>
      <c r="C243" s="21" t="s">
        <v>632</v>
      </c>
      <c r="D243" s="20"/>
      <c r="E243" s="19" t="s">
        <v>633</v>
      </c>
      <c r="F243" s="41"/>
      <c r="G243" s="19"/>
      <c r="H243" s="19"/>
      <c r="I243" s="19"/>
      <c r="J243" s="19"/>
      <c r="K243" s="19"/>
      <c r="L243" s="19"/>
      <c r="M243" s="19"/>
      <c r="N243" s="19"/>
      <c r="O243" s="19"/>
      <c r="P243"/>
      <c r="Q243" s="19"/>
      <c r="R243" s="19"/>
    </row>
    <row r="244" spans="1:18" ht="52.8">
      <c r="A244" s="19">
        <v>206</v>
      </c>
      <c r="B244" s="20" t="s">
        <v>634</v>
      </c>
      <c r="C244" s="21" t="s">
        <v>635</v>
      </c>
      <c r="D244" s="20" t="s">
        <v>49</v>
      </c>
      <c r="E244" s="22" t="s">
        <v>636</v>
      </c>
      <c r="F244" s="41"/>
      <c r="G244" s="19"/>
      <c r="H244" s="19"/>
      <c r="I244" s="19"/>
      <c r="J244" s="19"/>
      <c r="K244" s="19"/>
      <c r="L244" s="19"/>
      <c r="M244" s="19"/>
      <c r="N244" s="19"/>
      <c r="O244" s="19"/>
      <c r="P244"/>
      <c r="Q244" s="19"/>
      <c r="R244" s="19"/>
    </row>
    <row r="245" spans="1:18" ht="39.6">
      <c r="A245" s="19">
        <v>207</v>
      </c>
      <c r="B245" s="25" t="s">
        <v>637</v>
      </c>
      <c r="C245" s="27" t="s">
        <v>638</v>
      </c>
      <c r="D245" s="20" t="s">
        <v>77</v>
      </c>
      <c r="E245" s="27" t="s">
        <v>639</v>
      </c>
      <c r="F245" s="41"/>
      <c r="G245" s="19"/>
      <c r="H245" s="19"/>
      <c r="I245" s="19"/>
      <c r="J245" s="19"/>
      <c r="K245" s="19"/>
      <c r="L245" s="19"/>
      <c r="M245" s="19"/>
      <c r="N245" s="19"/>
      <c r="O245" s="19"/>
      <c r="P245"/>
      <c r="Q245" s="19"/>
      <c r="R245" s="19"/>
    </row>
    <row r="246" spans="1:18" ht="26.4">
      <c r="A246" s="19">
        <v>208</v>
      </c>
      <c r="B246" s="20" t="s">
        <v>640</v>
      </c>
      <c r="C246" s="21" t="s">
        <v>641</v>
      </c>
      <c r="D246" s="20" t="s">
        <v>511</v>
      </c>
      <c r="E246" s="22" t="s">
        <v>642</v>
      </c>
      <c r="F246" s="34"/>
      <c r="G246" s="35"/>
      <c r="H246" s="35"/>
      <c r="I246" s="35"/>
      <c r="J246" s="35"/>
      <c r="K246" s="35"/>
      <c r="L246" s="35"/>
      <c r="M246" s="35"/>
      <c r="N246" s="35"/>
      <c r="O246" s="35"/>
      <c r="P246"/>
      <c r="Q246" s="19"/>
      <c r="R246" s="19"/>
    </row>
    <row r="247" spans="1:18" ht="39.6">
      <c r="A247" s="19">
        <v>209</v>
      </c>
      <c r="B247" s="20" t="s">
        <v>643</v>
      </c>
      <c r="C247" s="21" t="s">
        <v>644</v>
      </c>
      <c r="D247" s="20" t="s">
        <v>493</v>
      </c>
      <c r="E247" s="22" t="s">
        <v>645</v>
      </c>
      <c r="F247" s="41"/>
      <c r="G247" s="19"/>
      <c r="H247" s="19"/>
      <c r="I247" s="19"/>
      <c r="J247" s="19"/>
      <c r="K247" s="19"/>
      <c r="L247" s="19"/>
      <c r="M247" s="19"/>
      <c r="N247" s="19"/>
      <c r="O247" s="19"/>
      <c r="P247"/>
      <c r="Q247" s="19"/>
      <c r="R247" s="19"/>
    </row>
    <row r="248" spans="1:18" ht="66">
      <c r="A248" s="19">
        <v>210</v>
      </c>
      <c r="B248" s="20" t="s">
        <v>646</v>
      </c>
      <c r="C248" s="21" t="s">
        <v>647</v>
      </c>
      <c r="D248" s="20"/>
      <c r="E248" s="22" t="s">
        <v>648</v>
      </c>
      <c r="F248" s="41"/>
      <c r="G248" s="19"/>
      <c r="H248" s="19"/>
      <c r="I248" s="19"/>
      <c r="J248" s="19"/>
      <c r="K248" s="19"/>
      <c r="L248" s="19"/>
      <c r="M248" s="19"/>
      <c r="N248" s="19"/>
      <c r="O248" s="19"/>
      <c r="P248"/>
      <c r="Q248" s="19"/>
      <c r="R248" s="19"/>
    </row>
    <row r="249" spans="1:18" ht="66">
      <c r="A249" s="19">
        <v>211</v>
      </c>
      <c r="B249" s="20" t="s">
        <v>649</v>
      </c>
      <c r="C249" s="21" t="s">
        <v>650</v>
      </c>
      <c r="D249" s="20"/>
      <c r="E249" s="77" t="s">
        <v>651</v>
      </c>
      <c r="F249" s="74" t="s">
        <v>652</v>
      </c>
      <c r="G249" s="19"/>
      <c r="H249" s="19"/>
      <c r="I249" s="19"/>
      <c r="J249" s="19"/>
      <c r="K249" s="19"/>
      <c r="L249" s="19"/>
      <c r="M249" s="19"/>
      <c r="N249" s="19"/>
      <c r="O249" s="19"/>
      <c r="P249"/>
      <c r="Q249" s="19"/>
      <c r="R249" s="19"/>
    </row>
    <row r="250" spans="1:18" ht="52.8">
      <c r="A250" s="19">
        <v>212</v>
      </c>
      <c r="B250" s="20" t="s">
        <v>653</v>
      </c>
      <c r="C250" s="21" t="s">
        <v>654</v>
      </c>
      <c r="D250" s="20"/>
      <c r="E250" s="78" t="s">
        <v>655</v>
      </c>
      <c r="F250" s="41"/>
      <c r="G250" s="19"/>
      <c r="H250" s="19"/>
      <c r="I250" s="19"/>
      <c r="J250" s="19"/>
      <c r="K250" s="19"/>
      <c r="L250" s="19"/>
      <c r="M250" s="19"/>
      <c r="N250" s="19"/>
      <c r="O250" s="19"/>
      <c r="P250"/>
      <c r="Q250" s="19"/>
      <c r="R250" s="19"/>
    </row>
    <row r="251" spans="1:18" ht="66">
      <c r="A251" s="19">
        <v>213</v>
      </c>
      <c r="B251" s="20" t="s">
        <v>656</v>
      </c>
      <c r="C251" s="21" t="s">
        <v>657</v>
      </c>
      <c r="D251" s="20"/>
      <c r="E251" s="22" t="s">
        <v>658</v>
      </c>
      <c r="F251" s="41"/>
      <c r="G251" s="19"/>
      <c r="H251" s="19"/>
      <c r="I251" s="19"/>
      <c r="J251" s="19"/>
      <c r="K251" s="19"/>
      <c r="L251" s="19"/>
      <c r="M251" s="19"/>
      <c r="N251" s="19"/>
      <c r="O251" s="19"/>
      <c r="P251"/>
      <c r="Q251" s="19"/>
      <c r="R251" s="19"/>
    </row>
    <row r="252" spans="1:18" ht="66">
      <c r="A252" s="19">
        <v>214</v>
      </c>
      <c r="B252" s="20" t="s">
        <v>659</v>
      </c>
      <c r="C252" s="21" t="s">
        <v>660</v>
      </c>
      <c r="D252" s="20"/>
      <c r="E252" s="22" t="s">
        <v>661</v>
      </c>
      <c r="F252" s="41"/>
      <c r="G252" s="19"/>
      <c r="H252" s="19"/>
      <c r="I252" s="19"/>
      <c r="J252" s="19"/>
      <c r="K252" s="19"/>
      <c r="L252" s="19"/>
      <c r="M252" s="19"/>
      <c r="N252" s="19"/>
      <c r="O252" s="19"/>
      <c r="P252"/>
      <c r="Q252" s="19"/>
      <c r="R252" s="19"/>
    </row>
    <row r="253" spans="1:18" ht="53.4">
      <c r="A253" s="19">
        <v>215</v>
      </c>
      <c r="B253" s="20" t="s">
        <v>662</v>
      </c>
      <c r="C253" s="79" t="s">
        <v>663</v>
      </c>
      <c r="D253" s="20"/>
      <c r="E253" s="22" t="s">
        <v>2693</v>
      </c>
      <c r="F253" s="41"/>
      <c r="G253" s="19"/>
      <c r="H253" s="19"/>
      <c r="I253" s="19"/>
      <c r="J253" s="19"/>
      <c r="K253" s="19"/>
      <c r="L253" s="19"/>
      <c r="M253" s="19"/>
      <c r="N253" s="19"/>
      <c r="O253" s="19"/>
      <c r="P253"/>
      <c r="Q253" s="19"/>
      <c r="R253" s="19"/>
    </row>
    <row r="254" spans="1:18" ht="66">
      <c r="A254" s="19">
        <v>216</v>
      </c>
      <c r="B254" s="20" t="s">
        <v>665</v>
      </c>
      <c r="C254" s="21" t="s">
        <v>666</v>
      </c>
      <c r="D254" s="20" t="s">
        <v>667</v>
      </c>
      <c r="E254" s="22" t="s">
        <v>668</v>
      </c>
      <c r="F254" s="41"/>
      <c r="G254" s="19"/>
      <c r="H254" s="19"/>
      <c r="I254" s="19"/>
      <c r="J254" s="19"/>
      <c r="K254" s="19"/>
      <c r="L254" s="19"/>
      <c r="M254" s="19"/>
      <c r="N254" s="19"/>
      <c r="O254" s="19"/>
      <c r="P254"/>
      <c r="Q254" s="19"/>
      <c r="R254" s="19"/>
    </row>
    <row r="255" spans="1:18" ht="52.8">
      <c r="A255" s="19">
        <v>217</v>
      </c>
      <c r="B255" s="20" t="s">
        <v>669</v>
      </c>
      <c r="C255" s="21" t="s">
        <v>670</v>
      </c>
      <c r="D255" s="20"/>
      <c r="E255" s="22" t="s">
        <v>671</v>
      </c>
      <c r="F255" s="41"/>
      <c r="G255" s="19"/>
      <c r="H255" s="19"/>
      <c r="I255" s="19"/>
      <c r="J255" s="19"/>
      <c r="K255" s="19"/>
      <c r="L255" s="19"/>
      <c r="M255" s="19"/>
      <c r="N255" s="19"/>
      <c r="O255" s="19"/>
      <c r="P255"/>
      <c r="Q255" s="19"/>
      <c r="R255" s="19"/>
    </row>
    <row r="256" spans="1:18" ht="39.6">
      <c r="A256" s="19">
        <v>218</v>
      </c>
      <c r="B256" s="20" t="s">
        <v>672</v>
      </c>
      <c r="C256" s="21" t="s">
        <v>673</v>
      </c>
      <c r="D256" s="20" t="s">
        <v>674</v>
      </c>
      <c r="E256" s="22" t="s">
        <v>675</v>
      </c>
      <c r="F256" s="41"/>
      <c r="G256" s="19"/>
      <c r="H256" s="19"/>
      <c r="I256" s="19"/>
      <c r="J256" s="19"/>
      <c r="K256" s="19"/>
      <c r="L256" s="19"/>
      <c r="M256" s="19"/>
      <c r="N256" s="19"/>
      <c r="O256" s="19"/>
      <c r="P256"/>
      <c r="Q256" s="19"/>
      <c r="R256" s="19"/>
    </row>
    <row r="257" spans="1:18" ht="52.8">
      <c r="A257" s="19">
        <v>219</v>
      </c>
      <c r="B257" s="20" t="s">
        <v>676</v>
      </c>
      <c r="C257" s="21" t="s">
        <v>677</v>
      </c>
      <c r="D257" s="20"/>
      <c r="E257" s="80" t="s">
        <v>678</v>
      </c>
      <c r="F257" s="41"/>
      <c r="G257" s="19"/>
      <c r="H257" s="19"/>
      <c r="I257" s="19"/>
      <c r="J257" s="19"/>
      <c r="K257" s="19"/>
      <c r="L257" s="19"/>
      <c r="M257" s="19"/>
      <c r="N257" s="19"/>
      <c r="O257" s="19"/>
      <c r="P257"/>
      <c r="Q257" s="19"/>
      <c r="R257" s="19"/>
    </row>
    <row r="258" spans="1:18" ht="39.6">
      <c r="A258" s="19">
        <v>220</v>
      </c>
      <c r="B258" s="20" t="s">
        <v>679</v>
      </c>
      <c r="C258" s="21" t="s">
        <v>680</v>
      </c>
      <c r="D258" s="20" t="s">
        <v>531</v>
      </c>
      <c r="E258" s="22" t="s">
        <v>681</v>
      </c>
      <c r="F258" s="41"/>
      <c r="G258" s="19"/>
      <c r="H258" s="19"/>
      <c r="I258" s="19"/>
      <c r="J258" s="19"/>
      <c r="K258" s="19"/>
      <c r="L258" s="19"/>
      <c r="M258" s="19"/>
      <c r="N258" s="19"/>
      <c r="O258" s="19"/>
      <c r="P258"/>
      <c r="Q258" s="19"/>
      <c r="R258" s="19"/>
    </row>
    <row r="259" spans="1:18" ht="39.6">
      <c r="A259" s="19">
        <v>221</v>
      </c>
      <c r="B259" s="20" t="s">
        <v>682</v>
      </c>
      <c r="C259" s="21" t="s">
        <v>683</v>
      </c>
      <c r="D259" s="20"/>
      <c r="E259" s="22" t="s">
        <v>684</v>
      </c>
      <c r="F259" s="41"/>
      <c r="G259" s="19"/>
      <c r="H259" s="19"/>
      <c r="I259" s="19"/>
      <c r="J259" s="19"/>
      <c r="K259" s="19"/>
      <c r="L259" s="19"/>
      <c r="M259" s="19"/>
      <c r="N259" s="19"/>
      <c r="O259" s="19"/>
      <c r="P259"/>
      <c r="Q259" s="19"/>
      <c r="R259" s="19"/>
    </row>
    <row r="260" spans="1:18" ht="52.8">
      <c r="A260" s="19">
        <v>222</v>
      </c>
      <c r="B260" s="20" t="s">
        <v>685</v>
      </c>
      <c r="C260" s="21" t="s">
        <v>686</v>
      </c>
      <c r="D260" s="20"/>
      <c r="E260" s="22" t="s">
        <v>687</v>
      </c>
      <c r="F260" s="41"/>
      <c r="G260" s="19"/>
      <c r="H260" s="19"/>
      <c r="I260" s="19"/>
      <c r="J260" s="19"/>
      <c r="K260" s="19"/>
      <c r="L260" s="19"/>
      <c r="M260" s="19"/>
      <c r="N260" s="19"/>
      <c r="O260" s="19"/>
      <c r="P260"/>
      <c r="Q260" s="19"/>
      <c r="R260" s="19"/>
    </row>
    <row r="261" spans="1:18" ht="39.6">
      <c r="A261" s="19">
        <v>223</v>
      </c>
      <c r="B261" s="20" t="s">
        <v>688</v>
      </c>
      <c r="C261" s="21" t="s">
        <v>689</v>
      </c>
      <c r="D261" s="20"/>
      <c r="E261" s="22"/>
      <c r="F261" s="41"/>
      <c r="G261" s="19"/>
      <c r="H261" s="19"/>
      <c r="I261" s="19"/>
      <c r="J261" s="19"/>
      <c r="K261" s="19"/>
      <c r="L261" s="19"/>
      <c r="M261" s="19"/>
      <c r="N261" s="19"/>
      <c r="O261" s="19"/>
      <c r="P261"/>
      <c r="Q261" s="19"/>
      <c r="R261" s="19"/>
    </row>
    <row r="262" spans="1:18" ht="66">
      <c r="A262" s="19">
        <v>224</v>
      </c>
      <c r="B262" s="20" t="s">
        <v>690</v>
      </c>
      <c r="C262" s="21" t="s">
        <v>691</v>
      </c>
      <c r="D262" s="20"/>
      <c r="E262" s="22" t="s">
        <v>692</v>
      </c>
      <c r="F262" s="41"/>
      <c r="G262" s="19"/>
      <c r="H262" s="19"/>
      <c r="I262" s="19"/>
      <c r="J262" s="19"/>
      <c r="K262" s="19"/>
      <c r="L262" s="19"/>
      <c r="M262" s="19"/>
      <c r="N262" s="19"/>
      <c r="O262" s="19"/>
      <c r="P262"/>
      <c r="Q262" s="19"/>
      <c r="R262" s="19"/>
    </row>
    <row r="263" spans="1:18" ht="39.6">
      <c r="A263" s="19">
        <v>225</v>
      </c>
      <c r="B263" s="20" t="s">
        <v>693</v>
      </c>
      <c r="C263" s="81" t="s">
        <v>694</v>
      </c>
      <c r="D263" s="20"/>
      <c r="E263" s="22" t="s">
        <v>695</v>
      </c>
      <c r="F263" s="41"/>
      <c r="G263" s="19"/>
      <c r="H263" s="19"/>
      <c r="I263" s="19"/>
      <c r="J263" s="19"/>
      <c r="K263" s="19"/>
      <c r="L263" s="19"/>
      <c r="M263" s="19"/>
      <c r="N263" s="19"/>
      <c r="O263" s="19"/>
      <c r="P263"/>
      <c r="Q263" s="19"/>
      <c r="R263" s="19"/>
    </row>
    <row r="264" spans="1:18" ht="132">
      <c r="A264" s="19">
        <v>226</v>
      </c>
      <c r="B264" s="20" t="s">
        <v>696</v>
      </c>
      <c r="C264" s="21" t="s">
        <v>697</v>
      </c>
      <c r="D264" s="20"/>
      <c r="E264" s="29" t="s">
        <v>698</v>
      </c>
      <c r="F264" s="49" t="s">
        <v>365</v>
      </c>
      <c r="G264" s="19"/>
      <c r="H264" s="19"/>
      <c r="I264" s="19"/>
      <c r="J264" s="19"/>
      <c r="K264" s="19"/>
      <c r="L264" s="19"/>
      <c r="M264" s="19"/>
      <c r="N264" s="19"/>
      <c r="O264" s="19"/>
      <c r="P264"/>
      <c r="Q264" s="19"/>
      <c r="R264" s="19"/>
    </row>
    <row r="265" spans="1:18" ht="39.6">
      <c r="A265" s="19">
        <v>227</v>
      </c>
      <c r="B265" s="20" t="s">
        <v>699</v>
      </c>
      <c r="C265" s="21" t="s">
        <v>700</v>
      </c>
      <c r="D265" s="20" t="s">
        <v>166</v>
      </c>
      <c r="E265" s="22" t="s">
        <v>701</v>
      </c>
      <c r="F265" s="41"/>
      <c r="G265" s="19"/>
      <c r="H265" s="19"/>
      <c r="I265" s="19"/>
      <c r="J265" s="19"/>
      <c r="K265" s="19"/>
      <c r="L265" s="19"/>
      <c r="M265" s="19"/>
      <c r="N265" s="19"/>
      <c r="O265" s="19"/>
      <c r="P265"/>
      <c r="Q265" s="19"/>
      <c r="R265" s="19"/>
    </row>
    <row r="266" spans="1:18" ht="66">
      <c r="A266" s="19">
        <v>228</v>
      </c>
      <c r="B266" s="20" t="s">
        <v>702</v>
      </c>
      <c r="C266" s="21" t="s">
        <v>703</v>
      </c>
      <c r="D266" s="20" t="s">
        <v>560</v>
      </c>
      <c r="E266" s="22" t="s">
        <v>2901</v>
      </c>
      <c r="F266" s="41"/>
      <c r="G266" s="19"/>
      <c r="H266" s="19"/>
      <c r="I266" s="19"/>
      <c r="J266" s="19"/>
      <c r="K266" s="19"/>
      <c r="L266" s="19"/>
      <c r="M266" s="19"/>
      <c r="N266" s="19"/>
      <c r="O266" s="19"/>
      <c r="P266"/>
      <c r="Q266" s="19"/>
      <c r="R266" s="19"/>
    </row>
    <row r="267" spans="1:18" ht="66">
      <c r="A267" s="19">
        <v>229</v>
      </c>
      <c r="B267" s="20" t="s">
        <v>704</v>
      </c>
      <c r="C267" s="21" t="s">
        <v>703</v>
      </c>
      <c r="D267" s="20"/>
      <c r="E267" s="22" t="s">
        <v>705</v>
      </c>
      <c r="F267" s="41"/>
      <c r="G267" s="19"/>
      <c r="H267" s="19"/>
      <c r="I267" s="19"/>
      <c r="J267" s="19"/>
      <c r="K267" s="19"/>
      <c r="L267" s="19"/>
      <c r="M267" s="19"/>
      <c r="N267" s="19"/>
      <c r="O267" s="19"/>
      <c r="P267"/>
      <c r="Q267" s="19"/>
      <c r="R267" s="19"/>
    </row>
    <row r="268" spans="1:18" ht="66">
      <c r="A268" s="19">
        <v>230</v>
      </c>
      <c r="B268" s="20" t="s">
        <v>706</v>
      </c>
      <c r="C268" s="21" t="s">
        <v>703</v>
      </c>
      <c r="D268" s="20"/>
      <c r="E268" s="22" t="s">
        <v>707</v>
      </c>
      <c r="F268" s="41"/>
      <c r="G268" s="19"/>
      <c r="H268" s="19"/>
      <c r="I268" s="19"/>
      <c r="J268" s="19"/>
      <c r="K268" s="19"/>
      <c r="L268" s="19"/>
      <c r="M268" s="19"/>
      <c r="N268" s="19"/>
      <c r="O268" s="19"/>
      <c r="P268"/>
      <c r="Q268" s="19"/>
      <c r="R268" s="19"/>
    </row>
    <row r="269" spans="1:18" ht="66">
      <c r="A269" s="19">
        <v>231</v>
      </c>
      <c r="B269" s="20" t="s">
        <v>708</v>
      </c>
      <c r="C269" s="21" t="s">
        <v>703</v>
      </c>
      <c r="D269" s="20"/>
      <c r="E269" s="22" t="s">
        <v>709</v>
      </c>
      <c r="F269" s="41"/>
      <c r="G269" s="19"/>
      <c r="H269" s="19"/>
      <c r="I269" s="19"/>
      <c r="J269" s="19"/>
      <c r="K269" s="19"/>
      <c r="L269" s="19"/>
      <c r="M269" s="19"/>
      <c r="N269" s="19"/>
      <c r="O269" s="19"/>
      <c r="P269"/>
      <c r="Q269" s="19"/>
      <c r="R269" s="19"/>
    </row>
    <row r="270" spans="1:18" ht="79.2">
      <c r="A270" s="19">
        <v>232</v>
      </c>
      <c r="B270" s="20" t="s">
        <v>710</v>
      </c>
      <c r="C270" s="21" t="s">
        <v>711</v>
      </c>
      <c r="D270" s="20" t="s">
        <v>712</v>
      </c>
      <c r="E270" s="22" t="s">
        <v>713</v>
      </c>
      <c r="F270" s="41"/>
      <c r="G270" s="19"/>
      <c r="H270" s="19"/>
      <c r="I270" s="19"/>
      <c r="J270" s="19"/>
      <c r="K270" s="19"/>
      <c r="L270" s="19"/>
      <c r="M270" s="19"/>
      <c r="N270" s="19"/>
      <c r="O270" s="19"/>
      <c r="P270"/>
      <c r="Q270" s="19"/>
      <c r="R270" s="19"/>
    </row>
    <row r="271" spans="1:18" ht="39.6">
      <c r="A271" s="19">
        <v>233</v>
      </c>
      <c r="B271" s="20" t="s">
        <v>714</v>
      </c>
      <c r="C271" s="21" t="s">
        <v>715</v>
      </c>
      <c r="D271" s="20"/>
      <c r="E271" s="22" t="s">
        <v>716</v>
      </c>
      <c r="F271" s="41"/>
      <c r="G271" s="19"/>
      <c r="H271" s="19"/>
      <c r="I271" s="19"/>
      <c r="J271" s="19"/>
      <c r="K271" s="19"/>
      <c r="L271" s="19"/>
      <c r="M271" s="19"/>
      <c r="N271" s="19"/>
      <c r="O271" s="19"/>
      <c r="P271"/>
      <c r="Q271" s="19"/>
      <c r="R271" s="19"/>
    </row>
    <row r="272" spans="1:18" ht="39.6">
      <c r="A272" s="19">
        <v>234</v>
      </c>
      <c r="B272" s="20" t="s">
        <v>717</v>
      </c>
      <c r="C272" s="21" t="s">
        <v>718</v>
      </c>
      <c r="D272" s="20"/>
      <c r="E272" s="22" t="s">
        <v>719</v>
      </c>
      <c r="F272" s="41"/>
      <c r="G272" s="19"/>
      <c r="H272" s="19"/>
      <c r="I272" s="19"/>
      <c r="J272" s="19"/>
      <c r="K272" s="19"/>
      <c r="L272" s="19"/>
      <c r="M272" s="19"/>
      <c r="N272" s="19"/>
      <c r="O272" s="19"/>
      <c r="P272"/>
      <c r="Q272" s="19"/>
      <c r="R272" s="19"/>
    </row>
    <row r="273" spans="1:18" ht="52.8">
      <c r="A273" s="19">
        <v>235</v>
      </c>
      <c r="B273" s="20" t="s">
        <v>720</v>
      </c>
      <c r="C273" s="21" t="s">
        <v>721</v>
      </c>
      <c r="D273" s="20"/>
      <c r="E273" s="22" t="s">
        <v>722</v>
      </c>
      <c r="F273" s="41"/>
      <c r="G273" s="19"/>
      <c r="H273" s="19"/>
      <c r="I273" s="19"/>
      <c r="J273" s="19"/>
      <c r="K273" s="19"/>
      <c r="L273" s="19"/>
      <c r="M273" s="19"/>
      <c r="N273" s="19"/>
      <c r="O273" s="19"/>
      <c r="P273"/>
      <c r="Q273" s="19"/>
      <c r="R273" s="19"/>
    </row>
    <row r="274" spans="1:18" ht="39.6">
      <c r="A274" s="19">
        <v>236</v>
      </c>
      <c r="B274" s="48" t="s">
        <v>723</v>
      </c>
      <c r="C274" s="54" t="s">
        <v>724</v>
      </c>
      <c r="D274" s="25"/>
      <c r="E274" s="50" t="s">
        <v>725</v>
      </c>
      <c r="F274" s="49"/>
      <c r="G274" s="25"/>
      <c r="H274" s="27"/>
      <c r="I274" s="21"/>
      <c r="J274" s="28"/>
      <c r="K274" s="28"/>
      <c r="L274" s="28"/>
      <c r="M274" s="28"/>
      <c r="N274" s="28"/>
      <c r="O274" s="28"/>
      <c r="P274"/>
      <c r="Q274" s="28"/>
      <c r="R274" s="28"/>
    </row>
    <row r="275" spans="1:18" ht="52.8">
      <c r="A275" s="19">
        <v>237</v>
      </c>
      <c r="B275" s="20" t="s">
        <v>726</v>
      </c>
      <c r="C275" s="21" t="s">
        <v>727</v>
      </c>
      <c r="D275" s="20"/>
      <c r="E275" s="22" t="s">
        <v>728</v>
      </c>
      <c r="F275" s="41"/>
      <c r="G275" s="19"/>
      <c r="H275" s="82" t="s">
        <v>729</v>
      </c>
      <c r="I275" s="19"/>
      <c r="J275" s="19"/>
      <c r="K275" s="19"/>
      <c r="L275" s="19"/>
      <c r="M275" s="19"/>
      <c r="N275" s="19"/>
      <c r="O275" s="19"/>
      <c r="P275"/>
      <c r="Q275" s="19"/>
      <c r="R275" s="19"/>
    </row>
    <row r="276" spans="1:18" ht="79.2">
      <c r="A276" s="19">
        <v>238</v>
      </c>
      <c r="B276" s="20" t="s">
        <v>730</v>
      </c>
      <c r="C276" s="21" t="s">
        <v>654</v>
      </c>
      <c r="D276" s="20" t="s">
        <v>731</v>
      </c>
      <c r="E276" s="22" t="s">
        <v>732</v>
      </c>
      <c r="F276" s="41"/>
      <c r="G276" s="19"/>
      <c r="H276" s="19"/>
      <c r="I276" s="19"/>
      <c r="J276" s="19"/>
      <c r="K276" s="19"/>
      <c r="L276" s="19"/>
      <c r="M276" s="19"/>
      <c r="N276" s="19"/>
      <c r="O276" s="19"/>
      <c r="P276"/>
      <c r="Q276" s="19"/>
      <c r="R276" s="19"/>
    </row>
    <row r="277" spans="1:18" ht="66">
      <c r="A277" s="19">
        <v>239</v>
      </c>
      <c r="B277" s="20" t="s">
        <v>733</v>
      </c>
      <c r="C277" s="21" t="s">
        <v>734</v>
      </c>
      <c r="D277" s="20"/>
      <c r="E277" s="83" t="s">
        <v>735</v>
      </c>
      <c r="F277" s="74"/>
      <c r="G277" s="21"/>
      <c r="H277" s="19"/>
      <c r="I277" s="19"/>
      <c r="J277" s="19"/>
      <c r="K277" s="19"/>
      <c r="L277" s="19"/>
      <c r="M277" s="19"/>
      <c r="N277" s="19"/>
      <c r="O277" s="19"/>
      <c r="P277"/>
      <c r="Q277" s="19"/>
      <c r="R277" s="19"/>
    </row>
    <row r="278" spans="1:18" ht="26.4">
      <c r="A278" s="19">
        <v>240</v>
      </c>
      <c r="B278" s="20" t="s">
        <v>736</v>
      </c>
      <c r="C278" s="21" t="s">
        <v>737</v>
      </c>
      <c r="D278" s="20"/>
      <c r="E278" s="22" t="s">
        <v>738</v>
      </c>
      <c r="F278" s="41"/>
      <c r="G278" s="19"/>
      <c r="H278" s="19"/>
      <c r="I278" s="19"/>
      <c r="J278" s="19"/>
      <c r="K278" s="19"/>
      <c r="L278" s="19"/>
      <c r="M278" s="19"/>
      <c r="N278" s="19"/>
      <c r="O278" s="19"/>
      <c r="P278"/>
      <c r="Q278" s="19"/>
      <c r="R278" s="19"/>
    </row>
    <row r="279" spans="1:18" ht="40.200000000000003">
      <c r="A279" s="19">
        <v>241</v>
      </c>
      <c r="B279" s="20" t="s">
        <v>739</v>
      </c>
      <c r="C279" s="50" t="s">
        <v>740</v>
      </c>
      <c r="D279" s="31"/>
      <c r="E279" s="22"/>
      <c r="F279" s="41"/>
      <c r="G279" s="19"/>
      <c r="H279" s="19"/>
      <c r="I279" s="19"/>
      <c r="J279" s="19"/>
      <c r="K279" s="19"/>
      <c r="L279" s="19"/>
      <c r="M279" s="19"/>
      <c r="N279" s="19"/>
      <c r="O279" s="19"/>
      <c r="P279"/>
      <c r="Q279" s="19"/>
      <c r="R279" s="19"/>
    </row>
    <row r="280" spans="1:18" ht="53.4">
      <c r="A280" s="19">
        <v>242</v>
      </c>
      <c r="B280" s="48" t="s">
        <v>741</v>
      </c>
      <c r="C280" s="84" t="s">
        <v>742</v>
      </c>
      <c r="D280" s="25"/>
      <c r="E280" s="26" t="s">
        <v>743</v>
      </c>
      <c r="F280" s="49"/>
      <c r="G280" s="25"/>
      <c r="H280" s="27"/>
      <c r="I280" s="21"/>
      <c r="J280" s="28"/>
      <c r="K280" s="28"/>
      <c r="L280" s="28"/>
      <c r="M280" s="28"/>
      <c r="N280" s="28"/>
      <c r="O280" s="28"/>
      <c r="P280"/>
      <c r="Q280" s="28"/>
      <c r="R280" s="28"/>
    </row>
    <row r="281" spans="1:18" ht="53.4">
      <c r="A281" s="19">
        <v>243</v>
      </c>
      <c r="B281" s="20" t="s">
        <v>744</v>
      </c>
      <c r="C281" s="84" t="s">
        <v>742</v>
      </c>
      <c r="D281" s="20"/>
      <c r="E281" s="22" t="s">
        <v>745</v>
      </c>
      <c r="F281" s="41"/>
      <c r="G281" s="19"/>
      <c r="H281" s="19"/>
      <c r="I281" s="19"/>
      <c r="J281" s="19"/>
      <c r="K281" s="19"/>
      <c r="L281" s="19"/>
      <c r="M281" s="19"/>
      <c r="N281" s="19"/>
      <c r="O281" s="19"/>
      <c r="P281"/>
      <c r="Q281" s="19"/>
      <c r="R281" s="19"/>
    </row>
    <row r="282" spans="1:18" ht="53.4">
      <c r="A282" s="19">
        <v>244</v>
      </c>
      <c r="B282" s="20" t="s">
        <v>746</v>
      </c>
      <c r="C282" s="84" t="s">
        <v>742</v>
      </c>
      <c r="D282" s="85"/>
      <c r="E282" s="86" t="s">
        <v>747</v>
      </c>
      <c r="F282" s="49"/>
      <c r="G282" s="25"/>
      <c r="H282" s="27"/>
      <c r="I282" s="21"/>
      <c r="J282" s="28"/>
      <c r="K282" s="28"/>
      <c r="L282" s="28"/>
      <c r="M282" s="28"/>
      <c r="N282" s="28"/>
      <c r="O282" s="28"/>
      <c r="P282"/>
      <c r="Q282" s="28"/>
      <c r="R282" s="28"/>
    </row>
    <row r="283" spans="1:18" ht="39.6">
      <c r="A283" s="19">
        <v>245</v>
      </c>
      <c r="B283" s="20" t="s">
        <v>748</v>
      </c>
      <c r="C283" s="21" t="s">
        <v>749</v>
      </c>
      <c r="D283" s="20"/>
      <c r="E283" s="22" t="s">
        <v>750</v>
      </c>
      <c r="F283" s="41"/>
      <c r="G283" s="19"/>
      <c r="H283" s="19">
        <f>1.2+1+1.4+0.8+1+2.2</f>
        <v>7.6000000000000005</v>
      </c>
      <c r="I283" s="19"/>
      <c r="J283" s="19"/>
      <c r="K283" s="19"/>
      <c r="L283" s="19"/>
      <c r="M283" s="19"/>
      <c r="N283" s="19"/>
      <c r="O283" s="19"/>
      <c r="P283"/>
      <c r="Q283" s="19"/>
      <c r="R283" s="19"/>
    </row>
    <row r="284" spans="1:18" ht="39.6">
      <c r="A284" s="19">
        <v>246</v>
      </c>
      <c r="B284" s="20" t="s">
        <v>751</v>
      </c>
      <c r="C284" s="21" t="s">
        <v>749</v>
      </c>
      <c r="D284" s="20"/>
      <c r="E284" s="22" t="s">
        <v>752</v>
      </c>
      <c r="F284" s="41"/>
      <c r="G284" s="19"/>
      <c r="H284" s="19"/>
      <c r="I284" s="19"/>
      <c r="J284" s="19"/>
      <c r="K284" s="19"/>
      <c r="L284" s="19"/>
      <c r="M284" s="19"/>
      <c r="N284" s="19"/>
      <c r="O284" s="19"/>
      <c r="P284"/>
      <c r="Q284" s="19"/>
      <c r="R284" s="19"/>
    </row>
    <row r="285" spans="1:18" ht="52.8">
      <c r="A285" s="19">
        <v>247</v>
      </c>
      <c r="B285" s="20" t="s">
        <v>753</v>
      </c>
      <c r="C285" s="87" t="s">
        <v>742</v>
      </c>
      <c r="D285" s="54"/>
      <c r="E285" s="88" t="s">
        <v>754</v>
      </c>
      <c r="F285" s="34" t="s">
        <v>755</v>
      </c>
      <c r="G285" s="35"/>
      <c r="H285" s="35"/>
      <c r="I285" s="35"/>
      <c r="J285" s="35"/>
      <c r="K285" s="35"/>
      <c r="L285" s="35">
        <f>1.4+0.8+5+0.6+1.2+1.2+0.4+3+1.8+2.8+2.8+3.6+1.4+2.2+2.6+3.6+1.8</f>
        <v>36.199999999999996</v>
      </c>
      <c r="M285" s="35"/>
      <c r="N285" s="35"/>
      <c r="O285" s="35"/>
      <c r="P285"/>
      <c r="Q285" s="36"/>
      <c r="R285" s="19"/>
    </row>
    <row r="286" spans="1:18" ht="52.8">
      <c r="A286" s="19">
        <v>248</v>
      </c>
      <c r="B286" s="20" t="s">
        <v>756</v>
      </c>
      <c r="C286" s="87" t="s">
        <v>742</v>
      </c>
      <c r="D286" s="54" t="s">
        <v>757</v>
      </c>
      <c r="E286" s="88" t="s">
        <v>758</v>
      </c>
      <c r="F286" s="41"/>
      <c r="G286" s="19"/>
      <c r="H286" s="19"/>
      <c r="I286" s="19"/>
      <c r="J286" s="19">
        <f>11.4+11.8+11.4+7.2+8.2</f>
        <v>50</v>
      </c>
      <c r="K286" s="19"/>
      <c r="L286" s="19"/>
      <c r="M286" s="19"/>
      <c r="N286" s="19"/>
      <c r="O286" s="19"/>
      <c r="P286"/>
      <c r="Q286" s="19"/>
      <c r="R286" s="19"/>
    </row>
    <row r="287" spans="1:18" ht="52.8">
      <c r="A287" s="19">
        <v>249</v>
      </c>
      <c r="B287" s="20" t="s">
        <v>759</v>
      </c>
      <c r="C287" s="87" t="s">
        <v>742</v>
      </c>
      <c r="D287" s="20"/>
      <c r="E287" s="22" t="s">
        <v>760</v>
      </c>
      <c r="F287" s="41"/>
      <c r="G287" s="19"/>
      <c r="H287" s="19"/>
      <c r="I287" s="19"/>
      <c r="J287" s="19"/>
      <c r="K287" s="19"/>
      <c r="L287" s="19"/>
      <c r="M287" s="19"/>
      <c r="N287" s="19"/>
      <c r="O287" s="19"/>
      <c r="P287"/>
      <c r="Q287" s="19"/>
      <c r="R287" s="19"/>
    </row>
    <row r="288" spans="1:18" ht="39.6">
      <c r="A288" s="19">
        <v>250</v>
      </c>
      <c r="B288" s="20" t="s">
        <v>761</v>
      </c>
      <c r="C288" s="21" t="s">
        <v>680</v>
      </c>
      <c r="D288" s="20"/>
      <c r="E288" s="22" t="s">
        <v>2686</v>
      </c>
      <c r="F288" s="41"/>
      <c r="G288" s="19"/>
      <c r="H288" s="19"/>
      <c r="I288" s="19"/>
      <c r="J288" s="19"/>
      <c r="K288" s="19"/>
      <c r="L288" s="19"/>
      <c r="M288" s="19"/>
      <c r="N288" s="19"/>
      <c r="O288" s="19"/>
      <c r="P288"/>
      <c r="Q288" s="19"/>
      <c r="R288" s="19"/>
    </row>
    <row r="289" spans="1:18" ht="39.6">
      <c r="A289" s="19">
        <v>251</v>
      </c>
      <c r="B289" s="20" t="s">
        <v>762</v>
      </c>
      <c r="C289" s="21" t="s">
        <v>763</v>
      </c>
      <c r="D289" s="20"/>
      <c r="E289" s="22" t="s">
        <v>764</v>
      </c>
      <c r="F289" s="41"/>
      <c r="G289" s="19"/>
      <c r="H289" s="19"/>
      <c r="I289" s="19"/>
      <c r="J289" s="19"/>
      <c r="K289" s="19"/>
      <c r="L289" s="19"/>
      <c r="M289" s="19"/>
      <c r="N289" s="19"/>
      <c r="O289" s="19"/>
      <c r="P289"/>
      <c r="Q289" s="19"/>
      <c r="R289" s="19"/>
    </row>
    <row r="290" spans="1:18" ht="52.8">
      <c r="A290" s="19">
        <v>252</v>
      </c>
      <c r="B290" s="20" t="s">
        <v>2624</v>
      </c>
      <c r="C290" s="21" t="s">
        <v>2625</v>
      </c>
      <c r="D290" s="20"/>
      <c r="E290" s="22" t="s">
        <v>765</v>
      </c>
      <c r="F290" s="41"/>
      <c r="G290" s="19"/>
      <c r="H290" s="19"/>
      <c r="I290" s="19"/>
      <c r="J290" s="19"/>
      <c r="K290" s="19"/>
      <c r="L290" s="19"/>
      <c r="M290" s="19"/>
      <c r="N290" s="19"/>
      <c r="O290" s="19"/>
      <c r="P290"/>
      <c r="Q290" s="19"/>
      <c r="R290" s="19"/>
    </row>
    <row r="291" spans="1:18" ht="52.8">
      <c r="A291" s="19"/>
      <c r="B291" s="20" t="s">
        <v>2687</v>
      </c>
      <c r="C291" s="21" t="s">
        <v>2688</v>
      </c>
      <c r="D291" s="20"/>
      <c r="E291" s="22"/>
      <c r="F291" s="41"/>
      <c r="G291" s="19"/>
      <c r="H291" s="19"/>
      <c r="I291" s="19"/>
      <c r="J291" s="19"/>
      <c r="K291" s="19"/>
      <c r="L291" s="19"/>
      <c r="M291" s="19"/>
      <c r="N291" s="19"/>
      <c r="O291" s="19"/>
      <c r="P291"/>
      <c r="Q291" s="19"/>
      <c r="R291" s="19"/>
    </row>
    <row r="292" spans="1:18" ht="39.6">
      <c r="A292" s="19"/>
      <c r="B292" s="20" t="s">
        <v>2689</v>
      </c>
      <c r="C292" s="21" t="s">
        <v>2690</v>
      </c>
      <c r="D292" s="20"/>
      <c r="E292" s="22" t="s">
        <v>2691</v>
      </c>
      <c r="F292" s="41"/>
      <c r="G292" s="19"/>
      <c r="H292" s="19"/>
      <c r="I292" s="19"/>
      <c r="J292" s="19"/>
      <c r="K292" s="19"/>
      <c r="L292" s="19"/>
      <c r="M292" s="19"/>
      <c r="N292" s="19"/>
      <c r="O292" s="19"/>
      <c r="P292"/>
      <c r="Q292" s="19"/>
      <c r="R292" s="19"/>
    </row>
    <row r="293" spans="1:18" ht="39.6">
      <c r="A293" s="19">
        <v>253</v>
      </c>
      <c r="B293" s="20" t="s">
        <v>766</v>
      </c>
      <c r="C293" s="21" t="s">
        <v>767</v>
      </c>
      <c r="D293" s="20"/>
      <c r="E293" s="22" t="s">
        <v>768</v>
      </c>
      <c r="F293" s="41"/>
      <c r="G293" s="19"/>
      <c r="H293" s="19"/>
      <c r="I293" s="19"/>
      <c r="J293" s="19"/>
      <c r="K293" s="19"/>
      <c r="L293" s="19"/>
      <c r="M293" s="19"/>
      <c r="N293" s="19"/>
      <c r="O293" s="19"/>
      <c r="P293"/>
      <c r="Q293" s="19"/>
      <c r="R293" s="19"/>
    </row>
    <row r="294" spans="1:18" ht="79.2">
      <c r="A294" s="19">
        <v>254</v>
      </c>
      <c r="B294" s="20" t="s">
        <v>769</v>
      </c>
      <c r="C294" s="21" t="s">
        <v>770</v>
      </c>
      <c r="D294" s="20"/>
      <c r="E294" s="22" t="s">
        <v>771</v>
      </c>
      <c r="F294" s="41"/>
      <c r="G294" s="19"/>
      <c r="H294" s="19"/>
      <c r="I294" s="19"/>
      <c r="J294" s="19"/>
      <c r="K294" s="19"/>
      <c r="L294" s="19"/>
      <c r="M294" s="19"/>
      <c r="N294" s="19"/>
      <c r="O294" s="19"/>
      <c r="P294"/>
      <c r="Q294" s="19"/>
      <c r="R294" s="19"/>
    </row>
    <row r="295" spans="1:18" ht="26.4">
      <c r="A295" s="19">
        <v>255</v>
      </c>
      <c r="B295" s="20" t="s">
        <v>772</v>
      </c>
      <c r="C295" s="21" t="s">
        <v>773</v>
      </c>
      <c r="D295" s="20" t="s">
        <v>774</v>
      </c>
      <c r="E295" s="22" t="s">
        <v>775</v>
      </c>
      <c r="F295" s="41"/>
      <c r="G295" s="19"/>
      <c r="H295" s="19"/>
      <c r="I295" s="19"/>
      <c r="J295" s="19"/>
      <c r="K295" s="19"/>
      <c r="L295" s="19"/>
      <c r="M295" s="19"/>
      <c r="N295" s="19"/>
      <c r="O295" s="19"/>
      <c r="P295"/>
      <c r="Q295" s="19"/>
      <c r="R295" s="19"/>
    </row>
    <row r="296" spans="1:18" ht="66">
      <c r="A296" s="19">
        <v>256</v>
      </c>
      <c r="B296" s="20" t="s">
        <v>776</v>
      </c>
      <c r="C296" s="28" t="s">
        <v>777</v>
      </c>
      <c r="D296" s="28"/>
      <c r="E296" s="28" t="s">
        <v>778</v>
      </c>
      <c r="F296" s="53"/>
      <c r="G296" s="28"/>
      <c r="H296" s="28"/>
      <c r="I296" s="28"/>
      <c r="J296" s="28"/>
      <c r="K296" s="28"/>
      <c r="L296" s="28"/>
      <c r="M296" s="28"/>
      <c r="N296" s="28"/>
      <c r="O296" s="19"/>
      <c r="P296"/>
      <c r="Q296" s="19"/>
      <c r="R296" s="19"/>
    </row>
    <row r="297" spans="1:18" ht="26.4">
      <c r="A297" s="19">
        <v>257</v>
      </c>
      <c r="B297" s="20" t="s">
        <v>779</v>
      </c>
      <c r="C297" s="21" t="s">
        <v>629</v>
      </c>
      <c r="D297" s="20"/>
      <c r="E297" s="22" t="s">
        <v>780</v>
      </c>
      <c r="F297" s="41"/>
      <c r="G297" s="19"/>
      <c r="H297" s="19"/>
      <c r="I297" s="19"/>
      <c r="J297" s="19"/>
      <c r="K297" s="19"/>
      <c r="L297" s="19"/>
      <c r="M297" s="19"/>
      <c r="N297" s="19"/>
      <c r="O297" s="19"/>
      <c r="P297"/>
      <c r="Q297" s="19"/>
      <c r="R297" s="19"/>
    </row>
    <row r="298" spans="1:18" ht="52.8">
      <c r="A298" s="19">
        <v>258</v>
      </c>
      <c r="B298" s="20" t="s">
        <v>2930</v>
      </c>
      <c r="C298" s="21" t="s">
        <v>781</v>
      </c>
      <c r="D298" s="20"/>
      <c r="E298" s="83" t="s">
        <v>2975</v>
      </c>
      <c r="F298" s="74" t="s">
        <v>365</v>
      </c>
      <c r="G298" s="21" t="s">
        <v>782</v>
      </c>
      <c r="H298" s="19"/>
      <c r="I298" s="19"/>
      <c r="J298" s="19"/>
      <c r="K298" s="19"/>
      <c r="L298" s="19"/>
      <c r="M298" s="19"/>
      <c r="N298" s="19"/>
      <c r="O298" s="19"/>
      <c r="P298"/>
      <c r="Q298" s="19"/>
      <c r="R298" s="19"/>
    </row>
    <row r="299" spans="1:18" ht="52.8">
      <c r="A299" s="19"/>
      <c r="B299" s="20" t="s">
        <v>2929</v>
      </c>
      <c r="C299" s="21" t="s">
        <v>781</v>
      </c>
      <c r="D299" s="20"/>
      <c r="E299" s="83" t="s">
        <v>2979</v>
      </c>
      <c r="F299" s="74"/>
      <c r="G299" s="21"/>
      <c r="H299" s="19"/>
      <c r="I299" s="19"/>
      <c r="J299" s="19"/>
      <c r="K299" s="19"/>
      <c r="L299" s="19"/>
      <c r="M299" s="19"/>
      <c r="N299" s="19"/>
      <c r="O299" s="19"/>
      <c r="P299"/>
      <c r="Q299" s="19"/>
      <c r="R299" s="19"/>
    </row>
    <row r="300" spans="1:18" ht="52.8">
      <c r="A300" s="19"/>
      <c r="B300" s="20" t="s">
        <v>2931</v>
      </c>
      <c r="C300" s="21" t="s">
        <v>781</v>
      </c>
      <c r="D300" s="20"/>
      <c r="E300" s="83" t="s">
        <v>2980</v>
      </c>
      <c r="F300" s="74"/>
      <c r="G300" s="21"/>
      <c r="H300" s="19"/>
      <c r="I300" s="19"/>
      <c r="J300" s="19"/>
      <c r="K300" s="19"/>
      <c r="L300" s="19"/>
      <c r="M300" s="19"/>
      <c r="N300" s="19"/>
      <c r="O300" s="19"/>
      <c r="P300"/>
      <c r="Q300" s="19"/>
      <c r="R300" s="19"/>
    </row>
    <row r="301" spans="1:18" ht="52.8">
      <c r="A301" s="19"/>
      <c r="B301" s="20" t="s">
        <v>2938</v>
      </c>
      <c r="C301" s="21" t="s">
        <v>781</v>
      </c>
      <c r="D301" s="20"/>
      <c r="E301" s="83" t="s">
        <v>2978</v>
      </c>
      <c r="F301" s="74"/>
      <c r="G301" s="21"/>
      <c r="H301" s="19"/>
      <c r="I301" s="19"/>
      <c r="J301" s="19"/>
      <c r="K301" s="19"/>
      <c r="L301" s="19"/>
      <c r="M301" s="19"/>
      <c r="N301" s="19"/>
      <c r="O301" s="19"/>
      <c r="P301"/>
      <c r="Q301" s="19"/>
      <c r="R301" s="19"/>
    </row>
    <row r="302" spans="1:18" ht="52.8">
      <c r="A302" s="19">
        <v>259</v>
      </c>
      <c r="B302" s="20" t="s">
        <v>783</v>
      </c>
      <c r="C302" s="21" t="s">
        <v>781</v>
      </c>
      <c r="D302" s="20"/>
      <c r="E302" s="83" t="s">
        <v>784</v>
      </c>
      <c r="F302" s="74"/>
      <c r="G302" s="21"/>
      <c r="H302" s="19"/>
      <c r="I302" s="19"/>
      <c r="J302" s="19"/>
      <c r="K302" s="19"/>
      <c r="L302" s="19"/>
      <c r="M302" s="19"/>
      <c r="N302" s="19"/>
      <c r="O302" s="19"/>
      <c r="P302"/>
      <c r="Q302" s="19"/>
      <c r="R302" s="19"/>
    </row>
    <row r="303" spans="1:18" ht="26.4">
      <c r="A303" s="19">
        <v>260</v>
      </c>
      <c r="B303" s="20" t="s">
        <v>785</v>
      </c>
      <c r="C303" s="89" t="s">
        <v>786</v>
      </c>
      <c r="D303" s="20"/>
      <c r="E303" s="89" t="s">
        <v>787</v>
      </c>
      <c r="F303" s="41"/>
      <c r="G303" s="19"/>
      <c r="H303" s="19"/>
      <c r="I303" s="19"/>
      <c r="J303" s="19"/>
      <c r="K303" s="19"/>
      <c r="L303" s="19"/>
      <c r="M303" s="19"/>
      <c r="N303" s="19"/>
      <c r="O303" s="19"/>
      <c r="P303"/>
      <c r="Q303" s="19"/>
      <c r="R303" s="19"/>
    </row>
    <row r="304" spans="1:18" ht="39.6">
      <c r="A304" s="19">
        <v>261</v>
      </c>
      <c r="B304" s="20" t="s">
        <v>788</v>
      </c>
      <c r="C304" s="90" t="s">
        <v>789</v>
      </c>
      <c r="D304" s="20" t="s">
        <v>493</v>
      </c>
      <c r="E304" s="22" t="s">
        <v>790</v>
      </c>
      <c r="F304" s="41"/>
      <c r="G304" s="19"/>
      <c r="H304" s="19"/>
      <c r="I304" s="19"/>
      <c r="J304" s="19"/>
      <c r="K304" s="19"/>
      <c r="L304" s="19"/>
      <c r="M304" s="19"/>
      <c r="N304" s="19"/>
      <c r="O304" s="19"/>
      <c r="P304"/>
      <c r="Q304" s="19"/>
      <c r="R304" s="19"/>
    </row>
    <row r="305" spans="1:18" ht="52.8">
      <c r="A305" s="19">
        <v>262</v>
      </c>
      <c r="B305" s="20" t="s">
        <v>791</v>
      </c>
      <c r="C305" s="21" t="s">
        <v>792</v>
      </c>
      <c r="D305" s="20"/>
      <c r="E305" s="22" t="s">
        <v>793</v>
      </c>
      <c r="F305" s="41"/>
      <c r="G305" s="19"/>
      <c r="H305" s="19"/>
      <c r="I305" s="19"/>
      <c r="J305" s="19"/>
      <c r="K305" s="19"/>
      <c r="L305" s="19"/>
      <c r="M305" s="19"/>
      <c r="N305" s="19"/>
      <c r="O305" s="19"/>
      <c r="P305"/>
      <c r="Q305" s="19"/>
      <c r="R305" s="19"/>
    </row>
    <row r="306" spans="1:18" ht="79.2">
      <c r="A306" s="19">
        <v>263</v>
      </c>
      <c r="B306" s="20" t="s">
        <v>794</v>
      </c>
      <c r="C306" s="21" t="s">
        <v>795</v>
      </c>
      <c r="D306" s="20" t="s">
        <v>2958</v>
      </c>
      <c r="E306" s="22" t="s">
        <v>796</v>
      </c>
      <c r="P306"/>
    </row>
    <row r="307" spans="1:18" ht="39.6">
      <c r="A307" s="19">
        <v>264</v>
      </c>
      <c r="B307" s="20" t="s">
        <v>797</v>
      </c>
      <c r="C307" s="21" t="s">
        <v>798</v>
      </c>
      <c r="D307" s="20" t="s">
        <v>531</v>
      </c>
      <c r="E307" s="22" t="s">
        <v>799</v>
      </c>
      <c r="F307" s="91"/>
      <c r="G307" s="18"/>
      <c r="H307" s="18"/>
      <c r="I307" s="18"/>
      <c r="J307" s="18"/>
      <c r="K307" s="18"/>
      <c r="L307" s="18"/>
      <c r="M307" s="18"/>
      <c r="N307" s="18"/>
      <c r="O307" s="18"/>
      <c r="P307"/>
      <c r="Q307" s="18"/>
      <c r="R307" s="18"/>
    </row>
    <row r="308" spans="1:18" ht="39.6">
      <c r="A308" s="19">
        <v>265</v>
      </c>
      <c r="B308" s="20" t="s">
        <v>800</v>
      </c>
      <c r="C308" s="21" t="s">
        <v>798</v>
      </c>
      <c r="D308" s="20"/>
      <c r="E308" s="92" t="s">
        <v>801</v>
      </c>
      <c r="F308" s="91"/>
      <c r="G308" s="18"/>
      <c r="H308" s="18"/>
      <c r="I308" s="18"/>
      <c r="J308" s="18"/>
      <c r="K308" s="18"/>
      <c r="L308" s="18"/>
      <c r="M308" s="18"/>
      <c r="N308" s="18"/>
      <c r="O308" s="18"/>
      <c r="P308"/>
      <c r="Q308" s="18"/>
      <c r="R308" s="18"/>
    </row>
    <row r="309" spans="1:18" ht="39.6">
      <c r="A309" s="19">
        <v>266</v>
      </c>
      <c r="B309" s="20" t="s">
        <v>802</v>
      </c>
      <c r="C309" s="21" t="s">
        <v>803</v>
      </c>
      <c r="D309" s="20" t="s">
        <v>804</v>
      </c>
      <c r="E309" s="22" t="s">
        <v>805</v>
      </c>
      <c r="P309"/>
    </row>
    <row r="310" spans="1:18" ht="39.6">
      <c r="A310" s="19">
        <v>267</v>
      </c>
      <c r="B310" s="20" t="s">
        <v>806</v>
      </c>
      <c r="C310" s="21" t="s">
        <v>798</v>
      </c>
      <c r="D310" s="20"/>
      <c r="E310" s="22" t="s">
        <v>807</v>
      </c>
      <c r="F310" s="91"/>
      <c r="G310" s="18"/>
      <c r="H310" s="18"/>
      <c r="I310" s="18"/>
      <c r="J310" s="18"/>
      <c r="K310" s="18"/>
      <c r="L310" s="18"/>
      <c r="M310" s="18"/>
      <c r="N310" s="18"/>
      <c r="O310" s="18"/>
      <c r="P310"/>
      <c r="Q310" s="18"/>
      <c r="R310" s="18"/>
    </row>
    <row r="311" spans="1:18" ht="52.8">
      <c r="A311" s="19">
        <v>268</v>
      </c>
      <c r="B311" s="20" t="s">
        <v>808</v>
      </c>
      <c r="C311" s="21" t="s">
        <v>809</v>
      </c>
      <c r="D311" s="20"/>
      <c r="E311" s="22" t="s">
        <v>810</v>
      </c>
      <c r="P311"/>
    </row>
    <row r="312" spans="1:18" ht="66">
      <c r="A312" s="19">
        <v>269</v>
      </c>
      <c r="B312" s="20" t="s">
        <v>811</v>
      </c>
      <c r="C312" s="21" t="s">
        <v>812</v>
      </c>
      <c r="D312" s="20" t="s">
        <v>774</v>
      </c>
      <c r="E312" s="22" t="s">
        <v>813</v>
      </c>
      <c r="P312"/>
    </row>
    <row r="313" spans="1:18" ht="52.8">
      <c r="A313" s="19">
        <v>270</v>
      </c>
      <c r="B313" s="20" t="s">
        <v>814</v>
      </c>
      <c r="C313" s="21" t="s">
        <v>815</v>
      </c>
      <c r="D313" s="20"/>
      <c r="E313" s="22"/>
      <c r="F313" s="91"/>
      <c r="G313" s="18"/>
      <c r="H313" s="18"/>
      <c r="I313" s="18"/>
      <c r="J313" s="18"/>
      <c r="K313" s="18"/>
      <c r="L313" s="18"/>
      <c r="M313" s="18"/>
      <c r="N313" s="18"/>
      <c r="O313" s="18"/>
      <c r="P313"/>
      <c r="Q313" s="18"/>
      <c r="R313" s="18"/>
    </row>
    <row r="314" spans="1:18" ht="39.6">
      <c r="A314" s="19">
        <v>271</v>
      </c>
      <c r="B314" s="20" t="s">
        <v>816</v>
      </c>
      <c r="C314" s="21" t="s">
        <v>817</v>
      </c>
      <c r="D314" s="20" t="s">
        <v>818</v>
      </c>
      <c r="E314" s="22" t="s">
        <v>819</v>
      </c>
      <c r="P314"/>
    </row>
    <row r="315" spans="1:18" ht="26.4">
      <c r="A315" s="19">
        <v>272</v>
      </c>
      <c r="B315" s="20" t="s">
        <v>820</v>
      </c>
      <c r="C315" s="21" t="s">
        <v>821</v>
      </c>
      <c r="D315" s="20" t="s">
        <v>818</v>
      </c>
      <c r="E315" s="22"/>
      <c r="P315"/>
    </row>
    <row r="316" spans="1:18" ht="52.8">
      <c r="A316" s="19">
        <v>273</v>
      </c>
      <c r="B316" s="20" t="s">
        <v>822</v>
      </c>
      <c r="C316" s="21" t="s">
        <v>823</v>
      </c>
      <c r="D316" s="20"/>
      <c r="E316" s="22" t="s">
        <v>824</v>
      </c>
      <c r="P316"/>
    </row>
    <row r="317" spans="1:18" ht="26.4">
      <c r="A317" s="19">
        <v>274</v>
      </c>
      <c r="B317" s="20" t="s">
        <v>825</v>
      </c>
      <c r="C317" s="21" t="s">
        <v>821</v>
      </c>
      <c r="D317" s="20" t="s">
        <v>818</v>
      </c>
      <c r="E317" s="22" t="s">
        <v>826</v>
      </c>
      <c r="H317" s="93" t="s">
        <v>827</v>
      </c>
      <c r="P317"/>
    </row>
    <row r="318" spans="1:18" ht="39.6">
      <c r="A318" s="19">
        <v>275</v>
      </c>
      <c r="B318" s="20" t="s">
        <v>828</v>
      </c>
      <c r="C318" s="21" t="s">
        <v>829</v>
      </c>
      <c r="D318" s="20"/>
      <c r="E318" s="22" t="s">
        <v>830</v>
      </c>
      <c r="P318"/>
    </row>
    <row r="319" spans="1:18" ht="52.8">
      <c r="A319" s="19">
        <v>276</v>
      </c>
      <c r="B319" s="20" t="s">
        <v>831</v>
      </c>
      <c r="C319" s="21" t="s">
        <v>832</v>
      </c>
      <c r="D319" s="20" t="s">
        <v>833</v>
      </c>
      <c r="E319" s="22" t="s">
        <v>834</v>
      </c>
      <c r="P319"/>
    </row>
    <row r="320" spans="1:18" ht="52.8">
      <c r="A320" s="19">
        <v>277</v>
      </c>
      <c r="B320" s="20" t="s">
        <v>835</v>
      </c>
      <c r="C320" s="28" t="s">
        <v>836</v>
      </c>
      <c r="D320" s="28"/>
      <c r="E320" s="59" t="s">
        <v>837</v>
      </c>
      <c r="F320" s="94"/>
      <c r="G320" s="94"/>
      <c r="H320" s="94"/>
      <c r="I320" s="94"/>
      <c r="J320" s="94"/>
      <c r="K320" s="94"/>
      <c r="L320" s="94"/>
      <c r="M320" s="94"/>
      <c r="N320" s="94"/>
      <c r="O320" s="94"/>
      <c r="P320"/>
    </row>
    <row r="321" spans="1:18" ht="52.8">
      <c r="A321" s="19">
        <v>278</v>
      </c>
      <c r="B321" s="20" t="s">
        <v>838</v>
      </c>
      <c r="C321" s="23" t="s">
        <v>839</v>
      </c>
      <c r="D321" s="20" t="s">
        <v>2996</v>
      </c>
      <c r="E321" s="22" t="s">
        <v>840</v>
      </c>
      <c r="F321" s="91" t="s">
        <v>365</v>
      </c>
      <c r="G321" s="18" t="s">
        <v>841</v>
      </c>
      <c r="H321" s="18"/>
      <c r="I321" s="18"/>
      <c r="J321" s="18"/>
      <c r="K321" s="18"/>
      <c r="L321" s="18"/>
      <c r="M321" s="18"/>
      <c r="N321" s="18"/>
      <c r="O321" s="18"/>
      <c r="P321"/>
      <c r="Q321" s="18"/>
      <c r="R321" s="18"/>
    </row>
    <row r="322" spans="1:18" ht="39.6">
      <c r="A322" s="19"/>
      <c r="B322" s="20" t="s">
        <v>2662</v>
      </c>
      <c r="C322" s="23" t="s">
        <v>2663</v>
      </c>
      <c r="D322" s="20"/>
      <c r="E322" s="22"/>
      <c r="F322" s="91"/>
      <c r="G322" s="18"/>
      <c r="H322" s="18"/>
      <c r="I322" s="18"/>
      <c r="J322" s="18"/>
      <c r="K322" s="18"/>
      <c r="L322" s="18"/>
      <c r="M322" s="18"/>
      <c r="N322" s="18"/>
      <c r="O322" s="18"/>
      <c r="P322"/>
      <c r="Q322" s="18"/>
      <c r="R322" s="18"/>
    </row>
    <row r="323" spans="1:18" ht="52.8">
      <c r="A323" s="19">
        <v>279</v>
      </c>
      <c r="B323" s="20" t="s">
        <v>842</v>
      </c>
      <c r="C323" s="21" t="s">
        <v>843</v>
      </c>
      <c r="D323" s="20" t="s">
        <v>844</v>
      </c>
      <c r="E323" s="22" t="s">
        <v>845</v>
      </c>
      <c r="F323" s="95"/>
      <c r="G323" s="18"/>
      <c r="H323" s="18"/>
      <c r="I323" s="18"/>
      <c r="J323" s="18"/>
      <c r="K323" s="18"/>
      <c r="L323" s="18"/>
      <c r="M323" s="18"/>
      <c r="N323" s="18"/>
      <c r="O323" s="18"/>
      <c r="P323"/>
      <c r="Q323" s="18"/>
      <c r="R323" s="18"/>
    </row>
    <row r="324" spans="1:18" ht="66">
      <c r="A324" s="19"/>
      <c r="B324" s="20" t="s">
        <v>2904</v>
      </c>
      <c r="C324" s="23" t="s">
        <v>839</v>
      </c>
      <c r="D324" s="20" t="s">
        <v>2997</v>
      </c>
      <c r="E324" s="22"/>
      <c r="F324" s="95"/>
      <c r="G324" s="18"/>
      <c r="H324" s="18"/>
      <c r="I324" s="18"/>
      <c r="J324" s="18"/>
      <c r="K324" s="18"/>
      <c r="L324" s="18"/>
      <c r="M324" s="18"/>
      <c r="N324" s="18"/>
      <c r="O324" s="18"/>
      <c r="P324"/>
      <c r="Q324" s="18"/>
      <c r="R324" s="18"/>
    </row>
    <row r="325" spans="1:18" ht="66">
      <c r="A325" s="19"/>
      <c r="B325" s="20" t="s">
        <v>2903</v>
      </c>
      <c r="C325" s="21" t="s">
        <v>843</v>
      </c>
      <c r="D325" s="20" t="s">
        <v>2997</v>
      </c>
      <c r="E325" s="22"/>
      <c r="F325" s="95"/>
      <c r="G325" s="18"/>
      <c r="H325" s="18"/>
      <c r="I325" s="18"/>
      <c r="J325" s="18"/>
      <c r="K325" s="18"/>
      <c r="L325" s="18"/>
      <c r="M325" s="18"/>
      <c r="N325" s="18"/>
      <c r="O325" s="18"/>
      <c r="P325"/>
      <c r="Q325" s="18"/>
      <c r="R325" s="18"/>
    </row>
    <row r="326" spans="1:18" ht="66">
      <c r="A326" s="19"/>
      <c r="B326" s="20" t="s">
        <v>2998</v>
      </c>
      <c r="C326" s="21" t="s">
        <v>843</v>
      </c>
      <c r="D326" s="20" t="s">
        <v>2997</v>
      </c>
      <c r="E326" s="22"/>
      <c r="F326" s="95"/>
      <c r="G326" s="18"/>
      <c r="H326" s="18"/>
      <c r="I326" s="18"/>
      <c r="J326" s="18"/>
      <c r="K326" s="18"/>
      <c r="L326" s="18"/>
      <c r="M326" s="18"/>
      <c r="N326" s="18"/>
      <c r="O326" s="18"/>
      <c r="P326"/>
      <c r="Q326" s="18"/>
      <c r="R326" s="18"/>
    </row>
    <row r="327" spans="1:18" ht="66">
      <c r="A327" s="19"/>
      <c r="B327" s="20" t="s">
        <v>2902</v>
      </c>
      <c r="C327" s="21" t="s">
        <v>843</v>
      </c>
      <c r="D327" s="20" t="s">
        <v>2997</v>
      </c>
      <c r="E327" s="22"/>
      <c r="F327" s="95"/>
      <c r="G327" s="18"/>
      <c r="H327" s="18"/>
      <c r="I327" s="18"/>
      <c r="J327" s="18"/>
      <c r="K327" s="18"/>
      <c r="L327" s="18"/>
      <c r="M327" s="18"/>
      <c r="N327" s="18"/>
      <c r="O327" s="18"/>
      <c r="P327"/>
      <c r="Q327" s="18"/>
      <c r="R327" s="18"/>
    </row>
    <row r="328" spans="1:18" ht="66">
      <c r="A328" s="19">
        <v>280</v>
      </c>
      <c r="B328" s="20" t="s">
        <v>846</v>
      </c>
      <c r="C328" s="21" t="s">
        <v>847</v>
      </c>
      <c r="D328" s="20" t="s">
        <v>456</v>
      </c>
      <c r="E328" s="43" t="s">
        <v>848</v>
      </c>
      <c r="P328"/>
    </row>
    <row r="329" spans="1:18" ht="92.4">
      <c r="A329" s="19">
        <v>281</v>
      </c>
      <c r="B329" s="39" t="s">
        <v>849</v>
      </c>
      <c r="C329" s="96" t="s">
        <v>850</v>
      </c>
      <c r="D329" s="20"/>
      <c r="E329" s="22" t="s">
        <v>851</v>
      </c>
      <c r="F329" s="97" t="s">
        <v>852</v>
      </c>
      <c r="G329" s="18"/>
      <c r="H329" s="18"/>
      <c r="I329" s="18"/>
      <c r="J329" s="18"/>
      <c r="K329" s="18"/>
      <c r="L329" s="18"/>
      <c r="M329" s="18"/>
      <c r="N329" s="18"/>
      <c r="O329" s="18"/>
      <c r="P329"/>
      <c r="Q329" s="18"/>
      <c r="R329" s="18"/>
    </row>
    <row r="330" spans="1:18" ht="52.8">
      <c r="A330" s="19">
        <v>282</v>
      </c>
      <c r="B330" s="39" t="s">
        <v>853</v>
      </c>
      <c r="C330" s="39" t="s">
        <v>854</v>
      </c>
      <c r="D330" s="39"/>
      <c r="E330" s="39" t="s">
        <v>855</v>
      </c>
      <c r="F330" s="98"/>
      <c r="G330" s="98"/>
      <c r="H330" s="98"/>
      <c r="I330" s="98"/>
      <c r="J330" s="98"/>
      <c r="K330" s="98"/>
      <c r="L330" s="98"/>
      <c r="M330" s="98"/>
      <c r="N330" s="98"/>
      <c r="O330" s="98"/>
      <c r="P330"/>
      <c r="Q330" s="98"/>
      <c r="R330" s="98"/>
    </row>
    <row r="331" spans="1:18" ht="39.6">
      <c r="A331" s="19">
        <v>283</v>
      </c>
      <c r="B331" s="20" t="s">
        <v>856</v>
      </c>
      <c r="C331" s="21" t="s">
        <v>857</v>
      </c>
      <c r="D331" s="20"/>
      <c r="E331" s="29">
        <v>0</v>
      </c>
      <c r="F331" s="91"/>
      <c r="G331" s="18"/>
      <c r="H331" s="18"/>
      <c r="I331" s="18"/>
      <c r="J331" s="18"/>
      <c r="K331" s="18"/>
      <c r="L331" s="18"/>
      <c r="M331" s="18"/>
      <c r="N331" s="18"/>
      <c r="O331" s="18"/>
      <c r="P331"/>
      <c r="Q331" s="18"/>
      <c r="R331" s="18"/>
    </row>
    <row r="332" spans="1:18" ht="66">
      <c r="A332" s="19">
        <v>284</v>
      </c>
      <c r="B332" s="20" t="s">
        <v>858</v>
      </c>
      <c r="C332" s="21" t="s">
        <v>859</v>
      </c>
      <c r="D332" s="20"/>
      <c r="E332" s="22" t="s">
        <v>860</v>
      </c>
      <c r="P332"/>
    </row>
    <row r="333" spans="1:18" ht="39.6">
      <c r="A333" s="19">
        <v>285</v>
      </c>
      <c r="B333" s="20" t="s">
        <v>861</v>
      </c>
      <c r="C333" s="21" t="s">
        <v>862</v>
      </c>
      <c r="D333" s="20" t="s">
        <v>456</v>
      </c>
      <c r="E333" s="22" t="s">
        <v>863</v>
      </c>
      <c r="P333"/>
    </row>
    <row r="334" spans="1:18" ht="66">
      <c r="A334" s="19">
        <v>286</v>
      </c>
      <c r="B334" s="20" t="s">
        <v>864</v>
      </c>
      <c r="C334" s="21" t="s">
        <v>865</v>
      </c>
      <c r="D334" s="20"/>
      <c r="E334" s="22" t="s">
        <v>866</v>
      </c>
      <c r="P334"/>
    </row>
    <row r="335" spans="1:18" ht="26.4">
      <c r="A335" s="19">
        <v>287</v>
      </c>
      <c r="B335" s="20" t="s">
        <v>867</v>
      </c>
      <c r="C335" s="21" t="s">
        <v>868</v>
      </c>
      <c r="D335" s="20"/>
      <c r="E335" s="22" t="s">
        <v>869</v>
      </c>
      <c r="F335" s="91"/>
      <c r="G335" s="18"/>
      <c r="H335" s="18"/>
      <c r="I335" s="18"/>
      <c r="J335" s="18"/>
      <c r="K335" s="18"/>
      <c r="L335" s="18"/>
      <c r="M335" s="18"/>
      <c r="N335" s="18"/>
      <c r="O335" s="18"/>
      <c r="P335"/>
      <c r="Q335" s="18"/>
      <c r="R335" s="18"/>
    </row>
    <row r="336" spans="1:18" ht="39.6">
      <c r="A336" s="19">
        <v>288</v>
      </c>
      <c r="B336" s="20" t="s">
        <v>867</v>
      </c>
      <c r="C336" s="21" t="s">
        <v>870</v>
      </c>
      <c r="D336" s="20"/>
      <c r="E336" s="22" t="s">
        <v>871</v>
      </c>
      <c r="F336" s="91"/>
      <c r="G336" s="18"/>
      <c r="H336" s="18"/>
      <c r="I336" s="18"/>
      <c r="J336" s="18"/>
      <c r="K336" s="18"/>
      <c r="L336" s="18"/>
      <c r="M336" s="18"/>
      <c r="N336" s="18"/>
      <c r="O336" s="18"/>
      <c r="P336"/>
      <c r="Q336" s="18"/>
      <c r="R336" s="18"/>
    </row>
    <row r="337" spans="1:18" ht="52.8">
      <c r="A337" s="19">
        <v>289</v>
      </c>
      <c r="B337" s="20" t="s">
        <v>872</v>
      </c>
      <c r="C337" s="21" t="s">
        <v>873</v>
      </c>
      <c r="D337" s="20" t="s">
        <v>874</v>
      </c>
      <c r="E337" s="22" t="s">
        <v>875</v>
      </c>
      <c r="P337"/>
    </row>
    <row r="338" spans="1:18" ht="66">
      <c r="A338" s="19">
        <v>290</v>
      </c>
      <c r="B338" s="20" t="s">
        <v>876</v>
      </c>
      <c r="C338" s="21" t="s">
        <v>877</v>
      </c>
      <c r="D338" s="20"/>
      <c r="E338" s="20" t="s">
        <v>878</v>
      </c>
      <c r="P338"/>
    </row>
    <row r="339" spans="1:18" ht="53.4">
      <c r="A339" s="19"/>
      <c r="B339" s="20" t="s">
        <v>2753</v>
      </c>
      <c r="C339" s="234" t="s">
        <v>2754</v>
      </c>
      <c r="D339" s="20"/>
      <c r="E339" s="20"/>
      <c r="P339"/>
    </row>
    <row r="340" spans="1:18" ht="66">
      <c r="A340" s="19">
        <v>291</v>
      </c>
      <c r="B340" s="20" t="s">
        <v>879</v>
      </c>
      <c r="C340" s="21" t="s">
        <v>880</v>
      </c>
      <c r="D340" s="20" t="s">
        <v>2948</v>
      </c>
      <c r="E340" s="22" t="s">
        <v>881</v>
      </c>
      <c r="F340" s="91"/>
      <c r="G340" s="18"/>
      <c r="H340" s="18"/>
      <c r="I340" s="18"/>
      <c r="J340" s="18"/>
      <c r="K340" s="18"/>
      <c r="L340" s="18"/>
      <c r="M340" s="18"/>
      <c r="N340" s="18"/>
      <c r="O340" s="18"/>
      <c r="P340"/>
      <c r="Q340" s="18"/>
      <c r="R340" s="18"/>
    </row>
    <row r="341" spans="1:18" ht="39.6">
      <c r="A341" s="19">
        <v>292</v>
      </c>
      <c r="B341" s="20" t="s">
        <v>882</v>
      </c>
      <c r="C341" s="21" t="s">
        <v>883</v>
      </c>
      <c r="D341" s="20" t="s">
        <v>884</v>
      </c>
      <c r="E341" s="22" t="s">
        <v>885</v>
      </c>
      <c r="P341"/>
    </row>
    <row r="342" spans="1:18" ht="66.599999999999994">
      <c r="A342" s="19">
        <v>293</v>
      </c>
      <c r="B342" s="20" t="s">
        <v>886</v>
      </c>
      <c r="C342" s="50" t="s">
        <v>887</v>
      </c>
      <c r="D342" s="20"/>
      <c r="E342" s="50" t="s">
        <v>888</v>
      </c>
      <c r="F342" s="99"/>
      <c r="G342" s="99"/>
      <c r="H342" s="99"/>
      <c r="I342" s="99"/>
      <c r="J342" s="99"/>
      <c r="K342" s="99"/>
      <c r="L342" s="99"/>
      <c r="M342" s="99"/>
      <c r="N342" s="99"/>
      <c r="O342" s="99"/>
      <c r="P342"/>
    </row>
    <row r="343" spans="1:18" ht="39.6">
      <c r="A343" s="19">
        <v>294</v>
      </c>
      <c r="B343" s="20" t="s">
        <v>889</v>
      </c>
      <c r="C343" s="21" t="s">
        <v>890</v>
      </c>
      <c r="D343" s="20"/>
      <c r="E343" s="22" t="s">
        <v>891</v>
      </c>
      <c r="F343" s="91"/>
      <c r="G343" s="18"/>
      <c r="H343" s="18"/>
      <c r="I343" s="18"/>
      <c r="J343" s="18"/>
      <c r="K343" s="18"/>
      <c r="L343" s="18"/>
      <c r="M343" s="18"/>
      <c r="N343" s="18"/>
      <c r="O343" s="18"/>
      <c r="P343"/>
      <c r="Q343" s="18"/>
      <c r="R343" s="18"/>
    </row>
    <row r="344" spans="1:18" ht="39.6">
      <c r="A344" s="19">
        <v>295</v>
      </c>
      <c r="B344" s="20" t="s">
        <v>892</v>
      </c>
      <c r="C344" s="21" t="s">
        <v>893</v>
      </c>
      <c r="D344" s="20"/>
      <c r="E344" s="22" t="s">
        <v>894</v>
      </c>
      <c r="F344" s="91"/>
      <c r="G344" s="18"/>
      <c r="H344" s="18"/>
      <c r="I344" s="18"/>
      <c r="J344" s="18"/>
      <c r="K344" s="18"/>
      <c r="L344" s="18"/>
      <c r="M344" s="18"/>
      <c r="N344" s="18"/>
      <c r="O344" s="18"/>
      <c r="P344"/>
      <c r="Q344" s="18"/>
      <c r="R344" s="18"/>
    </row>
    <row r="345" spans="1:18" ht="26.4">
      <c r="A345" s="19">
        <v>296</v>
      </c>
      <c r="B345" s="20" t="s">
        <v>895</v>
      </c>
      <c r="C345" s="21" t="s">
        <v>896</v>
      </c>
      <c r="D345" s="20"/>
      <c r="E345" s="22" t="s">
        <v>894</v>
      </c>
      <c r="F345" s="91"/>
      <c r="G345" s="18"/>
      <c r="H345" s="18"/>
      <c r="I345" s="18"/>
      <c r="J345" s="18"/>
      <c r="K345" s="18"/>
      <c r="L345" s="18"/>
      <c r="M345" s="18"/>
      <c r="N345" s="18"/>
      <c r="O345" s="18"/>
      <c r="P345"/>
      <c r="Q345" s="18"/>
      <c r="R345" s="18"/>
    </row>
    <row r="346" spans="1:18" ht="52.8">
      <c r="A346" s="19">
        <v>297</v>
      </c>
      <c r="B346" s="20" t="s">
        <v>897</v>
      </c>
      <c r="C346" s="21" t="s">
        <v>898</v>
      </c>
      <c r="D346" s="20"/>
      <c r="E346" s="22"/>
      <c r="F346" s="91"/>
      <c r="G346" s="18"/>
      <c r="H346" s="18"/>
      <c r="I346" s="18"/>
      <c r="J346" s="18"/>
      <c r="K346" s="18"/>
      <c r="L346" s="18"/>
      <c r="M346" s="18"/>
      <c r="N346" s="18"/>
      <c r="O346" s="18"/>
      <c r="P346"/>
      <c r="Q346" s="18"/>
      <c r="R346" s="18"/>
    </row>
    <row r="347" spans="1:18" ht="39.6">
      <c r="A347" s="19">
        <v>298</v>
      </c>
      <c r="B347" s="20" t="s">
        <v>899</v>
      </c>
      <c r="C347" s="21" t="s">
        <v>900</v>
      </c>
      <c r="D347" s="20"/>
      <c r="E347" s="22" t="s">
        <v>901</v>
      </c>
      <c r="P347"/>
    </row>
    <row r="348" spans="1:18" ht="39.6">
      <c r="A348" s="19">
        <v>299</v>
      </c>
      <c r="B348" s="20" t="s">
        <v>902</v>
      </c>
      <c r="C348" s="21" t="s">
        <v>903</v>
      </c>
      <c r="D348" s="20"/>
      <c r="E348" s="21" t="s">
        <v>904</v>
      </c>
      <c r="P348"/>
    </row>
    <row r="349" spans="1:18" ht="52.8">
      <c r="A349" s="19">
        <v>300</v>
      </c>
      <c r="B349" s="20" t="s">
        <v>905</v>
      </c>
      <c r="C349" s="21" t="s">
        <v>906</v>
      </c>
      <c r="D349" s="20" t="s">
        <v>907</v>
      </c>
      <c r="E349" s="22" t="s">
        <v>908</v>
      </c>
      <c r="P349"/>
    </row>
    <row r="350" spans="1:18" ht="39.6">
      <c r="A350" s="19">
        <v>301</v>
      </c>
      <c r="B350" s="20" t="s">
        <v>909</v>
      </c>
      <c r="C350" s="21" t="s">
        <v>890</v>
      </c>
      <c r="D350" s="20"/>
      <c r="E350" s="149" t="s">
        <v>910</v>
      </c>
      <c r="F350" s="100"/>
      <c r="G350" s="100"/>
      <c r="H350" s="100"/>
      <c r="I350" s="100"/>
      <c r="J350" s="100"/>
      <c r="K350" s="100"/>
      <c r="L350" s="100"/>
      <c r="M350" s="100"/>
      <c r="N350" s="100"/>
      <c r="O350" s="100"/>
      <c r="P350"/>
      <c r="Q350" s="18"/>
      <c r="R350" s="18"/>
    </row>
    <row r="351" spans="1:18" ht="39.6">
      <c r="A351" s="19">
        <v>302</v>
      </c>
      <c r="B351" s="20" t="s">
        <v>911</v>
      </c>
      <c r="C351" s="21" t="s">
        <v>912</v>
      </c>
      <c r="D351" s="20"/>
      <c r="E351" s="22" t="s">
        <v>913</v>
      </c>
      <c r="F351" s="91"/>
      <c r="G351" s="18"/>
      <c r="H351" s="18"/>
      <c r="I351" s="18"/>
      <c r="J351" s="18"/>
      <c r="K351" s="18"/>
      <c r="L351" s="18"/>
      <c r="M351" s="18"/>
      <c r="N351" s="18"/>
      <c r="O351" s="18"/>
      <c r="P351"/>
      <c r="Q351" s="18"/>
      <c r="R351" s="18"/>
    </row>
    <row r="352" spans="1:18" ht="66">
      <c r="A352" s="19">
        <v>303</v>
      </c>
      <c r="B352" s="20" t="s">
        <v>914</v>
      </c>
      <c r="C352" s="21" t="s">
        <v>915</v>
      </c>
      <c r="D352" s="20"/>
      <c r="E352" s="22" t="s">
        <v>916</v>
      </c>
      <c r="P352"/>
    </row>
    <row r="353" spans="1:18" ht="39.6">
      <c r="A353" s="19">
        <v>304</v>
      </c>
      <c r="B353" s="20" t="s">
        <v>917</v>
      </c>
      <c r="C353" s="21" t="s">
        <v>918</v>
      </c>
      <c r="D353" s="20"/>
      <c r="E353" s="22" t="s">
        <v>919</v>
      </c>
      <c r="P353"/>
    </row>
    <row r="354" spans="1:18" ht="66">
      <c r="A354" s="19">
        <v>305</v>
      </c>
      <c r="B354" s="20" t="s">
        <v>920</v>
      </c>
      <c r="C354" s="21" t="s">
        <v>921</v>
      </c>
      <c r="D354" s="54" t="s">
        <v>2962</v>
      </c>
      <c r="E354" s="22" t="s">
        <v>923</v>
      </c>
      <c r="F354" s="91" t="s">
        <v>151</v>
      </c>
      <c r="G354" s="18"/>
      <c r="H354" s="18"/>
      <c r="I354" s="18"/>
      <c r="J354" s="18"/>
      <c r="K354" s="18"/>
      <c r="L354" s="18"/>
      <c r="M354" s="18"/>
      <c r="N354" s="18"/>
      <c r="O354" s="18"/>
      <c r="P354"/>
      <c r="Q354" s="18"/>
      <c r="R354" s="18"/>
    </row>
    <row r="355" spans="1:18" ht="66">
      <c r="A355" s="19">
        <v>306</v>
      </c>
      <c r="B355" s="20" t="s">
        <v>920</v>
      </c>
      <c r="C355" s="21" t="s">
        <v>921</v>
      </c>
      <c r="D355" s="54" t="s">
        <v>2962</v>
      </c>
      <c r="E355" s="22" t="s">
        <v>924</v>
      </c>
      <c r="F355" s="91"/>
      <c r="G355" s="18"/>
      <c r="H355" s="18"/>
      <c r="I355" s="18"/>
      <c r="J355" s="18"/>
      <c r="K355" s="18"/>
      <c r="L355" s="18"/>
      <c r="M355" s="18"/>
      <c r="N355" s="18"/>
      <c r="O355" s="18"/>
      <c r="P355"/>
      <c r="Q355" s="18"/>
      <c r="R355" s="18"/>
    </row>
    <row r="356" spans="1:18" ht="52.8">
      <c r="A356" s="19">
        <v>307</v>
      </c>
      <c r="B356" s="20" t="s">
        <v>925</v>
      </c>
      <c r="C356" s="21" t="s">
        <v>921</v>
      </c>
      <c r="D356" s="20"/>
      <c r="E356" s="22" t="s">
        <v>926</v>
      </c>
      <c r="P356"/>
    </row>
    <row r="357" spans="1:18" ht="52.8">
      <c r="A357" s="19">
        <v>308</v>
      </c>
      <c r="B357" s="20" t="s">
        <v>927</v>
      </c>
      <c r="C357" s="21" t="s">
        <v>921</v>
      </c>
      <c r="D357" s="20"/>
      <c r="E357" s="101" t="s">
        <v>928</v>
      </c>
      <c r="F357" s="102"/>
      <c r="G357" s="102"/>
      <c r="H357" s="102"/>
      <c r="I357" s="102"/>
      <c r="J357" s="102"/>
      <c r="K357" s="102"/>
      <c r="L357" s="102"/>
      <c r="M357" s="102"/>
      <c r="N357" s="102"/>
      <c r="O357" s="102"/>
      <c r="P357"/>
      <c r="Q357" s="18"/>
      <c r="R357" s="18"/>
    </row>
    <row r="358" spans="1:18" ht="52.8">
      <c r="A358" s="19">
        <v>309</v>
      </c>
      <c r="B358" s="20" t="s">
        <v>929</v>
      </c>
      <c r="C358" s="21" t="s">
        <v>921</v>
      </c>
      <c r="D358" s="54" t="s">
        <v>930</v>
      </c>
      <c r="E358" s="22" t="s">
        <v>931</v>
      </c>
      <c r="F358" s="91"/>
      <c r="G358" s="18"/>
      <c r="H358" s="18"/>
      <c r="I358" s="18"/>
      <c r="J358" s="18"/>
      <c r="K358" s="18"/>
      <c r="L358" s="18"/>
      <c r="M358" s="18"/>
      <c r="N358" s="18"/>
      <c r="O358" s="18"/>
      <c r="P358"/>
      <c r="Q358" s="18"/>
      <c r="R358" s="18"/>
    </row>
    <row r="359" spans="1:18" ht="52.8">
      <c r="A359" s="19">
        <v>310</v>
      </c>
      <c r="B359" s="20" t="s">
        <v>932</v>
      </c>
      <c r="C359" s="21" t="s">
        <v>921</v>
      </c>
      <c r="D359" s="20"/>
      <c r="E359" s="22" t="s">
        <v>933</v>
      </c>
      <c r="P359"/>
    </row>
    <row r="360" spans="1:18" ht="52.8">
      <c r="A360" s="19">
        <v>311</v>
      </c>
      <c r="B360" s="20" t="s">
        <v>934</v>
      </c>
      <c r="C360" s="21" t="s">
        <v>921</v>
      </c>
      <c r="D360" s="54"/>
      <c r="E360" s="22" t="s">
        <v>935</v>
      </c>
      <c r="F360" s="91"/>
      <c r="G360" s="18"/>
      <c r="H360" s="18"/>
      <c r="I360" s="18"/>
      <c r="J360" s="18"/>
      <c r="K360" s="18"/>
      <c r="L360" s="18"/>
      <c r="M360" s="18"/>
      <c r="N360" s="18"/>
      <c r="O360" s="18"/>
      <c r="P360"/>
      <c r="Q360" s="18"/>
      <c r="R360" s="18"/>
    </row>
    <row r="361" spans="1:18" ht="52.8">
      <c r="A361" s="19">
        <v>312</v>
      </c>
      <c r="B361" s="20" t="s">
        <v>936</v>
      </c>
      <c r="C361" s="21" t="s">
        <v>921</v>
      </c>
      <c r="D361" s="54" t="s">
        <v>922</v>
      </c>
      <c r="E361" s="22" t="s">
        <v>937</v>
      </c>
      <c r="F361" s="91" t="s">
        <v>151</v>
      </c>
      <c r="G361" s="18"/>
      <c r="H361" s="18"/>
      <c r="I361" s="18"/>
      <c r="J361" s="18"/>
      <c r="K361" s="18"/>
      <c r="L361" s="18"/>
      <c r="M361" s="18"/>
      <c r="N361" s="18"/>
      <c r="O361" s="18"/>
      <c r="P361"/>
      <c r="Q361" s="18"/>
      <c r="R361" s="18"/>
    </row>
    <row r="362" spans="1:18" ht="52.8">
      <c r="A362" s="19">
        <v>313</v>
      </c>
      <c r="B362" s="20" t="s">
        <v>938</v>
      </c>
      <c r="C362" s="21" t="s">
        <v>921</v>
      </c>
      <c r="D362" s="54" t="s">
        <v>922</v>
      </c>
      <c r="E362" s="22" t="s">
        <v>939</v>
      </c>
      <c r="F362" s="91"/>
      <c r="G362" s="18"/>
      <c r="H362" s="18"/>
      <c r="I362" s="18"/>
      <c r="J362" s="18"/>
      <c r="K362" s="18"/>
      <c r="L362" s="18"/>
      <c r="M362" s="18"/>
      <c r="N362" s="18"/>
      <c r="O362" s="18"/>
      <c r="P362"/>
      <c r="Q362" s="18"/>
      <c r="R362" s="18"/>
    </row>
    <row r="363" spans="1:18" ht="52.8">
      <c r="A363" s="19">
        <v>314</v>
      </c>
      <c r="B363" s="20" t="s">
        <v>940</v>
      </c>
      <c r="C363" s="21" t="s">
        <v>921</v>
      </c>
      <c r="D363" s="54" t="s">
        <v>922</v>
      </c>
      <c r="E363" s="22" t="s">
        <v>941</v>
      </c>
      <c r="F363" s="91"/>
      <c r="G363" s="18"/>
      <c r="H363" s="18"/>
      <c r="I363" s="18"/>
      <c r="J363" s="18"/>
      <c r="K363" s="18"/>
      <c r="L363" s="18"/>
      <c r="M363" s="18"/>
      <c r="N363" s="18"/>
      <c r="O363" s="18"/>
      <c r="P363"/>
      <c r="Q363" s="18"/>
      <c r="R363" s="18"/>
    </row>
    <row r="364" spans="1:18" ht="52.8">
      <c r="A364" s="19">
        <v>315</v>
      </c>
      <c r="B364" s="20" t="s">
        <v>942</v>
      </c>
      <c r="C364" s="21" t="s">
        <v>943</v>
      </c>
      <c r="D364" s="20" t="s">
        <v>944</v>
      </c>
      <c r="E364" s="22" t="s">
        <v>945</v>
      </c>
      <c r="P364"/>
    </row>
    <row r="365" spans="1:18" ht="52.8">
      <c r="A365" s="19">
        <v>316</v>
      </c>
      <c r="B365" s="20" t="s">
        <v>946</v>
      </c>
      <c r="C365" s="21" t="s">
        <v>947</v>
      </c>
      <c r="D365" s="20"/>
      <c r="E365" s="80" t="s">
        <v>948</v>
      </c>
      <c r="F365" s="91"/>
      <c r="G365" s="18"/>
      <c r="H365" s="18"/>
      <c r="I365" s="18"/>
      <c r="J365" s="18"/>
      <c r="K365" s="18"/>
      <c r="L365" s="18"/>
      <c r="M365" s="18"/>
      <c r="N365" s="18"/>
      <c r="O365" s="18"/>
      <c r="P365"/>
      <c r="Q365" s="18"/>
      <c r="R365" s="18"/>
    </row>
    <row r="366" spans="1:18" ht="39.6">
      <c r="A366" s="19">
        <v>317</v>
      </c>
      <c r="B366" s="20" t="s">
        <v>949</v>
      </c>
      <c r="C366" s="21" t="s">
        <v>950</v>
      </c>
      <c r="D366" s="20"/>
      <c r="E366" s="22" t="s">
        <v>951</v>
      </c>
      <c r="P366"/>
    </row>
    <row r="367" spans="1:18" ht="52.8">
      <c r="A367" s="19">
        <v>318</v>
      </c>
      <c r="B367" s="20" t="s">
        <v>2934</v>
      </c>
      <c r="C367" s="21" t="s">
        <v>952</v>
      </c>
      <c r="D367" s="20" t="s">
        <v>86</v>
      </c>
      <c r="E367" s="22" t="s">
        <v>2711</v>
      </c>
      <c r="P367"/>
    </row>
    <row r="368" spans="1:18" ht="52.8">
      <c r="A368" s="19"/>
      <c r="B368" s="20" t="s">
        <v>2942</v>
      </c>
      <c r="C368" s="21" t="s">
        <v>952</v>
      </c>
      <c r="D368" s="20"/>
      <c r="E368" s="22" t="s">
        <v>2985</v>
      </c>
      <c r="P368"/>
    </row>
    <row r="369" spans="1:18" ht="39.6">
      <c r="A369" s="19"/>
      <c r="B369" s="20" t="s">
        <v>2825</v>
      </c>
      <c r="C369" s="21" t="s">
        <v>2826</v>
      </c>
      <c r="D369" s="20"/>
      <c r="E369" s="22" t="s">
        <v>2827</v>
      </c>
      <c r="P369"/>
    </row>
    <row r="370" spans="1:18" ht="52.8">
      <c r="A370" s="19">
        <v>319</v>
      </c>
      <c r="B370" s="20" t="s">
        <v>2999</v>
      </c>
      <c r="C370" s="21" t="s">
        <v>952</v>
      </c>
      <c r="D370" s="20" t="s">
        <v>86</v>
      </c>
      <c r="E370" s="22" t="s">
        <v>2712</v>
      </c>
      <c r="P370"/>
    </row>
    <row r="371" spans="1:18" ht="52.8">
      <c r="A371" s="19">
        <v>320</v>
      </c>
      <c r="B371" s="20" t="s">
        <v>953</v>
      </c>
      <c r="C371" s="21" t="s">
        <v>954</v>
      </c>
      <c r="D371" s="20"/>
      <c r="E371" s="22" t="s">
        <v>955</v>
      </c>
      <c r="P371"/>
    </row>
    <row r="372" spans="1:18" ht="66">
      <c r="A372" s="19">
        <v>321</v>
      </c>
      <c r="B372" s="20" t="s">
        <v>956</v>
      </c>
      <c r="C372" s="21" t="s">
        <v>957</v>
      </c>
      <c r="D372" s="20"/>
      <c r="E372" s="22" t="s">
        <v>958</v>
      </c>
      <c r="P372"/>
    </row>
    <row r="373" spans="1:18" ht="66">
      <c r="A373" s="19">
        <v>322</v>
      </c>
      <c r="B373" s="39" t="s">
        <v>959</v>
      </c>
      <c r="C373" s="21" t="s">
        <v>960</v>
      </c>
      <c r="D373" s="20"/>
      <c r="E373" s="42"/>
      <c r="P373"/>
    </row>
    <row r="374" spans="1:18" ht="52.8">
      <c r="A374" s="19">
        <v>323</v>
      </c>
      <c r="B374" s="20" t="s">
        <v>961</v>
      </c>
      <c r="C374" s="21" t="s">
        <v>962</v>
      </c>
      <c r="D374" s="20"/>
      <c r="E374" s="22" t="s">
        <v>963</v>
      </c>
      <c r="F374" s="91"/>
      <c r="G374" s="18"/>
      <c r="H374" s="18"/>
      <c r="I374" s="18"/>
      <c r="J374" s="18"/>
      <c r="K374" s="18"/>
      <c r="L374" s="18"/>
      <c r="M374" s="18"/>
      <c r="N374" s="18"/>
      <c r="O374" s="18"/>
      <c r="P374"/>
      <c r="Q374" s="18"/>
      <c r="R374" s="18"/>
    </row>
    <row r="375" spans="1:18" ht="39.6">
      <c r="A375" s="19">
        <v>324</v>
      </c>
      <c r="B375" s="20" t="s">
        <v>964</v>
      </c>
      <c r="C375" s="21" t="s">
        <v>965</v>
      </c>
      <c r="D375" s="20"/>
      <c r="E375" s="22" t="s">
        <v>966</v>
      </c>
      <c r="F375" s="91"/>
      <c r="G375" s="18"/>
      <c r="H375" s="18"/>
      <c r="I375" s="18"/>
      <c r="J375" s="18"/>
      <c r="K375" s="18"/>
      <c r="L375" s="18"/>
      <c r="M375" s="18"/>
      <c r="N375" s="18"/>
      <c r="O375" s="18"/>
      <c r="P375"/>
      <c r="Q375" s="18"/>
      <c r="R375" s="18"/>
    </row>
    <row r="376" spans="1:18" ht="66">
      <c r="A376" s="19">
        <v>325</v>
      </c>
      <c r="B376" s="20" t="s">
        <v>967</v>
      </c>
      <c r="C376" s="21" t="s">
        <v>965</v>
      </c>
      <c r="D376" s="20" t="s">
        <v>968</v>
      </c>
      <c r="E376" s="22" t="s">
        <v>969</v>
      </c>
      <c r="P376"/>
    </row>
    <row r="377" spans="1:18" ht="52.8">
      <c r="A377" s="19">
        <v>326</v>
      </c>
      <c r="B377" s="20" t="s">
        <v>970</v>
      </c>
      <c r="C377" s="21" t="s">
        <v>971</v>
      </c>
      <c r="D377" s="20"/>
      <c r="E377" s="22" t="s">
        <v>972</v>
      </c>
      <c r="P377"/>
    </row>
    <row r="378" spans="1:18" ht="39.6">
      <c r="A378" s="19">
        <v>327</v>
      </c>
      <c r="B378" s="73" t="s">
        <v>973</v>
      </c>
      <c r="C378" s="21" t="s">
        <v>974</v>
      </c>
      <c r="D378" s="20"/>
      <c r="E378" s="21"/>
      <c r="F378" s="103"/>
      <c r="G378" s="18"/>
      <c r="H378" s="18"/>
      <c r="I378" s="18"/>
      <c r="J378" s="18"/>
      <c r="K378" s="18"/>
      <c r="L378" s="18"/>
      <c r="M378" s="18"/>
      <c r="N378" s="18"/>
      <c r="O378" s="18"/>
      <c r="P378"/>
      <c r="Q378" s="18"/>
      <c r="R378" s="18"/>
    </row>
    <row r="379" spans="1:18" ht="39.6">
      <c r="A379" s="19">
        <v>328</v>
      </c>
      <c r="B379" s="20" t="s">
        <v>975</v>
      </c>
      <c r="C379" s="21" t="s">
        <v>976</v>
      </c>
      <c r="D379" s="20"/>
      <c r="E379" s="22" t="s">
        <v>977</v>
      </c>
      <c r="P379"/>
    </row>
    <row r="380" spans="1:18" ht="39.6">
      <c r="A380" s="19">
        <v>329</v>
      </c>
      <c r="B380" s="20" t="s">
        <v>978</v>
      </c>
      <c r="C380" s="21" t="s">
        <v>979</v>
      </c>
      <c r="D380" s="20" t="s">
        <v>49</v>
      </c>
      <c r="E380" s="22" t="s">
        <v>980</v>
      </c>
      <c r="P380"/>
    </row>
    <row r="381" spans="1:18" ht="39.6">
      <c r="A381" s="19">
        <v>330</v>
      </c>
      <c r="B381" s="20" t="s">
        <v>981</v>
      </c>
      <c r="C381" s="21" t="s">
        <v>982</v>
      </c>
      <c r="D381" s="20" t="s">
        <v>983</v>
      </c>
      <c r="E381" s="29" t="s">
        <v>984</v>
      </c>
      <c r="F381" s="91" t="s">
        <v>365</v>
      </c>
      <c r="G381" s="18"/>
      <c r="H381" s="18"/>
      <c r="I381" s="18"/>
      <c r="J381" s="18"/>
      <c r="K381" s="18"/>
      <c r="L381" s="18"/>
      <c r="M381" s="18"/>
      <c r="N381" s="18"/>
      <c r="O381" s="18"/>
      <c r="P381"/>
      <c r="Q381" s="18"/>
      <c r="R381" s="18"/>
    </row>
    <row r="382" spans="1:18" ht="52.8">
      <c r="A382" s="19">
        <v>331</v>
      </c>
      <c r="B382" s="20" t="s">
        <v>985</v>
      </c>
      <c r="C382" s="21" t="s">
        <v>986</v>
      </c>
      <c r="D382" s="54" t="s">
        <v>337</v>
      </c>
      <c r="E382" s="150" t="s">
        <v>987</v>
      </c>
      <c r="P382"/>
    </row>
    <row r="383" spans="1:18" ht="39.6">
      <c r="A383" s="19">
        <v>332</v>
      </c>
      <c r="B383" s="20" t="s">
        <v>988</v>
      </c>
      <c r="C383" s="21" t="s">
        <v>989</v>
      </c>
      <c r="D383" s="21"/>
      <c r="E383" s="22" t="s">
        <v>990</v>
      </c>
      <c r="F383" s="91"/>
      <c r="G383" s="18"/>
      <c r="H383" s="18"/>
      <c r="I383" s="18"/>
      <c r="J383" s="18"/>
      <c r="K383" s="18"/>
      <c r="L383" s="18"/>
      <c r="M383" s="18"/>
      <c r="N383" s="18"/>
      <c r="O383" s="18"/>
      <c r="P383"/>
      <c r="Q383" s="18"/>
      <c r="R383" s="18"/>
    </row>
    <row r="384" spans="1:18" ht="39.6">
      <c r="A384" s="19">
        <v>333</v>
      </c>
      <c r="B384" s="20" t="s">
        <v>991</v>
      </c>
      <c r="C384" s="21" t="s">
        <v>992</v>
      </c>
      <c r="D384" s="20"/>
      <c r="E384" s="22">
        <v>321862423</v>
      </c>
      <c r="F384" s="91"/>
      <c r="G384" s="18"/>
      <c r="H384" s="18"/>
      <c r="I384" s="18"/>
      <c r="J384" s="18"/>
      <c r="K384" s="18"/>
      <c r="L384" s="18"/>
      <c r="M384" s="18"/>
      <c r="N384" s="18"/>
      <c r="O384" s="18"/>
      <c r="P384"/>
      <c r="Q384" s="18"/>
      <c r="R384" s="18"/>
    </row>
    <row r="385" spans="1:18" ht="26.4">
      <c r="A385" s="19">
        <v>334</v>
      </c>
      <c r="B385" s="20" t="s">
        <v>993</v>
      </c>
      <c r="C385" s="21" t="s">
        <v>986</v>
      </c>
      <c r="D385" s="20"/>
      <c r="E385" s="22" t="s">
        <v>994</v>
      </c>
      <c r="P385"/>
    </row>
    <row r="386" spans="1:18" ht="39.6">
      <c r="A386" s="19">
        <v>335</v>
      </c>
      <c r="B386" s="20" t="s">
        <v>995</v>
      </c>
      <c r="C386" s="21" t="s">
        <v>996</v>
      </c>
      <c r="D386" s="20"/>
      <c r="E386" s="104" t="s">
        <v>997</v>
      </c>
      <c r="P386"/>
    </row>
    <row r="387" spans="1:18" ht="66">
      <c r="A387" s="19">
        <v>336</v>
      </c>
      <c r="B387" s="105" t="s">
        <v>998</v>
      </c>
      <c r="C387" s="32" t="s">
        <v>2708</v>
      </c>
      <c r="D387" s="20"/>
      <c r="E387" s="106" t="s">
        <v>999</v>
      </c>
      <c r="F387" s="91"/>
      <c r="G387" s="18"/>
      <c r="H387" s="18"/>
      <c r="I387" s="18"/>
      <c r="J387" s="18"/>
      <c r="K387" s="18"/>
      <c r="L387" s="18"/>
      <c r="M387" s="18"/>
      <c r="N387" s="18"/>
      <c r="O387" s="18"/>
      <c r="P387"/>
      <c r="Q387" s="18"/>
      <c r="R387" s="18"/>
    </row>
    <row r="388" spans="1:18" ht="79.2">
      <c r="A388" s="19">
        <v>337</v>
      </c>
      <c r="B388" s="20" t="s">
        <v>1000</v>
      </c>
      <c r="C388" s="21" t="s">
        <v>1001</v>
      </c>
      <c r="D388" s="20"/>
      <c r="E388" s="22" t="s">
        <v>1002</v>
      </c>
      <c r="P388"/>
    </row>
    <row r="389" spans="1:18" ht="52.8">
      <c r="A389" s="19">
        <v>338</v>
      </c>
      <c r="B389" s="20" t="s">
        <v>1003</v>
      </c>
      <c r="C389" s="21" t="s">
        <v>1004</v>
      </c>
      <c r="D389" s="20"/>
      <c r="E389" s="22" t="s">
        <v>1005</v>
      </c>
      <c r="P389"/>
    </row>
    <row r="390" spans="1:18" ht="79.2">
      <c r="A390" s="19">
        <v>339</v>
      </c>
      <c r="B390" s="20" t="s">
        <v>1006</v>
      </c>
      <c r="C390" s="21" t="s">
        <v>1007</v>
      </c>
      <c r="D390" s="20"/>
      <c r="E390" s="29" t="s">
        <v>1008</v>
      </c>
      <c r="F390" s="107" t="s">
        <v>1009</v>
      </c>
      <c r="G390" s="18"/>
      <c r="H390" s="18"/>
      <c r="I390" s="18"/>
      <c r="J390" s="18"/>
      <c r="K390" s="18"/>
      <c r="L390" s="18"/>
      <c r="M390" s="18"/>
      <c r="N390" s="18"/>
      <c r="O390" s="18"/>
      <c r="P390"/>
      <c r="Q390" s="18"/>
      <c r="R390" s="18"/>
    </row>
    <row r="391" spans="1:18" ht="39.6">
      <c r="A391" s="19">
        <v>340</v>
      </c>
      <c r="B391" s="20" t="s">
        <v>1010</v>
      </c>
      <c r="C391" s="21" t="s">
        <v>1011</v>
      </c>
      <c r="D391" s="20"/>
      <c r="E391" s="108" t="s">
        <v>1012</v>
      </c>
      <c r="F391" s="91"/>
      <c r="G391" s="18"/>
      <c r="H391" s="18"/>
      <c r="I391" s="18"/>
      <c r="J391" s="18"/>
      <c r="K391" s="18"/>
      <c r="L391" s="18"/>
      <c r="M391" s="18"/>
      <c r="N391" s="18"/>
      <c r="O391" s="18"/>
      <c r="P391"/>
      <c r="Q391" s="18"/>
      <c r="R391" s="18"/>
    </row>
    <row r="392" spans="1:18" ht="72">
      <c r="A392" s="19">
        <v>341</v>
      </c>
      <c r="B392" s="20" t="s">
        <v>1013</v>
      </c>
      <c r="C392" s="109" t="s">
        <v>1014</v>
      </c>
      <c r="D392" s="20" t="s">
        <v>1015</v>
      </c>
      <c r="E392" s="110" t="s">
        <v>1016</v>
      </c>
      <c r="P392"/>
    </row>
    <row r="393" spans="1:18" ht="39.6">
      <c r="A393" s="19">
        <v>342</v>
      </c>
      <c r="B393" s="20" t="s">
        <v>1017</v>
      </c>
      <c r="C393" s="27" t="s">
        <v>2970</v>
      </c>
      <c r="D393" s="20"/>
      <c r="E393" s="27" t="s">
        <v>1018</v>
      </c>
      <c r="H393" s="1">
        <f>48-14.4-13.4</f>
        <v>20.200000000000003</v>
      </c>
      <c r="P393"/>
    </row>
    <row r="394" spans="1:18" ht="92.4">
      <c r="A394" s="19"/>
      <c r="B394" s="216" t="s">
        <v>2937</v>
      </c>
      <c r="C394" s="27" t="s">
        <v>2969</v>
      </c>
      <c r="D394" s="20"/>
      <c r="E394" s="27"/>
      <c r="P394"/>
    </row>
    <row r="395" spans="1:18" ht="39.6">
      <c r="A395" s="19">
        <v>343</v>
      </c>
      <c r="B395" s="20" t="s">
        <v>1019</v>
      </c>
      <c r="C395" s="21" t="s">
        <v>1020</v>
      </c>
      <c r="D395" s="20"/>
      <c r="E395" s="22"/>
      <c r="F395" s="91"/>
      <c r="G395" s="18"/>
      <c r="H395" s="18"/>
      <c r="I395" s="18"/>
      <c r="J395" s="18"/>
      <c r="K395" s="18"/>
      <c r="L395" s="18"/>
      <c r="M395" s="18"/>
      <c r="N395" s="18"/>
      <c r="O395" s="18"/>
      <c r="P395"/>
      <c r="Q395" s="18"/>
      <c r="R395" s="18"/>
    </row>
    <row r="396" spans="1:18" ht="39.6">
      <c r="A396" s="19">
        <v>344</v>
      </c>
      <c r="B396" s="20" t="s">
        <v>1021</v>
      </c>
      <c r="C396" s="21" t="s">
        <v>1022</v>
      </c>
      <c r="D396" s="20"/>
      <c r="E396" s="22"/>
      <c r="P396"/>
    </row>
    <row r="397" spans="1:18" ht="39.6">
      <c r="A397" s="19">
        <v>345</v>
      </c>
      <c r="B397" s="20" t="s">
        <v>1023</v>
      </c>
      <c r="C397" s="21" t="s">
        <v>1024</v>
      </c>
      <c r="D397" s="20"/>
      <c r="E397" s="22" t="s">
        <v>1025</v>
      </c>
      <c r="P397"/>
    </row>
    <row r="398" spans="1:18" ht="79.2">
      <c r="A398" s="19">
        <v>346</v>
      </c>
      <c r="B398" s="20" t="s">
        <v>1026</v>
      </c>
      <c r="C398" s="21" t="s">
        <v>1027</v>
      </c>
      <c r="D398" s="20"/>
      <c r="E398" s="22" t="s">
        <v>1028</v>
      </c>
      <c r="P398"/>
    </row>
    <row r="399" spans="1:18" ht="52.8">
      <c r="A399" s="19">
        <v>347</v>
      </c>
      <c r="B399" s="20" t="s">
        <v>1029</v>
      </c>
      <c r="C399" s="21" t="s">
        <v>1030</v>
      </c>
      <c r="D399" s="20"/>
      <c r="E399" s="22"/>
      <c r="F399" s="91"/>
      <c r="G399" s="18"/>
      <c r="H399" s="18"/>
      <c r="I399" s="18"/>
      <c r="J399" s="18"/>
      <c r="K399" s="18"/>
      <c r="L399" s="18"/>
      <c r="M399" s="18"/>
      <c r="N399" s="18"/>
      <c r="O399" s="18"/>
      <c r="P399"/>
      <c r="Q399" s="18"/>
      <c r="R399" s="18"/>
    </row>
    <row r="400" spans="1:18" ht="39.6">
      <c r="A400" s="19">
        <v>348</v>
      </c>
      <c r="B400" s="20" t="s">
        <v>1029</v>
      </c>
      <c r="C400" s="21" t="s">
        <v>1031</v>
      </c>
      <c r="D400" s="20"/>
      <c r="E400" s="112" t="s">
        <v>1032</v>
      </c>
      <c r="P400"/>
    </row>
    <row r="401" spans="1:18" ht="55.8">
      <c r="A401" s="19">
        <v>349</v>
      </c>
      <c r="B401" s="113" t="s">
        <v>1033</v>
      </c>
      <c r="C401" s="151" t="s">
        <v>1034</v>
      </c>
      <c r="D401" s="20"/>
      <c r="E401" s="152" t="s">
        <v>1035</v>
      </c>
      <c r="P401"/>
    </row>
    <row r="402" spans="1:18" ht="26.4">
      <c r="A402" s="19">
        <v>350</v>
      </c>
      <c r="B402" s="20" t="s">
        <v>1036</v>
      </c>
      <c r="C402" s="21" t="s">
        <v>1037</v>
      </c>
      <c r="D402" s="20"/>
      <c r="E402" s="22" t="s">
        <v>1038</v>
      </c>
      <c r="P402"/>
    </row>
    <row r="403" spans="1:18" ht="26.4">
      <c r="A403" s="19">
        <v>351</v>
      </c>
      <c r="B403" s="20" t="s">
        <v>1039</v>
      </c>
      <c r="C403" s="21" t="s">
        <v>1040</v>
      </c>
      <c r="D403" s="20"/>
      <c r="E403" s="22" t="s">
        <v>1041</v>
      </c>
      <c r="P403"/>
    </row>
    <row r="404" spans="1:18" ht="52.8">
      <c r="A404" s="19">
        <v>352</v>
      </c>
      <c r="B404" s="20" t="s">
        <v>1042</v>
      </c>
      <c r="C404" s="21" t="s">
        <v>1043</v>
      </c>
      <c r="D404" s="20"/>
      <c r="E404" s="22" t="s">
        <v>1044</v>
      </c>
      <c r="P404"/>
    </row>
    <row r="405" spans="1:18" ht="52.8">
      <c r="A405" s="19"/>
      <c r="B405" s="20" t="s">
        <v>2844</v>
      </c>
      <c r="C405" s="21" t="s">
        <v>2845</v>
      </c>
      <c r="D405" s="20"/>
      <c r="E405" s="22" t="s">
        <v>2846</v>
      </c>
      <c r="P405"/>
    </row>
    <row r="406" spans="1:18" ht="52.8">
      <c r="A406" s="19">
        <v>353</v>
      </c>
      <c r="B406" s="20" t="s">
        <v>1045</v>
      </c>
      <c r="C406" s="21" t="s">
        <v>1046</v>
      </c>
      <c r="D406" s="20"/>
      <c r="E406" s="22" t="s">
        <v>1047</v>
      </c>
      <c r="P406"/>
    </row>
    <row r="407" spans="1:18" ht="66">
      <c r="A407" s="19">
        <v>354</v>
      </c>
      <c r="B407" s="20" t="s">
        <v>2888</v>
      </c>
      <c r="C407" s="21" t="s">
        <v>1048</v>
      </c>
      <c r="D407" s="20" t="s">
        <v>626</v>
      </c>
      <c r="E407" s="22" t="s">
        <v>1049</v>
      </c>
      <c r="P407"/>
    </row>
    <row r="408" spans="1:18" ht="52.8">
      <c r="A408" s="19">
        <v>355</v>
      </c>
      <c r="B408" s="20" t="s">
        <v>1050</v>
      </c>
      <c r="C408" s="21" t="s">
        <v>1051</v>
      </c>
      <c r="D408" s="20"/>
      <c r="E408" s="22" t="s">
        <v>1052</v>
      </c>
      <c r="F408" s="91"/>
      <c r="G408" s="18"/>
      <c r="H408" s="18"/>
      <c r="I408" s="18"/>
      <c r="J408" s="18"/>
      <c r="K408" s="18"/>
      <c r="L408" s="18"/>
      <c r="M408" s="18"/>
      <c r="N408" s="18"/>
      <c r="O408" s="18"/>
      <c r="P408"/>
      <c r="Q408" s="18"/>
      <c r="R408" s="18"/>
    </row>
    <row r="409" spans="1:18" ht="52.8">
      <c r="A409" s="19">
        <v>356</v>
      </c>
      <c r="B409" s="114" t="s">
        <v>1053</v>
      </c>
      <c r="C409" s="115" t="s">
        <v>1054</v>
      </c>
      <c r="D409" s="116"/>
      <c r="E409" s="117" t="s">
        <v>1055</v>
      </c>
      <c r="P409"/>
    </row>
    <row r="410" spans="1:18" ht="39.6">
      <c r="A410" s="19">
        <v>357</v>
      </c>
      <c r="B410" s="20" t="s">
        <v>1056</v>
      </c>
      <c r="C410" s="21" t="s">
        <v>1057</v>
      </c>
      <c r="D410" s="20"/>
      <c r="E410" s="22" t="s">
        <v>1058</v>
      </c>
      <c r="F410" s="91"/>
      <c r="G410" s="18"/>
      <c r="H410" s="18"/>
      <c r="I410" s="18"/>
      <c r="J410" s="18"/>
      <c r="K410" s="18"/>
      <c r="L410" s="18"/>
      <c r="M410" s="18"/>
      <c r="N410" s="18"/>
      <c r="O410" s="18"/>
      <c r="P410"/>
      <c r="Q410" s="18"/>
      <c r="R410" s="18"/>
    </row>
    <row r="411" spans="1:18" ht="26.4">
      <c r="A411" s="19"/>
      <c r="B411" s="20" t="s">
        <v>2793</v>
      </c>
      <c r="C411" s="21"/>
      <c r="D411" s="20"/>
      <c r="E411" s="22"/>
      <c r="F411" s="91"/>
      <c r="G411" s="18"/>
      <c r="H411" s="18"/>
      <c r="I411" s="18"/>
      <c r="J411" s="18"/>
      <c r="K411" s="18"/>
      <c r="L411" s="18"/>
      <c r="M411" s="18"/>
      <c r="N411" s="18"/>
      <c r="O411" s="18"/>
      <c r="P411"/>
      <c r="Q411" s="18"/>
      <c r="R411" s="18"/>
    </row>
    <row r="412" spans="1:18" ht="26.4">
      <c r="A412" s="19">
        <v>358</v>
      </c>
      <c r="B412" s="20" t="s">
        <v>1059</v>
      </c>
      <c r="C412" s="21" t="s">
        <v>1060</v>
      </c>
      <c r="D412" s="20"/>
      <c r="E412" s="22" t="s">
        <v>1061</v>
      </c>
      <c r="P412"/>
    </row>
    <row r="413" spans="1:18" ht="66.599999999999994">
      <c r="A413" s="19">
        <v>359</v>
      </c>
      <c r="B413" s="20" t="s">
        <v>1062</v>
      </c>
      <c r="C413" s="50" t="s">
        <v>1063</v>
      </c>
      <c r="D413" s="20"/>
      <c r="E413" s="22"/>
      <c r="P413"/>
    </row>
    <row r="414" spans="1:18" ht="66">
      <c r="A414" s="19">
        <v>360</v>
      </c>
      <c r="B414" s="20" t="s">
        <v>1064</v>
      </c>
      <c r="C414" s="21" t="s">
        <v>1065</v>
      </c>
      <c r="D414" s="54" t="s">
        <v>337</v>
      </c>
      <c r="E414" s="22" t="s">
        <v>1066</v>
      </c>
      <c r="F414" s="91"/>
      <c r="G414" s="18"/>
      <c r="H414" s="18"/>
      <c r="I414" s="18"/>
      <c r="J414" s="18"/>
      <c r="K414" s="18"/>
      <c r="L414" s="18"/>
      <c r="M414" s="18"/>
      <c r="N414" s="18"/>
      <c r="O414" s="18"/>
      <c r="P414"/>
      <c r="Q414" s="18"/>
      <c r="R414" s="18"/>
    </row>
    <row r="415" spans="1:18" ht="52.8">
      <c r="A415" s="19">
        <v>361</v>
      </c>
      <c r="B415" s="20" t="s">
        <v>1067</v>
      </c>
      <c r="C415" s="21" t="s">
        <v>1068</v>
      </c>
      <c r="D415" s="20"/>
      <c r="E415" s="22" t="s">
        <v>1069</v>
      </c>
      <c r="P415"/>
    </row>
    <row r="416" spans="1:18" ht="39.6">
      <c r="A416" s="19">
        <v>362</v>
      </c>
      <c r="B416" s="20" t="s">
        <v>1070</v>
      </c>
      <c r="C416" s="21" t="s">
        <v>1071</v>
      </c>
      <c r="D416" s="20"/>
      <c r="E416" s="22" t="s">
        <v>1072</v>
      </c>
      <c r="F416" s="91"/>
      <c r="G416" s="18"/>
      <c r="H416" s="18"/>
      <c r="I416" s="18"/>
      <c r="J416" s="18"/>
      <c r="K416" s="18"/>
      <c r="L416" s="18"/>
      <c r="M416" s="18"/>
      <c r="N416" s="18"/>
      <c r="O416" s="18"/>
      <c r="P416"/>
      <c r="Q416" s="18"/>
      <c r="R416" s="18"/>
    </row>
    <row r="417" spans="1:18" ht="66">
      <c r="A417" s="19">
        <v>363</v>
      </c>
      <c r="B417" s="20" t="s">
        <v>1073</v>
      </c>
      <c r="C417" s="21" t="s">
        <v>1074</v>
      </c>
      <c r="D417" s="20"/>
      <c r="E417" s="22" t="s">
        <v>1075</v>
      </c>
      <c r="P417"/>
    </row>
    <row r="418" spans="1:18" ht="39.6">
      <c r="A418" s="19">
        <v>364</v>
      </c>
      <c r="B418" s="20" t="s">
        <v>1076</v>
      </c>
      <c r="C418" s="21" t="s">
        <v>1077</v>
      </c>
      <c r="D418" s="20"/>
      <c r="E418" s="153" t="s">
        <v>1078</v>
      </c>
      <c r="F418" s="91"/>
      <c r="G418" s="18"/>
      <c r="H418" s="18"/>
      <c r="I418" s="18"/>
      <c r="J418" s="18"/>
      <c r="K418" s="18"/>
      <c r="L418" s="18"/>
      <c r="M418" s="18"/>
      <c r="N418" s="18"/>
      <c r="O418" s="18"/>
      <c r="P418"/>
      <c r="Q418" s="18"/>
      <c r="R418" s="18"/>
    </row>
    <row r="419" spans="1:18" ht="66">
      <c r="A419" s="19">
        <v>365</v>
      </c>
      <c r="B419" s="20" t="s">
        <v>1079</v>
      </c>
      <c r="C419" s="21" t="s">
        <v>2795</v>
      </c>
      <c r="D419" s="20"/>
      <c r="E419" s="153" t="s">
        <v>1080</v>
      </c>
      <c r="F419" s="91" t="s">
        <v>1081</v>
      </c>
      <c r="G419" s="18"/>
      <c r="H419" s="18"/>
      <c r="I419" s="18"/>
      <c r="J419" s="18"/>
      <c r="K419" s="18"/>
      <c r="L419" s="18"/>
      <c r="M419" s="18"/>
      <c r="N419" s="18"/>
      <c r="O419" s="18"/>
      <c r="P419"/>
      <c r="Q419" s="18"/>
      <c r="R419" s="18"/>
    </row>
    <row r="420" spans="1:18" ht="52.8">
      <c r="A420" s="19"/>
      <c r="B420" s="20" t="s">
        <v>2796</v>
      </c>
      <c r="C420" s="21" t="s">
        <v>2797</v>
      </c>
      <c r="D420" s="20"/>
      <c r="E420" s="153"/>
      <c r="F420" s="91"/>
      <c r="G420" s="18"/>
      <c r="H420" s="18"/>
      <c r="I420" s="18"/>
      <c r="J420" s="18"/>
      <c r="K420" s="18"/>
      <c r="L420" s="18"/>
      <c r="M420" s="18"/>
      <c r="N420" s="18"/>
      <c r="O420" s="18"/>
      <c r="P420"/>
      <c r="Q420" s="18"/>
      <c r="R420" s="18"/>
    </row>
    <row r="421" spans="1:18" ht="66">
      <c r="A421" s="19">
        <v>366</v>
      </c>
      <c r="B421" s="20" t="s">
        <v>1082</v>
      </c>
      <c r="C421" s="21" t="s">
        <v>1083</v>
      </c>
      <c r="D421" s="20"/>
      <c r="E421" s="22"/>
      <c r="F421" s="91"/>
      <c r="G421" s="18"/>
      <c r="H421" s="18"/>
      <c r="I421" s="18"/>
      <c r="J421" s="18"/>
      <c r="K421" s="18"/>
      <c r="L421" s="18"/>
      <c r="M421" s="18"/>
      <c r="N421" s="18"/>
      <c r="O421" s="18"/>
      <c r="P421"/>
      <c r="Q421" s="18"/>
      <c r="R421" s="18"/>
    </row>
    <row r="422" spans="1:18" ht="26.4">
      <c r="A422" s="19">
        <v>367</v>
      </c>
      <c r="B422" s="20" t="s">
        <v>1084</v>
      </c>
      <c r="C422" s="21" t="s">
        <v>1085</v>
      </c>
      <c r="D422" s="20"/>
      <c r="E422" s="22" t="s">
        <v>1086</v>
      </c>
      <c r="F422" s="91"/>
      <c r="G422" s="18"/>
      <c r="H422" s="18"/>
      <c r="I422" s="18"/>
      <c r="J422" s="18"/>
      <c r="K422" s="18"/>
      <c r="L422" s="18"/>
      <c r="M422" s="18"/>
      <c r="N422" s="18"/>
      <c r="O422" s="18"/>
      <c r="P422"/>
      <c r="Q422" s="18"/>
      <c r="R422" s="18"/>
    </row>
    <row r="423" spans="1:18" ht="39.6">
      <c r="A423" s="19">
        <v>368</v>
      </c>
      <c r="B423" s="20" t="s">
        <v>1087</v>
      </c>
      <c r="C423" s="21" t="s">
        <v>1088</v>
      </c>
      <c r="D423" s="20" t="s">
        <v>49</v>
      </c>
      <c r="E423" s="22" t="s">
        <v>147</v>
      </c>
      <c r="P423"/>
    </row>
    <row r="424" spans="1:18" ht="79.2">
      <c r="A424" s="19">
        <v>369</v>
      </c>
      <c r="B424" s="20" t="s">
        <v>2633</v>
      </c>
      <c r="C424" s="21" t="s">
        <v>1089</v>
      </c>
      <c r="D424" s="20"/>
      <c r="E424" s="22" t="s">
        <v>1090</v>
      </c>
      <c r="F424" s="91"/>
      <c r="G424" s="18"/>
      <c r="H424" s="18"/>
      <c r="I424" s="18"/>
      <c r="J424" s="18"/>
      <c r="K424" s="18"/>
      <c r="L424" s="18"/>
      <c r="M424" s="18"/>
      <c r="N424" s="18"/>
      <c r="O424" s="18"/>
      <c r="P424"/>
      <c r="Q424" s="18"/>
      <c r="R424" s="18"/>
    </row>
    <row r="425" spans="1:18" ht="52.8">
      <c r="A425" s="19">
        <v>370</v>
      </c>
      <c r="B425" s="20" t="s">
        <v>1091</v>
      </c>
      <c r="C425" s="21" t="s">
        <v>1092</v>
      </c>
      <c r="D425" s="20" t="s">
        <v>49</v>
      </c>
      <c r="E425" s="22" t="s">
        <v>1093</v>
      </c>
      <c r="P425"/>
    </row>
    <row r="426" spans="1:18" ht="39.6">
      <c r="A426" s="19">
        <v>371</v>
      </c>
      <c r="B426" s="20" t="s">
        <v>1094</v>
      </c>
      <c r="C426" s="21" t="s">
        <v>1095</v>
      </c>
      <c r="D426" s="20" t="s">
        <v>49</v>
      </c>
      <c r="E426" s="22" t="s">
        <v>1096</v>
      </c>
      <c r="P426"/>
    </row>
    <row r="427" spans="1:18" ht="52.8">
      <c r="A427" s="19">
        <v>372</v>
      </c>
      <c r="B427" s="20" t="s">
        <v>1097</v>
      </c>
      <c r="C427" s="21" t="s">
        <v>1098</v>
      </c>
      <c r="D427" s="20"/>
      <c r="E427" s="22" t="s">
        <v>1099</v>
      </c>
      <c r="P427"/>
    </row>
    <row r="428" spans="1:18" ht="39.6">
      <c r="A428" s="19">
        <v>373</v>
      </c>
      <c r="B428" s="20" t="s">
        <v>1100</v>
      </c>
      <c r="C428" s="21" t="s">
        <v>1101</v>
      </c>
      <c r="D428" s="20" t="s">
        <v>493</v>
      </c>
      <c r="E428" s="22" t="s">
        <v>1102</v>
      </c>
      <c r="P428"/>
    </row>
    <row r="429" spans="1:18" ht="39.6">
      <c r="A429" s="19">
        <v>374</v>
      </c>
      <c r="B429" s="20" t="s">
        <v>1103</v>
      </c>
      <c r="C429" s="21" t="s">
        <v>1104</v>
      </c>
      <c r="D429" s="20" t="s">
        <v>59</v>
      </c>
      <c r="E429" s="92" t="s">
        <v>1105</v>
      </c>
      <c r="F429" s="91"/>
      <c r="G429" s="18"/>
      <c r="H429" s="18"/>
      <c r="I429" s="18"/>
      <c r="J429" s="18"/>
      <c r="K429" s="18"/>
      <c r="L429" s="18"/>
      <c r="M429" s="18"/>
      <c r="N429" s="18"/>
      <c r="O429" s="18"/>
      <c r="P429"/>
      <c r="Q429" s="18"/>
      <c r="R429" s="18"/>
    </row>
    <row r="430" spans="1:18" ht="52.8">
      <c r="A430" s="19">
        <v>375</v>
      </c>
      <c r="B430" s="20" t="s">
        <v>1106</v>
      </c>
      <c r="C430" s="21" t="s">
        <v>1004</v>
      </c>
      <c r="D430" s="20"/>
      <c r="E430" s="22" t="s">
        <v>1107</v>
      </c>
      <c r="P430"/>
    </row>
    <row r="431" spans="1:18" ht="66">
      <c r="A431" s="19">
        <v>376</v>
      </c>
      <c r="B431" s="20" t="s">
        <v>1106</v>
      </c>
      <c r="C431" s="21" t="s">
        <v>1108</v>
      </c>
      <c r="D431" s="20"/>
      <c r="E431" s="22" t="s">
        <v>1109</v>
      </c>
      <c r="P431"/>
    </row>
    <row r="432" spans="1:18" ht="39.6">
      <c r="A432" s="19">
        <v>377</v>
      </c>
      <c r="B432" s="20" t="s">
        <v>1110</v>
      </c>
      <c r="C432" s="21" t="s">
        <v>1111</v>
      </c>
      <c r="D432" s="20" t="s">
        <v>1112</v>
      </c>
      <c r="E432" s="22" t="s">
        <v>1113</v>
      </c>
      <c r="P432"/>
    </row>
    <row r="433" spans="1:18" ht="40.200000000000003">
      <c r="A433" s="19">
        <v>378</v>
      </c>
      <c r="B433" s="20" t="s">
        <v>1114</v>
      </c>
      <c r="C433" s="21" t="s">
        <v>1115</v>
      </c>
      <c r="D433" s="20" t="s">
        <v>77</v>
      </c>
      <c r="E433" s="118" t="s">
        <v>1116</v>
      </c>
      <c r="P433"/>
    </row>
    <row r="434" spans="1:18" ht="39.6">
      <c r="A434" s="19">
        <v>379</v>
      </c>
      <c r="B434" s="20" t="s">
        <v>1117</v>
      </c>
      <c r="C434" s="21" t="s">
        <v>1118</v>
      </c>
      <c r="D434" s="20"/>
      <c r="E434" s="22" t="s">
        <v>1119</v>
      </c>
      <c r="P434"/>
    </row>
    <row r="435" spans="1:18" ht="39.6">
      <c r="A435" s="19">
        <v>380</v>
      </c>
      <c r="B435" s="20" t="s">
        <v>2634</v>
      </c>
      <c r="C435" s="21" t="s">
        <v>1120</v>
      </c>
      <c r="D435" s="20" t="s">
        <v>363</v>
      </c>
      <c r="E435" s="22" t="s">
        <v>1121</v>
      </c>
      <c r="P435"/>
    </row>
    <row r="436" spans="1:18" ht="52.8">
      <c r="A436" s="19"/>
      <c r="B436" s="20" t="s">
        <v>2605</v>
      </c>
      <c r="C436" s="21" t="s">
        <v>2606</v>
      </c>
      <c r="D436" s="20"/>
      <c r="E436" s="22"/>
      <c r="P436"/>
    </row>
    <row r="437" spans="1:18" ht="52.8">
      <c r="A437" s="19"/>
      <c r="B437" s="20" t="s">
        <v>2760</v>
      </c>
      <c r="C437" s="21" t="s">
        <v>2761</v>
      </c>
      <c r="D437" s="20"/>
      <c r="E437" s="22"/>
      <c r="P437"/>
    </row>
    <row r="438" spans="1:18" ht="39.6">
      <c r="A438" s="19"/>
      <c r="B438" s="20" t="s">
        <v>2635</v>
      </c>
      <c r="C438" s="21" t="s">
        <v>2636</v>
      </c>
      <c r="D438" s="20"/>
      <c r="E438" s="22"/>
      <c r="P438"/>
    </row>
    <row r="439" spans="1:18" ht="39.6">
      <c r="A439" s="19"/>
      <c r="B439" s="20" t="s">
        <v>2592</v>
      </c>
      <c r="C439" s="21" t="s">
        <v>2593</v>
      </c>
      <c r="D439" s="20"/>
      <c r="E439" s="22"/>
      <c r="P439"/>
    </row>
    <row r="440" spans="1:18" ht="39.6">
      <c r="A440" s="19">
        <v>381</v>
      </c>
      <c r="B440" s="20" t="s">
        <v>1122</v>
      </c>
      <c r="C440" s="21" t="s">
        <v>1123</v>
      </c>
      <c r="D440" s="20"/>
      <c r="E440" s="22" t="s">
        <v>1124</v>
      </c>
      <c r="P440"/>
    </row>
    <row r="441" spans="1:18" ht="39.6">
      <c r="A441" s="19"/>
      <c r="B441" s="20" t="s">
        <v>2770</v>
      </c>
      <c r="C441" s="21" t="s">
        <v>2654</v>
      </c>
      <c r="D441" s="20"/>
      <c r="E441" s="22" t="s">
        <v>2769</v>
      </c>
      <c r="P441"/>
    </row>
    <row r="442" spans="1:18" ht="26.4">
      <c r="A442" s="19"/>
      <c r="B442" s="20" t="s">
        <v>2805</v>
      </c>
      <c r="C442" s="21" t="s">
        <v>2806</v>
      </c>
      <c r="D442" s="20"/>
      <c r="E442" s="22" t="s">
        <v>2807</v>
      </c>
      <c r="P442"/>
    </row>
    <row r="443" spans="1:18" ht="39.6">
      <c r="A443" s="19">
        <v>382</v>
      </c>
      <c r="B443" s="20" t="s">
        <v>1125</v>
      </c>
      <c r="C443" s="21" t="s">
        <v>1126</v>
      </c>
      <c r="D443" s="20"/>
      <c r="E443" s="22" t="s">
        <v>1127</v>
      </c>
      <c r="P443"/>
    </row>
    <row r="444" spans="1:18" ht="52.8">
      <c r="A444" s="19"/>
      <c r="B444" s="20" t="s">
        <v>2855</v>
      </c>
      <c r="C444" s="21" t="s">
        <v>2856</v>
      </c>
      <c r="D444" s="20"/>
      <c r="E444" s="22" t="s">
        <v>2873</v>
      </c>
      <c r="P444"/>
    </row>
    <row r="445" spans="1:18" ht="52.8">
      <c r="A445" s="19"/>
      <c r="B445" s="20" t="s">
        <v>2588</v>
      </c>
      <c r="C445" s="220" t="s">
        <v>2590</v>
      </c>
      <c r="D445" s="20"/>
      <c r="E445" s="22"/>
      <c r="P445"/>
    </row>
    <row r="446" spans="1:18" ht="39.6">
      <c r="A446" s="19"/>
      <c r="B446" s="20" t="s">
        <v>416</v>
      </c>
      <c r="C446" s="220" t="s">
        <v>2852</v>
      </c>
      <c r="D446" s="20"/>
      <c r="E446" s="22" t="s">
        <v>2853</v>
      </c>
      <c r="P446"/>
    </row>
    <row r="447" spans="1:18" ht="92.4">
      <c r="A447" s="19"/>
      <c r="B447" s="20" t="s">
        <v>2851</v>
      </c>
      <c r="C447" s="220" t="s">
        <v>2854</v>
      </c>
      <c r="D447" s="20"/>
      <c r="E447" s="22"/>
      <c r="P447"/>
    </row>
    <row r="448" spans="1:18" ht="66">
      <c r="A448" s="19">
        <v>383</v>
      </c>
      <c r="B448" s="20" t="s">
        <v>1128</v>
      </c>
      <c r="C448" s="21" t="s">
        <v>1129</v>
      </c>
      <c r="D448" s="20"/>
      <c r="E448" s="22"/>
      <c r="F448" s="91"/>
      <c r="G448" s="18"/>
      <c r="H448" s="18"/>
      <c r="I448" s="18"/>
      <c r="J448" s="18"/>
      <c r="K448" s="18"/>
      <c r="L448" s="18"/>
      <c r="M448" s="18"/>
      <c r="N448" s="18"/>
      <c r="O448" s="18"/>
      <c r="P448"/>
      <c r="Q448" s="18"/>
      <c r="R448" s="18"/>
    </row>
    <row r="449" spans="1:18" ht="39.6">
      <c r="A449" s="19">
        <v>384</v>
      </c>
      <c r="B449" s="20" t="s">
        <v>1130</v>
      </c>
      <c r="C449" s="21" t="s">
        <v>1131</v>
      </c>
      <c r="D449" s="20"/>
      <c r="E449" s="22" t="s">
        <v>1132</v>
      </c>
      <c r="P449"/>
    </row>
    <row r="450" spans="1:18" ht="79.2">
      <c r="A450" s="19">
        <v>385</v>
      </c>
      <c r="B450" s="20" t="s">
        <v>1133</v>
      </c>
      <c r="C450" s="21" t="s">
        <v>1134</v>
      </c>
      <c r="D450" s="20"/>
      <c r="E450" s="22" t="s">
        <v>1135</v>
      </c>
      <c r="P450"/>
    </row>
    <row r="451" spans="1:18" ht="92.4">
      <c r="A451" s="19">
        <v>386</v>
      </c>
      <c r="B451" s="20" t="s">
        <v>1136</v>
      </c>
      <c r="C451" s="21" t="s">
        <v>1137</v>
      </c>
      <c r="D451" s="20"/>
      <c r="E451" s="22" t="s">
        <v>1138</v>
      </c>
      <c r="F451" s="91"/>
      <c r="G451" s="18"/>
      <c r="H451" s="18"/>
      <c r="I451" s="18"/>
      <c r="J451" s="18"/>
      <c r="K451" s="18"/>
      <c r="L451" s="18"/>
      <c r="M451" s="18"/>
      <c r="N451" s="18"/>
      <c r="O451" s="18"/>
      <c r="P451"/>
      <c r="Q451" s="18"/>
      <c r="R451" s="18"/>
    </row>
    <row r="452" spans="1:18" ht="52.8">
      <c r="A452" s="19">
        <v>387</v>
      </c>
      <c r="B452" s="20" t="s">
        <v>1139</v>
      </c>
      <c r="C452" s="21" t="s">
        <v>1140</v>
      </c>
      <c r="D452" s="20"/>
      <c r="E452" s="22" t="s">
        <v>1141</v>
      </c>
      <c r="P452"/>
    </row>
    <row r="453" spans="1:18" ht="39.6">
      <c r="A453" s="19">
        <v>388</v>
      </c>
      <c r="B453" s="20" t="s">
        <v>1142</v>
      </c>
      <c r="C453" s="21" t="s">
        <v>1143</v>
      </c>
      <c r="D453" s="20"/>
      <c r="E453" s="22" t="s">
        <v>1144</v>
      </c>
      <c r="P453"/>
    </row>
    <row r="454" spans="1:18" ht="14.4">
      <c r="A454" s="19">
        <v>389</v>
      </c>
      <c r="B454" s="20" t="s">
        <v>1142</v>
      </c>
      <c r="C454" s="21"/>
      <c r="D454" s="20"/>
      <c r="E454" s="22"/>
      <c r="P454"/>
    </row>
    <row r="455" spans="1:18" ht="52.8">
      <c r="A455" s="19">
        <v>390</v>
      </c>
      <c r="B455" s="20" t="s">
        <v>1145</v>
      </c>
      <c r="C455" s="21" t="s">
        <v>1146</v>
      </c>
      <c r="D455" s="20"/>
      <c r="E455" s="22" t="s">
        <v>1147</v>
      </c>
      <c r="F455" s="91"/>
      <c r="G455" s="18"/>
      <c r="H455" s="18"/>
      <c r="I455" s="18"/>
      <c r="J455" s="18"/>
      <c r="K455" s="18"/>
      <c r="L455" s="18"/>
      <c r="M455" s="18"/>
      <c r="N455" s="18"/>
      <c r="O455" s="18"/>
      <c r="P455"/>
      <c r="Q455" s="18"/>
      <c r="R455" s="18"/>
    </row>
    <row r="456" spans="1:18" ht="66">
      <c r="A456" s="19">
        <v>391</v>
      </c>
      <c r="B456" s="20" t="s">
        <v>1148</v>
      </c>
      <c r="C456" s="21" t="s">
        <v>1149</v>
      </c>
      <c r="D456" s="20" t="s">
        <v>421</v>
      </c>
      <c r="E456" s="22" t="s">
        <v>1150</v>
      </c>
      <c r="P456"/>
    </row>
    <row r="457" spans="1:18" ht="26.4">
      <c r="A457" s="19">
        <v>392</v>
      </c>
      <c r="B457" s="20" t="s">
        <v>1151</v>
      </c>
      <c r="C457" s="21" t="s">
        <v>362</v>
      </c>
      <c r="D457" s="54"/>
      <c r="E457" s="22" t="s">
        <v>1152</v>
      </c>
      <c r="F457" s="91"/>
      <c r="G457" s="18"/>
      <c r="H457" s="18"/>
      <c r="I457" s="18"/>
      <c r="J457" s="18"/>
      <c r="K457" s="18"/>
      <c r="L457" s="18"/>
      <c r="M457" s="18"/>
      <c r="N457" s="18"/>
      <c r="O457" s="18"/>
      <c r="P457"/>
      <c r="Q457" s="18"/>
      <c r="R457" s="18"/>
    </row>
    <row r="458" spans="1:18" ht="52.8">
      <c r="A458" s="19"/>
      <c r="B458" s="20" t="s">
        <v>2717</v>
      </c>
      <c r="C458" s="21" t="s">
        <v>2718</v>
      </c>
      <c r="D458" s="54"/>
      <c r="E458" s="22"/>
      <c r="F458" s="91"/>
      <c r="G458" s="18"/>
      <c r="H458" s="18"/>
      <c r="I458" s="18"/>
      <c r="J458" s="18"/>
      <c r="K458" s="18"/>
      <c r="L458" s="18"/>
      <c r="M458" s="18"/>
      <c r="N458" s="18"/>
      <c r="O458" s="18"/>
      <c r="P458"/>
      <c r="Q458" s="18"/>
      <c r="R458" s="18"/>
    </row>
    <row r="459" spans="1:18" ht="105.6">
      <c r="A459" s="19">
        <v>393</v>
      </c>
      <c r="B459" s="20" t="s">
        <v>1153</v>
      </c>
      <c r="C459" s="21" t="s">
        <v>1154</v>
      </c>
      <c r="D459" s="20"/>
      <c r="E459" s="22" t="s">
        <v>1155</v>
      </c>
      <c r="P459"/>
    </row>
    <row r="460" spans="1:18" ht="52.8">
      <c r="A460" s="19">
        <v>394</v>
      </c>
      <c r="B460" s="20" t="s">
        <v>1156</v>
      </c>
      <c r="C460" s="21" t="s">
        <v>1157</v>
      </c>
      <c r="D460" s="20"/>
      <c r="E460" s="22" t="s">
        <v>1158</v>
      </c>
      <c r="P460"/>
    </row>
    <row r="461" spans="1:18" ht="79.2">
      <c r="A461" s="19">
        <v>395</v>
      </c>
      <c r="B461" s="20" t="s">
        <v>1159</v>
      </c>
      <c r="C461" s="21" t="s">
        <v>1160</v>
      </c>
      <c r="D461" s="20"/>
      <c r="E461" s="22"/>
      <c r="F461" s="91"/>
      <c r="G461" s="18"/>
      <c r="H461" s="18"/>
      <c r="I461" s="18"/>
      <c r="J461" s="18"/>
      <c r="K461" s="18"/>
      <c r="L461" s="18"/>
      <c r="M461" s="18"/>
      <c r="N461" s="18"/>
      <c r="O461" s="18"/>
      <c r="P461"/>
      <c r="Q461" s="18"/>
      <c r="R461" s="18"/>
    </row>
    <row r="462" spans="1:18" ht="39.6">
      <c r="A462" s="19">
        <v>396</v>
      </c>
      <c r="B462" s="20" t="s">
        <v>1161</v>
      </c>
      <c r="C462" s="21" t="s">
        <v>1162</v>
      </c>
      <c r="D462" s="20" t="s">
        <v>535</v>
      </c>
      <c r="E462" s="22" t="s">
        <v>1163</v>
      </c>
      <c r="P462"/>
    </row>
    <row r="463" spans="1:18" ht="26.4">
      <c r="A463" s="19">
        <v>397</v>
      </c>
      <c r="B463" s="20" t="s">
        <v>1164</v>
      </c>
      <c r="C463" s="21" t="s">
        <v>1165</v>
      </c>
      <c r="D463" s="20"/>
      <c r="E463" s="22"/>
      <c r="P463"/>
    </row>
    <row r="464" spans="1:18" ht="39.6">
      <c r="A464" s="19">
        <v>398</v>
      </c>
      <c r="B464" s="20" t="s">
        <v>1166</v>
      </c>
      <c r="C464" s="21" t="s">
        <v>1167</v>
      </c>
      <c r="D464" s="20"/>
      <c r="E464" s="22" t="s">
        <v>1168</v>
      </c>
      <c r="F464" s="91" t="s">
        <v>1169</v>
      </c>
      <c r="G464" s="18"/>
      <c r="H464" s="18"/>
      <c r="I464" s="18"/>
      <c r="J464" s="18"/>
      <c r="K464" s="18"/>
      <c r="L464" s="18"/>
      <c r="M464" s="18"/>
      <c r="N464" s="18"/>
      <c r="O464" s="18"/>
      <c r="P464"/>
      <c r="Q464" s="18"/>
      <c r="R464" s="18"/>
    </row>
    <row r="465" spans="1:18" ht="39.6">
      <c r="A465" s="19">
        <v>399</v>
      </c>
      <c r="B465" s="20" t="s">
        <v>1170</v>
      </c>
      <c r="C465" s="21" t="s">
        <v>1171</v>
      </c>
      <c r="D465" s="20"/>
      <c r="E465" s="22" t="s">
        <v>1172</v>
      </c>
      <c r="P465"/>
    </row>
    <row r="466" spans="1:18" ht="92.4">
      <c r="A466" s="19">
        <v>400</v>
      </c>
      <c r="B466" s="20" t="s">
        <v>1173</v>
      </c>
      <c r="C466" s="21" t="s">
        <v>1174</v>
      </c>
      <c r="D466" s="20"/>
      <c r="E466" s="22" t="s">
        <v>1175</v>
      </c>
      <c r="P466"/>
    </row>
    <row r="467" spans="1:18" ht="52.8">
      <c r="A467" s="19">
        <v>401</v>
      </c>
      <c r="B467" s="20" t="s">
        <v>1176</v>
      </c>
      <c r="C467" s="21" t="s">
        <v>1177</v>
      </c>
      <c r="D467" s="20"/>
      <c r="E467" s="22" t="s">
        <v>1178</v>
      </c>
      <c r="P467"/>
    </row>
    <row r="468" spans="1:18" ht="51.6">
      <c r="A468" s="19">
        <v>402</v>
      </c>
      <c r="B468" s="20" t="s">
        <v>1179</v>
      </c>
      <c r="C468" s="119" t="s">
        <v>1180</v>
      </c>
      <c r="D468" s="20" t="s">
        <v>1181</v>
      </c>
      <c r="E468" s="120" t="s">
        <v>1182</v>
      </c>
      <c r="F468" s="91"/>
      <c r="G468" s="18"/>
      <c r="H468" s="18"/>
      <c r="I468" s="18"/>
      <c r="J468" s="18"/>
      <c r="K468" s="18"/>
      <c r="L468" s="18"/>
      <c r="M468" s="18"/>
      <c r="N468" s="18"/>
      <c r="O468" s="18"/>
      <c r="P468"/>
      <c r="Q468" s="18"/>
      <c r="R468" s="18"/>
    </row>
    <row r="469" spans="1:18" ht="66">
      <c r="A469" s="19">
        <v>403</v>
      </c>
      <c r="B469" s="20" t="s">
        <v>1183</v>
      </c>
      <c r="C469" s="21" t="s">
        <v>1184</v>
      </c>
      <c r="D469" s="20"/>
      <c r="E469" s="22" t="s">
        <v>1185</v>
      </c>
      <c r="P469"/>
    </row>
    <row r="470" spans="1:18" ht="52.8">
      <c r="A470" s="19">
        <v>404</v>
      </c>
      <c r="B470" s="20" t="s">
        <v>1186</v>
      </c>
      <c r="C470" s="21" t="s">
        <v>1187</v>
      </c>
      <c r="D470" s="20"/>
      <c r="E470" s="22" t="s">
        <v>1188</v>
      </c>
      <c r="P470"/>
    </row>
    <row r="471" spans="1:18" ht="39.6">
      <c r="A471" s="19">
        <v>405</v>
      </c>
      <c r="B471" s="20" t="s">
        <v>1189</v>
      </c>
      <c r="C471" s="21" t="s">
        <v>1190</v>
      </c>
      <c r="D471" s="20"/>
      <c r="E471" s="121" t="s">
        <v>1191</v>
      </c>
      <c r="F471" s="91"/>
      <c r="G471" s="18"/>
      <c r="H471" s="18"/>
      <c r="I471" s="18"/>
      <c r="J471" s="18"/>
      <c r="K471" s="18"/>
      <c r="L471" s="18"/>
      <c r="M471" s="18"/>
      <c r="N471" s="18"/>
      <c r="O471" s="18"/>
      <c r="P471"/>
      <c r="Q471" s="18"/>
      <c r="R471" s="18"/>
    </row>
    <row r="472" spans="1:18" ht="39.6">
      <c r="A472" s="19">
        <v>406</v>
      </c>
      <c r="B472" s="116" t="s">
        <v>1192</v>
      </c>
      <c r="C472" s="27" t="s">
        <v>1193</v>
      </c>
      <c r="D472" s="122" t="s">
        <v>1194</v>
      </c>
      <c r="E472" s="27" t="s">
        <v>1195</v>
      </c>
      <c r="F472" s="123" t="s">
        <v>1196</v>
      </c>
      <c r="P472"/>
    </row>
    <row r="473" spans="1:18" ht="52.8">
      <c r="A473" s="19">
        <v>407</v>
      </c>
      <c r="B473" s="20" t="s">
        <v>1197</v>
      </c>
      <c r="C473" s="21" t="s">
        <v>1198</v>
      </c>
      <c r="D473" s="20"/>
      <c r="E473" s="22" t="s">
        <v>1199</v>
      </c>
      <c r="P473"/>
    </row>
    <row r="474" spans="1:18" ht="66">
      <c r="A474" s="19">
        <v>408</v>
      </c>
      <c r="B474" s="20" t="s">
        <v>1200</v>
      </c>
      <c r="C474" s="21" t="s">
        <v>1201</v>
      </c>
      <c r="D474" s="20" t="s">
        <v>456</v>
      </c>
      <c r="E474" s="22" t="s">
        <v>1202</v>
      </c>
      <c r="F474" s="91"/>
      <c r="G474" s="18"/>
      <c r="H474" s="18"/>
      <c r="I474" s="18"/>
      <c r="J474" s="18"/>
      <c r="K474" s="18"/>
      <c r="L474" s="18"/>
      <c r="M474" s="18"/>
      <c r="N474" s="18"/>
      <c r="O474" s="18"/>
      <c r="P474"/>
      <c r="Q474" s="18"/>
      <c r="R474" s="18"/>
    </row>
    <row r="475" spans="1:18" ht="66">
      <c r="A475" s="19">
        <v>409</v>
      </c>
      <c r="B475" s="116" t="s">
        <v>1203</v>
      </c>
      <c r="C475" s="115" t="s">
        <v>1204</v>
      </c>
      <c r="D475" s="116"/>
      <c r="E475" s="117" t="s">
        <v>1205</v>
      </c>
      <c r="P475"/>
    </row>
    <row r="476" spans="1:18" ht="26.4">
      <c r="A476" s="19"/>
      <c r="B476" s="116" t="s">
        <v>2885</v>
      </c>
      <c r="C476" s="115" t="s">
        <v>2886</v>
      </c>
      <c r="D476" s="116"/>
      <c r="E476" s="117" t="s">
        <v>2887</v>
      </c>
      <c r="P476"/>
    </row>
    <row r="477" spans="1:18" ht="52.8">
      <c r="A477" s="19">
        <v>410</v>
      </c>
      <c r="B477" s="20" t="s">
        <v>1206</v>
      </c>
      <c r="C477" s="21" t="s">
        <v>1207</v>
      </c>
      <c r="D477" s="20"/>
      <c r="E477" s="22"/>
      <c r="P477"/>
    </row>
    <row r="478" spans="1:18" ht="145.19999999999999">
      <c r="A478" s="19">
        <v>411</v>
      </c>
      <c r="B478" s="20" t="s">
        <v>1208</v>
      </c>
      <c r="C478" s="21" t="s">
        <v>1209</v>
      </c>
      <c r="D478" s="20" t="s">
        <v>2957</v>
      </c>
      <c r="E478" s="22" t="s">
        <v>1210</v>
      </c>
      <c r="P478"/>
    </row>
    <row r="479" spans="1:18" ht="39.6">
      <c r="A479" s="19">
        <v>412</v>
      </c>
      <c r="B479" s="20" t="s">
        <v>1211</v>
      </c>
      <c r="C479" s="21" t="s">
        <v>1212</v>
      </c>
      <c r="D479" s="20" t="s">
        <v>1213</v>
      </c>
      <c r="E479" s="22" t="s">
        <v>1214</v>
      </c>
      <c r="F479" s="91"/>
      <c r="G479" s="18"/>
      <c r="H479" s="18"/>
      <c r="I479" s="18"/>
      <c r="J479" s="18"/>
      <c r="K479" s="18"/>
      <c r="L479" s="18"/>
      <c r="M479" s="18"/>
      <c r="N479" s="18"/>
      <c r="O479" s="18"/>
      <c r="P479"/>
      <c r="Q479" s="18"/>
      <c r="R479" s="18"/>
    </row>
    <row r="480" spans="1:18" ht="26.4">
      <c r="A480" s="19">
        <v>413</v>
      </c>
      <c r="B480" s="20" t="s">
        <v>1215</v>
      </c>
      <c r="C480" s="21" t="s">
        <v>1216</v>
      </c>
      <c r="D480" s="20" t="s">
        <v>1217</v>
      </c>
      <c r="E480" s="22" t="s">
        <v>1218</v>
      </c>
      <c r="F480" s="91"/>
      <c r="G480" s="18"/>
      <c r="H480" s="18"/>
      <c r="I480" s="18"/>
      <c r="J480" s="18"/>
      <c r="K480" s="18"/>
      <c r="L480" s="18"/>
      <c r="M480" s="18"/>
      <c r="N480" s="18"/>
      <c r="O480" s="18"/>
      <c r="P480"/>
      <c r="Q480" s="18"/>
      <c r="R480" s="18"/>
    </row>
    <row r="481" spans="1:18" ht="39.6">
      <c r="A481" s="19">
        <v>414</v>
      </c>
      <c r="B481" s="20" t="s">
        <v>1219</v>
      </c>
      <c r="C481" s="21" t="s">
        <v>1212</v>
      </c>
      <c r="D481" s="20" t="s">
        <v>1213</v>
      </c>
      <c r="E481" s="22" t="s">
        <v>1220</v>
      </c>
      <c r="F481" s="91"/>
      <c r="G481" s="18"/>
      <c r="H481" s="18"/>
      <c r="I481" s="18"/>
      <c r="J481" s="18"/>
      <c r="K481" s="18"/>
      <c r="L481" s="18"/>
      <c r="M481" s="18"/>
      <c r="N481" s="18"/>
      <c r="O481" s="18"/>
      <c r="P481"/>
      <c r="Q481" s="18"/>
      <c r="R481" s="18"/>
    </row>
    <row r="482" spans="1:18" ht="52.8">
      <c r="A482" s="19">
        <v>415</v>
      </c>
      <c r="B482" s="20" t="s">
        <v>1221</v>
      </c>
      <c r="C482" s="21" t="s">
        <v>1222</v>
      </c>
      <c r="D482" s="20" t="s">
        <v>626</v>
      </c>
      <c r="E482" s="22" t="s">
        <v>1223</v>
      </c>
      <c r="P482"/>
    </row>
    <row r="483" spans="1:18" ht="39.6">
      <c r="A483" s="19">
        <v>416</v>
      </c>
      <c r="B483" s="20" t="s">
        <v>1224</v>
      </c>
      <c r="C483" s="21" t="s">
        <v>798</v>
      </c>
      <c r="D483" s="20"/>
      <c r="E483" s="22"/>
      <c r="P483"/>
    </row>
    <row r="484" spans="1:18" ht="105.6">
      <c r="A484" s="19">
        <v>417</v>
      </c>
      <c r="B484" s="73" t="s">
        <v>1225</v>
      </c>
      <c r="C484" s="21" t="s">
        <v>1226</v>
      </c>
      <c r="D484" s="20" t="s">
        <v>3017</v>
      </c>
      <c r="E484" s="22" t="s">
        <v>1227</v>
      </c>
      <c r="F484" s="91"/>
      <c r="G484" s="18"/>
      <c r="H484" s="18"/>
      <c r="I484" s="18"/>
      <c r="J484" s="18"/>
      <c r="K484" s="18"/>
      <c r="L484" s="18"/>
      <c r="M484" s="18"/>
      <c r="N484" s="18"/>
      <c r="O484" s="18"/>
      <c r="P484"/>
      <c r="Q484" s="18"/>
      <c r="R484" s="18"/>
    </row>
    <row r="485" spans="1:18" ht="39.6">
      <c r="A485" s="19">
        <v>418</v>
      </c>
      <c r="B485" s="20" t="s">
        <v>1228</v>
      </c>
      <c r="C485" s="21" t="s">
        <v>1229</v>
      </c>
      <c r="D485" s="20"/>
      <c r="E485" s="22" t="s">
        <v>1230</v>
      </c>
      <c r="P485"/>
    </row>
    <row r="486" spans="1:18" ht="39.6">
      <c r="A486" s="19">
        <v>419</v>
      </c>
      <c r="B486" s="20" t="s">
        <v>1231</v>
      </c>
      <c r="C486" s="21" t="s">
        <v>1232</v>
      </c>
      <c r="D486" s="20"/>
      <c r="E486" s="22" t="s">
        <v>1233</v>
      </c>
      <c r="P486"/>
    </row>
    <row r="487" spans="1:18" ht="39.6">
      <c r="A487" s="19"/>
      <c r="B487" s="20" t="s">
        <v>2909</v>
      </c>
      <c r="C487" s="21" t="s">
        <v>2910</v>
      </c>
      <c r="D487" s="20"/>
      <c r="E487" s="22" t="s">
        <v>2911</v>
      </c>
      <c r="P487"/>
    </row>
    <row r="488" spans="1:18" ht="79.2">
      <c r="A488" s="19">
        <v>420</v>
      </c>
      <c r="B488" s="20" t="s">
        <v>1234</v>
      </c>
      <c r="C488" s="21" t="s">
        <v>1235</v>
      </c>
      <c r="D488" s="54" t="s">
        <v>1236</v>
      </c>
      <c r="E488" s="21" t="s">
        <v>1237</v>
      </c>
      <c r="F488" s="103" t="s">
        <v>151</v>
      </c>
      <c r="G488" s="18"/>
      <c r="H488" s="18"/>
      <c r="I488" s="18"/>
      <c r="J488" s="18"/>
      <c r="K488" s="18"/>
      <c r="L488" s="18"/>
      <c r="M488" s="18"/>
      <c r="N488" s="18"/>
      <c r="O488" s="18"/>
      <c r="P488"/>
      <c r="Q488" s="18"/>
      <c r="R488" s="18"/>
    </row>
    <row r="489" spans="1:18" ht="39.6">
      <c r="A489" s="19">
        <v>421</v>
      </c>
      <c r="B489" s="20" t="s">
        <v>1238</v>
      </c>
      <c r="C489" s="21" t="s">
        <v>1235</v>
      </c>
      <c r="D489" s="54"/>
      <c r="E489" s="124" t="s">
        <v>1239</v>
      </c>
      <c r="F489" s="103" t="s">
        <v>151</v>
      </c>
      <c r="G489" s="18"/>
      <c r="H489" s="18"/>
      <c r="I489" s="18"/>
      <c r="J489" s="18"/>
      <c r="K489" s="18"/>
      <c r="L489" s="18"/>
      <c r="M489" s="18"/>
      <c r="N489" s="18"/>
      <c r="O489" s="18"/>
      <c r="P489"/>
      <c r="Q489" s="18"/>
      <c r="R489" s="18"/>
    </row>
    <row r="490" spans="1:18" ht="39.6">
      <c r="A490" s="19"/>
      <c r="B490" s="20" t="s">
        <v>723</v>
      </c>
      <c r="C490" s="21" t="s">
        <v>2913</v>
      </c>
      <c r="D490" s="54"/>
      <c r="E490" s="124" t="s">
        <v>2914</v>
      </c>
      <c r="F490" s="103"/>
      <c r="G490" s="18"/>
      <c r="H490" s="18"/>
      <c r="I490" s="18"/>
      <c r="J490" s="18"/>
      <c r="K490" s="18"/>
      <c r="L490" s="18"/>
      <c r="M490" s="18"/>
      <c r="N490" s="18"/>
      <c r="O490" s="18"/>
      <c r="P490"/>
      <c r="Q490" s="18"/>
      <c r="R490" s="18"/>
    </row>
    <row r="491" spans="1:18" ht="39.6">
      <c r="A491" s="19">
        <v>422</v>
      </c>
      <c r="B491" s="20" t="s">
        <v>1240</v>
      </c>
      <c r="C491" s="21" t="s">
        <v>1235</v>
      </c>
      <c r="D491" s="54" t="s">
        <v>1241</v>
      </c>
      <c r="E491" s="124"/>
      <c r="F491" s="103"/>
      <c r="G491" s="18"/>
      <c r="H491" s="18"/>
      <c r="I491" s="18"/>
      <c r="J491" s="18"/>
      <c r="K491" s="18"/>
      <c r="L491" s="18"/>
      <c r="M491" s="18"/>
      <c r="N491" s="18"/>
      <c r="O491" s="18"/>
      <c r="P491"/>
      <c r="Q491" s="18"/>
      <c r="R491" s="18"/>
    </row>
    <row r="492" spans="1:18" ht="39.6">
      <c r="A492" s="19">
        <v>423</v>
      </c>
      <c r="B492" s="20" t="s">
        <v>1242</v>
      </c>
      <c r="C492" s="21" t="s">
        <v>1235</v>
      </c>
      <c r="D492" s="20"/>
      <c r="E492" s="22" t="s">
        <v>1243</v>
      </c>
      <c r="F492" s="91"/>
      <c r="G492" s="18"/>
      <c r="H492" s="18"/>
      <c r="I492" s="18"/>
      <c r="J492" s="18"/>
      <c r="K492" s="18"/>
      <c r="L492" s="18"/>
      <c r="M492" s="18"/>
      <c r="N492" s="18"/>
      <c r="O492" s="18"/>
      <c r="P492"/>
      <c r="Q492" s="18"/>
      <c r="R492" s="18"/>
    </row>
    <row r="493" spans="1:18" ht="52.8">
      <c r="A493" s="19">
        <v>424</v>
      </c>
      <c r="B493" s="20" t="s">
        <v>1244</v>
      </c>
      <c r="C493" s="21" t="s">
        <v>1245</v>
      </c>
      <c r="D493" s="20"/>
      <c r="E493" s="22" t="s">
        <v>1246</v>
      </c>
      <c r="P493"/>
    </row>
    <row r="494" spans="1:18" ht="52.8">
      <c r="A494" s="19">
        <v>425</v>
      </c>
      <c r="B494" s="20" t="s">
        <v>1247</v>
      </c>
      <c r="C494" s="21" t="s">
        <v>1248</v>
      </c>
      <c r="D494" s="20"/>
      <c r="E494" s="22"/>
      <c r="F494" s="91"/>
      <c r="G494" s="18"/>
      <c r="H494" s="18"/>
      <c r="I494" s="18"/>
      <c r="J494" s="18"/>
      <c r="K494" s="18"/>
      <c r="L494" s="18"/>
      <c r="M494" s="18"/>
      <c r="N494" s="18"/>
      <c r="O494" s="18"/>
      <c r="P494"/>
      <c r="Q494" s="18"/>
      <c r="R494" s="18"/>
    </row>
    <row r="495" spans="1:18" ht="66">
      <c r="A495" s="19">
        <v>426</v>
      </c>
      <c r="B495" s="20" t="s">
        <v>1249</v>
      </c>
      <c r="C495" s="21" t="s">
        <v>1250</v>
      </c>
      <c r="D495" s="20"/>
      <c r="E495" s="22"/>
      <c r="F495" s="91"/>
      <c r="G495" s="18"/>
      <c r="H495" s="18"/>
      <c r="I495" s="18"/>
      <c r="J495" s="18"/>
      <c r="K495" s="18"/>
      <c r="L495" s="18"/>
      <c r="M495" s="18"/>
      <c r="N495" s="18"/>
      <c r="O495" s="18"/>
      <c r="P495"/>
      <c r="Q495" s="18"/>
      <c r="R495" s="18"/>
    </row>
    <row r="496" spans="1:18" ht="39.6">
      <c r="A496" s="19">
        <v>427</v>
      </c>
      <c r="B496" s="20" t="s">
        <v>1251</v>
      </c>
      <c r="C496" s="28" t="s">
        <v>1252</v>
      </c>
      <c r="D496" s="28"/>
      <c r="E496" s="28"/>
      <c r="F496" s="94"/>
      <c r="G496" s="94"/>
      <c r="H496" s="94"/>
      <c r="I496" s="94"/>
      <c r="J496" s="94"/>
      <c r="K496" s="94"/>
      <c r="L496" s="94"/>
      <c r="M496" s="94"/>
      <c r="N496" s="94"/>
      <c r="O496" s="94"/>
      <c r="P496"/>
    </row>
    <row r="497" spans="1:18" ht="92.4">
      <c r="A497" s="19">
        <v>428</v>
      </c>
      <c r="B497" s="20" t="s">
        <v>1253</v>
      </c>
      <c r="C497" s="21" t="s">
        <v>85</v>
      </c>
      <c r="D497" s="20" t="s">
        <v>3019</v>
      </c>
      <c r="E497" s="125" t="s">
        <v>1254</v>
      </c>
      <c r="P497"/>
    </row>
    <row r="498" spans="1:18" ht="39.6">
      <c r="A498" s="19">
        <v>429</v>
      </c>
      <c r="B498" s="20" t="s">
        <v>1255</v>
      </c>
      <c r="C498" s="21" t="s">
        <v>1256</v>
      </c>
      <c r="D498" s="20" t="s">
        <v>535</v>
      </c>
      <c r="E498" s="22" t="s">
        <v>1257</v>
      </c>
      <c r="I498" s="126" t="s">
        <v>1258</v>
      </c>
      <c r="P498"/>
    </row>
    <row r="499" spans="1:18" ht="39.6">
      <c r="A499" s="19">
        <v>430</v>
      </c>
      <c r="B499" s="20" t="s">
        <v>1259</v>
      </c>
      <c r="C499" s="21" t="s">
        <v>1260</v>
      </c>
      <c r="D499" s="20"/>
      <c r="E499" s="22" t="s">
        <v>1261</v>
      </c>
      <c r="P499"/>
    </row>
    <row r="500" spans="1:18" ht="39.6">
      <c r="A500" s="19">
        <v>431</v>
      </c>
      <c r="B500" s="20" t="s">
        <v>1262</v>
      </c>
      <c r="C500" s="21" t="s">
        <v>1263</v>
      </c>
      <c r="D500" s="20"/>
      <c r="E500" s="22" t="s">
        <v>1264</v>
      </c>
      <c r="F500" s="91"/>
      <c r="G500" s="18"/>
      <c r="H500" s="18"/>
      <c r="I500" s="18"/>
      <c r="J500" s="18"/>
      <c r="K500" s="18"/>
      <c r="L500" s="18"/>
      <c r="M500" s="18"/>
      <c r="N500" s="18"/>
      <c r="O500" s="18"/>
      <c r="P500"/>
      <c r="Q500" s="18"/>
      <c r="R500" s="18"/>
    </row>
    <row r="501" spans="1:18" ht="66">
      <c r="A501" s="19">
        <v>432</v>
      </c>
      <c r="B501" s="20" t="s">
        <v>1265</v>
      </c>
      <c r="C501" s="22" t="s">
        <v>1266</v>
      </c>
      <c r="D501" s="20"/>
      <c r="E501" s="22"/>
      <c r="F501" s="91"/>
      <c r="G501" s="18"/>
      <c r="H501" s="18"/>
      <c r="I501" s="18"/>
      <c r="J501" s="18"/>
      <c r="K501" s="18"/>
      <c r="L501" s="18"/>
      <c r="M501" s="18"/>
      <c r="N501" s="18"/>
      <c r="O501" s="18"/>
      <c r="P501"/>
      <c r="Q501" s="18"/>
      <c r="R501" s="18"/>
    </row>
    <row r="502" spans="1:18" ht="66">
      <c r="A502" s="19">
        <v>433</v>
      </c>
      <c r="B502" s="20" t="s">
        <v>1267</v>
      </c>
      <c r="C502" s="21" t="s">
        <v>1268</v>
      </c>
      <c r="D502" s="20"/>
      <c r="E502" s="22" t="s">
        <v>1269</v>
      </c>
      <c r="P502"/>
    </row>
    <row r="503" spans="1:18" ht="39.6">
      <c r="A503" s="19">
        <v>434</v>
      </c>
      <c r="B503" s="20" t="s">
        <v>1270</v>
      </c>
      <c r="C503" s="21" t="s">
        <v>1271</v>
      </c>
      <c r="D503" s="20"/>
      <c r="E503" s="22" t="s">
        <v>1272</v>
      </c>
      <c r="P503"/>
    </row>
    <row r="504" spans="1:18" ht="26.4">
      <c r="A504" s="19">
        <v>435</v>
      </c>
      <c r="B504" s="20" t="s">
        <v>1273</v>
      </c>
      <c r="C504" s="21" t="s">
        <v>1274</v>
      </c>
      <c r="D504" s="20"/>
      <c r="E504" s="22" t="s">
        <v>1275</v>
      </c>
      <c r="P504"/>
    </row>
    <row r="505" spans="1:18" ht="39.6">
      <c r="A505" s="19">
        <v>436</v>
      </c>
      <c r="B505" s="20" t="s">
        <v>1276</v>
      </c>
      <c r="C505" s="21" t="s">
        <v>1277</v>
      </c>
      <c r="D505" s="20" t="s">
        <v>535</v>
      </c>
      <c r="E505" s="22" t="s">
        <v>1278</v>
      </c>
      <c r="P505"/>
    </row>
    <row r="506" spans="1:18" ht="52.8">
      <c r="A506" s="19">
        <v>437</v>
      </c>
      <c r="B506" s="20" t="s">
        <v>1279</v>
      </c>
      <c r="C506" s="21" t="s">
        <v>1280</v>
      </c>
      <c r="D506" s="20"/>
      <c r="E506" s="22" t="s">
        <v>1281</v>
      </c>
      <c r="P506"/>
    </row>
    <row r="507" spans="1:18" ht="39.6">
      <c r="A507" s="19">
        <v>438</v>
      </c>
      <c r="B507" s="20" t="s">
        <v>1282</v>
      </c>
      <c r="C507" s="21" t="s">
        <v>1283</v>
      </c>
      <c r="D507" s="20"/>
      <c r="E507" s="43" t="s">
        <v>1284</v>
      </c>
      <c r="P507"/>
    </row>
    <row r="508" spans="1:18" ht="52.8">
      <c r="A508" s="19"/>
      <c r="B508" s="20" t="s">
        <v>2821</v>
      </c>
      <c r="C508" s="21" t="s">
        <v>2822</v>
      </c>
      <c r="D508" s="20"/>
      <c r="E508" s="43" t="s">
        <v>2823</v>
      </c>
      <c r="P508"/>
    </row>
    <row r="509" spans="1:18" ht="39.6">
      <c r="A509" s="19">
        <v>439</v>
      </c>
      <c r="B509" s="20" t="s">
        <v>1285</v>
      </c>
      <c r="C509" s="21" t="s">
        <v>1286</v>
      </c>
      <c r="D509" s="20"/>
      <c r="E509" s="22" t="s">
        <v>1287</v>
      </c>
      <c r="F509" s="91"/>
      <c r="G509" s="18"/>
      <c r="H509" s="18"/>
      <c r="I509" s="18"/>
      <c r="J509" s="18"/>
      <c r="K509" s="18"/>
      <c r="L509" s="18"/>
      <c r="M509" s="18"/>
      <c r="N509" s="18"/>
      <c r="O509" s="18"/>
      <c r="P509"/>
      <c r="Q509" s="18"/>
      <c r="R509" s="18"/>
    </row>
    <row r="510" spans="1:18" ht="26.4">
      <c r="A510" s="19">
        <v>440</v>
      </c>
      <c r="B510" s="20" t="s">
        <v>1288</v>
      </c>
      <c r="C510" s="21" t="s">
        <v>1289</v>
      </c>
      <c r="D510" s="20"/>
      <c r="E510" s="22" t="s">
        <v>1290</v>
      </c>
      <c r="F510" s="127" t="s">
        <v>1291</v>
      </c>
      <c r="G510" s="18"/>
      <c r="H510" s="18"/>
      <c r="I510" s="18"/>
      <c r="J510" s="18"/>
      <c r="K510" s="18"/>
      <c r="L510" s="18"/>
      <c r="M510" s="18"/>
      <c r="N510" s="18"/>
      <c r="O510" s="18"/>
      <c r="P510"/>
      <c r="Q510" s="18"/>
      <c r="R510" s="18"/>
    </row>
    <row r="511" spans="1:18" ht="39.6">
      <c r="A511" s="19">
        <v>441</v>
      </c>
      <c r="B511" s="20" t="s">
        <v>1292</v>
      </c>
      <c r="C511" s="21" t="s">
        <v>1293</v>
      </c>
      <c r="D511" s="20" t="s">
        <v>1294</v>
      </c>
      <c r="E511" s="22" t="s">
        <v>1295</v>
      </c>
      <c r="F511" s="91" t="s">
        <v>151</v>
      </c>
      <c r="G511" s="18"/>
      <c r="H511" s="18"/>
      <c r="I511" s="18"/>
      <c r="J511" s="18"/>
      <c r="K511" s="18"/>
      <c r="L511" s="18"/>
      <c r="M511" s="18"/>
      <c r="N511" s="18"/>
      <c r="O511" s="18"/>
      <c r="P511"/>
      <c r="Q511" s="18"/>
      <c r="R511" s="18"/>
    </row>
    <row r="512" spans="1:18" ht="39.6">
      <c r="A512" s="19">
        <v>442</v>
      </c>
      <c r="B512" s="20" t="s">
        <v>1296</v>
      </c>
      <c r="C512" s="21" t="s">
        <v>1297</v>
      </c>
      <c r="D512" s="20" t="s">
        <v>328</v>
      </c>
      <c r="E512" s="22" t="s">
        <v>1298</v>
      </c>
      <c r="P512"/>
    </row>
    <row r="513" spans="1:18" ht="52.8">
      <c r="A513" s="19">
        <v>443</v>
      </c>
      <c r="B513" s="20" t="s">
        <v>1299</v>
      </c>
      <c r="C513" s="21" t="s">
        <v>1300</v>
      </c>
      <c r="D513" s="20"/>
      <c r="E513" s="22" t="s">
        <v>1301</v>
      </c>
      <c r="P513"/>
    </row>
    <row r="514" spans="1:18" ht="52.8">
      <c r="A514" s="19">
        <v>444</v>
      </c>
      <c r="B514" s="20" t="s">
        <v>1302</v>
      </c>
      <c r="C514" s="27" t="s">
        <v>2857</v>
      </c>
      <c r="D514" s="20" t="s">
        <v>166</v>
      </c>
      <c r="E514" s="27" t="s">
        <v>1303</v>
      </c>
      <c r="P514"/>
    </row>
    <row r="515" spans="1:18" ht="52.8">
      <c r="A515" s="19">
        <v>445</v>
      </c>
      <c r="B515" s="20" t="s">
        <v>1304</v>
      </c>
      <c r="C515" s="21" t="s">
        <v>1300</v>
      </c>
      <c r="D515" s="20" t="s">
        <v>560</v>
      </c>
      <c r="E515" s="128" t="s">
        <v>1305</v>
      </c>
      <c r="P515"/>
    </row>
    <row r="516" spans="1:18" ht="39.6">
      <c r="A516" s="19">
        <v>446</v>
      </c>
      <c r="B516" s="20" t="s">
        <v>1306</v>
      </c>
      <c r="C516" s="21" t="s">
        <v>1307</v>
      </c>
      <c r="D516" s="20"/>
      <c r="E516" s="22" t="s">
        <v>1308</v>
      </c>
      <c r="P516"/>
    </row>
    <row r="517" spans="1:18" ht="52.8">
      <c r="A517" s="19">
        <v>447</v>
      </c>
      <c r="B517" s="20" t="s">
        <v>1309</v>
      </c>
      <c r="C517" s="21" t="s">
        <v>1310</v>
      </c>
      <c r="D517" s="20"/>
      <c r="E517" s="22" t="s">
        <v>1311</v>
      </c>
      <c r="P517"/>
    </row>
    <row r="518" spans="1:18" ht="52.8">
      <c r="A518" s="19">
        <v>448</v>
      </c>
      <c r="B518" s="20" t="s">
        <v>1312</v>
      </c>
      <c r="C518" s="21" t="s">
        <v>1313</v>
      </c>
      <c r="D518" s="20"/>
      <c r="E518" s="22" t="s">
        <v>1314</v>
      </c>
      <c r="M518" s="93">
        <v>620</v>
      </c>
      <c r="P518"/>
    </row>
    <row r="519" spans="1:18" ht="43.2">
      <c r="A519" s="19">
        <v>449</v>
      </c>
      <c r="B519" s="20" t="s">
        <v>1315</v>
      </c>
      <c r="C519" s="21" t="s">
        <v>1316</v>
      </c>
      <c r="D519" s="20"/>
      <c r="E519" s="129" t="s">
        <v>1317</v>
      </c>
      <c r="F519" s="91"/>
      <c r="G519" s="18"/>
      <c r="H519" s="18"/>
      <c r="I519" s="18"/>
      <c r="J519" s="18"/>
      <c r="K519" s="18"/>
      <c r="L519" s="18"/>
      <c r="M519" s="18"/>
      <c r="N519" s="18"/>
      <c r="O519" s="18"/>
      <c r="P519"/>
      <c r="Q519" s="18"/>
      <c r="R519" s="18"/>
    </row>
    <row r="520" spans="1:18" ht="26.4">
      <c r="A520" s="19">
        <v>450</v>
      </c>
      <c r="B520" s="20" t="s">
        <v>1318</v>
      </c>
      <c r="C520" s="21" t="s">
        <v>1319</v>
      </c>
      <c r="D520" s="20"/>
      <c r="E520" s="22">
        <v>27</v>
      </c>
      <c r="F520" s="15" t="s">
        <v>1320</v>
      </c>
      <c r="H520" s="1" t="s">
        <v>1321</v>
      </c>
      <c r="I520" s="1">
        <v>1684777373</v>
      </c>
      <c r="K520" s="1">
        <v>116.9</v>
      </c>
      <c r="P520"/>
    </row>
    <row r="521" spans="1:18" ht="39.6">
      <c r="A521" s="19">
        <v>451</v>
      </c>
      <c r="B521" s="20" t="s">
        <v>1322</v>
      </c>
      <c r="C521" s="21" t="s">
        <v>1323</v>
      </c>
      <c r="D521" s="20"/>
      <c r="E521" s="130" t="s">
        <v>1324</v>
      </c>
      <c r="P521"/>
    </row>
    <row r="522" spans="1:18" ht="52.8">
      <c r="A522" s="19">
        <v>452</v>
      </c>
      <c r="B522" s="20" t="s">
        <v>1325</v>
      </c>
      <c r="C522" s="21" t="s">
        <v>1326</v>
      </c>
      <c r="D522" s="20" t="s">
        <v>1327</v>
      </c>
      <c r="E522" s="22" t="s">
        <v>1328</v>
      </c>
      <c r="P522"/>
    </row>
    <row r="523" spans="1:18" ht="26.4">
      <c r="A523" s="19">
        <v>453</v>
      </c>
      <c r="B523" s="20" t="s">
        <v>1329</v>
      </c>
      <c r="C523" s="21" t="s">
        <v>1330</v>
      </c>
      <c r="D523" s="20"/>
      <c r="E523" s="22" t="s">
        <v>1331</v>
      </c>
      <c r="P523"/>
    </row>
    <row r="524" spans="1:18" ht="66.599999999999994">
      <c r="A524" s="19">
        <v>454</v>
      </c>
      <c r="B524" s="20" t="s">
        <v>1332</v>
      </c>
      <c r="C524" s="79" t="s">
        <v>1333</v>
      </c>
      <c r="D524" s="20"/>
      <c r="E524" s="22"/>
      <c r="P524"/>
    </row>
    <row r="525" spans="1:18" ht="52.8">
      <c r="A525" s="19">
        <v>455</v>
      </c>
      <c r="B525" s="20" t="s">
        <v>1334</v>
      </c>
      <c r="C525" s="21" t="s">
        <v>1335</v>
      </c>
      <c r="D525" s="20"/>
      <c r="E525" s="22" t="s">
        <v>1336</v>
      </c>
      <c r="F525" s="131"/>
      <c r="P525"/>
    </row>
    <row r="526" spans="1:18" ht="52.8">
      <c r="A526" s="19">
        <v>456</v>
      </c>
      <c r="B526" s="20" t="s">
        <v>1337</v>
      </c>
      <c r="C526" s="21" t="s">
        <v>1338</v>
      </c>
      <c r="D526" s="20"/>
      <c r="E526" s="22" t="s">
        <v>1339</v>
      </c>
      <c r="F526" s="91"/>
      <c r="G526" s="18"/>
      <c r="H526" s="18"/>
      <c r="I526" s="18"/>
      <c r="J526" s="18"/>
      <c r="K526" s="18"/>
      <c r="L526" s="18"/>
      <c r="M526" s="18"/>
      <c r="N526" s="18"/>
      <c r="O526" s="18"/>
      <c r="P526"/>
      <c r="Q526" s="18"/>
      <c r="R526" s="18"/>
    </row>
    <row r="527" spans="1:18" ht="39.6">
      <c r="A527" s="19">
        <v>457</v>
      </c>
      <c r="B527" s="20" t="s">
        <v>1337</v>
      </c>
      <c r="C527" s="21" t="s">
        <v>1340</v>
      </c>
      <c r="D527" s="20" t="s">
        <v>527</v>
      </c>
      <c r="E527" s="22" t="s">
        <v>1341</v>
      </c>
      <c r="P527"/>
    </row>
    <row r="528" spans="1:18" ht="39.6">
      <c r="A528" s="19"/>
      <c r="B528" s="20" t="s">
        <v>3428</v>
      </c>
      <c r="C528" s="21" t="s">
        <v>1340</v>
      </c>
      <c r="D528" s="20"/>
      <c r="E528" s="22"/>
      <c r="P528"/>
    </row>
    <row r="529" spans="1:18" ht="40.200000000000003">
      <c r="A529" s="19">
        <v>458</v>
      </c>
      <c r="B529" s="20" t="s">
        <v>1342</v>
      </c>
      <c r="C529" s="50" t="s">
        <v>2843</v>
      </c>
      <c r="D529" s="50"/>
      <c r="E529" s="50"/>
      <c r="F529" s="99"/>
      <c r="G529" s="99"/>
      <c r="H529" s="99"/>
      <c r="I529" s="99"/>
      <c r="J529" s="99"/>
      <c r="K529" s="99"/>
      <c r="L529" s="99"/>
      <c r="M529" s="99"/>
      <c r="N529" s="99"/>
      <c r="O529" s="99"/>
      <c r="P529"/>
    </row>
    <row r="530" spans="1:18" ht="79.2">
      <c r="A530" s="19">
        <v>459</v>
      </c>
      <c r="B530" s="20" t="s">
        <v>1343</v>
      </c>
      <c r="C530" s="21" t="s">
        <v>1344</v>
      </c>
      <c r="D530" s="20"/>
      <c r="E530" s="22" t="s">
        <v>1345</v>
      </c>
      <c r="P530"/>
    </row>
    <row r="531" spans="1:18" ht="66">
      <c r="A531" s="19">
        <v>460</v>
      </c>
      <c r="B531" s="20" t="s">
        <v>1346</v>
      </c>
      <c r="C531" s="21" t="s">
        <v>1347</v>
      </c>
      <c r="D531" s="20"/>
      <c r="E531" s="83" t="s">
        <v>1348</v>
      </c>
      <c r="F531" s="103"/>
      <c r="G531" s="67"/>
      <c r="H531" s="18"/>
      <c r="I531" s="18"/>
      <c r="J531" s="18"/>
      <c r="K531" s="18"/>
      <c r="L531" s="18"/>
      <c r="M531" s="18"/>
      <c r="N531" s="18"/>
      <c r="O531" s="18"/>
      <c r="P531"/>
      <c r="Q531" s="18"/>
      <c r="R531" s="18"/>
    </row>
    <row r="532" spans="1:18" ht="79.2">
      <c r="A532" s="19"/>
      <c r="B532" s="20" t="s">
        <v>2659</v>
      </c>
      <c r="C532" s="21" t="s">
        <v>2658</v>
      </c>
      <c r="D532" s="20"/>
      <c r="E532" s="83"/>
      <c r="F532" s="103"/>
      <c r="G532" s="67"/>
      <c r="H532" s="18"/>
      <c r="I532" s="18"/>
      <c r="J532" s="18"/>
      <c r="K532" s="18"/>
      <c r="L532" s="18"/>
      <c r="M532" s="18"/>
      <c r="N532" s="18"/>
      <c r="O532" s="18"/>
      <c r="P532"/>
      <c r="Q532" s="18"/>
      <c r="R532" s="18"/>
    </row>
    <row r="533" spans="1:18" ht="66">
      <c r="A533" s="19">
        <v>461</v>
      </c>
      <c r="B533" s="20" t="s">
        <v>1346</v>
      </c>
      <c r="C533" s="21" t="s">
        <v>1349</v>
      </c>
      <c r="D533" s="20"/>
      <c r="E533" s="83" t="s">
        <v>1350</v>
      </c>
      <c r="F533" s="103"/>
      <c r="G533" s="67"/>
      <c r="H533" s="18"/>
      <c r="I533" s="18"/>
      <c r="J533" s="18"/>
      <c r="K533" s="18"/>
      <c r="L533" s="18"/>
      <c r="M533" s="18"/>
      <c r="N533" s="18"/>
      <c r="O533" s="18"/>
      <c r="P533"/>
      <c r="Q533" s="18"/>
      <c r="R533" s="18"/>
    </row>
    <row r="534" spans="1:18" ht="15.6">
      <c r="A534" s="19">
        <v>462</v>
      </c>
      <c r="B534" s="20" t="s">
        <v>1351</v>
      </c>
      <c r="C534" s="154" t="s">
        <v>1352</v>
      </c>
      <c r="D534" s="20"/>
      <c r="E534" s="155" t="s">
        <v>1353</v>
      </c>
      <c r="P534"/>
    </row>
    <row r="535" spans="1:18" ht="26.4">
      <c r="A535" s="19">
        <v>463</v>
      </c>
      <c r="B535" s="20" t="s">
        <v>1354</v>
      </c>
      <c r="C535" s="21" t="s">
        <v>1355</v>
      </c>
      <c r="D535" s="20" t="s">
        <v>818</v>
      </c>
      <c r="E535" s="22" t="s">
        <v>1356</v>
      </c>
      <c r="P535"/>
    </row>
    <row r="536" spans="1:18" ht="52.8">
      <c r="A536" s="19">
        <v>464</v>
      </c>
      <c r="B536" s="20" t="s">
        <v>1357</v>
      </c>
      <c r="C536" s="21" t="s">
        <v>1358</v>
      </c>
      <c r="D536" s="20" t="s">
        <v>1359</v>
      </c>
      <c r="E536" s="22" t="s">
        <v>1360</v>
      </c>
      <c r="P536"/>
    </row>
    <row r="537" spans="1:18" ht="52.8">
      <c r="A537" s="19">
        <v>465</v>
      </c>
      <c r="B537" s="20" t="s">
        <v>1361</v>
      </c>
      <c r="C537" s="21" t="s">
        <v>1362</v>
      </c>
      <c r="D537" s="20"/>
      <c r="E537" s="22"/>
      <c r="F537" s="91"/>
      <c r="G537" s="18"/>
      <c r="H537" s="18"/>
      <c r="I537" s="18"/>
      <c r="J537" s="18"/>
      <c r="K537" s="18"/>
      <c r="L537" s="18"/>
      <c r="M537" s="18"/>
      <c r="N537" s="18"/>
      <c r="O537" s="18"/>
      <c r="P537"/>
      <c r="Q537" s="18"/>
      <c r="R537" s="18"/>
    </row>
    <row r="538" spans="1:18" ht="39.6">
      <c r="A538" s="19">
        <v>466</v>
      </c>
      <c r="B538" s="20" t="s">
        <v>1363</v>
      </c>
      <c r="C538" s="21" t="s">
        <v>1364</v>
      </c>
      <c r="D538" s="20"/>
      <c r="E538" s="22"/>
      <c r="P538"/>
    </row>
    <row r="539" spans="1:18" ht="66">
      <c r="A539" s="19">
        <v>467</v>
      </c>
      <c r="B539" s="20" t="s">
        <v>1365</v>
      </c>
      <c r="C539" s="21" t="s">
        <v>1366</v>
      </c>
      <c r="D539" s="20"/>
      <c r="E539" s="22" t="s">
        <v>1367</v>
      </c>
      <c r="F539" s="91"/>
      <c r="G539" s="18"/>
      <c r="H539" s="18"/>
      <c r="I539" s="94" t="s">
        <v>1368</v>
      </c>
      <c r="J539" s="18"/>
      <c r="K539" s="18"/>
      <c r="L539" s="18"/>
      <c r="M539" s="18"/>
      <c r="N539" s="18"/>
      <c r="O539" s="18"/>
      <c r="P539"/>
      <c r="Q539" s="18"/>
      <c r="R539" s="18"/>
    </row>
    <row r="540" spans="1:18" ht="39.6">
      <c r="A540" s="19">
        <v>468</v>
      </c>
      <c r="B540" s="20" t="s">
        <v>1369</v>
      </c>
      <c r="C540" s="21" t="s">
        <v>1370</v>
      </c>
      <c r="D540" s="20" t="s">
        <v>527</v>
      </c>
      <c r="E540" s="22" t="s">
        <v>1371</v>
      </c>
      <c r="P540"/>
    </row>
    <row r="541" spans="1:18" ht="39.6">
      <c r="A541" s="19">
        <v>469</v>
      </c>
      <c r="B541" s="20" t="s">
        <v>1372</v>
      </c>
      <c r="C541" s="21" t="s">
        <v>1373</v>
      </c>
      <c r="D541" s="20"/>
      <c r="E541" s="29" t="s">
        <v>1374</v>
      </c>
      <c r="F541" s="103"/>
      <c r="G541" s="18"/>
      <c r="H541" s="18"/>
      <c r="I541" s="18"/>
      <c r="J541" s="18"/>
      <c r="K541" s="18"/>
      <c r="L541" s="18"/>
      <c r="M541" s="18"/>
      <c r="N541" s="18"/>
      <c r="O541" s="18"/>
      <c r="P541"/>
      <c r="Q541" s="18"/>
      <c r="R541" s="18"/>
    </row>
    <row r="542" spans="1:18" ht="39.6">
      <c r="A542" s="19">
        <v>470</v>
      </c>
      <c r="B542" s="116" t="s">
        <v>1375</v>
      </c>
      <c r="C542" s="115" t="s">
        <v>1376</v>
      </c>
      <c r="D542" s="116"/>
      <c r="E542" s="156" t="s">
        <v>1377</v>
      </c>
      <c r="P542"/>
    </row>
    <row r="543" spans="1:18" ht="39.6">
      <c r="A543" s="19">
        <v>471</v>
      </c>
      <c r="B543" s="20" t="s">
        <v>1378</v>
      </c>
      <c r="C543" s="21" t="s">
        <v>1379</v>
      </c>
      <c r="D543" s="20"/>
      <c r="E543" s="22" t="s">
        <v>1380</v>
      </c>
      <c r="F543" s="91"/>
      <c r="G543" s="18"/>
      <c r="H543" s="18"/>
      <c r="I543" s="18"/>
      <c r="J543" s="18"/>
      <c r="K543" s="18"/>
      <c r="L543" s="18"/>
      <c r="M543" s="18"/>
      <c r="N543" s="18"/>
      <c r="O543" s="18"/>
      <c r="P543"/>
      <c r="Q543" s="18"/>
      <c r="R543" s="18"/>
    </row>
    <row r="544" spans="1:18" ht="26.4">
      <c r="A544" s="19"/>
      <c r="B544" s="20" t="s">
        <v>2631</v>
      </c>
      <c r="C544" s="21" t="s">
        <v>2632</v>
      </c>
      <c r="D544" s="20"/>
      <c r="E544" s="22"/>
      <c r="F544" s="91"/>
      <c r="G544" s="18"/>
      <c r="H544" s="18"/>
      <c r="I544" s="18"/>
      <c r="J544" s="18"/>
      <c r="K544" s="18"/>
      <c r="L544" s="18"/>
      <c r="M544" s="18"/>
      <c r="N544" s="18"/>
      <c r="O544" s="18"/>
      <c r="P544"/>
      <c r="Q544" s="18"/>
      <c r="R544" s="18"/>
    </row>
    <row r="545" spans="1:18" ht="39.6">
      <c r="A545" s="19"/>
      <c r="B545" s="20" t="s">
        <v>2643</v>
      </c>
      <c r="C545" s="21" t="s">
        <v>2644</v>
      </c>
      <c r="D545" s="20"/>
      <c r="E545" s="22" t="s">
        <v>2731</v>
      </c>
      <c r="F545" s="91"/>
      <c r="G545" s="18"/>
      <c r="H545" s="18"/>
      <c r="I545" s="18"/>
      <c r="J545" s="18"/>
      <c r="K545" s="18"/>
      <c r="L545" s="18"/>
      <c r="M545" s="18"/>
      <c r="N545" s="18"/>
      <c r="O545" s="18"/>
      <c r="P545"/>
      <c r="Q545" s="18"/>
      <c r="R545" s="18"/>
    </row>
    <row r="546" spans="1:18" ht="39.6">
      <c r="A546" s="19">
        <v>472</v>
      </c>
      <c r="B546" s="20" t="s">
        <v>1381</v>
      </c>
      <c r="C546" s="21" t="s">
        <v>423</v>
      </c>
      <c r="D546" s="20"/>
      <c r="E546" s="22" t="s">
        <v>1382</v>
      </c>
      <c r="F546" s="91"/>
      <c r="G546" s="18"/>
      <c r="H546" s="18"/>
      <c r="I546" s="18"/>
      <c r="J546" s="18"/>
      <c r="K546" s="18"/>
      <c r="L546" s="18"/>
      <c r="M546" s="18"/>
      <c r="N546" s="18"/>
      <c r="O546" s="18"/>
      <c r="P546"/>
      <c r="Q546" s="18"/>
      <c r="R546" s="18"/>
    </row>
    <row r="547" spans="1:18" ht="26.4">
      <c r="A547" s="19">
        <v>473</v>
      </c>
      <c r="B547" s="20" t="s">
        <v>1383</v>
      </c>
      <c r="C547" s="21" t="s">
        <v>1384</v>
      </c>
      <c r="D547" s="20"/>
      <c r="E547" s="22" t="s">
        <v>2834</v>
      </c>
      <c r="F547" s="91"/>
      <c r="G547" s="18"/>
      <c r="H547" s="18"/>
      <c r="I547" s="18"/>
      <c r="J547" s="18"/>
      <c r="K547" s="18"/>
      <c r="L547" s="18"/>
      <c r="M547" s="18"/>
      <c r="N547" s="18"/>
      <c r="O547" s="18"/>
      <c r="P547"/>
      <c r="Q547" s="18"/>
      <c r="R547" s="18"/>
    </row>
    <row r="548" spans="1:18" ht="39.6">
      <c r="A548" s="19"/>
      <c r="B548" s="20" t="s">
        <v>2629</v>
      </c>
      <c r="C548" s="21" t="s">
        <v>2630</v>
      </c>
      <c r="D548" s="20"/>
      <c r="E548" s="22"/>
      <c r="F548" s="91"/>
      <c r="G548" s="18"/>
      <c r="H548" s="18"/>
      <c r="I548" s="18"/>
      <c r="J548" s="18"/>
      <c r="K548" s="18"/>
      <c r="L548" s="18"/>
      <c r="M548" s="18"/>
      <c r="N548" s="18"/>
      <c r="O548" s="18"/>
      <c r="P548"/>
      <c r="Q548" s="18"/>
      <c r="R548" s="18"/>
    </row>
    <row r="549" spans="1:18" ht="39.6">
      <c r="A549" s="19">
        <v>474</v>
      </c>
      <c r="B549" s="20" t="s">
        <v>1385</v>
      </c>
      <c r="C549" s="21" t="s">
        <v>1386</v>
      </c>
      <c r="D549" s="20"/>
      <c r="E549" s="22" t="s">
        <v>1387</v>
      </c>
      <c r="O549" s="132"/>
      <c r="P549"/>
    </row>
    <row r="550" spans="1:18" ht="39.6">
      <c r="A550" s="19">
        <v>475</v>
      </c>
      <c r="B550" s="20" t="s">
        <v>1388</v>
      </c>
      <c r="C550" s="157" t="s">
        <v>1389</v>
      </c>
      <c r="D550" s="21"/>
      <c r="E550" s="158" t="s">
        <v>1390</v>
      </c>
      <c r="P550"/>
    </row>
    <row r="551" spans="1:18" ht="66">
      <c r="A551" s="19">
        <v>476</v>
      </c>
      <c r="B551" s="20" t="s">
        <v>1391</v>
      </c>
      <c r="C551" s="21" t="s">
        <v>1392</v>
      </c>
      <c r="D551" s="20" t="s">
        <v>166</v>
      </c>
      <c r="E551" s="22" t="s">
        <v>1393</v>
      </c>
      <c r="P551"/>
    </row>
    <row r="552" spans="1:18" ht="52.8">
      <c r="A552" s="19">
        <v>477</v>
      </c>
      <c r="B552" s="20" t="s">
        <v>1394</v>
      </c>
      <c r="C552" s="21" t="s">
        <v>1395</v>
      </c>
      <c r="D552" s="21"/>
      <c r="E552" s="22" t="s">
        <v>1396</v>
      </c>
      <c r="F552" s="91"/>
      <c r="G552" s="18"/>
      <c r="H552" s="18"/>
      <c r="I552" s="18"/>
      <c r="J552" s="18"/>
      <c r="K552" s="18"/>
      <c r="L552" s="18"/>
      <c r="M552" s="18"/>
      <c r="N552" s="18"/>
      <c r="O552" s="132"/>
      <c r="P552"/>
      <c r="Q552" s="18"/>
      <c r="R552" s="18"/>
    </row>
    <row r="553" spans="1:18" ht="39.6">
      <c r="A553" s="19">
        <v>478</v>
      </c>
      <c r="B553" s="20" t="s">
        <v>1397</v>
      </c>
      <c r="C553" s="21" t="s">
        <v>1398</v>
      </c>
      <c r="D553" s="20" t="s">
        <v>49</v>
      </c>
      <c r="E553" s="22" t="s">
        <v>2716</v>
      </c>
      <c r="P553"/>
    </row>
    <row r="554" spans="1:18" ht="52.8">
      <c r="A554" s="19">
        <v>479</v>
      </c>
      <c r="B554" s="20" t="s">
        <v>1399</v>
      </c>
      <c r="C554" s="21" t="s">
        <v>1400</v>
      </c>
      <c r="D554" s="20" t="s">
        <v>86</v>
      </c>
      <c r="E554" s="22" t="s">
        <v>1401</v>
      </c>
      <c r="P554"/>
    </row>
    <row r="555" spans="1:18" ht="39.6">
      <c r="A555" s="19">
        <v>480</v>
      </c>
      <c r="B555" s="20" t="s">
        <v>1402</v>
      </c>
      <c r="C555" s="96" t="s">
        <v>1403</v>
      </c>
      <c r="D555" s="20" t="s">
        <v>1404</v>
      </c>
      <c r="E555" s="22" t="s">
        <v>1405</v>
      </c>
      <c r="P555"/>
    </row>
    <row r="556" spans="1:18" ht="39.6">
      <c r="A556" s="19">
        <v>481</v>
      </c>
      <c r="B556" s="20" t="s">
        <v>1406</v>
      </c>
      <c r="C556" s="28" t="s">
        <v>1407</v>
      </c>
      <c r="D556" s="28"/>
      <c r="E556" s="28"/>
      <c r="F556" s="94"/>
      <c r="G556" s="94"/>
      <c r="H556" s="94"/>
      <c r="I556" s="94"/>
      <c r="J556" s="94"/>
      <c r="K556" s="94"/>
      <c r="L556" s="94"/>
      <c r="M556" s="94"/>
      <c r="N556" s="94"/>
      <c r="O556" s="94"/>
      <c r="P556"/>
    </row>
    <row r="557" spans="1:18" ht="52.8">
      <c r="A557" s="19">
        <v>482</v>
      </c>
      <c r="B557" s="20" t="s">
        <v>1408</v>
      </c>
      <c r="C557" s="21" t="s">
        <v>1409</v>
      </c>
      <c r="D557" s="20"/>
      <c r="E557" s="22" t="s">
        <v>1410</v>
      </c>
      <c r="P557"/>
    </row>
    <row r="558" spans="1:18" ht="52.8">
      <c r="A558" s="19">
        <v>483</v>
      </c>
      <c r="B558" s="20" t="s">
        <v>1411</v>
      </c>
      <c r="C558" s="21" t="s">
        <v>1412</v>
      </c>
      <c r="D558" s="20" t="s">
        <v>166</v>
      </c>
      <c r="E558" s="22" t="s">
        <v>1413</v>
      </c>
      <c r="P558"/>
    </row>
    <row r="559" spans="1:18" ht="39.6">
      <c r="A559" s="19">
        <v>484</v>
      </c>
      <c r="B559" s="20" t="s">
        <v>1414</v>
      </c>
      <c r="C559" s="21" t="s">
        <v>1415</v>
      </c>
      <c r="D559" s="20"/>
      <c r="E559" s="22" t="s">
        <v>1416</v>
      </c>
      <c r="P559"/>
    </row>
    <row r="560" spans="1:18" ht="39.6">
      <c r="A560" s="19">
        <v>485</v>
      </c>
      <c r="B560" s="20" t="s">
        <v>1417</v>
      </c>
      <c r="C560" s="21" t="s">
        <v>1418</v>
      </c>
      <c r="D560" s="20"/>
      <c r="E560" s="22" t="s">
        <v>1419</v>
      </c>
      <c r="P560"/>
    </row>
    <row r="561" spans="1:18" ht="66">
      <c r="A561" s="19">
        <v>486</v>
      </c>
      <c r="B561" s="159" t="s">
        <v>1420</v>
      </c>
      <c r="C561" s="21" t="s">
        <v>1421</v>
      </c>
      <c r="D561" s="20"/>
      <c r="E561" s="22" t="s">
        <v>1422</v>
      </c>
      <c r="F561" s="91"/>
      <c r="G561" s="18"/>
      <c r="H561" s="18"/>
      <c r="I561" s="18"/>
      <c r="J561" s="18"/>
      <c r="K561" s="18"/>
      <c r="L561" s="18"/>
      <c r="M561" s="18"/>
      <c r="N561" s="18"/>
      <c r="O561" s="18"/>
      <c r="P561"/>
      <c r="Q561" s="18"/>
      <c r="R561" s="18"/>
    </row>
    <row r="562" spans="1:18" ht="171.6">
      <c r="A562" s="19"/>
      <c r="B562" s="159" t="s">
        <v>3012</v>
      </c>
      <c r="C562" s="21" t="s">
        <v>3013</v>
      </c>
      <c r="D562" s="20"/>
      <c r="E562" s="22" t="s">
        <v>3014</v>
      </c>
      <c r="F562" s="91"/>
      <c r="G562" s="18"/>
      <c r="H562" s="18"/>
      <c r="I562" s="18"/>
      <c r="J562" s="18"/>
      <c r="K562" s="18"/>
      <c r="L562" s="18"/>
      <c r="M562" s="18"/>
      <c r="N562" s="18"/>
      <c r="O562" s="18"/>
      <c r="P562"/>
      <c r="Q562" s="18"/>
      <c r="R562" s="18"/>
    </row>
    <row r="563" spans="1:18" ht="52.8">
      <c r="A563" s="19"/>
      <c r="B563" s="159" t="s">
        <v>2702</v>
      </c>
      <c r="C563" s="21" t="s">
        <v>2703</v>
      </c>
      <c r="D563" s="20"/>
      <c r="E563" s="22"/>
      <c r="F563" s="91"/>
      <c r="G563" s="18"/>
      <c r="H563" s="18"/>
      <c r="I563" s="18"/>
      <c r="J563" s="18"/>
      <c r="K563" s="18"/>
      <c r="L563" s="18"/>
      <c r="M563" s="18"/>
      <c r="N563" s="18"/>
      <c r="O563" s="18"/>
      <c r="P563"/>
      <c r="Q563" s="18"/>
      <c r="R563" s="18"/>
    </row>
    <row r="564" spans="1:18" ht="39.6">
      <c r="A564" s="19"/>
      <c r="B564" s="159" t="s">
        <v>2704</v>
      </c>
      <c r="C564" s="21" t="s">
        <v>2705</v>
      </c>
      <c r="D564" s="20"/>
      <c r="E564" s="22" t="s">
        <v>2713</v>
      </c>
      <c r="F564" s="91"/>
      <c r="G564" s="18"/>
      <c r="H564" s="18"/>
      <c r="I564" s="18"/>
      <c r="J564" s="18"/>
      <c r="K564" s="18"/>
      <c r="L564" s="18"/>
      <c r="M564" s="18"/>
      <c r="N564" s="18"/>
      <c r="O564" s="18"/>
      <c r="P564"/>
      <c r="Q564" s="18"/>
      <c r="R564" s="18"/>
    </row>
    <row r="565" spans="1:18" ht="39.6">
      <c r="A565" s="19"/>
      <c r="B565" s="159" t="s">
        <v>2780</v>
      </c>
      <c r="C565" s="21" t="s">
        <v>2781</v>
      </c>
      <c r="D565" s="20"/>
      <c r="E565" s="22"/>
      <c r="F565" s="91"/>
      <c r="G565" s="18"/>
      <c r="H565" s="18"/>
      <c r="I565" s="18"/>
      <c r="J565" s="18"/>
      <c r="K565" s="18"/>
      <c r="L565" s="18"/>
      <c r="M565" s="18"/>
      <c r="N565" s="18"/>
      <c r="O565" s="18"/>
      <c r="P565"/>
      <c r="Q565" s="18"/>
      <c r="R565" s="18"/>
    </row>
    <row r="566" spans="1:18" ht="39.6">
      <c r="A566" s="19">
        <v>487</v>
      </c>
      <c r="B566" s="20" t="s">
        <v>1423</v>
      </c>
      <c r="C566" s="21" t="s">
        <v>354</v>
      </c>
      <c r="D566" s="20"/>
      <c r="E566" s="22" t="s">
        <v>1424</v>
      </c>
      <c r="F566" s="91"/>
      <c r="G566" s="18"/>
      <c r="H566" s="18"/>
      <c r="I566" s="18"/>
      <c r="J566" s="18"/>
      <c r="K566" s="18"/>
      <c r="L566" s="18"/>
      <c r="M566" s="18"/>
      <c r="N566" s="18"/>
      <c r="O566" s="18"/>
      <c r="P566"/>
      <c r="Q566" s="18"/>
      <c r="R566" s="18"/>
    </row>
    <row r="567" spans="1:18" ht="39.6">
      <c r="A567" s="19"/>
      <c r="B567" s="20" t="s">
        <v>2714</v>
      </c>
      <c r="C567" s="21" t="s">
        <v>2715</v>
      </c>
      <c r="D567" s="20"/>
      <c r="E567" s="22"/>
      <c r="F567" s="91"/>
      <c r="G567" s="18"/>
      <c r="H567" s="18"/>
      <c r="I567" s="18"/>
      <c r="J567" s="18"/>
      <c r="K567" s="18"/>
      <c r="L567" s="18"/>
      <c r="M567" s="18"/>
      <c r="N567" s="18"/>
      <c r="O567" s="18"/>
      <c r="P567"/>
      <c r="Q567" s="18"/>
      <c r="R567" s="18"/>
    </row>
    <row r="568" spans="1:18" ht="66">
      <c r="A568" s="19">
        <v>488</v>
      </c>
      <c r="B568" s="20" t="s">
        <v>1423</v>
      </c>
      <c r="C568" s="21" t="s">
        <v>1425</v>
      </c>
      <c r="D568" s="20"/>
      <c r="E568" s="22" t="s">
        <v>1424</v>
      </c>
      <c r="F568" s="91"/>
      <c r="G568" s="18"/>
      <c r="H568" s="18"/>
      <c r="I568" s="18"/>
      <c r="J568" s="18"/>
      <c r="K568" s="18"/>
      <c r="L568" s="18"/>
      <c r="M568" s="18"/>
      <c r="N568" s="18"/>
      <c r="O568" s="18"/>
      <c r="P568"/>
      <c r="Q568" s="18"/>
      <c r="R568" s="18"/>
    </row>
    <row r="569" spans="1:18" ht="79.2">
      <c r="A569" s="19">
        <v>489</v>
      </c>
      <c r="B569" s="20" t="s">
        <v>1426</v>
      </c>
      <c r="C569" s="21" t="s">
        <v>1427</v>
      </c>
      <c r="D569" s="20"/>
      <c r="E569" s="22"/>
      <c r="P569"/>
    </row>
    <row r="570" spans="1:18" ht="26.4">
      <c r="A570" s="19">
        <v>490</v>
      </c>
      <c r="B570" s="20" t="s">
        <v>1428</v>
      </c>
      <c r="C570" s="21" t="s">
        <v>1429</v>
      </c>
      <c r="D570" s="20"/>
      <c r="E570" s="22"/>
      <c r="P570"/>
    </row>
    <row r="571" spans="1:18" ht="39.6">
      <c r="A571" s="19">
        <v>491</v>
      </c>
      <c r="B571" s="20" t="s">
        <v>1430</v>
      </c>
      <c r="C571" s="21" t="s">
        <v>1431</v>
      </c>
      <c r="D571" s="20"/>
      <c r="E571" s="22" t="s">
        <v>1432</v>
      </c>
      <c r="P571"/>
    </row>
    <row r="572" spans="1:18" ht="52.8">
      <c r="A572" s="19">
        <v>492</v>
      </c>
      <c r="B572" s="20" t="s">
        <v>1433</v>
      </c>
      <c r="C572" s="21" t="s">
        <v>1434</v>
      </c>
      <c r="D572" s="20"/>
      <c r="E572" s="22" t="s">
        <v>1435</v>
      </c>
      <c r="P572"/>
    </row>
    <row r="573" spans="1:18" ht="40.200000000000003">
      <c r="A573" s="19">
        <v>493</v>
      </c>
      <c r="B573" s="20" t="s">
        <v>1436</v>
      </c>
      <c r="C573" s="50" t="s">
        <v>1437</v>
      </c>
      <c r="D573" s="20"/>
      <c r="E573" s="22"/>
      <c r="P573"/>
    </row>
    <row r="574" spans="1:18" ht="53.4">
      <c r="A574" s="19">
        <v>494</v>
      </c>
      <c r="B574" s="20" t="s">
        <v>1438</v>
      </c>
      <c r="C574" s="50" t="s">
        <v>1439</v>
      </c>
      <c r="D574" s="20"/>
      <c r="E574" s="22"/>
      <c r="P574"/>
    </row>
    <row r="575" spans="1:18" ht="39.6">
      <c r="A575" s="19">
        <v>495</v>
      </c>
      <c r="B575" s="20" t="s">
        <v>1440</v>
      </c>
      <c r="C575" s="21" t="s">
        <v>1437</v>
      </c>
      <c r="D575" s="20"/>
      <c r="E575" s="22" t="s">
        <v>1441</v>
      </c>
      <c r="P575"/>
    </row>
    <row r="576" spans="1:18" ht="93">
      <c r="A576" s="19">
        <v>496</v>
      </c>
      <c r="B576" s="20" t="s">
        <v>1442</v>
      </c>
      <c r="C576" s="160" t="s">
        <v>1443</v>
      </c>
      <c r="D576" s="20" t="s">
        <v>456</v>
      </c>
      <c r="E576" s="19" t="s">
        <v>1444</v>
      </c>
      <c r="P576"/>
    </row>
    <row r="577" spans="1:18" ht="39.6">
      <c r="A577" s="19">
        <v>497</v>
      </c>
      <c r="B577" s="20" t="s">
        <v>1445</v>
      </c>
      <c r="C577" s="21" t="s">
        <v>1446</v>
      </c>
      <c r="D577" s="20"/>
      <c r="E577" s="22"/>
      <c r="P577"/>
    </row>
    <row r="578" spans="1:18" ht="52.8">
      <c r="A578" s="19"/>
      <c r="B578" s="20" t="s">
        <v>2596</v>
      </c>
      <c r="C578" s="21" t="s">
        <v>2597</v>
      </c>
      <c r="D578" s="20"/>
      <c r="E578" s="22"/>
      <c r="P578"/>
    </row>
    <row r="579" spans="1:18" ht="79.2">
      <c r="A579" s="19">
        <v>498</v>
      </c>
      <c r="B579" s="48" t="s">
        <v>1447</v>
      </c>
      <c r="C579" s="54" t="s">
        <v>1448</v>
      </c>
      <c r="D579" s="25"/>
      <c r="E579" s="50"/>
      <c r="F579" s="95"/>
      <c r="G579" s="95"/>
      <c r="H579" s="111"/>
      <c r="I579" s="67"/>
      <c r="J579" s="133"/>
      <c r="K579" s="133"/>
      <c r="L579" s="133"/>
      <c r="M579" s="133"/>
      <c r="N579" s="133"/>
      <c r="O579" s="133"/>
      <c r="P579"/>
      <c r="Q579" s="133"/>
      <c r="R579" s="133"/>
    </row>
    <row r="580" spans="1:18" ht="66.599999999999994">
      <c r="A580" s="19">
        <v>499</v>
      </c>
      <c r="B580" s="113" t="s">
        <v>1449</v>
      </c>
      <c r="C580" s="161" t="s">
        <v>1450</v>
      </c>
      <c r="D580" s="20"/>
      <c r="E580" s="152"/>
      <c r="P580"/>
    </row>
    <row r="581" spans="1:18" ht="52.8">
      <c r="A581" s="19">
        <v>500</v>
      </c>
      <c r="B581" s="20" t="s">
        <v>1451</v>
      </c>
      <c r="C581" s="21" t="s">
        <v>1452</v>
      </c>
      <c r="D581" s="20"/>
      <c r="E581" s="22" t="s">
        <v>1453</v>
      </c>
      <c r="M581" s="134">
        <f>454126168+65641806+52357045</f>
        <v>572125019</v>
      </c>
      <c r="P581"/>
    </row>
    <row r="582" spans="1:18" ht="40.200000000000003">
      <c r="A582" s="19">
        <v>501</v>
      </c>
      <c r="B582" s="20" t="s">
        <v>1454</v>
      </c>
      <c r="C582" s="79" t="s">
        <v>1455</v>
      </c>
      <c r="D582" s="20" t="s">
        <v>922</v>
      </c>
      <c r="E582" s="28" t="s">
        <v>1456</v>
      </c>
      <c r="F582" s="91"/>
      <c r="G582" s="18"/>
      <c r="H582" s="18"/>
      <c r="I582" s="18"/>
      <c r="J582" s="18"/>
      <c r="K582" s="18"/>
      <c r="L582" s="18"/>
      <c r="M582" s="18"/>
      <c r="N582" s="18"/>
      <c r="O582" s="18"/>
      <c r="P582"/>
      <c r="Q582" s="18"/>
      <c r="R582" s="18"/>
    </row>
    <row r="583" spans="1:18" ht="39.6">
      <c r="A583" s="19">
        <v>502</v>
      </c>
      <c r="B583" s="20" t="s">
        <v>1457</v>
      </c>
      <c r="C583" s="21" t="s">
        <v>1458</v>
      </c>
      <c r="D583" s="20"/>
      <c r="E583" s="22" t="s">
        <v>1459</v>
      </c>
      <c r="P583"/>
    </row>
    <row r="584" spans="1:18" ht="39.6">
      <c r="A584" s="19">
        <v>503</v>
      </c>
      <c r="B584" s="20" t="s">
        <v>1460</v>
      </c>
      <c r="C584" s="21" t="s">
        <v>1461</v>
      </c>
      <c r="D584" s="20"/>
      <c r="E584" s="29" t="s">
        <v>1462</v>
      </c>
      <c r="F584" s="91"/>
      <c r="G584" s="18"/>
      <c r="H584" s="18"/>
      <c r="I584" s="18"/>
      <c r="J584" s="18"/>
      <c r="K584" s="18"/>
      <c r="L584" s="18"/>
      <c r="M584" s="18"/>
      <c r="N584" s="18"/>
      <c r="O584" s="18"/>
      <c r="P584"/>
      <c r="Q584" s="18"/>
      <c r="R584" s="18"/>
    </row>
    <row r="585" spans="1:18" ht="26.4">
      <c r="A585" s="19">
        <v>504</v>
      </c>
      <c r="B585" s="20" t="s">
        <v>2639</v>
      </c>
      <c r="C585" s="21" t="s">
        <v>1463</v>
      </c>
      <c r="D585" s="20" t="s">
        <v>626</v>
      </c>
      <c r="E585" s="22" t="s">
        <v>1464</v>
      </c>
      <c r="P585"/>
    </row>
    <row r="586" spans="1:18" ht="39.6">
      <c r="A586" s="19">
        <v>505</v>
      </c>
      <c r="B586" s="20" t="s">
        <v>1465</v>
      </c>
      <c r="C586" s="21" t="s">
        <v>1466</v>
      </c>
      <c r="D586" s="20"/>
      <c r="E586" s="22" t="s">
        <v>1467</v>
      </c>
      <c r="F586" s="91"/>
      <c r="G586" s="18"/>
      <c r="H586" s="18"/>
      <c r="I586" s="18"/>
      <c r="J586" s="18"/>
      <c r="K586" s="18"/>
      <c r="L586" s="18"/>
      <c r="M586" s="18"/>
      <c r="N586" s="18"/>
      <c r="O586" s="18"/>
      <c r="P586"/>
      <c r="Q586" s="18"/>
      <c r="R586" s="18"/>
    </row>
    <row r="587" spans="1:18" ht="52.8">
      <c r="A587" s="19">
        <v>506</v>
      </c>
      <c r="B587" s="20" t="s">
        <v>1468</v>
      </c>
      <c r="C587" s="21" t="s">
        <v>1469</v>
      </c>
      <c r="D587" s="20"/>
      <c r="E587" s="22" t="s">
        <v>1470</v>
      </c>
      <c r="P587"/>
    </row>
    <row r="588" spans="1:18" ht="52.8">
      <c r="A588" s="19">
        <v>507</v>
      </c>
      <c r="B588" s="20" t="s">
        <v>1471</v>
      </c>
      <c r="C588" s="21" t="s">
        <v>1472</v>
      </c>
      <c r="D588" s="20"/>
      <c r="E588" s="22" t="s">
        <v>1473</v>
      </c>
      <c r="F588" s="91"/>
      <c r="G588" s="18"/>
      <c r="H588" s="18"/>
      <c r="I588" s="18"/>
      <c r="J588" s="18"/>
      <c r="K588" s="18"/>
      <c r="L588" s="18"/>
      <c r="M588" s="18"/>
      <c r="N588" s="18"/>
      <c r="O588" s="18"/>
      <c r="P588"/>
      <c r="Q588" s="18"/>
      <c r="R588" s="18"/>
    </row>
    <row r="589" spans="1:18" ht="52.8">
      <c r="A589" s="19">
        <v>508</v>
      </c>
      <c r="B589" s="20" t="s">
        <v>1474</v>
      </c>
      <c r="C589" s="21" t="s">
        <v>1475</v>
      </c>
      <c r="D589" s="20"/>
      <c r="E589" s="22" t="s">
        <v>1476</v>
      </c>
      <c r="F589" s="91"/>
      <c r="G589" s="18"/>
      <c r="H589" s="18"/>
      <c r="I589" s="18"/>
      <c r="J589" s="18"/>
      <c r="K589" s="18"/>
      <c r="L589" s="18"/>
      <c r="M589" s="18"/>
      <c r="N589" s="18"/>
      <c r="O589" s="18"/>
      <c r="P589"/>
      <c r="Q589" s="18"/>
      <c r="R589" s="18"/>
    </row>
    <row r="590" spans="1:18" ht="66">
      <c r="A590" s="19">
        <v>509</v>
      </c>
      <c r="B590" s="20" t="s">
        <v>1477</v>
      </c>
      <c r="C590" s="21" t="s">
        <v>1478</v>
      </c>
      <c r="D590" s="20"/>
      <c r="E590" s="22" t="s">
        <v>1479</v>
      </c>
      <c r="P590"/>
    </row>
    <row r="591" spans="1:18" ht="52.8">
      <c r="A591" s="19">
        <v>510</v>
      </c>
      <c r="B591" s="20" t="s">
        <v>1480</v>
      </c>
      <c r="C591" s="21" t="s">
        <v>1481</v>
      </c>
      <c r="D591" s="20"/>
      <c r="E591" s="22"/>
      <c r="F591" s="91"/>
      <c r="G591" s="18"/>
      <c r="H591" s="18"/>
      <c r="I591" s="18"/>
      <c r="J591" s="18"/>
      <c r="K591" s="18"/>
      <c r="L591" s="18"/>
      <c r="M591" s="18"/>
      <c r="N591" s="18"/>
      <c r="O591" s="18"/>
      <c r="P591"/>
      <c r="Q591" s="18"/>
      <c r="R591" s="18"/>
    </row>
    <row r="592" spans="1:18" ht="52.8">
      <c r="A592" s="19">
        <v>511</v>
      </c>
      <c r="B592" s="20" t="s">
        <v>1482</v>
      </c>
      <c r="C592" s="21" t="s">
        <v>1483</v>
      </c>
      <c r="D592" s="20"/>
      <c r="E592" s="22" t="s">
        <v>1484</v>
      </c>
      <c r="P592"/>
    </row>
    <row r="593" spans="1:18" ht="52.8">
      <c r="A593" s="19">
        <v>512</v>
      </c>
      <c r="B593" s="116" t="s">
        <v>1482</v>
      </c>
      <c r="C593" s="115" t="s">
        <v>1485</v>
      </c>
      <c r="D593" s="116"/>
      <c r="E593" s="117" t="s">
        <v>1484</v>
      </c>
      <c r="P593"/>
    </row>
    <row r="594" spans="1:18" ht="79.2">
      <c r="A594" s="19">
        <v>513</v>
      </c>
      <c r="B594" s="20" t="s">
        <v>1486</v>
      </c>
      <c r="C594" s="21" t="s">
        <v>1487</v>
      </c>
      <c r="D594" s="20"/>
      <c r="E594" s="22"/>
      <c r="F594" s="91"/>
      <c r="G594" s="18"/>
      <c r="H594" s="18"/>
      <c r="I594" s="18"/>
      <c r="J594" s="18"/>
      <c r="K594" s="18"/>
      <c r="L594" s="18"/>
      <c r="M594" s="18"/>
      <c r="N594" s="18"/>
      <c r="O594" s="18"/>
      <c r="P594"/>
      <c r="Q594" s="18"/>
      <c r="R594" s="18"/>
    </row>
    <row r="595" spans="1:18" ht="39.6">
      <c r="A595" s="19">
        <v>514</v>
      </c>
      <c r="B595" s="20" t="s">
        <v>1488</v>
      </c>
      <c r="C595" s="21" t="s">
        <v>1489</v>
      </c>
      <c r="D595" s="20"/>
      <c r="E595" s="22" t="s">
        <v>1490</v>
      </c>
      <c r="P595"/>
    </row>
    <row r="596" spans="1:18" ht="66">
      <c r="A596" s="19">
        <v>515</v>
      </c>
      <c r="B596" s="20" t="s">
        <v>1491</v>
      </c>
      <c r="C596" s="21" t="s">
        <v>1492</v>
      </c>
      <c r="D596" s="20"/>
      <c r="E596" s="22"/>
      <c r="P596"/>
    </row>
    <row r="597" spans="1:18" ht="66">
      <c r="A597" s="19">
        <v>516</v>
      </c>
      <c r="B597" s="20" t="s">
        <v>1493</v>
      </c>
      <c r="C597" s="21" t="s">
        <v>1494</v>
      </c>
      <c r="D597" s="20" t="s">
        <v>1495</v>
      </c>
      <c r="E597" s="22"/>
      <c r="F597" s="91"/>
      <c r="G597" s="18"/>
      <c r="H597" s="18"/>
      <c r="I597" s="18"/>
      <c r="J597" s="18"/>
      <c r="K597" s="18"/>
      <c r="L597" s="18"/>
      <c r="M597" s="18"/>
      <c r="N597" s="18"/>
      <c r="O597" s="18"/>
      <c r="P597"/>
      <c r="Q597" s="18"/>
      <c r="R597" s="18"/>
    </row>
    <row r="598" spans="1:18" ht="79.2">
      <c r="A598" s="19">
        <v>517</v>
      </c>
      <c r="B598" s="39" t="s">
        <v>1496</v>
      </c>
      <c r="C598" s="21" t="s">
        <v>1497</v>
      </c>
      <c r="D598" s="20"/>
      <c r="E598" s="42" t="s">
        <v>2839</v>
      </c>
      <c r="P598"/>
    </row>
    <row r="599" spans="1:18" ht="26.4">
      <c r="A599" s="19">
        <v>518</v>
      </c>
      <c r="B599" s="20" t="s">
        <v>1498</v>
      </c>
      <c r="C599" s="21" t="s">
        <v>1499</v>
      </c>
      <c r="D599" s="20"/>
      <c r="E599" s="22" t="s">
        <v>1500</v>
      </c>
      <c r="P599"/>
    </row>
    <row r="600" spans="1:18" ht="39.6">
      <c r="A600" s="19">
        <v>519</v>
      </c>
      <c r="B600" s="20" t="s">
        <v>1501</v>
      </c>
      <c r="C600" s="21" t="s">
        <v>1502</v>
      </c>
      <c r="D600" s="20"/>
      <c r="E600" s="22" t="s">
        <v>1503</v>
      </c>
      <c r="F600" s="41"/>
      <c r="P600"/>
    </row>
    <row r="601" spans="1:18" ht="93">
      <c r="A601" s="19">
        <v>520</v>
      </c>
      <c r="B601" s="20" t="s">
        <v>1504</v>
      </c>
      <c r="C601" s="87" t="s">
        <v>1505</v>
      </c>
      <c r="D601" s="20" t="s">
        <v>1506</v>
      </c>
      <c r="E601" s="162" t="s">
        <v>1507</v>
      </c>
      <c r="P601"/>
    </row>
    <row r="602" spans="1:18" ht="39.6">
      <c r="A602" s="19">
        <v>521</v>
      </c>
      <c r="B602" s="20" t="s">
        <v>1508</v>
      </c>
      <c r="C602" s="21" t="s">
        <v>1509</v>
      </c>
      <c r="D602" s="20"/>
      <c r="E602" s="22" t="s">
        <v>1510</v>
      </c>
      <c r="F602" s="91"/>
      <c r="G602" s="18"/>
      <c r="H602" s="18"/>
      <c r="I602" s="18"/>
      <c r="J602" s="18"/>
      <c r="K602" s="18"/>
      <c r="L602" s="18"/>
      <c r="M602" s="18"/>
      <c r="N602" s="18"/>
      <c r="O602" s="18"/>
      <c r="P602"/>
      <c r="Q602" s="18"/>
      <c r="R602" s="18"/>
    </row>
    <row r="603" spans="1:18" ht="39.6">
      <c r="A603" s="19">
        <v>522</v>
      </c>
      <c r="B603" s="20" t="s">
        <v>1511</v>
      </c>
      <c r="C603" s="21" t="s">
        <v>1512</v>
      </c>
      <c r="D603" s="20"/>
      <c r="E603" s="22" t="s">
        <v>1513</v>
      </c>
      <c r="F603" s="41"/>
      <c r="P603"/>
    </row>
    <row r="604" spans="1:18" ht="92.4">
      <c r="A604" s="19">
        <v>524</v>
      </c>
      <c r="B604" s="20" t="s">
        <v>1515</v>
      </c>
      <c r="C604" s="21" t="s">
        <v>1516</v>
      </c>
      <c r="D604" s="54"/>
      <c r="E604" s="22" t="s">
        <v>1517</v>
      </c>
      <c r="F604" s="91"/>
      <c r="G604" s="18"/>
      <c r="H604" s="18"/>
      <c r="I604" s="18"/>
      <c r="J604" s="18"/>
      <c r="K604" s="18"/>
      <c r="L604" s="18"/>
      <c r="M604" s="18"/>
      <c r="N604" s="18"/>
      <c r="O604" s="18"/>
      <c r="P604"/>
      <c r="Q604" s="18"/>
      <c r="R604" s="18"/>
    </row>
    <row r="605" spans="1:18" ht="66">
      <c r="A605" s="19">
        <v>525</v>
      </c>
      <c r="B605" s="20" t="s">
        <v>1518</v>
      </c>
      <c r="C605" s="21" t="s">
        <v>1519</v>
      </c>
      <c r="D605" s="20"/>
      <c r="E605" s="22" t="s">
        <v>1520</v>
      </c>
      <c r="P605"/>
    </row>
    <row r="606" spans="1:18" ht="52.8">
      <c r="A606" s="19"/>
      <c r="B606" s="20" t="s">
        <v>2771</v>
      </c>
      <c r="C606" s="21" t="s">
        <v>2772</v>
      </c>
      <c r="D606" s="20"/>
      <c r="E606" s="234" t="s">
        <v>2773</v>
      </c>
      <c r="F606" s="99"/>
      <c r="G606" s="99"/>
      <c r="H606" s="99"/>
      <c r="I606" s="99"/>
      <c r="J606" s="99"/>
      <c r="K606" s="99"/>
      <c r="L606" s="99"/>
      <c r="M606" s="99"/>
      <c r="N606" s="99"/>
      <c r="O606" s="99"/>
      <c r="P606"/>
      <c r="Q606" s="99"/>
      <c r="R606" s="235"/>
    </row>
    <row r="607" spans="1:18" ht="79.2">
      <c r="A607" s="19">
        <v>526</v>
      </c>
      <c r="B607" s="20" t="s">
        <v>1521</v>
      </c>
      <c r="C607" s="21" t="s">
        <v>1522</v>
      </c>
      <c r="D607" s="20"/>
      <c r="E607" s="22" t="s">
        <v>1523</v>
      </c>
      <c r="P607"/>
    </row>
    <row r="608" spans="1:18" ht="39.6">
      <c r="A608" s="19">
        <v>527</v>
      </c>
      <c r="B608" s="20" t="s">
        <v>1524</v>
      </c>
      <c r="C608" s="21" t="s">
        <v>1525</v>
      </c>
      <c r="D608" s="20"/>
      <c r="E608" s="22" t="s">
        <v>1526</v>
      </c>
      <c r="F608" s="91"/>
      <c r="G608" s="18"/>
      <c r="H608" s="18"/>
      <c r="I608" s="18"/>
      <c r="J608" s="18"/>
      <c r="K608" s="18"/>
      <c r="L608" s="18"/>
      <c r="M608" s="18"/>
      <c r="N608" s="18"/>
      <c r="O608" s="18"/>
      <c r="P608"/>
      <c r="Q608" s="18"/>
      <c r="R608" s="18"/>
    </row>
    <row r="609" spans="1:18" ht="39.6">
      <c r="A609" s="19">
        <v>528</v>
      </c>
      <c r="B609" s="20" t="s">
        <v>1527</v>
      </c>
      <c r="C609" s="21" t="s">
        <v>1528</v>
      </c>
      <c r="D609" s="20"/>
      <c r="E609" s="22"/>
      <c r="F609" s="91"/>
      <c r="G609" s="18"/>
      <c r="H609" s="18"/>
      <c r="I609" s="18"/>
      <c r="J609" s="18"/>
      <c r="K609" s="18"/>
      <c r="L609" s="18"/>
      <c r="M609" s="18"/>
      <c r="N609" s="18"/>
      <c r="O609" s="18"/>
      <c r="P609"/>
      <c r="Q609" s="18"/>
      <c r="R609" s="18"/>
    </row>
    <row r="610" spans="1:18" ht="26.4">
      <c r="A610" s="19">
        <v>529</v>
      </c>
      <c r="B610" s="20" t="s">
        <v>1529</v>
      </c>
      <c r="C610" s="21" t="s">
        <v>1530</v>
      </c>
      <c r="D610" s="20"/>
      <c r="E610" s="22" t="s">
        <v>1531</v>
      </c>
      <c r="P610"/>
    </row>
    <row r="611" spans="1:18" ht="39.6">
      <c r="A611" s="19">
        <v>530</v>
      </c>
      <c r="B611" s="20" t="s">
        <v>1532</v>
      </c>
      <c r="C611" s="21" t="s">
        <v>1533</v>
      </c>
      <c r="D611" s="20"/>
      <c r="E611" s="22" t="s">
        <v>1534</v>
      </c>
      <c r="P611"/>
    </row>
    <row r="612" spans="1:18" ht="39.6">
      <c r="A612" s="19">
        <v>531</v>
      </c>
      <c r="B612" s="20" t="s">
        <v>1535</v>
      </c>
      <c r="C612" s="21" t="s">
        <v>1536</v>
      </c>
      <c r="D612" s="20"/>
      <c r="E612" s="22" t="s">
        <v>1537</v>
      </c>
      <c r="P612"/>
    </row>
    <row r="613" spans="1:18" ht="55.2">
      <c r="A613" s="19"/>
      <c r="B613" s="216" t="s">
        <v>2789</v>
      </c>
      <c r="C613" s="222" t="s">
        <v>2774</v>
      </c>
      <c r="D613" s="20"/>
      <c r="E613" s="22" t="s">
        <v>2819</v>
      </c>
      <c r="P613"/>
    </row>
    <row r="614" spans="1:18" ht="26.4">
      <c r="A614" s="19"/>
      <c r="B614" s="20" t="s">
        <v>2747</v>
      </c>
      <c r="C614" s="21" t="s">
        <v>2748</v>
      </c>
      <c r="D614" s="20"/>
      <c r="E614" s="22"/>
      <c r="P614"/>
    </row>
    <row r="615" spans="1:18" ht="52.8">
      <c r="A615" s="19"/>
      <c r="B615" s="20" t="s">
        <v>2742</v>
      </c>
      <c r="C615" s="21" t="s">
        <v>2743</v>
      </c>
      <c r="D615" s="20"/>
      <c r="E615" s="22" t="s">
        <v>2744</v>
      </c>
      <c r="P615"/>
    </row>
    <row r="616" spans="1:18" ht="52.8">
      <c r="A616" s="19"/>
      <c r="B616" s="20" t="s">
        <v>2745</v>
      </c>
      <c r="C616" s="21" t="s">
        <v>2746</v>
      </c>
      <c r="D616" s="20" t="s">
        <v>2972</v>
      </c>
      <c r="E616" s="22"/>
      <c r="P616"/>
    </row>
    <row r="617" spans="1:18" ht="39.6">
      <c r="A617" s="19"/>
      <c r="B617" s="20" t="s">
        <v>2762</v>
      </c>
      <c r="C617" s="21" t="s">
        <v>2763</v>
      </c>
      <c r="D617" s="20"/>
      <c r="E617" s="22" t="s">
        <v>2788</v>
      </c>
      <c r="P617"/>
    </row>
    <row r="618" spans="1:18" ht="39.6">
      <c r="A618" s="19"/>
      <c r="B618" s="20" t="s">
        <v>2749</v>
      </c>
      <c r="C618" s="21" t="s">
        <v>2750</v>
      </c>
      <c r="D618" s="20"/>
      <c r="E618" s="22" t="s">
        <v>2782</v>
      </c>
      <c r="P618"/>
    </row>
    <row r="619" spans="1:18" ht="39.6">
      <c r="A619" s="19"/>
      <c r="B619" s="20" t="s">
        <v>2783</v>
      </c>
      <c r="C619" s="21" t="s">
        <v>2784</v>
      </c>
      <c r="D619" s="20" t="s">
        <v>2794</v>
      </c>
      <c r="E619" s="22" t="s">
        <v>2785</v>
      </c>
      <c r="P619"/>
    </row>
    <row r="620" spans="1:18" ht="39.6">
      <c r="A620" s="19"/>
      <c r="B620" s="20" t="s">
        <v>2890</v>
      </c>
      <c r="C620" s="21" t="s">
        <v>2891</v>
      </c>
      <c r="D620" s="20"/>
      <c r="E620" s="22"/>
      <c r="P620"/>
    </row>
    <row r="621" spans="1:18" ht="39.6">
      <c r="A621" s="19"/>
      <c r="B621" s="20" t="s">
        <v>3000</v>
      </c>
      <c r="C621" s="21" t="s">
        <v>3001</v>
      </c>
      <c r="D621" s="20"/>
      <c r="E621" s="22"/>
      <c r="P621"/>
    </row>
    <row r="622" spans="1:18" ht="79.2">
      <c r="A622" s="19"/>
      <c r="B622" s="20" t="s">
        <v>2786</v>
      </c>
      <c r="C622" s="21" t="s">
        <v>2787</v>
      </c>
      <c r="D622" s="20"/>
      <c r="E622" s="22"/>
      <c r="P622"/>
    </row>
    <row r="623" spans="1:18" ht="79.2">
      <c r="A623" s="19">
        <v>532</v>
      </c>
      <c r="B623" s="20" t="s">
        <v>1538</v>
      </c>
      <c r="C623" s="21" t="s">
        <v>1539</v>
      </c>
      <c r="D623" s="20"/>
      <c r="E623" s="22" t="s">
        <v>1540</v>
      </c>
      <c r="F623" s="91"/>
      <c r="G623" s="18"/>
      <c r="H623" s="18"/>
      <c r="I623" s="18"/>
      <c r="J623" s="18"/>
      <c r="K623" s="18"/>
      <c r="L623" s="18"/>
      <c r="M623" s="18"/>
      <c r="N623" s="18"/>
      <c r="O623" s="18"/>
      <c r="P623"/>
      <c r="Q623" s="18"/>
      <c r="R623" s="18"/>
    </row>
    <row r="624" spans="1:18" ht="52.8">
      <c r="A624" s="19">
        <v>533</v>
      </c>
      <c r="B624" s="20" t="s">
        <v>1541</v>
      </c>
      <c r="C624" s="21" t="s">
        <v>1542</v>
      </c>
      <c r="D624" s="20" t="s">
        <v>49</v>
      </c>
      <c r="E624" s="22" t="s">
        <v>1543</v>
      </c>
      <c r="P624"/>
    </row>
    <row r="625" spans="1:18" ht="52.8">
      <c r="A625" s="19">
        <v>534</v>
      </c>
      <c r="B625" s="20" t="s">
        <v>1544</v>
      </c>
      <c r="C625" s="21" t="s">
        <v>1545</v>
      </c>
      <c r="D625" s="20"/>
      <c r="E625" s="22" t="s">
        <v>1546</v>
      </c>
      <c r="P625"/>
    </row>
    <row r="626" spans="1:18" ht="52.8">
      <c r="A626" s="19">
        <v>535</v>
      </c>
      <c r="B626" s="20" t="s">
        <v>1547</v>
      </c>
      <c r="C626" s="21" t="s">
        <v>1548</v>
      </c>
      <c r="D626" s="20"/>
      <c r="E626" s="22" t="s">
        <v>1549</v>
      </c>
      <c r="P626"/>
    </row>
    <row r="627" spans="1:18" ht="66">
      <c r="A627" s="19">
        <v>536</v>
      </c>
      <c r="B627" s="20" t="s">
        <v>1550</v>
      </c>
      <c r="C627" s="21" t="s">
        <v>1551</v>
      </c>
      <c r="D627" s="20"/>
      <c r="E627" s="22" t="s">
        <v>2732</v>
      </c>
      <c r="P627"/>
    </row>
    <row r="628" spans="1:18" ht="52.8">
      <c r="A628" s="19">
        <v>537</v>
      </c>
      <c r="B628" s="20" t="s">
        <v>1552</v>
      </c>
      <c r="C628" s="21" t="s">
        <v>1553</v>
      </c>
      <c r="D628" s="20" t="s">
        <v>3011</v>
      </c>
      <c r="E628" s="22" t="s">
        <v>1554</v>
      </c>
      <c r="P628"/>
    </row>
    <row r="629" spans="1:18" ht="66">
      <c r="A629" s="19">
        <v>538</v>
      </c>
      <c r="B629" s="20" t="s">
        <v>1555</v>
      </c>
      <c r="C629" s="21" t="s">
        <v>1556</v>
      </c>
      <c r="D629" s="20" t="s">
        <v>626</v>
      </c>
      <c r="E629" s="22" t="s">
        <v>1557</v>
      </c>
      <c r="P629"/>
    </row>
    <row r="630" spans="1:18" ht="52.8">
      <c r="A630" s="19">
        <v>539</v>
      </c>
      <c r="B630" s="20" t="s">
        <v>1558</v>
      </c>
      <c r="C630" s="21" t="s">
        <v>1559</v>
      </c>
      <c r="D630" s="20" t="s">
        <v>456</v>
      </c>
      <c r="E630" s="163" t="s">
        <v>1560</v>
      </c>
      <c r="P630"/>
    </row>
    <row r="631" spans="1:18" ht="53.4">
      <c r="A631" s="19">
        <v>540</v>
      </c>
      <c r="B631" s="20" t="s">
        <v>1561</v>
      </c>
      <c r="C631" s="50" t="s">
        <v>1562</v>
      </c>
      <c r="D631" s="20"/>
      <c r="E631" s="22"/>
      <c r="F631" s="91"/>
      <c r="G631" s="18"/>
      <c r="H631" s="18"/>
      <c r="I631" s="18"/>
      <c r="J631" s="18"/>
      <c r="K631" s="18"/>
      <c r="L631" s="18"/>
      <c r="M631" s="18"/>
      <c r="N631" s="18"/>
      <c r="O631" s="18"/>
      <c r="P631"/>
      <c r="Q631" s="18"/>
      <c r="R631" s="18"/>
    </row>
    <row r="632" spans="1:18" ht="52.8">
      <c r="A632" s="19">
        <v>541</v>
      </c>
      <c r="B632" s="20" t="s">
        <v>1563</v>
      </c>
      <c r="C632" s="21" t="s">
        <v>1559</v>
      </c>
      <c r="D632" s="20" t="s">
        <v>456</v>
      </c>
      <c r="E632" s="163" t="s">
        <v>1560</v>
      </c>
      <c r="P632"/>
    </row>
    <row r="633" spans="1:18" ht="39.6">
      <c r="A633" s="19">
        <v>542</v>
      </c>
      <c r="B633" s="20" t="s">
        <v>1564</v>
      </c>
      <c r="C633" s="21" t="s">
        <v>1565</v>
      </c>
      <c r="D633" s="20" t="s">
        <v>359</v>
      </c>
      <c r="E633" s="22" t="s">
        <v>1566</v>
      </c>
      <c r="P633"/>
    </row>
    <row r="634" spans="1:18" ht="39.6">
      <c r="A634" s="19">
        <v>543</v>
      </c>
      <c r="B634" s="20" t="s">
        <v>1567</v>
      </c>
      <c r="C634" s="21" t="s">
        <v>1568</v>
      </c>
      <c r="D634" s="20"/>
      <c r="E634" s="22" t="s">
        <v>1569</v>
      </c>
      <c r="P634"/>
    </row>
    <row r="635" spans="1:18" ht="26.4">
      <c r="A635" s="19">
        <v>544</v>
      </c>
      <c r="B635" s="20" t="s">
        <v>1570</v>
      </c>
      <c r="C635" s="21" t="s">
        <v>1571</v>
      </c>
      <c r="D635" s="20"/>
      <c r="E635" s="22" t="s">
        <v>1572</v>
      </c>
      <c r="P635"/>
    </row>
    <row r="636" spans="1:18" ht="26.4">
      <c r="A636" s="19"/>
      <c r="B636" s="20" t="s">
        <v>2733</v>
      </c>
      <c r="C636" s="21" t="s">
        <v>2075</v>
      </c>
      <c r="D636" s="20"/>
      <c r="E636" s="22" t="s">
        <v>2734</v>
      </c>
      <c r="P636"/>
    </row>
    <row r="637" spans="1:18" ht="79.8">
      <c r="A637" s="19">
        <v>545</v>
      </c>
      <c r="B637" s="20" t="s">
        <v>1573</v>
      </c>
      <c r="C637" s="50" t="s">
        <v>1574</v>
      </c>
      <c r="D637" s="20"/>
      <c r="E637" s="22" t="s">
        <v>1575</v>
      </c>
      <c r="P637"/>
    </row>
    <row r="638" spans="1:18" ht="26.4">
      <c r="A638" s="19">
        <v>546</v>
      </c>
      <c r="B638" s="20" t="s">
        <v>1576</v>
      </c>
      <c r="C638" s="21" t="s">
        <v>1577</v>
      </c>
      <c r="D638" s="20"/>
      <c r="E638" s="22" t="s">
        <v>1578</v>
      </c>
      <c r="F638" s="91"/>
      <c r="G638" s="18"/>
      <c r="H638" s="18"/>
      <c r="I638" s="18"/>
      <c r="J638" s="18"/>
      <c r="K638" s="18"/>
      <c r="L638" s="18"/>
      <c r="M638" s="18"/>
      <c r="N638" s="132"/>
      <c r="O638" s="18"/>
      <c r="P638"/>
      <c r="Q638" s="18"/>
      <c r="R638" s="18"/>
    </row>
    <row r="639" spans="1:18" ht="52.8">
      <c r="A639" s="19">
        <v>547</v>
      </c>
      <c r="B639" s="20" t="s">
        <v>1579</v>
      </c>
      <c r="C639" s="21" t="s">
        <v>1580</v>
      </c>
      <c r="D639" s="20"/>
      <c r="E639" s="22" t="s">
        <v>1581</v>
      </c>
      <c r="P639"/>
    </row>
    <row r="640" spans="1:18" ht="79.2">
      <c r="A640" s="19"/>
      <c r="B640" s="20" t="s">
        <v>2637</v>
      </c>
      <c r="C640" s="21" t="s">
        <v>2638</v>
      </c>
      <c r="D640" s="20"/>
      <c r="E640" s="22"/>
      <c r="P640"/>
    </row>
    <row r="641" spans="1:18" ht="52.8">
      <c r="A641" s="19"/>
      <c r="B641" s="20" t="s">
        <v>2737</v>
      </c>
      <c r="C641" s="21" t="s">
        <v>2738</v>
      </c>
      <c r="D641" s="20" t="s">
        <v>2947</v>
      </c>
      <c r="E641" s="22" t="s">
        <v>2739</v>
      </c>
      <c r="P641"/>
    </row>
    <row r="642" spans="1:18" ht="39.6">
      <c r="A642" s="19"/>
      <c r="B642" s="20" t="s">
        <v>2870</v>
      </c>
      <c r="C642" s="21" t="s">
        <v>2871</v>
      </c>
      <c r="D642" s="20"/>
      <c r="E642" s="22"/>
      <c r="P642"/>
    </row>
    <row r="643" spans="1:18" ht="66">
      <c r="A643" s="19"/>
      <c r="B643" s="20" t="s">
        <v>2866</v>
      </c>
      <c r="C643" s="21" t="s">
        <v>2867</v>
      </c>
      <c r="D643" s="20"/>
      <c r="E643" s="22"/>
      <c r="P643"/>
    </row>
    <row r="644" spans="1:18" ht="52.8">
      <c r="A644" s="19"/>
      <c r="B644" s="20" t="s">
        <v>2868</v>
      </c>
      <c r="C644" s="21" t="s">
        <v>2869</v>
      </c>
      <c r="D644" s="20"/>
      <c r="E644" s="22"/>
      <c r="P644"/>
    </row>
    <row r="645" spans="1:18" ht="52.8">
      <c r="A645" s="19"/>
      <c r="B645" s="20" t="s">
        <v>2586</v>
      </c>
      <c r="C645" s="21" t="s">
        <v>2589</v>
      </c>
      <c r="D645" s="20"/>
      <c r="E645" s="22"/>
      <c r="P645"/>
    </row>
    <row r="646" spans="1:18" ht="52.8">
      <c r="A646" s="19"/>
      <c r="B646" s="20" t="s">
        <v>2610</v>
      </c>
      <c r="C646" s="21" t="s">
        <v>2611</v>
      </c>
      <c r="D646" s="20"/>
      <c r="E646" s="22"/>
      <c r="P646"/>
    </row>
    <row r="647" spans="1:18" ht="39.6">
      <c r="A647" s="19"/>
      <c r="B647" s="20" t="s">
        <v>2864</v>
      </c>
      <c r="C647" s="21" t="s">
        <v>2865</v>
      </c>
      <c r="D647" s="20"/>
      <c r="E647" s="22"/>
      <c r="P647"/>
    </row>
    <row r="648" spans="1:18" ht="52.8">
      <c r="A648" s="19">
        <v>548</v>
      </c>
      <c r="B648" s="20" t="s">
        <v>1582</v>
      </c>
      <c r="C648" s="81" t="s">
        <v>1583</v>
      </c>
      <c r="D648" s="20"/>
      <c r="E648" s="22" t="s">
        <v>1584</v>
      </c>
      <c r="P648"/>
    </row>
    <row r="649" spans="1:18" ht="39.6">
      <c r="A649" s="19">
        <v>549</v>
      </c>
      <c r="B649" s="20" t="s">
        <v>1585</v>
      </c>
      <c r="C649" s="21" t="s">
        <v>1586</v>
      </c>
      <c r="D649" s="20"/>
      <c r="E649" s="22" t="s">
        <v>1587</v>
      </c>
      <c r="F649" s="91"/>
      <c r="G649" s="18"/>
      <c r="H649" s="18"/>
      <c r="I649" s="18"/>
      <c r="J649" s="18"/>
      <c r="K649" s="18"/>
      <c r="L649" s="18"/>
      <c r="M649" s="18"/>
      <c r="N649" s="18"/>
      <c r="O649" s="18"/>
      <c r="P649"/>
      <c r="Q649" s="18"/>
      <c r="R649" s="18"/>
    </row>
    <row r="650" spans="1:18" ht="92.4">
      <c r="A650" s="19">
        <v>550</v>
      </c>
      <c r="B650" s="20" t="s">
        <v>1588</v>
      </c>
      <c r="C650" s="21" t="s">
        <v>1589</v>
      </c>
      <c r="D650" s="20" t="s">
        <v>2972</v>
      </c>
      <c r="E650" s="22" t="s">
        <v>1590</v>
      </c>
      <c r="P650"/>
    </row>
    <row r="651" spans="1:18" ht="53.4">
      <c r="A651" s="19">
        <v>551</v>
      </c>
      <c r="B651" s="20" t="s">
        <v>1591</v>
      </c>
      <c r="C651" s="164" t="s">
        <v>1592</v>
      </c>
      <c r="D651" s="20" t="s">
        <v>1593</v>
      </c>
      <c r="E651" s="165" t="s">
        <v>1594</v>
      </c>
      <c r="P651"/>
    </row>
    <row r="652" spans="1:18" ht="40.200000000000003">
      <c r="A652" s="19"/>
      <c r="B652" s="20" t="s">
        <v>2622</v>
      </c>
      <c r="C652" s="227" t="s">
        <v>2623</v>
      </c>
      <c r="D652" s="20"/>
      <c r="E652" s="165"/>
      <c r="P652"/>
    </row>
    <row r="653" spans="1:18" ht="14.4">
      <c r="A653" s="19"/>
      <c r="B653" s="20"/>
      <c r="C653" s="227"/>
      <c r="D653" s="20"/>
      <c r="E653" s="165"/>
      <c r="P653"/>
    </row>
    <row r="654" spans="1:18" ht="66">
      <c r="A654" s="19">
        <v>552</v>
      </c>
      <c r="B654" s="20" t="s">
        <v>1595</v>
      </c>
      <c r="C654" s="21" t="s">
        <v>1596</v>
      </c>
      <c r="D654" s="20" t="s">
        <v>1597</v>
      </c>
      <c r="E654" s="22" t="s">
        <v>1598</v>
      </c>
      <c r="P654"/>
    </row>
    <row r="655" spans="1:18" ht="53.4">
      <c r="A655" s="19">
        <v>553</v>
      </c>
      <c r="B655" s="20" t="s">
        <v>1599</v>
      </c>
      <c r="C655" s="50" t="s">
        <v>1600</v>
      </c>
      <c r="D655" s="20"/>
      <c r="E655" s="50" t="s">
        <v>1601</v>
      </c>
      <c r="F655" s="99"/>
      <c r="G655" s="99"/>
      <c r="H655" s="99"/>
      <c r="I655" s="99"/>
      <c r="J655" s="99"/>
      <c r="K655" s="99"/>
      <c r="L655" s="99"/>
      <c r="M655" s="99"/>
      <c r="N655" s="99"/>
      <c r="O655" s="99"/>
      <c r="P655"/>
      <c r="Q655" s="99"/>
      <c r="R655" s="18"/>
    </row>
    <row r="656" spans="1:18" ht="27">
      <c r="A656" s="19"/>
      <c r="B656" s="20" t="s">
        <v>2620</v>
      </c>
      <c r="C656" s="50" t="s">
        <v>2621</v>
      </c>
      <c r="D656" s="20"/>
      <c r="E656" s="50"/>
      <c r="F656" s="99"/>
      <c r="G656" s="99"/>
      <c r="H656" s="99"/>
      <c r="I656" s="99"/>
      <c r="J656" s="99"/>
      <c r="K656" s="99"/>
      <c r="L656" s="99"/>
      <c r="M656" s="99"/>
      <c r="N656" s="99"/>
      <c r="O656" s="99"/>
      <c r="P656"/>
      <c r="Q656" s="99"/>
      <c r="R656" s="18"/>
    </row>
    <row r="657" spans="1:18" ht="52.8">
      <c r="A657" s="19">
        <v>554</v>
      </c>
      <c r="B657" s="20" t="s">
        <v>1602</v>
      </c>
      <c r="C657" s="21" t="s">
        <v>1603</v>
      </c>
      <c r="D657" s="20" t="s">
        <v>421</v>
      </c>
      <c r="E657" s="166" t="s">
        <v>1604</v>
      </c>
      <c r="P657"/>
    </row>
    <row r="658" spans="1:18" ht="52.8">
      <c r="A658" s="19">
        <v>555</v>
      </c>
      <c r="B658" s="20" t="s">
        <v>1605</v>
      </c>
      <c r="C658" s="21" t="s">
        <v>1606</v>
      </c>
      <c r="D658" s="20" t="s">
        <v>804</v>
      </c>
      <c r="E658" s="22" t="s">
        <v>1607</v>
      </c>
      <c r="P658"/>
    </row>
    <row r="659" spans="1:18" ht="52.8">
      <c r="A659" s="19">
        <v>556</v>
      </c>
      <c r="B659" s="20" t="s">
        <v>1608</v>
      </c>
      <c r="C659" s="21" t="s">
        <v>1609</v>
      </c>
      <c r="D659" s="20"/>
      <c r="E659" s="22" t="s">
        <v>1610</v>
      </c>
      <c r="P659"/>
    </row>
    <row r="660" spans="1:18" ht="26.4">
      <c r="A660" s="19">
        <v>557</v>
      </c>
      <c r="B660" s="20" t="s">
        <v>1611</v>
      </c>
      <c r="C660" s="21" t="s">
        <v>517</v>
      </c>
      <c r="D660" s="20"/>
      <c r="E660" s="22" t="s">
        <v>1612</v>
      </c>
      <c r="P660"/>
    </row>
    <row r="661" spans="1:18" ht="66">
      <c r="A661" s="19">
        <v>558</v>
      </c>
      <c r="B661" s="20" t="s">
        <v>1613</v>
      </c>
      <c r="C661" s="21" t="s">
        <v>1614</v>
      </c>
      <c r="D661" s="20"/>
      <c r="E661" s="50" t="s">
        <v>2961</v>
      </c>
      <c r="F661" s="135"/>
      <c r="G661" s="135"/>
      <c r="H661" s="135"/>
      <c r="I661" s="135"/>
      <c r="J661" s="135"/>
      <c r="K661" s="135"/>
      <c r="L661" s="135"/>
      <c r="M661" s="135"/>
      <c r="N661" s="135"/>
      <c r="O661" s="135"/>
      <c r="P661"/>
    </row>
    <row r="662" spans="1:18" ht="105.6">
      <c r="A662" s="19">
        <v>559</v>
      </c>
      <c r="B662" s="20" t="s">
        <v>1615</v>
      </c>
      <c r="C662" s="27" t="s">
        <v>1616</v>
      </c>
      <c r="D662" s="20"/>
      <c r="E662" s="27" t="s">
        <v>1617</v>
      </c>
      <c r="F662" s="15" t="s">
        <v>1169</v>
      </c>
      <c r="P662"/>
    </row>
    <row r="663" spans="1:18" ht="105.6">
      <c r="A663" s="19"/>
      <c r="B663" s="20" t="s">
        <v>2893</v>
      </c>
      <c r="C663" s="27" t="s">
        <v>1616</v>
      </c>
      <c r="D663" s="20"/>
      <c r="E663" s="27" t="s">
        <v>2892</v>
      </c>
      <c r="P663"/>
    </row>
    <row r="664" spans="1:18" ht="39.6">
      <c r="A664" s="19"/>
      <c r="B664" s="20" t="s">
        <v>2899</v>
      </c>
      <c r="C664" s="27" t="s">
        <v>2900</v>
      </c>
      <c r="D664" s="20"/>
      <c r="E664" s="27"/>
      <c r="P664"/>
    </row>
    <row r="665" spans="1:18" ht="39.6">
      <c r="A665" s="19"/>
      <c r="B665" s="20" t="s">
        <v>2897</v>
      </c>
      <c r="C665" s="27" t="s">
        <v>2959</v>
      </c>
      <c r="D665" s="20"/>
      <c r="E665" s="27" t="s">
        <v>2898</v>
      </c>
      <c r="P665"/>
    </row>
    <row r="666" spans="1:18" ht="52.8">
      <c r="A666" s="19"/>
      <c r="B666" s="20" t="s">
        <v>2935</v>
      </c>
      <c r="C666" s="27" t="s">
        <v>2960</v>
      </c>
      <c r="D666" s="20"/>
      <c r="E666" s="27"/>
      <c r="P666"/>
    </row>
    <row r="667" spans="1:18" ht="66">
      <c r="A667" s="19"/>
      <c r="B667" s="20" t="s">
        <v>2894</v>
      </c>
      <c r="C667" s="27" t="s">
        <v>2895</v>
      </c>
      <c r="D667" s="20"/>
      <c r="E667" s="27" t="s">
        <v>2896</v>
      </c>
      <c r="P667"/>
    </row>
    <row r="668" spans="1:18" ht="52.8">
      <c r="A668" s="19"/>
      <c r="B668" s="20" t="s">
        <v>3542</v>
      </c>
      <c r="C668" s="27" t="s">
        <v>3543</v>
      </c>
      <c r="D668" s="20"/>
      <c r="E668" s="27"/>
      <c r="P668"/>
    </row>
    <row r="669" spans="1:18" ht="39.6">
      <c r="A669" s="19">
        <v>560</v>
      </c>
      <c r="B669" s="20" t="s">
        <v>1618</v>
      </c>
      <c r="C669" s="21" t="s">
        <v>1619</v>
      </c>
      <c r="D669" s="20"/>
      <c r="E669" s="22" t="s">
        <v>1620</v>
      </c>
      <c r="F669" s="91"/>
      <c r="G669" s="18"/>
      <c r="H669" s="18"/>
      <c r="I669" s="18"/>
      <c r="J669" s="18"/>
      <c r="K669" s="18"/>
      <c r="L669" s="18"/>
      <c r="M669" s="18"/>
      <c r="N669" s="18"/>
      <c r="O669" s="18"/>
      <c r="P669"/>
      <c r="Q669" s="18"/>
      <c r="R669" s="18"/>
    </row>
    <row r="670" spans="1:18" ht="39.6">
      <c r="A670" s="19">
        <v>561</v>
      </c>
      <c r="B670" s="20" t="s">
        <v>1621</v>
      </c>
      <c r="C670" s="21" t="s">
        <v>1622</v>
      </c>
      <c r="D670" s="20"/>
      <c r="E670" s="167" t="s">
        <v>1623</v>
      </c>
      <c r="P670"/>
    </row>
    <row r="671" spans="1:18" ht="39.6">
      <c r="A671" s="19">
        <v>562</v>
      </c>
      <c r="B671" s="20" t="s">
        <v>1624</v>
      </c>
      <c r="C671" s="21" t="s">
        <v>1625</v>
      </c>
      <c r="D671" s="20"/>
      <c r="E671" s="22" t="s">
        <v>1626</v>
      </c>
      <c r="P671"/>
    </row>
    <row r="672" spans="1:18" ht="52.8">
      <c r="A672" s="19">
        <v>563</v>
      </c>
      <c r="B672" s="20" t="s">
        <v>1627</v>
      </c>
      <c r="C672" s="21" t="s">
        <v>1628</v>
      </c>
      <c r="D672" s="20"/>
      <c r="E672" s="22" t="s">
        <v>1629</v>
      </c>
      <c r="P672"/>
    </row>
    <row r="673" spans="1:18" ht="52.8">
      <c r="A673" s="19">
        <v>564</v>
      </c>
      <c r="B673" s="20" t="s">
        <v>1630</v>
      </c>
      <c r="C673" s="21" t="s">
        <v>1631</v>
      </c>
      <c r="D673" s="20"/>
      <c r="E673" s="22" t="s">
        <v>1632</v>
      </c>
      <c r="P673"/>
    </row>
    <row r="674" spans="1:18" ht="66">
      <c r="A674" s="19">
        <v>565</v>
      </c>
      <c r="B674" s="20" t="s">
        <v>1633</v>
      </c>
      <c r="C674" s="21" t="s">
        <v>1634</v>
      </c>
      <c r="D674" s="20"/>
      <c r="E674" s="22" t="s">
        <v>1635</v>
      </c>
      <c r="P674"/>
    </row>
    <row r="675" spans="1:18" ht="57.6">
      <c r="A675" s="19">
        <v>566</v>
      </c>
      <c r="B675" s="20" t="s">
        <v>1636</v>
      </c>
      <c r="C675" s="21" t="s">
        <v>2790</v>
      </c>
      <c r="D675" s="20"/>
      <c r="E675" s="168" t="s">
        <v>1637</v>
      </c>
      <c r="F675" s="91" t="s">
        <v>1638</v>
      </c>
      <c r="G675" s="18"/>
      <c r="H675" s="18"/>
      <c r="I675" s="18"/>
      <c r="J675" s="18"/>
      <c r="K675" s="18"/>
      <c r="L675" s="18"/>
      <c r="M675" s="18"/>
      <c r="N675" s="18"/>
      <c r="O675" s="18"/>
      <c r="P675"/>
      <c r="Q675" s="18"/>
      <c r="R675" s="18"/>
    </row>
    <row r="676" spans="1:18" ht="86.4">
      <c r="A676" s="19">
        <v>567</v>
      </c>
      <c r="B676" s="20" t="s">
        <v>1639</v>
      </c>
      <c r="C676" s="21" t="s">
        <v>1638</v>
      </c>
      <c r="D676" s="20"/>
      <c r="E676" s="168" t="s">
        <v>1640</v>
      </c>
      <c r="F676" s="91"/>
      <c r="G676" s="18"/>
      <c r="H676" s="18"/>
      <c r="I676" s="18"/>
      <c r="J676" s="18"/>
      <c r="K676" s="18"/>
      <c r="L676" s="18"/>
      <c r="M676" s="18"/>
      <c r="N676" s="18"/>
      <c r="O676" s="18"/>
      <c r="P676"/>
      <c r="Q676" s="18"/>
      <c r="R676" s="18"/>
    </row>
    <row r="677" spans="1:18" ht="26.4">
      <c r="A677" s="19">
        <v>568</v>
      </c>
      <c r="B677" s="39" t="s">
        <v>1641</v>
      </c>
      <c r="C677" s="39" t="s">
        <v>1642</v>
      </c>
      <c r="D677" s="39" t="s">
        <v>1643</v>
      </c>
      <c r="E677" s="39" t="s">
        <v>1644</v>
      </c>
      <c r="F677" s="98"/>
      <c r="G677" s="98"/>
      <c r="H677" s="98">
        <f>23-7</f>
        <v>16</v>
      </c>
      <c r="I677" s="98"/>
      <c r="J677" s="98"/>
      <c r="K677" s="98"/>
      <c r="L677" s="98"/>
      <c r="M677" s="98"/>
      <c r="N677" s="98"/>
      <c r="O677" s="98"/>
      <c r="P677"/>
      <c r="Q677" s="98"/>
      <c r="R677" s="98"/>
    </row>
    <row r="678" spans="1:18" ht="66">
      <c r="A678" s="19">
        <v>569</v>
      </c>
      <c r="B678" s="20" t="s">
        <v>1645</v>
      </c>
      <c r="C678" s="21" t="s">
        <v>1646</v>
      </c>
      <c r="D678" s="20"/>
      <c r="E678" s="22" t="s">
        <v>1647</v>
      </c>
      <c r="P678"/>
    </row>
    <row r="679" spans="1:18" ht="79.2">
      <c r="A679" s="19">
        <v>570</v>
      </c>
      <c r="B679" s="20" t="s">
        <v>1648</v>
      </c>
      <c r="C679" s="21" t="s">
        <v>1649</v>
      </c>
      <c r="D679" s="20" t="s">
        <v>1650</v>
      </c>
      <c r="E679" s="22" t="s">
        <v>1651</v>
      </c>
      <c r="P679"/>
    </row>
    <row r="680" spans="1:18" ht="52.8">
      <c r="A680" s="19">
        <v>571</v>
      </c>
      <c r="B680" s="20" t="s">
        <v>1652</v>
      </c>
      <c r="C680" s="21" t="s">
        <v>1653</v>
      </c>
      <c r="D680" s="20"/>
      <c r="E680" s="22" t="s">
        <v>1654</v>
      </c>
      <c r="P680"/>
    </row>
    <row r="681" spans="1:18" ht="52.8">
      <c r="A681" s="19">
        <v>572</v>
      </c>
      <c r="B681" s="20" t="s">
        <v>1655</v>
      </c>
      <c r="C681" s="21" t="s">
        <v>1656</v>
      </c>
      <c r="D681" s="20"/>
      <c r="E681" s="22"/>
      <c r="P681"/>
    </row>
    <row r="682" spans="1:18" ht="52.8">
      <c r="A682" s="19">
        <v>573</v>
      </c>
      <c r="B682" s="20" t="s">
        <v>1657</v>
      </c>
      <c r="C682" s="21" t="s">
        <v>1658</v>
      </c>
      <c r="D682" s="20"/>
      <c r="E682" s="22" t="s">
        <v>1659</v>
      </c>
      <c r="F682" s="91"/>
      <c r="G682" s="18"/>
      <c r="H682" s="18"/>
      <c r="I682" s="18"/>
      <c r="J682" s="18"/>
      <c r="K682" s="18"/>
      <c r="L682" s="18"/>
      <c r="M682" s="18"/>
      <c r="N682" s="18"/>
      <c r="O682" s="18"/>
      <c r="P682"/>
      <c r="Q682" s="18"/>
      <c r="R682" s="18"/>
    </row>
    <row r="683" spans="1:18" ht="26.4">
      <c r="A683" s="19">
        <v>574</v>
      </c>
      <c r="B683" s="20" t="s">
        <v>1660</v>
      </c>
      <c r="C683" s="21" t="s">
        <v>1661</v>
      </c>
      <c r="D683" s="20"/>
      <c r="E683" s="22" t="s">
        <v>1662</v>
      </c>
      <c r="F683" s="91"/>
      <c r="G683" s="18"/>
      <c r="H683" s="18"/>
      <c r="I683" s="18"/>
      <c r="J683" s="18"/>
      <c r="K683" s="18"/>
      <c r="L683" s="18"/>
      <c r="M683" s="18"/>
      <c r="N683" s="18"/>
      <c r="O683" s="18"/>
      <c r="P683"/>
      <c r="Q683" s="18"/>
      <c r="R683" s="18"/>
    </row>
    <row r="684" spans="1:18" ht="66">
      <c r="A684" s="19"/>
      <c r="B684" s="20" t="s">
        <v>2946</v>
      </c>
      <c r="C684" s="21" t="s">
        <v>2989</v>
      </c>
      <c r="D684" s="20"/>
      <c r="E684" s="22" t="s">
        <v>2990</v>
      </c>
      <c r="F684" s="91"/>
      <c r="G684" s="18"/>
      <c r="H684" s="18"/>
      <c r="I684" s="18"/>
      <c r="J684" s="18"/>
      <c r="K684" s="18"/>
      <c r="L684" s="18"/>
      <c r="M684" s="18"/>
      <c r="N684" s="18"/>
      <c r="O684" s="18"/>
      <c r="P684"/>
      <c r="Q684" s="18"/>
      <c r="R684" s="18"/>
    </row>
    <row r="685" spans="1:18" ht="92.4">
      <c r="A685" s="19">
        <v>575</v>
      </c>
      <c r="B685" s="20" t="s">
        <v>1663</v>
      </c>
      <c r="C685" s="169" t="s">
        <v>1664</v>
      </c>
      <c r="D685" s="169"/>
      <c r="E685" s="169"/>
      <c r="F685" s="136"/>
      <c r="G685" s="136"/>
      <c r="H685" s="136"/>
      <c r="I685" s="136"/>
      <c r="J685" s="136"/>
      <c r="K685" s="136"/>
      <c r="L685" s="136"/>
      <c r="M685" s="136"/>
      <c r="N685" s="136"/>
      <c r="O685" s="136"/>
      <c r="P685"/>
    </row>
    <row r="686" spans="1:18" ht="105.6">
      <c r="A686" s="19">
        <v>576</v>
      </c>
      <c r="B686" s="20" t="s">
        <v>1665</v>
      </c>
      <c r="C686" s="21" t="s">
        <v>2759</v>
      </c>
      <c r="D686" s="20"/>
      <c r="E686" s="22"/>
      <c r="P686"/>
    </row>
    <row r="687" spans="1:18" ht="66">
      <c r="A687" s="19">
        <v>577</v>
      </c>
      <c r="B687" s="20" t="s">
        <v>1666</v>
      </c>
      <c r="C687" s="21" t="s">
        <v>1667</v>
      </c>
      <c r="D687" s="20"/>
      <c r="E687" s="22"/>
      <c r="P687"/>
    </row>
    <row r="688" spans="1:18" ht="66">
      <c r="A688" s="19">
        <v>578</v>
      </c>
      <c r="B688" s="20" t="s">
        <v>1668</v>
      </c>
      <c r="C688" s="21" t="s">
        <v>1667</v>
      </c>
      <c r="D688" s="20"/>
      <c r="E688" s="22" t="s">
        <v>1669</v>
      </c>
      <c r="F688" s="91"/>
      <c r="G688" s="18"/>
      <c r="H688" s="18"/>
      <c r="I688" s="18"/>
      <c r="J688" s="18"/>
      <c r="K688" s="18"/>
      <c r="L688" s="18"/>
      <c r="M688" s="18"/>
      <c r="N688" s="18"/>
      <c r="O688" s="18"/>
      <c r="P688"/>
      <c r="Q688" s="18"/>
      <c r="R688" s="18"/>
    </row>
    <row r="689" spans="1:18" ht="26.4">
      <c r="A689" s="19">
        <v>579</v>
      </c>
      <c r="B689" s="20" t="s">
        <v>1670</v>
      </c>
      <c r="C689" s="21" t="s">
        <v>1671</v>
      </c>
      <c r="D689" s="20"/>
      <c r="E689" s="22" t="s">
        <v>1672</v>
      </c>
      <c r="P689"/>
    </row>
    <row r="690" spans="1:18" ht="26.4">
      <c r="A690" s="19">
        <v>580</v>
      </c>
      <c r="B690" s="20" t="s">
        <v>1673</v>
      </c>
      <c r="C690" s="21" t="s">
        <v>1674</v>
      </c>
      <c r="D690" s="20"/>
      <c r="E690" s="29" t="s">
        <v>1675</v>
      </c>
      <c r="F690" s="91"/>
      <c r="G690" s="18"/>
      <c r="H690" s="18"/>
      <c r="I690" s="18"/>
      <c r="J690" s="18"/>
      <c r="K690" s="18"/>
      <c r="L690" s="18"/>
      <c r="M690" s="18"/>
      <c r="N690" s="18"/>
      <c r="O690" s="18"/>
      <c r="P690"/>
      <c r="Q690" s="18"/>
      <c r="R690" s="18"/>
    </row>
    <row r="691" spans="1:18" ht="26.4">
      <c r="A691" s="19">
        <v>581</v>
      </c>
      <c r="B691" s="20" t="s">
        <v>1676</v>
      </c>
      <c r="C691" s="21" t="s">
        <v>1677</v>
      </c>
      <c r="D691" s="20"/>
      <c r="E691" s="22" t="s">
        <v>1678</v>
      </c>
      <c r="F691" s="91"/>
      <c r="G691" s="18"/>
      <c r="H691" s="18"/>
      <c r="I691" s="18"/>
      <c r="J691" s="18"/>
      <c r="K691" s="18"/>
      <c r="L691" s="18"/>
      <c r="M691" s="18"/>
      <c r="N691" s="18"/>
      <c r="O691" s="18"/>
      <c r="P691"/>
      <c r="Q691" s="18"/>
      <c r="R691" s="18"/>
    </row>
    <row r="692" spans="1:18" ht="26.4">
      <c r="A692" s="19"/>
      <c r="B692" s="20" t="s">
        <v>2641</v>
      </c>
      <c r="C692" s="21" t="s">
        <v>2642</v>
      </c>
      <c r="D692" s="20"/>
      <c r="E692" s="22"/>
      <c r="F692" s="91"/>
      <c r="G692" s="18"/>
      <c r="H692" s="18"/>
      <c r="I692" s="18"/>
      <c r="J692" s="18"/>
      <c r="K692" s="18"/>
      <c r="L692" s="18"/>
      <c r="M692" s="18"/>
      <c r="N692" s="18"/>
      <c r="O692" s="18"/>
      <c r="P692"/>
      <c r="Q692" s="18"/>
      <c r="R692" s="18"/>
    </row>
    <row r="693" spans="1:18" ht="66">
      <c r="A693" s="19">
        <v>582</v>
      </c>
      <c r="B693" s="20" t="s">
        <v>1679</v>
      </c>
      <c r="C693" s="21" t="s">
        <v>1680</v>
      </c>
      <c r="D693" s="20" t="s">
        <v>49</v>
      </c>
      <c r="E693" s="22" t="s">
        <v>1681</v>
      </c>
      <c r="P693"/>
    </row>
    <row r="694" spans="1:18" ht="52.8">
      <c r="A694" s="19">
        <v>583</v>
      </c>
      <c r="B694" s="20" t="s">
        <v>1682</v>
      </c>
      <c r="C694" s="21" t="s">
        <v>1683</v>
      </c>
      <c r="D694" s="20"/>
      <c r="E694" s="22" t="s">
        <v>1684</v>
      </c>
      <c r="P694"/>
    </row>
    <row r="695" spans="1:18" ht="171.6">
      <c r="A695" s="19">
        <v>584</v>
      </c>
      <c r="B695" s="20" t="s">
        <v>1685</v>
      </c>
      <c r="C695" s="21" t="s">
        <v>1686</v>
      </c>
      <c r="D695" s="20" t="s">
        <v>2954</v>
      </c>
      <c r="E695" s="22" t="s">
        <v>1687</v>
      </c>
      <c r="H695" s="1" t="s">
        <v>1688</v>
      </c>
      <c r="P695"/>
    </row>
    <row r="696" spans="1:18" ht="52.8">
      <c r="A696" s="19">
        <v>585</v>
      </c>
      <c r="B696" s="20" t="s">
        <v>1689</v>
      </c>
      <c r="C696" s="21" t="s">
        <v>1686</v>
      </c>
      <c r="D696" s="19" t="s">
        <v>1690</v>
      </c>
      <c r="E696" s="22" t="s">
        <v>1691</v>
      </c>
      <c r="H696" s="1" t="s">
        <v>1690</v>
      </c>
      <c r="P696"/>
    </row>
    <row r="697" spans="1:18" ht="66">
      <c r="A697" s="19">
        <v>586</v>
      </c>
      <c r="B697" s="159" t="s">
        <v>1692</v>
      </c>
      <c r="C697" s="21" t="s">
        <v>1693</v>
      </c>
      <c r="D697" s="20"/>
      <c r="E697" s="22" t="s">
        <v>1694</v>
      </c>
      <c r="P697"/>
    </row>
    <row r="698" spans="1:18" ht="14.4">
      <c r="A698" s="19"/>
      <c r="B698" s="159"/>
      <c r="C698" s="21"/>
      <c r="D698" s="20"/>
      <c r="E698" s="22"/>
      <c r="P698"/>
    </row>
    <row r="699" spans="1:18" ht="39.6">
      <c r="A699" s="19"/>
      <c r="B699" s="159" t="s">
        <v>2879</v>
      </c>
      <c r="C699" s="21" t="s">
        <v>2880</v>
      </c>
      <c r="D699" s="20"/>
      <c r="E699" s="22" t="s">
        <v>2881</v>
      </c>
      <c r="P699"/>
    </row>
    <row r="700" spans="1:18" ht="52.8">
      <c r="A700" s="19"/>
      <c r="B700" s="159" t="s">
        <v>2660</v>
      </c>
      <c r="C700" s="21" t="s">
        <v>2661</v>
      </c>
      <c r="D700" s="20"/>
      <c r="E700" s="22"/>
      <c r="P700"/>
    </row>
    <row r="701" spans="1:18" ht="52.8">
      <c r="A701" s="19">
        <v>587</v>
      </c>
      <c r="B701" s="20" t="s">
        <v>1695</v>
      </c>
      <c r="C701" s="21" t="s">
        <v>1696</v>
      </c>
      <c r="D701" s="20"/>
      <c r="E701" s="22"/>
      <c r="P701"/>
    </row>
    <row r="702" spans="1:18" ht="39.6">
      <c r="A702" s="19">
        <v>588</v>
      </c>
      <c r="B702" s="20" t="s">
        <v>1697</v>
      </c>
      <c r="C702" s="21" t="s">
        <v>1115</v>
      </c>
      <c r="D702" s="20"/>
      <c r="E702" s="22" t="s">
        <v>1698</v>
      </c>
      <c r="F702" s="41"/>
      <c r="G702" s="18"/>
      <c r="H702" s="18"/>
      <c r="I702" s="18"/>
      <c r="J702" s="18"/>
      <c r="K702" s="18"/>
      <c r="L702" s="18"/>
      <c r="M702" s="18"/>
      <c r="N702" s="18"/>
      <c r="O702" s="18"/>
      <c r="P702"/>
      <c r="Q702" s="18"/>
      <c r="R702" s="18"/>
    </row>
    <row r="703" spans="1:18" ht="92.4">
      <c r="A703" s="19">
        <v>589</v>
      </c>
      <c r="B703" s="20" t="s">
        <v>1699</v>
      </c>
      <c r="C703" s="21" t="s">
        <v>1700</v>
      </c>
      <c r="D703" s="20" t="s">
        <v>1701</v>
      </c>
      <c r="E703" s="22" t="s">
        <v>1702</v>
      </c>
      <c r="P703"/>
    </row>
    <row r="704" spans="1:18" ht="52.8">
      <c r="A704" s="19">
        <v>590</v>
      </c>
      <c r="B704" s="20" t="s">
        <v>1703</v>
      </c>
      <c r="C704" s="21" t="s">
        <v>1704</v>
      </c>
      <c r="D704" s="20"/>
      <c r="E704" s="22" t="s">
        <v>1705</v>
      </c>
      <c r="P704"/>
    </row>
    <row r="705" spans="1:18" ht="52.8">
      <c r="A705" s="19">
        <v>591</v>
      </c>
      <c r="B705" s="116" t="s">
        <v>1706</v>
      </c>
      <c r="C705" s="115" t="s">
        <v>1707</v>
      </c>
      <c r="D705" s="116"/>
      <c r="E705" s="114" t="s">
        <v>1708</v>
      </c>
      <c r="P705"/>
    </row>
    <row r="706" spans="1:18" ht="52.8">
      <c r="A706" s="19">
        <v>592</v>
      </c>
      <c r="B706" s="20" t="s">
        <v>1709</v>
      </c>
      <c r="C706" s="21" t="s">
        <v>1710</v>
      </c>
      <c r="D706" s="20" t="s">
        <v>188</v>
      </c>
      <c r="E706" s="22" t="s">
        <v>1711</v>
      </c>
      <c r="I706" s="1" t="s">
        <v>1712</v>
      </c>
      <c r="P706"/>
    </row>
    <row r="707" spans="1:18" ht="79.2">
      <c r="A707" s="19"/>
      <c r="B707" s="20" t="s">
        <v>2626</v>
      </c>
      <c r="C707" s="21" t="s">
        <v>2627</v>
      </c>
      <c r="D707" s="20" t="s">
        <v>3002</v>
      </c>
      <c r="E707" s="22"/>
      <c r="P707"/>
    </row>
    <row r="708" spans="1:18" ht="52.8">
      <c r="A708" s="19">
        <v>593</v>
      </c>
      <c r="B708" s="20" t="s">
        <v>1713</v>
      </c>
      <c r="C708" s="21" t="s">
        <v>1714</v>
      </c>
      <c r="D708" s="20"/>
      <c r="E708" s="22" t="s">
        <v>1715</v>
      </c>
      <c r="P708"/>
    </row>
    <row r="709" spans="1:18" ht="66">
      <c r="A709" s="19">
        <v>594</v>
      </c>
      <c r="B709" s="20" t="s">
        <v>1716</v>
      </c>
      <c r="C709" s="21" t="s">
        <v>1717</v>
      </c>
      <c r="D709" s="20"/>
      <c r="E709" s="22"/>
      <c r="P709"/>
    </row>
    <row r="710" spans="1:18" ht="79.2">
      <c r="A710" s="19">
        <v>595</v>
      </c>
      <c r="B710" s="170" t="s">
        <v>1718</v>
      </c>
      <c r="C710" s="21" t="s">
        <v>1719</v>
      </c>
      <c r="D710" s="20"/>
      <c r="E710" s="22"/>
      <c r="P710"/>
    </row>
    <row r="711" spans="1:18" ht="119.4">
      <c r="A711" s="19">
        <v>596</v>
      </c>
      <c r="B711" s="171" t="s">
        <v>1720</v>
      </c>
      <c r="C711" s="172" t="s">
        <v>1721</v>
      </c>
      <c r="D711" s="173"/>
      <c r="E711" s="174" t="s">
        <v>1722</v>
      </c>
      <c r="F711" s="91"/>
      <c r="G711" s="18"/>
      <c r="H711" s="18"/>
      <c r="I711" s="18"/>
      <c r="J711" s="18"/>
      <c r="K711" s="18"/>
      <c r="L711" s="18"/>
      <c r="M711" s="18"/>
      <c r="N711" s="18"/>
      <c r="O711" s="18"/>
      <c r="P711"/>
      <c r="Q711" s="18"/>
      <c r="R711" s="18"/>
    </row>
    <row r="712" spans="1:18" ht="39.6">
      <c r="A712" s="19">
        <v>597</v>
      </c>
      <c r="B712" s="20" t="s">
        <v>1723</v>
      </c>
      <c r="C712" s="21" t="s">
        <v>1724</v>
      </c>
      <c r="D712" s="20"/>
      <c r="E712" s="22" t="s">
        <v>1725</v>
      </c>
      <c r="P712"/>
    </row>
    <row r="713" spans="1:18" ht="92.4">
      <c r="A713" s="19">
        <v>598</v>
      </c>
      <c r="B713" s="159" t="s">
        <v>2587</v>
      </c>
      <c r="C713" s="21" t="s">
        <v>1726</v>
      </c>
      <c r="D713" s="20"/>
      <c r="E713" s="22" t="s">
        <v>1727</v>
      </c>
      <c r="O713" s="132"/>
      <c r="P713"/>
    </row>
    <row r="714" spans="1:18" ht="52.8">
      <c r="A714" s="19">
        <v>599</v>
      </c>
      <c r="B714" s="20" t="s">
        <v>1728</v>
      </c>
      <c r="C714" s="21" t="s">
        <v>1729</v>
      </c>
      <c r="D714" s="20"/>
      <c r="E714" s="22"/>
      <c r="P714"/>
    </row>
    <row r="715" spans="1:18" ht="52.8">
      <c r="A715" s="19">
        <v>600</v>
      </c>
      <c r="B715" s="20" t="s">
        <v>1730</v>
      </c>
      <c r="C715" s="21" t="s">
        <v>2709</v>
      </c>
      <c r="D715" s="20" t="s">
        <v>3016</v>
      </c>
      <c r="E715" s="22" t="s">
        <v>1731</v>
      </c>
      <c r="F715" s="91"/>
      <c r="G715" s="18"/>
      <c r="H715" s="18"/>
      <c r="I715" s="18"/>
      <c r="J715" s="18"/>
      <c r="K715" s="18"/>
      <c r="L715" s="18"/>
      <c r="M715" s="18"/>
      <c r="N715" s="18"/>
      <c r="O715" s="18"/>
      <c r="P715"/>
      <c r="Q715" s="18"/>
      <c r="R715" s="18"/>
    </row>
    <row r="716" spans="1:18" ht="66">
      <c r="A716" s="19">
        <v>601</v>
      </c>
      <c r="B716" s="20" t="s">
        <v>1732</v>
      </c>
      <c r="C716" s="21" t="s">
        <v>1733</v>
      </c>
      <c r="D716" s="20"/>
      <c r="E716" s="22"/>
      <c r="F716" s="91"/>
      <c r="G716" s="18"/>
      <c r="H716" s="18"/>
      <c r="I716" s="18"/>
      <c r="J716" s="18"/>
      <c r="K716" s="18"/>
      <c r="L716" s="18"/>
      <c r="M716" s="18"/>
      <c r="N716" s="18"/>
      <c r="O716" s="18"/>
      <c r="P716"/>
      <c r="Q716" s="18"/>
      <c r="R716" s="18"/>
    </row>
    <row r="717" spans="1:18" ht="79.2">
      <c r="A717" s="19">
        <v>602</v>
      </c>
      <c r="B717" s="20" t="s">
        <v>1734</v>
      </c>
      <c r="C717" s="21" t="s">
        <v>1735</v>
      </c>
      <c r="D717" s="20"/>
      <c r="E717" s="22" t="s">
        <v>1736</v>
      </c>
      <c r="F717" s="91"/>
      <c r="G717" s="18"/>
      <c r="H717" s="18"/>
      <c r="I717" s="18"/>
      <c r="J717" s="18"/>
      <c r="K717" s="18"/>
      <c r="L717" s="18"/>
      <c r="M717" s="18"/>
      <c r="N717" s="18"/>
      <c r="O717" s="18"/>
      <c r="P717"/>
      <c r="Q717" s="18"/>
      <c r="R717" s="18"/>
    </row>
    <row r="718" spans="1:18" ht="39.6">
      <c r="A718" s="19">
        <v>603</v>
      </c>
      <c r="B718" s="20" t="s">
        <v>1737</v>
      </c>
      <c r="C718" s="21" t="s">
        <v>1738</v>
      </c>
      <c r="D718" s="20"/>
      <c r="E718" s="22" t="s">
        <v>1739</v>
      </c>
      <c r="P718"/>
    </row>
    <row r="719" spans="1:18" ht="39.6">
      <c r="A719" s="19">
        <v>604</v>
      </c>
      <c r="B719" s="20" t="s">
        <v>1740</v>
      </c>
      <c r="C719" s="21" t="s">
        <v>1741</v>
      </c>
      <c r="D719" s="20" t="s">
        <v>49</v>
      </c>
      <c r="E719" s="22" t="s">
        <v>1742</v>
      </c>
      <c r="P719"/>
    </row>
    <row r="720" spans="1:18" ht="39.6">
      <c r="A720" s="19">
        <v>605</v>
      </c>
      <c r="B720" s="20" t="s">
        <v>1743</v>
      </c>
      <c r="C720" s="21" t="s">
        <v>1744</v>
      </c>
      <c r="D720" s="20"/>
      <c r="E720" s="22" t="s">
        <v>1745</v>
      </c>
      <c r="P720"/>
    </row>
    <row r="721" spans="1:18" ht="52.8">
      <c r="A721" s="19">
        <v>606</v>
      </c>
      <c r="B721" s="20" t="s">
        <v>1746</v>
      </c>
      <c r="C721" s="21" t="s">
        <v>1747</v>
      </c>
      <c r="D721" s="20"/>
      <c r="E721" s="22" t="s">
        <v>1748</v>
      </c>
      <c r="P721"/>
    </row>
    <row r="722" spans="1:18" ht="39.6">
      <c r="A722" s="19">
        <v>607</v>
      </c>
      <c r="B722" s="20" t="s">
        <v>1749</v>
      </c>
      <c r="C722" s="81" t="s">
        <v>1514</v>
      </c>
      <c r="D722" s="20"/>
      <c r="E722" s="22" t="s">
        <v>1750</v>
      </c>
      <c r="P722"/>
    </row>
    <row r="723" spans="1:18" ht="26.4">
      <c r="A723" s="19">
        <v>608</v>
      </c>
      <c r="B723" s="20" t="s">
        <v>2872</v>
      </c>
      <c r="C723" s="21" t="s">
        <v>1751</v>
      </c>
      <c r="D723" s="20"/>
      <c r="E723" s="22" t="s">
        <v>1752</v>
      </c>
      <c r="F723" s="91"/>
      <c r="G723" s="18"/>
      <c r="H723" s="18"/>
      <c r="I723" s="18"/>
      <c r="J723" s="18"/>
      <c r="K723" s="18"/>
      <c r="L723" s="18"/>
      <c r="M723" s="18"/>
      <c r="N723" s="18"/>
      <c r="O723" s="18"/>
      <c r="P723"/>
      <c r="Q723" s="18"/>
      <c r="R723" s="18"/>
    </row>
    <row r="724" spans="1:18" ht="52.8">
      <c r="A724" s="19">
        <v>609</v>
      </c>
      <c r="B724" s="20" t="s">
        <v>1753</v>
      </c>
      <c r="C724" s="21" t="s">
        <v>1754</v>
      </c>
      <c r="D724" s="20"/>
      <c r="E724" s="175" t="s">
        <v>1755</v>
      </c>
      <c r="P724"/>
    </row>
    <row r="725" spans="1:18" ht="39.6">
      <c r="A725" s="19">
        <v>610</v>
      </c>
      <c r="B725" s="20" t="s">
        <v>1756</v>
      </c>
      <c r="C725" s="21" t="s">
        <v>1757</v>
      </c>
      <c r="D725" s="20"/>
      <c r="E725" s="22" t="s">
        <v>1758</v>
      </c>
      <c r="F725" s="91"/>
      <c r="G725" s="18"/>
      <c r="H725" s="18"/>
      <c r="I725" s="18"/>
      <c r="J725" s="18"/>
      <c r="K725" s="18"/>
      <c r="L725" s="18"/>
      <c r="M725" s="18"/>
      <c r="N725" s="18"/>
      <c r="O725" s="18"/>
      <c r="P725"/>
      <c r="Q725" s="18"/>
      <c r="R725" s="18"/>
    </row>
    <row r="726" spans="1:18" ht="39.6">
      <c r="A726" s="19">
        <v>611</v>
      </c>
      <c r="B726" s="20" t="s">
        <v>1759</v>
      </c>
      <c r="C726" s="21" t="s">
        <v>1760</v>
      </c>
      <c r="D726" s="20"/>
      <c r="E726" s="22" t="s">
        <v>1761</v>
      </c>
      <c r="P726"/>
    </row>
    <row r="727" spans="1:18" ht="39.6">
      <c r="A727" s="19">
        <v>612</v>
      </c>
      <c r="B727" s="20" t="s">
        <v>1762</v>
      </c>
      <c r="C727" s="21" t="s">
        <v>1763</v>
      </c>
      <c r="D727" s="20" t="s">
        <v>518</v>
      </c>
      <c r="E727" s="22" t="s">
        <v>1764</v>
      </c>
      <c r="P727"/>
    </row>
    <row r="728" spans="1:18" ht="52.8">
      <c r="A728" s="19">
        <v>613</v>
      </c>
      <c r="B728" s="20" t="s">
        <v>1765</v>
      </c>
      <c r="C728" s="21" t="s">
        <v>1766</v>
      </c>
      <c r="D728" s="20" t="s">
        <v>818</v>
      </c>
      <c r="E728" s="22" t="s">
        <v>1767</v>
      </c>
      <c r="P728"/>
    </row>
    <row r="729" spans="1:18" ht="52.8">
      <c r="A729" s="19"/>
      <c r="B729" s="20" t="s">
        <v>3006</v>
      </c>
      <c r="C729" s="21" t="s">
        <v>3007</v>
      </c>
      <c r="D729" s="20"/>
      <c r="E729" s="22" t="s">
        <v>3008</v>
      </c>
      <c r="P729"/>
    </row>
    <row r="730" spans="1:18" ht="57">
      <c r="A730" s="19">
        <v>614</v>
      </c>
      <c r="B730" s="176" t="s">
        <v>1768</v>
      </c>
      <c r="C730" s="177" t="s">
        <v>1769</v>
      </c>
      <c r="D730" s="20" t="s">
        <v>49</v>
      </c>
      <c r="E730" s="22" t="s">
        <v>1770</v>
      </c>
      <c r="P730"/>
    </row>
    <row r="731" spans="1:18" ht="79.2">
      <c r="A731" s="19">
        <v>615</v>
      </c>
      <c r="B731" s="20" t="s">
        <v>1771</v>
      </c>
      <c r="C731" s="178" t="s">
        <v>2595</v>
      </c>
      <c r="D731" s="20" t="s">
        <v>1772</v>
      </c>
      <c r="E731" s="22" t="s">
        <v>1773</v>
      </c>
      <c r="F731" s="131" t="s">
        <v>151</v>
      </c>
      <c r="G731" s="18"/>
      <c r="H731" s="18"/>
      <c r="I731" s="18"/>
      <c r="J731" s="18"/>
      <c r="K731" s="18"/>
      <c r="L731" s="18"/>
      <c r="M731" s="18"/>
      <c r="N731" s="18"/>
      <c r="O731" s="18"/>
      <c r="P731"/>
      <c r="Q731" s="18"/>
      <c r="R731" s="18"/>
    </row>
    <row r="732" spans="1:18" ht="26.4">
      <c r="A732" s="19">
        <v>616</v>
      </c>
      <c r="B732" s="20" t="s">
        <v>1774</v>
      </c>
      <c r="C732" s="21" t="s">
        <v>1775</v>
      </c>
      <c r="D732" s="20"/>
      <c r="E732" s="22" t="s">
        <v>1776</v>
      </c>
      <c r="P732"/>
    </row>
    <row r="733" spans="1:18" ht="105.6">
      <c r="A733" s="19">
        <v>617</v>
      </c>
      <c r="B733" s="20" t="s">
        <v>1777</v>
      </c>
      <c r="C733" s="21" t="s">
        <v>1778</v>
      </c>
      <c r="D733" s="20" t="s">
        <v>2963</v>
      </c>
      <c r="E733" s="22"/>
      <c r="F733" s="91"/>
      <c r="G733" s="18"/>
      <c r="H733" s="18"/>
      <c r="I733" s="18"/>
      <c r="J733" s="18"/>
      <c r="K733" s="18"/>
      <c r="L733" s="18"/>
      <c r="M733" s="18"/>
      <c r="N733" s="18"/>
      <c r="O733" s="18"/>
      <c r="P733"/>
      <c r="Q733" s="18"/>
      <c r="R733" s="18"/>
    </row>
    <row r="734" spans="1:18" ht="26.4">
      <c r="A734" s="19">
        <v>618</v>
      </c>
      <c r="B734" s="20" t="s">
        <v>1779</v>
      </c>
      <c r="C734" s="21" t="s">
        <v>1780</v>
      </c>
      <c r="D734" s="20" t="s">
        <v>49</v>
      </c>
      <c r="E734" s="22" t="s">
        <v>1781</v>
      </c>
      <c r="P734"/>
    </row>
    <row r="735" spans="1:18" ht="52.8">
      <c r="A735" s="19">
        <v>619</v>
      </c>
      <c r="B735" s="20" t="s">
        <v>1782</v>
      </c>
      <c r="C735" s="21" t="s">
        <v>1783</v>
      </c>
      <c r="D735" s="20"/>
      <c r="E735" s="29" t="s">
        <v>1784</v>
      </c>
      <c r="F735" s="103"/>
      <c r="G735" s="18"/>
      <c r="H735" s="18"/>
      <c r="I735" s="18"/>
      <c r="J735" s="18"/>
      <c r="K735" s="18"/>
      <c r="L735" s="18"/>
      <c r="M735" s="18"/>
      <c r="N735" s="18"/>
      <c r="O735" s="18"/>
      <c r="P735"/>
      <c r="Q735" s="18"/>
      <c r="R735" s="18"/>
    </row>
    <row r="736" spans="1:18" ht="118.8">
      <c r="A736" s="19">
        <v>620</v>
      </c>
      <c r="B736" s="20" t="s">
        <v>1785</v>
      </c>
      <c r="C736" s="21" t="s">
        <v>1786</v>
      </c>
      <c r="D736" s="20" t="s">
        <v>2949</v>
      </c>
      <c r="E736" s="22" t="s">
        <v>1787</v>
      </c>
      <c r="P736"/>
    </row>
    <row r="737" spans="1:18" ht="79.2">
      <c r="A737" s="19">
        <v>621</v>
      </c>
      <c r="B737" s="20" t="s">
        <v>1788</v>
      </c>
      <c r="C737" s="21" t="s">
        <v>1789</v>
      </c>
      <c r="D737" s="20" t="s">
        <v>1790</v>
      </c>
      <c r="E737" s="22" t="s">
        <v>1791</v>
      </c>
      <c r="P737"/>
    </row>
    <row r="738" spans="1:18" ht="118.8">
      <c r="A738" s="19">
        <v>622</v>
      </c>
      <c r="B738" s="20" t="s">
        <v>1792</v>
      </c>
      <c r="C738" s="21" t="s">
        <v>1793</v>
      </c>
      <c r="D738" s="20" t="s">
        <v>2949</v>
      </c>
      <c r="E738" s="22" t="s">
        <v>1794</v>
      </c>
      <c r="P738"/>
    </row>
    <row r="739" spans="1:18" ht="118.8">
      <c r="A739" s="19">
        <v>623</v>
      </c>
      <c r="B739" s="20" t="s">
        <v>1795</v>
      </c>
      <c r="C739" s="21" t="s">
        <v>1789</v>
      </c>
      <c r="D739" s="20" t="s">
        <v>2949</v>
      </c>
      <c r="E739" s="22"/>
      <c r="P739"/>
    </row>
    <row r="740" spans="1:18" ht="118.8">
      <c r="A740" s="19">
        <v>624</v>
      </c>
      <c r="B740" s="20" t="s">
        <v>1796</v>
      </c>
      <c r="C740" s="21" t="s">
        <v>1797</v>
      </c>
      <c r="D740" s="20"/>
      <c r="E740" s="22" t="s">
        <v>1798</v>
      </c>
      <c r="P740"/>
    </row>
    <row r="741" spans="1:18" ht="118.8">
      <c r="A741" s="19">
        <v>625</v>
      </c>
      <c r="B741" s="20" t="s">
        <v>1799</v>
      </c>
      <c r="C741" s="21" t="s">
        <v>1797</v>
      </c>
      <c r="D741" s="20"/>
      <c r="E741" s="22" t="s">
        <v>1800</v>
      </c>
      <c r="P741"/>
    </row>
    <row r="742" spans="1:18" ht="66">
      <c r="A742" s="19">
        <v>626</v>
      </c>
      <c r="B742" s="20" t="s">
        <v>1801</v>
      </c>
      <c r="C742" s="21" t="s">
        <v>1802</v>
      </c>
      <c r="D742" s="20"/>
      <c r="E742" s="179" t="s">
        <v>1803</v>
      </c>
      <c r="P742"/>
    </row>
    <row r="743" spans="1:18" ht="52.8">
      <c r="A743" s="19">
        <v>627</v>
      </c>
      <c r="B743" s="20" t="s">
        <v>1804</v>
      </c>
      <c r="C743" s="21" t="s">
        <v>1805</v>
      </c>
      <c r="D743" s="20"/>
      <c r="E743" s="22" t="s">
        <v>1806</v>
      </c>
      <c r="F743" s="91">
        <v>313580199</v>
      </c>
      <c r="G743" s="18"/>
      <c r="H743" s="18"/>
      <c r="I743" s="18"/>
      <c r="J743" s="18"/>
      <c r="K743" s="18"/>
      <c r="L743" s="18"/>
      <c r="M743" s="18"/>
      <c r="N743" s="18"/>
      <c r="O743" s="18"/>
      <c r="P743"/>
      <c r="Q743" s="18"/>
      <c r="R743" s="18"/>
    </row>
    <row r="744" spans="1:18" ht="26.4">
      <c r="A744" s="19">
        <v>628</v>
      </c>
      <c r="B744" s="20" t="s">
        <v>2640</v>
      </c>
      <c r="C744" s="21" t="s">
        <v>1807</v>
      </c>
      <c r="D744" s="20"/>
      <c r="E744" s="22" t="s">
        <v>1808</v>
      </c>
      <c r="P744"/>
    </row>
    <row r="745" spans="1:18" ht="39.6">
      <c r="A745" s="19">
        <v>629</v>
      </c>
      <c r="B745" s="20" t="s">
        <v>2667</v>
      </c>
      <c r="C745" s="21" t="s">
        <v>2668</v>
      </c>
      <c r="D745" s="20"/>
      <c r="E745" s="22"/>
      <c r="P745"/>
    </row>
    <row r="746" spans="1:18" ht="26.4">
      <c r="A746" s="19">
        <v>630</v>
      </c>
      <c r="B746" s="20" t="s">
        <v>1809</v>
      </c>
      <c r="C746" s="21" t="s">
        <v>1810</v>
      </c>
      <c r="D746" s="20" t="s">
        <v>1811</v>
      </c>
      <c r="E746" s="22" t="s">
        <v>1812</v>
      </c>
      <c r="F746" s="91"/>
      <c r="G746" s="18"/>
      <c r="H746" s="18"/>
      <c r="I746" s="18"/>
      <c r="J746" s="18"/>
      <c r="K746" s="18"/>
      <c r="L746" s="18"/>
      <c r="M746" s="18"/>
      <c r="N746" s="18"/>
      <c r="O746" s="18"/>
      <c r="P746"/>
      <c r="Q746" s="18"/>
      <c r="R746" s="18"/>
    </row>
    <row r="747" spans="1:18" ht="39.6">
      <c r="A747" s="19">
        <v>631</v>
      </c>
      <c r="B747" s="20" t="s">
        <v>1813</v>
      </c>
      <c r="C747" s="21" t="s">
        <v>1814</v>
      </c>
      <c r="D747" s="20"/>
      <c r="E747" s="22"/>
      <c r="P747"/>
    </row>
    <row r="748" spans="1:18" ht="39.6">
      <c r="A748" s="19">
        <v>632</v>
      </c>
      <c r="B748" s="20" t="s">
        <v>1815</v>
      </c>
      <c r="C748" s="21" t="s">
        <v>1816</v>
      </c>
      <c r="D748" s="20"/>
      <c r="E748" s="22" t="s">
        <v>1817</v>
      </c>
      <c r="P748"/>
    </row>
    <row r="749" spans="1:18" ht="39.6">
      <c r="A749" s="19"/>
      <c r="B749" s="20" t="s">
        <v>2905</v>
      </c>
      <c r="C749" s="21" t="s">
        <v>2812</v>
      </c>
      <c r="D749" s="20"/>
      <c r="E749" s="22" t="s">
        <v>2813</v>
      </c>
      <c r="P749"/>
    </row>
    <row r="750" spans="1:18" ht="52.8">
      <c r="A750" s="19">
        <v>633</v>
      </c>
      <c r="B750" s="20" t="s">
        <v>1818</v>
      </c>
      <c r="C750" s="21" t="s">
        <v>1819</v>
      </c>
      <c r="D750" s="20"/>
      <c r="E750" s="22" t="s">
        <v>1820</v>
      </c>
      <c r="F750" s="91"/>
      <c r="G750" s="18"/>
      <c r="H750" s="18"/>
      <c r="I750" s="18"/>
      <c r="J750" s="18"/>
      <c r="K750" s="18"/>
      <c r="L750" s="18"/>
      <c r="M750" s="18"/>
      <c r="N750" s="18"/>
      <c r="O750" s="18"/>
      <c r="P750"/>
      <c r="Q750" s="18"/>
      <c r="R750" s="18"/>
    </row>
    <row r="751" spans="1:18" ht="26.4">
      <c r="A751" s="19">
        <v>634</v>
      </c>
      <c r="B751" s="20" t="s">
        <v>1821</v>
      </c>
      <c r="C751" s="21" t="s">
        <v>1822</v>
      </c>
      <c r="D751" s="20"/>
      <c r="E751" s="22" t="s">
        <v>1823</v>
      </c>
      <c r="P751"/>
    </row>
    <row r="752" spans="1:18" ht="26.4">
      <c r="A752" s="19">
        <v>635</v>
      </c>
      <c r="B752" s="20" t="s">
        <v>1824</v>
      </c>
      <c r="C752" s="21" t="s">
        <v>2681</v>
      </c>
      <c r="D752" s="20"/>
      <c r="E752" s="22" t="s">
        <v>1825</v>
      </c>
      <c r="P752"/>
    </row>
    <row r="753" spans="1:18" ht="52.8">
      <c r="A753" s="19">
        <v>636</v>
      </c>
      <c r="B753" s="20" t="s">
        <v>1826</v>
      </c>
      <c r="C753" s="21" t="s">
        <v>1827</v>
      </c>
      <c r="D753" s="20"/>
      <c r="E753" s="22" t="s">
        <v>1828</v>
      </c>
      <c r="P753"/>
    </row>
    <row r="754" spans="1:18" ht="39.6">
      <c r="A754" s="19">
        <v>637</v>
      </c>
      <c r="B754" s="20" t="s">
        <v>1829</v>
      </c>
      <c r="C754" s="21" t="s">
        <v>1830</v>
      </c>
      <c r="D754" s="20"/>
      <c r="E754" s="22" t="s">
        <v>1831</v>
      </c>
      <c r="P754"/>
    </row>
    <row r="755" spans="1:18" ht="52.8">
      <c r="A755" s="19">
        <v>638</v>
      </c>
      <c r="B755" s="20" t="s">
        <v>1832</v>
      </c>
      <c r="C755" s="21" t="s">
        <v>1833</v>
      </c>
      <c r="D755" s="20"/>
      <c r="E755" s="22" t="s">
        <v>1834</v>
      </c>
      <c r="P755"/>
    </row>
    <row r="756" spans="1:18" ht="26.4">
      <c r="A756" s="19">
        <v>639</v>
      </c>
      <c r="B756" s="20" t="s">
        <v>1835</v>
      </c>
      <c r="C756" s="21" t="s">
        <v>1836</v>
      </c>
      <c r="D756" s="20"/>
      <c r="E756" s="22" t="s">
        <v>1837</v>
      </c>
      <c r="P756"/>
    </row>
    <row r="757" spans="1:18" ht="92.4">
      <c r="A757" s="19">
        <v>640</v>
      </c>
      <c r="B757" s="20" t="s">
        <v>1838</v>
      </c>
      <c r="C757" s="21" t="s">
        <v>1839</v>
      </c>
      <c r="D757" s="20"/>
      <c r="E757" s="22" t="s">
        <v>1834</v>
      </c>
      <c r="P757"/>
    </row>
    <row r="758" spans="1:18" ht="52.8">
      <c r="A758" s="19">
        <v>641</v>
      </c>
      <c r="B758" s="20" t="s">
        <v>1840</v>
      </c>
      <c r="C758" s="21" t="s">
        <v>1833</v>
      </c>
      <c r="D758" s="20" t="s">
        <v>1841</v>
      </c>
      <c r="E758" s="75" t="s">
        <v>1842</v>
      </c>
      <c r="P758"/>
    </row>
    <row r="759" spans="1:18" ht="52.8">
      <c r="A759" s="19">
        <v>642</v>
      </c>
      <c r="B759" s="20" t="s">
        <v>1843</v>
      </c>
      <c r="C759" s="21" t="s">
        <v>1833</v>
      </c>
      <c r="D759" s="20"/>
      <c r="E759" s="180" t="s">
        <v>1844</v>
      </c>
      <c r="P759"/>
    </row>
    <row r="760" spans="1:18" ht="26.4">
      <c r="A760" s="19">
        <v>643</v>
      </c>
      <c r="B760" s="20" t="s">
        <v>1845</v>
      </c>
      <c r="C760" s="21" t="s">
        <v>1846</v>
      </c>
      <c r="D760" s="20"/>
      <c r="E760" s="180" t="s">
        <v>1847</v>
      </c>
      <c r="P760"/>
    </row>
    <row r="761" spans="1:18" ht="52.8">
      <c r="A761" s="19">
        <v>644</v>
      </c>
      <c r="B761" s="20" t="s">
        <v>1848</v>
      </c>
      <c r="C761" s="21" t="s">
        <v>1833</v>
      </c>
      <c r="D761" s="20"/>
      <c r="E761" s="22" t="s">
        <v>1834</v>
      </c>
      <c r="P761"/>
    </row>
    <row r="762" spans="1:18" ht="79.2">
      <c r="A762" s="19">
        <v>645</v>
      </c>
      <c r="B762" s="20" t="s">
        <v>1849</v>
      </c>
      <c r="C762" s="21" t="s">
        <v>1850</v>
      </c>
      <c r="D762" s="20"/>
      <c r="E762" s="22" t="s">
        <v>1851</v>
      </c>
      <c r="P762"/>
    </row>
    <row r="763" spans="1:18" ht="26.4">
      <c r="A763" s="19">
        <v>646</v>
      </c>
      <c r="B763" s="20" t="s">
        <v>1852</v>
      </c>
      <c r="C763" s="21" t="s">
        <v>1846</v>
      </c>
      <c r="D763" s="20"/>
      <c r="E763" s="22" t="s">
        <v>1853</v>
      </c>
      <c r="P763"/>
    </row>
    <row r="764" spans="1:18" ht="26.4">
      <c r="A764" s="19">
        <v>647</v>
      </c>
      <c r="B764" s="20" t="s">
        <v>1854</v>
      </c>
      <c r="C764" s="21" t="s">
        <v>1836</v>
      </c>
      <c r="D764" s="20"/>
      <c r="E764" s="22" t="s">
        <v>1855</v>
      </c>
      <c r="P764"/>
    </row>
    <row r="765" spans="1:18" ht="26.4">
      <c r="A765" s="19">
        <v>648</v>
      </c>
      <c r="B765" s="20" t="s">
        <v>1856</v>
      </c>
      <c r="C765" s="21" t="s">
        <v>1836</v>
      </c>
      <c r="D765" s="20" t="s">
        <v>1841</v>
      </c>
      <c r="E765" s="22" t="s">
        <v>1857</v>
      </c>
      <c r="P765"/>
    </row>
    <row r="766" spans="1:18" ht="52.8">
      <c r="A766" s="19">
        <v>649</v>
      </c>
      <c r="B766" s="20" t="s">
        <v>1858</v>
      </c>
      <c r="C766" s="21" t="s">
        <v>1859</v>
      </c>
      <c r="D766" s="20"/>
      <c r="E766" s="22" t="s">
        <v>1860</v>
      </c>
      <c r="F766" s="91"/>
      <c r="G766" s="18"/>
      <c r="H766" s="18"/>
      <c r="I766" s="18"/>
      <c r="J766" s="18"/>
      <c r="K766" s="18"/>
      <c r="L766" s="18"/>
      <c r="M766" s="18"/>
      <c r="N766" s="18"/>
      <c r="O766" s="18"/>
      <c r="P766"/>
      <c r="Q766" s="18"/>
      <c r="R766" s="18"/>
    </row>
    <row r="767" spans="1:18" ht="66">
      <c r="A767" s="19">
        <v>650</v>
      </c>
      <c r="B767" s="20" t="s">
        <v>1861</v>
      </c>
      <c r="C767" s="21" t="s">
        <v>1836</v>
      </c>
      <c r="D767" s="54" t="s">
        <v>1862</v>
      </c>
      <c r="E767" s="22" t="s">
        <v>1863</v>
      </c>
      <c r="F767" s="103" t="s">
        <v>151</v>
      </c>
      <c r="G767" s="18"/>
      <c r="H767" s="18"/>
      <c r="I767" s="18"/>
      <c r="J767" s="18"/>
      <c r="K767" s="18"/>
      <c r="L767" s="18"/>
      <c r="M767" s="18"/>
      <c r="N767" s="18"/>
      <c r="O767" s="18"/>
      <c r="P767"/>
      <c r="Q767" s="18"/>
      <c r="R767" s="18"/>
    </row>
    <row r="768" spans="1:18" ht="26.4">
      <c r="A768" s="19"/>
      <c r="B768" s="20" t="s">
        <v>2945</v>
      </c>
      <c r="C768" s="21" t="s">
        <v>1836</v>
      </c>
      <c r="D768" s="54"/>
      <c r="E768" s="22"/>
      <c r="F768" s="103"/>
      <c r="G768" s="18"/>
      <c r="H768" s="18"/>
      <c r="I768" s="18"/>
      <c r="J768" s="18"/>
      <c r="K768" s="18"/>
      <c r="L768" s="18"/>
      <c r="M768" s="18"/>
      <c r="N768" s="18"/>
      <c r="O768" s="18"/>
      <c r="P768"/>
      <c r="Q768" s="18"/>
      <c r="R768" s="18"/>
    </row>
    <row r="769" spans="1:18" ht="66">
      <c r="A769" s="19">
        <v>651</v>
      </c>
      <c r="B769" s="20" t="s">
        <v>1864</v>
      </c>
      <c r="C769" s="21" t="s">
        <v>1865</v>
      </c>
      <c r="D769" s="20"/>
      <c r="E769" s="75" t="s">
        <v>1866</v>
      </c>
      <c r="F769" s="67"/>
      <c r="G769" s="103"/>
      <c r="H769" s="137"/>
      <c r="I769" s="103"/>
      <c r="J769" s="67"/>
      <c r="K769" s="103"/>
      <c r="L769" s="137"/>
      <c r="M769" s="103"/>
      <c r="N769" s="67"/>
      <c r="O769" s="103"/>
      <c r="P769"/>
      <c r="Q769" s="103"/>
      <c r="R769" s="67"/>
    </row>
    <row r="770" spans="1:18" ht="26.4">
      <c r="A770" s="19">
        <v>652</v>
      </c>
      <c r="B770" s="20" t="s">
        <v>1867</v>
      </c>
      <c r="C770" s="21" t="s">
        <v>1836</v>
      </c>
      <c r="D770" s="20"/>
      <c r="E770" s="22"/>
      <c r="F770" s="91"/>
      <c r="G770" s="18"/>
      <c r="H770" s="18"/>
      <c r="I770" s="18"/>
      <c r="J770" s="18"/>
      <c r="K770" s="18"/>
      <c r="L770" s="18"/>
      <c r="M770" s="18"/>
      <c r="N770" s="18"/>
      <c r="O770" s="18"/>
      <c r="P770"/>
      <c r="Q770" s="18"/>
      <c r="R770" s="18"/>
    </row>
    <row r="771" spans="1:18" ht="52.8">
      <c r="A771" s="19">
        <v>653</v>
      </c>
      <c r="B771" s="20" t="s">
        <v>1868</v>
      </c>
      <c r="C771" s="21" t="s">
        <v>1869</v>
      </c>
      <c r="D771" s="20"/>
      <c r="E771" s="22" t="s">
        <v>1870</v>
      </c>
      <c r="P771"/>
    </row>
    <row r="772" spans="1:18" ht="26.4">
      <c r="A772" s="19">
        <v>654</v>
      </c>
      <c r="B772" s="20" t="s">
        <v>1871</v>
      </c>
      <c r="C772" s="21" t="s">
        <v>1836</v>
      </c>
      <c r="D772" s="20" t="s">
        <v>1841</v>
      </c>
      <c r="E772" s="22" t="s">
        <v>1857</v>
      </c>
      <c r="P772"/>
    </row>
    <row r="773" spans="1:18" ht="52.8">
      <c r="A773" s="19">
        <v>655</v>
      </c>
      <c r="B773" s="20" t="s">
        <v>1872</v>
      </c>
      <c r="C773" s="21" t="s">
        <v>1873</v>
      </c>
      <c r="D773" s="20"/>
      <c r="E773" s="163"/>
      <c r="P773"/>
    </row>
    <row r="774" spans="1:18" ht="52.8">
      <c r="A774" s="19">
        <v>656</v>
      </c>
      <c r="B774" s="20" t="s">
        <v>1874</v>
      </c>
      <c r="C774" s="21" t="s">
        <v>1873</v>
      </c>
      <c r="D774" s="20" t="s">
        <v>626</v>
      </c>
      <c r="E774" s="163" t="s">
        <v>1875</v>
      </c>
      <c r="P774"/>
    </row>
    <row r="775" spans="1:18" ht="92.4">
      <c r="A775" s="19">
        <v>657</v>
      </c>
      <c r="B775" s="20" t="s">
        <v>1876</v>
      </c>
      <c r="C775" s="21" t="s">
        <v>1877</v>
      </c>
      <c r="D775" s="20" t="s">
        <v>818</v>
      </c>
      <c r="E775" s="22" t="s">
        <v>1878</v>
      </c>
      <c r="P775"/>
    </row>
    <row r="776" spans="1:18" ht="66">
      <c r="A776" s="19">
        <v>658</v>
      </c>
      <c r="B776" s="20" t="s">
        <v>1879</v>
      </c>
      <c r="C776" s="21" t="s">
        <v>1880</v>
      </c>
      <c r="D776" s="20"/>
      <c r="E776" s="22" t="s">
        <v>1881</v>
      </c>
      <c r="F776" s="91" t="s">
        <v>1882</v>
      </c>
      <c r="G776" s="18"/>
      <c r="H776" s="18"/>
      <c r="I776" s="18"/>
      <c r="J776" s="18"/>
      <c r="K776" s="18"/>
      <c r="L776" s="18"/>
      <c r="M776" s="18"/>
      <c r="N776" s="18"/>
      <c r="O776" s="18"/>
      <c r="P776"/>
      <c r="Q776" s="18"/>
      <c r="R776" s="18"/>
    </row>
    <row r="777" spans="1:18" ht="39.6">
      <c r="A777" s="19">
        <v>659</v>
      </c>
      <c r="B777" s="20" t="s">
        <v>1883</v>
      </c>
      <c r="C777" s="21" t="s">
        <v>1884</v>
      </c>
      <c r="D777" s="20"/>
      <c r="E777" s="22" t="s">
        <v>1885</v>
      </c>
      <c r="P777"/>
    </row>
    <row r="778" spans="1:18" ht="52.8">
      <c r="A778" s="19">
        <v>660</v>
      </c>
      <c r="B778" s="20" t="s">
        <v>1886</v>
      </c>
      <c r="C778" s="21" t="s">
        <v>1887</v>
      </c>
      <c r="D778" s="20"/>
      <c r="E778" s="22" t="s">
        <v>1888</v>
      </c>
      <c r="P778"/>
    </row>
    <row r="779" spans="1:18" ht="39.6">
      <c r="A779" s="19">
        <v>661</v>
      </c>
      <c r="B779" s="20" t="s">
        <v>1889</v>
      </c>
      <c r="C779" s="21" t="s">
        <v>1890</v>
      </c>
      <c r="D779" s="20">
        <v>0</v>
      </c>
      <c r="E779" s="20" t="s">
        <v>1891</v>
      </c>
      <c r="F779" s="91"/>
      <c r="G779" s="18"/>
      <c r="H779" s="18"/>
      <c r="I779" s="18"/>
      <c r="J779" s="18"/>
      <c r="K779" s="18"/>
      <c r="L779" s="18"/>
      <c r="M779" s="18"/>
      <c r="N779" s="18"/>
      <c r="O779" s="18"/>
      <c r="P779"/>
      <c r="Q779" s="18"/>
      <c r="R779" s="18"/>
    </row>
    <row r="780" spans="1:18" ht="66">
      <c r="A780" s="19">
        <v>662</v>
      </c>
      <c r="B780" s="20" t="s">
        <v>1892</v>
      </c>
      <c r="C780" s="21" t="s">
        <v>1893</v>
      </c>
      <c r="D780" s="20" t="s">
        <v>1894</v>
      </c>
      <c r="E780" s="22" t="s">
        <v>1895</v>
      </c>
      <c r="P780"/>
    </row>
    <row r="781" spans="1:18" ht="39.6">
      <c r="A781" s="19">
        <v>663</v>
      </c>
      <c r="B781" s="20" t="s">
        <v>1896</v>
      </c>
      <c r="C781" s="21" t="s">
        <v>1893</v>
      </c>
      <c r="D781" s="20" t="s">
        <v>626</v>
      </c>
      <c r="E781" s="22" t="s">
        <v>1897</v>
      </c>
      <c r="P781"/>
    </row>
    <row r="782" spans="1:18" ht="79.2">
      <c r="A782" s="19">
        <v>664</v>
      </c>
      <c r="B782" s="20" t="s">
        <v>1898</v>
      </c>
      <c r="C782" s="21" t="s">
        <v>1899</v>
      </c>
      <c r="D782" s="20" t="s">
        <v>3010</v>
      </c>
      <c r="E782" s="181" t="s">
        <v>1900</v>
      </c>
      <c r="P782"/>
    </row>
    <row r="783" spans="1:18" ht="39.6">
      <c r="A783" s="19">
        <v>665</v>
      </c>
      <c r="B783" s="20" t="s">
        <v>1901</v>
      </c>
      <c r="C783" s="21" t="s">
        <v>1902</v>
      </c>
      <c r="D783" s="20"/>
      <c r="E783" s="22" t="s">
        <v>1903</v>
      </c>
      <c r="F783" s="91"/>
      <c r="G783" s="18"/>
      <c r="H783" s="18"/>
      <c r="I783" s="18"/>
      <c r="J783" s="18"/>
      <c r="K783" s="18"/>
      <c r="L783" s="18"/>
      <c r="M783" s="18"/>
      <c r="N783" s="18"/>
      <c r="O783" s="18"/>
      <c r="P783"/>
      <c r="Q783" s="18"/>
      <c r="R783" s="18"/>
    </row>
    <row r="784" spans="1:18" ht="66">
      <c r="A784" s="19">
        <v>666</v>
      </c>
      <c r="B784" s="20" t="s">
        <v>1904</v>
      </c>
      <c r="C784" s="21" t="s">
        <v>1905</v>
      </c>
      <c r="D784" s="20"/>
      <c r="E784" s="154" t="s">
        <v>1906</v>
      </c>
      <c r="P784"/>
    </row>
    <row r="785" spans="1:18" ht="39.6">
      <c r="A785" s="19">
        <v>667</v>
      </c>
      <c r="B785" s="20" t="s">
        <v>1907</v>
      </c>
      <c r="C785" s="21" t="s">
        <v>1908</v>
      </c>
      <c r="D785" s="20" t="s">
        <v>1909</v>
      </c>
      <c r="E785" s="22" t="s">
        <v>1910</v>
      </c>
      <c r="F785" s="91"/>
      <c r="G785" s="18"/>
      <c r="H785" s="18"/>
      <c r="I785" s="18"/>
      <c r="J785" s="18"/>
      <c r="K785" s="18"/>
      <c r="L785" s="18"/>
      <c r="M785" s="18"/>
      <c r="N785" s="18"/>
      <c r="O785" s="18"/>
      <c r="P785"/>
      <c r="Q785" s="18"/>
      <c r="R785" s="18"/>
    </row>
    <row r="786" spans="1:18" ht="39.6">
      <c r="A786" s="19">
        <v>668</v>
      </c>
      <c r="B786" s="20" t="s">
        <v>1911</v>
      </c>
      <c r="C786" s="21" t="s">
        <v>1912</v>
      </c>
      <c r="D786" s="20"/>
      <c r="E786" s="22" t="s">
        <v>1913</v>
      </c>
      <c r="P786"/>
    </row>
    <row r="787" spans="1:18" ht="53.4">
      <c r="A787" s="19">
        <v>669</v>
      </c>
      <c r="B787" s="20" t="s">
        <v>1914</v>
      </c>
      <c r="C787" s="50" t="s">
        <v>1915</v>
      </c>
      <c r="D787" s="20"/>
      <c r="E787" s="22"/>
      <c r="F787" s="131"/>
      <c r="O787" s="132"/>
      <c r="P787"/>
    </row>
    <row r="788" spans="1:18" ht="79.8">
      <c r="A788" s="19"/>
      <c r="B788" s="20" t="s">
        <v>2840</v>
      </c>
      <c r="C788" s="50" t="s">
        <v>2841</v>
      </c>
      <c r="D788" s="20"/>
      <c r="E788" s="22"/>
      <c r="F788" s="131"/>
      <c r="O788" s="18"/>
      <c r="P788"/>
    </row>
    <row r="789" spans="1:18" ht="53.4">
      <c r="A789" s="19">
        <v>670</v>
      </c>
      <c r="B789" s="52" t="s">
        <v>1916</v>
      </c>
      <c r="C789" s="50" t="s">
        <v>1917</v>
      </c>
      <c r="D789" s="25" t="s">
        <v>518</v>
      </c>
      <c r="E789" s="20" t="s">
        <v>1918</v>
      </c>
      <c r="P789"/>
    </row>
    <row r="790" spans="1:18" ht="79.2">
      <c r="A790" s="19">
        <v>671</v>
      </c>
      <c r="B790" s="20" t="s">
        <v>1919</v>
      </c>
      <c r="C790" s="21" t="s">
        <v>1920</v>
      </c>
      <c r="D790" s="20" t="s">
        <v>1921</v>
      </c>
      <c r="E790" s="22"/>
      <c r="F790" s="91"/>
      <c r="G790" s="18"/>
      <c r="H790" s="18"/>
      <c r="I790" s="18"/>
      <c r="J790" s="18"/>
      <c r="K790" s="18"/>
      <c r="L790" s="18"/>
      <c r="M790" s="18"/>
      <c r="N790" s="18"/>
      <c r="O790" s="18"/>
      <c r="P790"/>
      <c r="Q790" s="18"/>
      <c r="R790" s="18"/>
    </row>
    <row r="791" spans="1:18" ht="66">
      <c r="A791" s="19">
        <v>672</v>
      </c>
      <c r="B791" s="20" t="s">
        <v>1922</v>
      </c>
      <c r="C791" s="21" t="s">
        <v>1923</v>
      </c>
      <c r="D791" s="20" t="s">
        <v>49</v>
      </c>
      <c r="E791" s="22" t="s">
        <v>1924</v>
      </c>
      <c r="P791"/>
    </row>
    <row r="792" spans="1:18" ht="52.8">
      <c r="A792" s="19">
        <v>673</v>
      </c>
      <c r="B792" s="20" t="s">
        <v>1925</v>
      </c>
      <c r="C792" s="21" t="s">
        <v>1926</v>
      </c>
      <c r="D792" s="20"/>
      <c r="E792" s="22" t="s">
        <v>1927</v>
      </c>
      <c r="P792"/>
    </row>
    <row r="793" spans="1:18" ht="39.6">
      <c r="A793" s="19">
        <v>674</v>
      </c>
      <c r="B793" s="20" t="s">
        <v>1928</v>
      </c>
      <c r="C793" s="21" t="s">
        <v>1929</v>
      </c>
      <c r="D793" s="20"/>
      <c r="E793" s="22" t="s">
        <v>1930</v>
      </c>
      <c r="P793"/>
    </row>
    <row r="794" spans="1:18" ht="39.6">
      <c r="A794" s="19">
        <v>675</v>
      </c>
      <c r="B794" s="182" t="s">
        <v>1931</v>
      </c>
      <c r="C794" s="23" t="s">
        <v>1932</v>
      </c>
      <c r="D794" s="20"/>
      <c r="E794" s="22" t="s">
        <v>1933</v>
      </c>
      <c r="F794" s="91"/>
      <c r="G794" s="18"/>
      <c r="H794" s="18"/>
      <c r="I794" s="18"/>
      <c r="J794" s="18"/>
      <c r="K794" s="18"/>
      <c r="L794" s="18"/>
      <c r="M794" s="18"/>
      <c r="N794" s="18"/>
      <c r="O794" s="18"/>
      <c r="P794"/>
      <c r="Q794" s="18"/>
      <c r="R794" s="18"/>
    </row>
    <row r="795" spans="1:18" ht="105.6">
      <c r="A795" s="19">
        <v>676</v>
      </c>
      <c r="B795" s="20" t="s">
        <v>1934</v>
      </c>
      <c r="C795" s="21" t="s">
        <v>3003</v>
      </c>
      <c r="D795" s="20"/>
      <c r="E795" s="22"/>
      <c r="P795"/>
    </row>
    <row r="796" spans="1:18" ht="39.6">
      <c r="A796" s="19">
        <v>677</v>
      </c>
      <c r="B796" s="20" t="s">
        <v>1935</v>
      </c>
      <c r="C796" s="21" t="s">
        <v>1936</v>
      </c>
      <c r="D796" s="20" t="s">
        <v>476</v>
      </c>
      <c r="E796" s="22" t="s">
        <v>1937</v>
      </c>
      <c r="P796"/>
    </row>
    <row r="797" spans="1:18" ht="39.6">
      <c r="A797" s="19">
        <v>678</v>
      </c>
      <c r="B797" s="20" t="s">
        <v>1938</v>
      </c>
      <c r="C797" s="21" t="s">
        <v>2912</v>
      </c>
      <c r="D797" s="20"/>
      <c r="E797" s="22" t="s">
        <v>1939</v>
      </c>
      <c r="P797"/>
    </row>
    <row r="798" spans="1:18" ht="118.8">
      <c r="A798" s="19">
        <v>679</v>
      </c>
      <c r="B798" s="20" t="s">
        <v>1940</v>
      </c>
      <c r="C798" s="21" t="s">
        <v>1941</v>
      </c>
      <c r="D798" s="54"/>
      <c r="E798" s="20" t="s">
        <v>1942</v>
      </c>
      <c r="F798" s="91"/>
      <c r="G798" s="18"/>
      <c r="H798" s="18"/>
      <c r="I798" s="18"/>
      <c r="J798" s="18"/>
      <c r="K798" s="18"/>
      <c r="L798" s="18"/>
      <c r="M798" s="18"/>
      <c r="N798" s="18"/>
      <c r="O798" s="18"/>
      <c r="P798"/>
      <c r="Q798" s="18"/>
      <c r="R798" s="18"/>
    </row>
    <row r="799" spans="1:18" ht="39.6">
      <c r="A799" s="19">
        <v>680</v>
      </c>
      <c r="B799" s="20" t="s">
        <v>1943</v>
      </c>
      <c r="C799" s="21" t="s">
        <v>1944</v>
      </c>
      <c r="D799" s="20"/>
      <c r="E799" s="22" t="s">
        <v>1945</v>
      </c>
      <c r="P799"/>
    </row>
    <row r="800" spans="1:18" ht="39.6">
      <c r="A800" s="19">
        <v>681</v>
      </c>
      <c r="B800" s="20" t="s">
        <v>1946</v>
      </c>
      <c r="C800" s="21" t="s">
        <v>1944</v>
      </c>
      <c r="D800" s="20"/>
      <c r="E800" s="22" t="s">
        <v>1947</v>
      </c>
      <c r="P800"/>
    </row>
    <row r="801" spans="1:18" ht="39.6">
      <c r="A801" s="19">
        <v>682</v>
      </c>
      <c r="B801" s="20" t="s">
        <v>1948</v>
      </c>
      <c r="C801" s="21" t="s">
        <v>1949</v>
      </c>
      <c r="D801" s="20"/>
      <c r="E801" s="22" t="s">
        <v>1950</v>
      </c>
      <c r="P801"/>
    </row>
    <row r="802" spans="1:18" ht="66">
      <c r="A802" s="19">
        <v>683</v>
      </c>
      <c r="B802" s="20" t="s">
        <v>1951</v>
      </c>
      <c r="C802" s="21" t="s">
        <v>1952</v>
      </c>
      <c r="D802" s="20"/>
      <c r="E802" s="22" t="s">
        <v>1953</v>
      </c>
      <c r="P802"/>
    </row>
    <row r="803" spans="1:18" ht="53.4">
      <c r="A803" s="19">
        <v>684</v>
      </c>
      <c r="B803" s="20" t="s">
        <v>1954</v>
      </c>
      <c r="C803" s="50" t="s">
        <v>1955</v>
      </c>
      <c r="D803" s="20"/>
      <c r="E803" s="22"/>
      <c r="F803" s="91"/>
      <c r="G803" s="18"/>
      <c r="H803" s="18"/>
      <c r="I803" s="18"/>
      <c r="J803" s="18"/>
      <c r="K803" s="18"/>
      <c r="L803" s="18"/>
      <c r="M803" s="18"/>
      <c r="N803" s="18"/>
      <c r="O803" s="18"/>
      <c r="P803"/>
      <c r="Q803" s="18"/>
      <c r="R803" s="18"/>
    </row>
    <row r="804" spans="1:18" ht="27">
      <c r="A804" s="19"/>
      <c r="B804" s="20" t="s">
        <v>2779</v>
      </c>
      <c r="C804" s="50" t="s">
        <v>2778</v>
      </c>
      <c r="D804" s="20"/>
      <c r="E804" s="22"/>
      <c r="F804" s="91"/>
      <c r="G804" s="18"/>
      <c r="H804" s="18"/>
      <c r="I804" s="18"/>
      <c r="J804" s="18"/>
      <c r="K804" s="18"/>
      <c r="L804" s="18"/>
      <c r="M804" s="18"/>
      <c r="N804" s="18"/>
      <c r="O804" s="18"/>
      <c r="P804"/>
      <c r="Q804" s="18"/>
      <c r="R804" s="18"/>
    </row>
    <row r="805" spans="1:18" ht="52.8">
      <c r="A805" s="19">
        <v>685</v>
      </c>
      <c r="B805" s="20" t="s">
        <v>1956</v>
      </c>
      <c r="C805" s="21" t="s">
        <v>1957</v>
      </c>
      <c r="D805" s="20"/>
      <c r="E805" s="22" t="s">
        <v>1958</v>
      </c>
      <c r="F805" s="41"/>
      <c r="G805" s="19"/>
      <c r="H805" s="19"/>
      <c r="I805" s="19"/>
      <c r="J805" s="19"/>
      <c r="K805" s="19"/>
      <c r="L805" s="19"/>
      <c r="M805" s="19"/>
      <c r="N805" s="19"/>
      <c r="O805" s="19"/>
      <c r="P805"/>
      <c r="Q805" s="19"/>
      <c r="R805" s="19"/>
    </row>
    <row r="806" spans="1:18" ht="52.8">
      <c r="A806" s="19">
        <v>686</v>
      </c>
      <c r="B806" s="20" t="s">
        <v>1959</v>
      </c>
      <c r="C806" s="21" t="s">
        <v>1960</v>
      </c>
      <c r="D806" s="20" t="s">
        <v>1961</v>
      </c>
      <c r="E806" s="29" t="s">
        <v>1962</v>
      </c>
      <c r="F806" s="103" t="s">
        <v>1963</v>
      </c>
      <c r="G806" s="18"/>
      <c r="H806" s="18"/>
      <c r="I806" s="18"/>
      <c r="J806" s="18"/>
      <c r="K806" s="18"/>
      <c r="L806" s="18"/>
      <c r="M806" s="18"/>
      <c r="N806" s="18"/>
      <c r="O806" s="18"/>
      <c r="P806"/>
      <c r="Q806" s="18"/>
      <c r="R806" s="18"/>
    </row>
    <row r="807" spans="1:18" ht="39.6">
      <c r="A807" s="19">
        <v>687</v>
      </c>
      <c r="B807" s="20" t="s">
        <v>1964</v>
      </c>
      <c r="C807" s="21" t="s">
        <v>1965</v>
      </c>
      <c r="D807" s="20"/>
      <c r="E807" s="22" t="s">
        <v>1966</v>
      </c>
      <c r="F807" s="91"/>
      <c r="G807" s="18"/>
      <c r="H807" s="18"/>
      <c r="I807" s="18"/>
      <c r="J807" s="18"/>
      <c r="K807" s="18"/>
      <c r="L807" s="18"/>
      <c r="M807" s="18"/>
      <c r="N807" s="18"/>
      <c r="O807" s="18"/>
      <c r="P807"/>
      <c r="Q807" s="18"/>
      <c r="R807" s="18"/>
    </row>
    <row r="808" spans="1:18" ht="26.4">
      <c r="A808" s="19">
        <v>688</v>
      </c>
      <c r="B808" s="20" t="s">
        <v>1967</v>
      </c>
      <c r="C808" s="21" t="s">
        <v>1968</v>
      </c>
      <c r="D808" s="20"/>
      <c r="E808" s="22" t="s">
        <v>1969</v>
      </c>
      <c r="P808"/>
    </row>
    <row r="809" spans="1:18" ht="26.4">
      <c r="A809" s="19">
        <v>689</v>
      </c>
      <c r="B809" s="20" t="s">
        <v>1970</v>
      </c>
      <c r="C809" s="21" t="s">
        <v>1971</v>
      </c>
      <c r="D809" s="20"/>
      <c r="E809" s="22" t="s">
        <v>1972</v>
      </c>
      <c r="P809"/>
    </row>
    <row r="810" spans="1:18" ht="26.4">
      <c r="A810" s="19">
        <v>690</v>
      </c>
      <c r="B810" s="20" t="s">
        <v>1973</v>
      </c>
      <c r="C810" s="21" t="s">
        <v>1974</v>
      </c>
      <c r="D810" s="20"/>
      <c r="E810" s="22" t="s">
        <v>1975</v>
      </c>
      <c r="J810" s="1" t="s">
        <v>1169</v>
      </c>
      <c r="P810"/>
    </row>
    <row r="811" spans="1:18" ht="93">
      <c r="A811" s="19">
        <v>691</v>
      </c>
      <c r="B811" s="20" t="s">
        <v>1976</v>
      </c>
      <c r="C811" s="138" t="s">
        <v>1977</v>
      </c>
      <c r="D811" s="20" t="s">
        <v>1359</v>
      </c>
      <c r="E811" s="139" t="s">
        <v>1978</v>
      </c>
      <c r="P811"/>
    </row>
    <row r="812" spans="1:18" ht="39.6">
      <c r="A812" s="19">
        <v>692</v>
      </c>
      <c r="B812" s="20" t="s">
        <v>1979</v>
      </c>
      <c r="C812" s="21" t="s">
        <v>1980</v>
      </c>
      <c r="D812" s="20"/>
      <c r="E812" s="22" t="s">
        <v>1981</v>
      </c>
      <c r="F812" s="91"/>
      <c r="G812" s="18"/>
      <c r="H812" s="18"/>
      <c r="I812" s="18"/>
      <c r="J812" s="18"/>
      <c r="K812" s="18"/>
      <c r="L812" s="18"/>
      <c r="M812" s="18"/>
      <c r="N812" s="18"/>
      <c r="O812" s="18"/>
      <c r="P812"/>
      <c r="Q812" s="18"/>
      <c r="R812" s="18"/>
    </row>
    <row r="813" spans="1:18" ht="39.6">
      <c r="A813" s="19">
        <v>693</v>
      </c>
      <c r="B813" s="20" t="s">
        <v>1982</v>
      </c>
      <c r="C813" s="21" t="s">
        <v>1983</v>
      </c>
      <c r="D813" s="20"/>
      <c r="E813" s="22" t="s">
        <v>2685</v>
      </c>
      <c r="F813" s="15" t="s">
        <v>239</v>
      </c>
      <c r="H813" s="1" t="s">
        <v>1984</v>
      </c>
      <c r="I813" s="1">
        <v>1684777374</v>
      </c>
      <c r="K813" s="1">
        <v>35.5</v>
      </c>
      <c r="P813"/>
    </row>
    <row r="814" spans="1:18" ht="53.4">
      <c r="A814" s="19">
        <v>694</v>
      </c>
      <c r="B814" s="159" t="s">
        <v>1985</v>
      </c>
      <c r="C814" s="50" t="s">
        <v>1986</v>
      </c>
      <c r="D814" s="20"/>
      <c r="E814" s="22"/>
      <c r="P814"/>
    </row>
    <row r="815" spans="1:18" ht="52.8">
      <c r="A815" s="19">
        <v>695</v>
      </c>
      <c r="B815" s="20" t="s">
        <v>1987</v>
      </c>
      <c r="C815" s="21" t="s">
        <v>1988</v>
      </c>
      <c r="D815" s="20"/>
      <c r="E815" s="22" t="s">
        <v>1989</v>
      </c>
      <c r="F815" s="91"/>
      <c r="G815" s="18"/>
      <c r="H815" s="18"/>
      <c r="I815" s="18"/>
      <c r="J815" s="18"/>
      <c r="K815" s="18"/>
      <c r="L815" s="18"/>
      <c r="M815" s="18"/>
      <c r="N815" s="18"/>
      <c r="O815" s="18"/>
      <c r="P815"/>
      <c r="Q815" s="18"/>
      <c r="R815" s="18"/>
    </row>
    <row r="816" spans="1:18" ht="39.6">
      <c r="A816" s="19"/>
      <c r="B816" s="20" t="s">
        <v>2766</v>
      </c>
      <c r="C816" s="21" t="s">
        <v>2767</v>
      </c>
      <c r="D816" s="20"/>
      <c r="E816" s="22" t="s">
        <v>2768</v>
      </c>
      <c r="F816" s="91"/>
      <c r="G816" s="18"/>
      <c r="H816" s="18"/>
      <c r="I816" s="18"/>
      <c r="J816" s="18"/>
      <c r="K816" s="18"/>
      <c r="L816" s="18"/>
      <c r="M816" s="18"/>
      <c r="N816" s="18"/>
      <c r="O816" s="18"/>
      <c r="P816"/>
      <c r="Q816" s="18"/>
      <c r="R816" s="18"/>
    </row>
    <row r="817" spans="1:18" ht="52.8">
      <c r="A817" s="19">
        <v>696</v>
      </c>
      <c r="B817" s="20" t="s">
        <v>1990</v>
      </c>
      <c r="C817" s="21" t="s">
        <v>1988</v>
      </c>
      <c r="D817" s="20"/>
      <c r="E817" s="22" t="s">
        <v>1989</v>
      </c>
      <c r="F817" s="91"/>
      <c r="G817" s="18"/>
      <c r="H817" s="18"/>
      <c r="I817" s="18"/>
      <c r="J817" s="18"/>
      <c r="K817" s="18"/>
      <c r="L817" s="18"/>
      <c r="M817" s="18"/>
      <c r="N817" s="18"/>
      <c r="O817" s="18"/>
      <c r="P817"/>
      <c r="Q817" s="18"/>
      <c r="R817" s="18"/>
    </row>
    <row r="818" spans="1:18" ht="39.6">
      <c r="A818" s="19">
        <v>697</v>
      </c>
      <c r="B818" s="20" t="s">
        <v>1991</v>
      </c>
      <c r="C818" s="21" t="s">
        <v>1992</v>
      </c>
      <c r="D818" s="20"/>
      <c r="E818" s="22" t="s">
        <v>1993</v>
      </c>
      <c r="P818"/>
    </row>
    <row r="819" spans="1:18" ht="39.6">
      <c r="A819" s="19">
        <v>698</v>
      </c>
      <c r="B819" s="20" t="s">
        <v>1994</v>
      </c>
      <c r="C819" s="21" t="s">
        <v>1995</v>
      </c>
      <c r="D819" s="20"/>
      <c r="E819" s="22" t="s">
        <v>1996</v>
      </c>
      <c r="P819"/>
    </row>
    <row r="820" spans="1:18" ht="52.8">
      <c r="A820" s="19">
        <v>699</v>
      </c>
      <c r="B820" s="20" t="s">
        <v>1997</v>
      </c>
      <c r="C820" s="21" t="s">
        <v>2833</v>
      </c>
      <c r="D820" s="20"/>
      <c r="E820" s="22"/>
      <c r="P820"/>
    </row>
    <row r="821" spans="1:18" ht="92.4">
      <c r="A821" s="19">
        <v>700</v>
      </c>
      <c r="B821" s="20" t="s">
        <v>1998</v>
      </c>
      <c r="C821" s="21" t="s">
        <v>1999</v>
      </c>
      <c r="D821" s="20"/>
      <c r="E821" s="22" t="s">
        <v>2000</v>
      </c>
      <c r="F821" s="91"/>
      <c r="G821" s="18"/>
      <c r="H821" s="18"/>
      <c r="I821" s="18"/>
      <c r="J821" s="18"/>
      <c r="K821" s="18"/>
      <c r="L821" s="18"/>
      <c r="M821" s="18"/>
      <c r="N821" s="18"/>
      <c r="O821" s="18"/>
      <c r="P821"/>
      <c r="Q821" s="18"/>
      <c r="R821" s="18"/>
    </row>
    <row r="822" spans="1:18" ht="45">
      <c r="A822" s="19">
        <v>701</v>
      </c>
      <c r="B822" s="20" t="s">
        <v>2001</v>
      </c>
      <c r="C822" s="183" t="s">
        <v>2002</v>
      </c>
      <c r="D822" s="20" t="s">
        <v>2003</v>
      </c>
      <c r="E822" s="22" t="s">
        <v>2004</v>
      </c>
      <c r="P822"/>
    </row>
    <row r="823" spans="1:18" ht="52.8">
      <c r="A823" s="19">
        <v>702</v>
      </c>
      <c r="B823" s="20" t="s">
        <v>2005</v>
      </c>
      <c r="C823" s="21" t="s">
        <v>2006</v>
      </c>
      <c r="D823" s="20" t="s">
        <v>493</v>
      </c>
      <c r="E823" s="22" t="s">
        <v>2007</v>
      </c>
      <c r="P823"/>
    </row>
    <row r="824" spans="1:18" ht="66">
      <c r="A824" s="19">
        <v>703</v>
      </c>
      <c r="B824" s="20" t="s">
        <v>2008</v>
      </c>
      <c r="C824" s="21" t="s">
        <v>2009</v>
      </c>
      <c r="D824" s="20"/>
      <c r="E824" s="22" t="s">
        <v>2010</v>
      </c>
      <c r="F824" s="91"/>
      <c r="G824" s="18"/>
      <c r="H824" s="18"/>
      <c r="I824" s="18"/>
      <c r="J824" s="18"/>
      <c r="K824" s="18"/>
      <c r="L824" s="18"/>
      <c r="M824" s="18"/>
      <c r="N824" s="18"/>
      <c r="O824" s="18"/>
      <c r="P824"/>
      <c r="Q824" s="18"/>
      <c r="R824" s="18"/>
    </row>
    <row r="825" spans="1:18" ht="92.4">
      <c r="A825" s="19">
        <v>704</v>
      </c>
      <c r="B825" s="20" t="s">
        <v>2011</v>
      </c>
      <c r="C825" s="21" t="s">
        <v>2012</v>
      </c>
      <c r="D825" s="20"/>
      <c r="E825" s="22" t="s">
        <v>2013</v>
      </c>
      <c r="F825" s="91"/>
      <c r="G825" s="18"/>
      <c r="H825" s="18"/>
      <c r="I825" s="18"/>
      <c r="J825" s="18"/>
      <c r="K825" s="18"/>
      <c r="L825" s="18"/>
      <c r="M825" s="18"/>
      <c r="N825" s="18"/>
      <c r="O825" s="18"/>
      <c r="P825"/>
      <c r="Q825" s="18"/>
      <c r="R825" s="18"/>
    </row>
    <row r="826" spans="1:18" ht="39.6">
      <c r="A826" s="19">
        <v>705</v>
      </c>
      <c r="B826" s="20" t="s">
        <v>2014</v>
      </c>
      <c r="C826" s="21" t="s">
        <v>2015</v>
      </c>
      <c r="D826" s="20" t="s">
        <v>359</v>
      </c>
      <c r="E826" s="22" t="s">
        <v>2016</v>
      </c>
      <c r="P826"/>
    </row>
    <row r="827" spans="1:18" ht="79.2">
      <c r="A827" s="19">
        <v>706</v>
      </c>
      <c r="B827" s="20" t="s">
        <v>2017</v>
      </c>
      <c r="C827" s="21" t="s">
        <v>2018</v>
      </c>
      <c r="D827" s="20"/>
      <c r="E827" s="22" t="s">
        <v>2019</v>
      </c>
      <c r="P827"/>
    </row>
    <row r="828" spans="1:18" ht="66">
      <c r="A828" s="19">
        <v>707</v>
      </c>
      <c r="B828" s="20" t="s">
        <v>2020</v>
      </c>
      <c r="C828" s="21" t="s">
        <v>2021</v>
      </c>
      <c r="D828" s="20"/>
      <c r="E828" s="22" t="s">
        <v>2022</v>
      </c>
      <c r="P828"/>
    </row>
    <row r="829" spans="1:18" ht="52.8">
      <c r="A829" s="19">
        <v>708</v>
      </c>
      <c r="B829" s="20" t="s">
        <v>2023</v>
      </c>
      <c r="C829" s="21" t="s">
        <v>2024</v>
      </c>
      <c r="D829" s="20"/>
      <c r="E829" s="22"/>
      <c r="P829"/>
    </row>
    <row r="830" spans="1:18" ht="53.4">
      <c r="A830" s="19">
        <v>709</v>
      </c>
      <c r="B830" s="20" t="s">
        <v>2025</v>
      </c>
      <c r="C830" s="80" t="s">
        <v>2026</v>
      </c>
      <c r="D830" s="20" t="s">
        <v>1404</v>
      </c>
      <c r="E830" s="80" t="s">
        <v>2027</v>
      </c>
      <c r="P830"/>
    </row>
    <row r="831" spans="1:18" ht="66">
      <c r="A831" s="19">
        <v>710</v>
      </c>
      <c r="B831" s="20" t="s">
        <v>2028</v>
      </c>
      <c r="C831" s="21" t="s">
        <v>660</v>
      </c>
      <c r="D831" s="20" t="s">
        <v>1404</v>
      </c>
      <c r="E831" s="22" t="s">
        <v>661</v>
      </c>
      <c r="P831"/>
    </row>
    <row r="832" spans="1:18" ht="66">
      <c r="A832" s="19">
        <v>711</v>
      </c>
      <c r="B832" s="20" t="s">
        <v>2029</v>
      </c>
      <c r="C832" s="21" t="s">
        <v>2030</v>
      </c>
      <c r="D832" s="20"/>
      <c r="E832" s="22" t="s">
        <v>2031</v>
      </c>
      <c r="I832" s="1">
        <f>21*3</f>
        <v>63</v>
      </c>
      <c r="P832"/>
    </row>
    <row r="833" spans="1:18" ht="52.8">
      <c r="A833" s="19">
        <v>712</v>
      </c>
      <c r="B833" s="20" t="s">
        <v>2032</v>
      </c>
      <c r="C833" s="21" t="s">
        <v>2033</v>
      </c>
      <c r="D833" s="20"/>
      <c r="E833" s="22" t="s">
        <v>2034</v>
      </c>
      <c r="P833"/>
    </row>
    <row r="834" spans="1:18" ht="52.8">
      <c r="A834" s="19">
        <v>713</v>
      </c>
      <c r="B834" s="20" t="s">
        <v>2035</v>
      </c>
      <c r="C834" s="21" t="s">
        <v>2036</v>
      </c>
      <c r="D834" s="20"/>
      <c r="E834" s="22" t="s">
        <v>2037</v>
      </c>
      <c r="P834"/>
    </row>
    <row r="835" spans="1:18" ht="39.6">
      <c r="A835" s="19">
        <v>714</v>
      </c>
      <c r="B835" s="20" t="s">
        <v>2038</v>
      </c>
      <c r="C835" s="21" t="s">
        <v>2039</v>
      </c>
      <c r="D835" s="20"/>
      <c r="E835" s="81" t="s">
        <v>2040</v>
      </c>
      <c r="P835"/>
    </row>
    <row r="836" spans="1:18" ht="39.6">
      <c r="A836" s="19">
        <v>715</v>
      </c>
      <c r="B836" s="20" t="s">
        <v>2041</v>
      </c>
      <c r="C836" s="21" t="s">
        <v>2039</v>
      </c>
      <c r="D836" s="20"/>
      <c r="E836" s="22" t="s">
        <v>2042</v>
      </c>
      <c r="P836"/>
    </row>
    <row r="837" spans="1:18" ht="39.6">
      <c r="A837" s="19">
        <v>716</v>
      </c>
      <c r="B837" s="20" t="s">
        <v>2043</v>
      </c>
      <c r="C837" s="21" t="s">
        <v>2044</v>
      </c>
      <c r="D837" s="20"/>
      <c r="E837" s="22" t="s">
        <v>2045</v>
      </c>
      <c r="I837" s="1">
        <f>1.2+1.4+6+11+1.3+1.6</f>
        <v>22.500000000000004</v>
      </c>
      <c r="P837"/>
    </row>
    <row r="838" spans="1:18" ht="52.8">
      <c r="A838" s="19">
        <v>717</v>
      </c>
      <c r="B838" s="20" t="s">
        <v>2046</v>
      </c>
      <c r="C838" s="21" t="s">
        <v>2047</v>
      </c>
      <c r="D838" s="20"/>
      <c r="E838" s="22" t="s">
        <v>2048</v>
      </c>
      <c r="F838" s="91"/>
      <c r="G838" s="18"/>
      <c r="H838" s="18"/>
      <c r="I838" s="18"/>
      <c r="J838" s="18"/>
      <c r="K838" s="18"/>
      <c r="L838" s="18"/>
      <c r="M838" s="18"/>
      <c r="N838" s="18"/>
      <c r="O838" s="18"/>
      <c r="P838"/>
      <c r="Q838" s="18"/>
      <c r="R838" s="18"/>
    </row>
    <row r="839" spans="1:18" ht="39.6">
      <c r="A839" s="19">
        <v>718</v>
      </c>
      <c r="B839" s="20" t="s">
        <v>2049</v>
      </c>
      <c r="C839" s="21" t="s">
        <v>2050</v>
      </c>
      <c r="D839" s="20" t="s">
        <v>818</v>
      </c>
      <c r="E839" s="22" t="s">
        <v>2051</v>
      </c>
      <c r="P839"/>
    </row>
    <row r="840" spans="1:18" ht="39.6">
      <c r="A840" s="19">
        <v>719</v>
      </c>
      <c r="B840" s="20" t="s">
        <v>2052</v>
      </c>
      <c r="C840" s="27" t="s">
        <v>2053</v>
      </c>
      <c r="D840" s="20" t="s">
        <v>2054</v>
      </c>
      <c r="E840" s="22"/>
      <c r="P840"/>
    </row>
    <row r="841" spans="1:18" ht="39.6">
      <c r="A841" s="19">
        <v>720</v>
      </c>
      <c r="B841" s="20" t="s">
        <v>2055</v>
      </c>
      <c r="C841" s="21" t="s">
        <v>2056</v>
      </c>
      <c r="D841" s="20"/>
      <c r="E841" s="22" t="s">
        <v>2057</v>
      </c>
      <c r="P841"/>
    </row>
    <row r="842" spans="1:18" ht="39.6">
      <c r="A842" s="19">
        <v>721</v>
      </c>
      <c r="B842" s="20" t="s">
        <v>2058</v>
      </c>
      <c r="C842" s="21" t="s">
        <v>2059</v>
      </c>
      <c r="D842" s="20"/>
      <c r="E842" s="22" t="s">
        <v>2060</v>
      </c>
      <c r="F842" s="91"/>
      <c r="G842" s="18"/>
      <c r="H842" s="18"/>
      <c r="I842" s="18"/>
      <c r="J842" s="18"/>
      <c r="K842" s="18"/>
      <c r="L842" s="18"/>
      <c r="M842" s="18"/>
      <c r="N842" s="18"/>
      <c r="O842" s="18"/>
      <c r="P842"/>
      <c r="Q842" s="18"/>
      <c r="R842" s="18"/>
    </row>
    <row r="843" spans="1:18" ht="39.6">
      <c r="A843" s="19">
        <v>722</v>
      </c>
      <c r="B843" s="20" t="s">
        <v>2058</v>
      </c>
      <c r="C843" s="21" t="s">
        <v>2061</v>
      </c>
      <c r="D843" s="20"/>
      <c r="E843" s="22" t="s">
        <v>2062</v>
      </c>
      <c r="F843" s="91"/>
      <c r="G843" s="18"/>
      <c r="H843" s="18"/>
      <c r="I843" s="18"/>
      <c r="J843" s="18"/>
      <c r="K843" s="18"/>
      <c r="L843" s="18"/>
      <c r="M843" s="18"/>
      <c r="N843" s="18"/>
      <c r="O843" s="18"/>
      <c r="P843"/>
      <c r="Q843" s="18"/>
      <c r="R843" s="18"/>
    </row>
    <row r="844" spans="1:18" ht="92.4">
      <c r="A844" s="19">
        <v>723</v>
      </c>
      <c r="B844" s="20" t="s">
        <v>2063</v>
      </c>
      <c r="C844" s="21" t="s">
        <v>2064</v>
      </c>
      <c r="D844" s="20"/>
      <c r="E844" s="22" t="s">
        <v>2065</v>
      </c>
      <c r="F844" s="91"/>
      <c r="G844" s="18"/>
      <c r="H844" s="18"/>
      <c r="I844" s="18"/>
      <c r="J844" s="18"/>
      <c r="K844" s="18"/>
      <c r="L844" s="18"/>
      <c r="M844" s="18"/>
      <c r="N844" s="18"/>
      <c r="O844" s="18"/>
      <c r="P844"/>
      <c r="Q844" s="18"/>
      <c r="R844" s="18"/>
    </row>
    <row r="845" spans="1:18" ht="66">
      <c r="A845" s="19">
        <v>724</v>
      </c>
      <c r="B845" s="20" t="s">
        <v>2066</v>
      </c>
      <c r="C845" s="21" t="s">
        <v>2067</v>
      </c>
      <c r="D845" s="20"/>
      <c r="E845" s="22" t="s">
        <v>2068</v>
      </c>
      <c r="P845"/>
    </row>
    <row r="846" spans="1:18" ht="26.4">
      <c r="A846" s="19">
        <v>725</v>
      </c>
      <c r="B846" s="20" t="s">
        <v>2751</v>
      </c>
      <c r="C846" s="21" t="s">
        <v>2075</v>
      </c>
      <c r="D846" s="20"/>
      <c r="E846" s="20" t="s">
        <v>2740</v>
      </c>
      <c r="P846"/>
    </row>
    <row r="847" spans="1:18" ht="52.8">
      <c r="A847" s="19"/>
      <c r="B847" s="20" t="s">
        <v>2645</v>
      </c>
      <c r="C847" s="21" t="s">
        <v>2646</v>
      </c>
      <c r="D847" s="20"/>
      <c r="E847" s="20"/>
      <c r="P847"/>
    </row>
    <row r="848" spans="1:18" ht="39.6">
      <c r="A848" s="19"/>
      <c r="B848" s="20" t="s">
        <v>2628</v>
      </c>
      <c r="C848" s="21" t="s">
        <v>2649</v>
      </c>
      <c r="D848" s="20"/>
      <c r="E848" s="20"/>
      <c r="P848"/>
    </row>
    <row r="849" spans="1:18" ht="66">
      <c r="A849" s="19">
        <v>726</v>
      </c>
      <c r="B849" s="20" t="s">
        <v>2070</v>
      </c>
      <c r="C849" s="21" t="s">
        <v>2974</v>
      </c>
      <c r="D849" s="20" t="s">
        <v>2072</v>
      </c>
      <c r="E849" s="22" t="s">
        <v>2073</v>
      </c>
      <c r="P849"/>
    </row>
    <row r="850" spans="1:18" ht="66">
      <c r="A850" s="19">
        <v>727</v>
      </c>
      <c r="B850" s="20" t="s">
        <v>2074</v>
      </c>
      <c r="C850" s="21" t="s">
        <v>2075</v>
      </c>
      <c r="D850" s="20" t="s">
        <v>2072</v>
      </c>
      <c r="E850" s="22" t="s">
        <v>2076</v>
      </c>
      <c r="P850"/>
    </row>
    <row r="851" spans="1:18" ht="26.4">
      <c r="A851" s="19">
        <v>728</v>
      </c>
      <c r="B851" s="20" t="s">
        <v>2074</v>
      </c>
      <c r="C851" s="21" t="s">
        <v>2075</v>
      </c>
      <c r="D851" s="20"/>
      <c r="E851" s="22" t="s">
        <v>2077</v>
      </c>
      <c r="P851"/>
    </row>
    <row r="852" spans="1:18" ht="52.8">
      <c r="A852" s="19"/>
      <c r="B852" s="20" t="s">
        <v>2991</v>
      </c>
      <c r="C852" s="21" t="s">
        <v>438</v>
      </c>
      <c r="D852" s="20"/>
      <c r="E852" s="22" t="s">
        <v>2993</v>
      </c>
      <c r="P852"/>
    </row>
    <row r="853" spans="1:18" ht="66">
      <c r="A853" s="19"/>
      <c r="B853" s="20" t="s">
        <v>2647</v>
      </c>
      <c r="C853" s="21" t="s">
        <v>2648</v>
      </c>
      <c r="D853" s="20"/>
      <c r="E853" s="22"/>
      <c r="P853"/>
    </row>
    <row r="854" spans="1:18" ht="39.6">
      <c r="A854" s="19"/>
      <c r="B854" s="20" t="s">
        <v>2814</v>
      </c>
      <c r="C854" s="21" t="s">
        <v>2815</v>
      </c>
      <c r="D854" s="20"/>
      <c r="E854" s="22" t="s">
        <v>2816</v>
      </c>
      <c r="P854"/>
    </row>
    <row r="855" spans="1:18" ht="39.6">
      <c r="A855" s="19"/>
      <c r="B855" s="20" t="s">
        <v>3171</v>
      </c>
      <c r="C855" s="21" t="s">
        <v>3173</v>
      </c>
      <c r="D855" s="20"/>
      <c r="E855" s="22" t="s">
        <v>3172</v>
      </c>
      <c r="P855"/>
    </row>
    <row r="856" spans="1:18" ht="26.4">
      <c r="A856" s="19">
        <v>729</v>
      </c>
      <c r="B856" s="20" t="s">
        <v>2078</v>
      </c>
      <c r="C856" s="21" t="s">
        <v>2071</v>
      </c>
      <c r="D856" s="20"/>
      <c r="E856" s="22"/>
      <c r="P856"/>
    </row>
    <row r="857" spans="1:18" ht="26.4">
      <c r="A857" s="19"/>
      <c r="B857" s="20" t="s">
        <v>2700</v>
      </c>
      <c r="C857" s="21" t="s">
        <v>2075</v>
      </c>
      <c r="D857" s="20"/>
      <c r="E857" s="22" t="s">
        <v>2079</v>
      </c>
      <c r="P857"/>
    </row>
    <row r="858" spans="1:18" ht="66">
      <c r="A858" s="19">
        <v>730</v>
      </c>
      <c r="B858" s="25" t="s">
        <v>2080</v>
      </c>
      <c r="C858" s="27" t="s">
        <v>2071</v>
      </c>
      <c r="D858" s="20" t="s">
        <v>2072</v>
      </c>
      <c r="E858" s="22" t="s">
        <v>2073</v>
      </c>
      <c r="P858"/>
    </row>
    <row r="859" spans="1:18" ht="66">
      <c r="A859" s="19">
        <v>731</v>
      </c>
      <c r="B859" s="20" t="s">
        <v>2081</v>
      </c>
      <c r="C859" s="21" t="s">
        <v>2828</v>
      </c>
      <c r="D859" s="20" t="s">
        <v>2072</v>
      </c>
      <c r="E859" s="22" t="s">
        <v>2073</v>
      </c>
      <c r="P859"/>
    </row>
    <row r="860" spans="1:18" ht="26.4">
      <c r="A860" s="19">
        <v>732</v>
      </c>
      <c r="B860" s="20" t="s">
        <v>2081</v>
      </c>
      <c r="C860" s="21" t="s">
        <v>2071</v>
      </c>
      <c r="D860" s="20"/>
      <c r="E860" s="22" t="s">
        <v>2073</v>
      </c>
      <c r="P860"/>
    </row>
    <row r="861" spans="1:18" ht="26.4">
      <c r="A861" s="19">
        <v>733</v>
      </c>
      <c r="B861" s="20" t="s">
        <v>2082</v>
      </c>
      <c r="C861" s="21" t="s">
        <v>2075</v>
      </c>
      <c r="D861" s="20"/>
      <c r="E861" s="22" t="s">
        <v>2083</v>
      </c>
      <c r="P861"/>
    </row>
    <row r="862" spans="1:18" ht="66">
      <c r="A862" s="19">
        <v>734</v>
      </c>
      <c r="B862" s="20" t="s">
        <v>2084</v>
      </c>
      <c r="C862" s="21" t="s">
        <v>1674</v>
      </c>
      <c r="D862" s="20" t="s">
        <v>2072</v>
      </c>
      <c r="E862" s="22" t="s">
        <v>2085</v>
      </c>
      <c r="G862" s="140"/>
      <c r="P862"/>
    </row>
    <row r="863" spans="1:18" ht="26.4">
      <c r="A863" s="19">
        <v>735</v>
      </c>
      <c r="B863" s="20" t="s">
        <v>2086</v>
      </c>
      <c r="C863" s="21" t="s">
        <v>2071</v>
      </c>
      <c r="D863" s="20"/>
      <c r="E863" s="184" t="s">
        <v>2087</v>
      </c>
      <c r="F863" s="91"/>
      <c r="G863" s="18"/>
      <c r="H863" s="18"/>
      <c r="I863" s="18"/>
      <c r="J863" s="18"/>
      <c r="K863" s="18"/>
      <c r="L863" s="18"/>
      <c r="M863" s="18"/>
      <c r="N863" s="18"/>
      <c r="O863" s="18"/>
      <c r="P863"/>
      <c r="Q863" s="18"/>
      <c r="R863" s="18"/>
    </row>
    <row r="864" spans="1:18" ht="26.4">
      <c r="A864" s="19">
        <v>736</v>
      </c>
      <c r="B864" s="20" t="s">
        <v>2088</v>
      </c>
      <c r="C864" s="21" t="s">
        <v>2071</v>
      </c>
      <c r="D864" s="20"/>
      <c r="E864" s="22" t="s">
        <v>2775</v>
      </c>
      <c r="P864"/>
    </row>
    <row r="865" spans="1:18" ht="26.4">
      <c r="A865" s="19"/>
      <c r="B865" s="20" t="s">
        <v>2701</v>
      </c>
      <c r="C865" s="21" t="s">
        <v>2075</v>
      </c>
      <c r="D865" s="20"/>
      <c r="E865" s="22" t="s">
        <v>2079</v>
      </c>
      <c r="P865"/>
    </row>
    <row r="866" spans="1:18" ht="39.6">
      <c r="A866" s="19">
        <v>737</v>
      </c>
      <c r="B866" s="20" t="s">
        <v>2089</v>
      </c>
      <c r="C866" s="21" t="s">
        <v>2071</v>
      </c>
      <c r="D866" s="20"/>
      <c r="E866" s="22" t="s">
        <v>2087</v>
      </c>
      <c r="F866" s="15" t="s">
        <v>2090</v>
      </c>
      <c r="H866" s="1" t="s">
        <v>2091</v>
      </c>
      <c r="I866" s="1">
        <v>1684777372</v>
      </c>
      <c r="K866" s="1">
        <v>4.7</v>
      </c>
      <c r="P866"/>
    </row>
    <row r="867" spans="1:18" ht="52.8">
      <c r="A867" s="19"/>
      <c r="B867" s="20" t="s">
        <v>2829</v>
      </c>
      <c r="C867" s="21" t="s">
        <v>2830</v>
      </c>
      <c r="D867" s="20"/>
      <c r="E867" s="22" t="s">
        <v>2831</v>
      </c>
      <c r="P867"/>
    </row>
    <row r="868" spans="1:18" ht="26.4">
      <c r="A868" s="19">
        <v>738</v>
      </c>
      <c r="B868" s="20" t="s">
        <v>2092</v>
      </c>
      <c r="C868" s="21" t="s">
        <v>2075</v>
      </c>
      <c r="D868" s="20">
        <v>0</v>
      </c>
      <c r="E868" s="20" t="s">
        <v>2069</v>
      </c>
      <c r="P868"/>
    </row>
    <row r="869" spans="1:18" ht="26.4">
      <c r="A869" s="19">
        <v>739</v>
      </c>
      <c r="B869" s="20" t="s">
        <v>2093</v>
      </c>
      <c r="C869" s="21" t="s">
        <v>2094</v>
      </c>
      <c r="D869" s="20"/>
      <c r="E869" s="20" t="s">
        <v>2095</v>
      </c>
      <c r="P869"/>
    </row>
    <row r="870" spans="1:18" ht="52.8">
      <c r="A870" s="19">
        <v>740</v>
      </c>
      <c r="B870" s="20" t="s">
        <v>2096</v>
      </c>
      <c r="C870" s="21" t="s">
        <v>2097</v>
      </c>
      <c r="D870" s="20"/>
      <c r="E870" s="22" t="s">
        <v>2098</v>
      </c>
      <c r="P870"/>
    </row>
    <row r="871" spans="1:18" ht="66">
      <c r="A871" s="19">
        <v>741</v>
      </c>
      <c r="B871" s="20" t="s">
        <v>2099</v>
      </c>
      <c r="C871" s="21" t="s">
        <v>2100</v>
      </c>
      <c r="D871" s="54" t="s">
        <v>2101</v>
      </c>
      <c r="E871" s="22" t="s">
        <v>2102</v>
      </c>
      <c r="P871"/>
    </row>
    <row r="872" spans="1:18" ht="27.6">
      <c r="A872" s="19">
        <v>742</v>
      </c>
      <c r="B872" s="20" t="s">
        <v>2103</v>
      </c>
      <c r="C872" s="21" t="s">
        <v>2104</v>
      </c>
      <c r="D872" s="54"/>
      <c r="E872" s="185" t="s">
        <v>2105</v>
      </c>
      <c r="F872" s="141"/>
      <c r="G872" s="141"/>
      <c r="H872" s="141"/>
      <c r="I872" s="141"/>
      <c r="J872" s="141"/>
      <c r="K872" s="141"/>
      <c r="L872" s="141"/>
      <c r="M872" s="141"/>
      <c r="N872" s="141"/>
      <c r="O872" s="141"/>
      <c r="P872"/>
      <c r="Q872" s="18"/>
      <c r="R872" s="18"/>
    </row>
    <row r="873" spans="1:18" ht="26.4">
      <c r="A873" s="19">
        <v>743</v>
      </c>
      <c r="B873" s="20" t="s">
        <v>2106</v>
      </c>
      <c r="C873" s="21" t="s">
        <v>2104</v>
      </c>
      <c r="D873" s="54"/>
      <c r="E873" s="186" t="s">
        <v>2107</v>
      </c>
      <c r="F873" s="91"/>
      <c r="G873" s="18"/>
      <c r="H873" s="18"/>
      <c r="I873" s="18"/>
      <c r="J873" s="18"/>
      <c r="K873" s="18"/>
      <c r="L873" s="18"/>
      <c r="M873" s="18"/>
      <c r="N873" s="18"/>
      <c r="O873" s="18"/>
      <c r="P873"/>
      <c r="Q873" s="18"/>
      <c r="R873" s="18"/>
    </row>
    <row r="874" spans="1:18" ht="26.4">
      <c r="A874" s="19">
        <v>744</v>
      </c>
      <c r="B874" s="20" t="s">
        <v>2108</v>
      </c>
      <c r="C874" s="21" t="s">
        <v>2104</v>
      </c>
      <c r="D874" s="54"/>
      <c r="E874" s="185" t="s">
        <v>2109</v>
      </c>
      <c r="F874" s="141"/>
      <c r="G874" s="141"/>
      <c r="H874" s="141"/>
      <c r="I874" s="141"/>
      <c r="J874" s="141"/>
      <c r="K874" s="141"/>
      <c r="L874" s="141"/>
      <c r="M874" s="141"/>
      <c r="N874" s="141"/>
      <c r="O874" s="141"/>
      <c r="P874"/>
      <c r="Q874" s="18"/>
      <c r="R874" s="18"/>
    </row>
    <row r="875" spans="1:18" ht="39.6">
      <c r="A875" s="19"/>
      <c r="B875" s="20" t="s">
        <v>2776</v>
      </c>
      <c r="C875" s="21" t="s">
        <v>2777</v>
      </c>
      <c r="D875" s="54"/>
      <c r="E875" s="185"/>
      <c r="F875" s="141"/>
      <c r="G875" s="141"/>
      <c r="H875" s="141"/>
      <c r="I875" s="141"/>
      <c r="J875" s="141"/>
      <c r="K875" s="141"/>
      <c r="L875" s="141"/>
      <c r="M875" s="141"/>
      <c r="N875" s="141"/>
      <c r="O875" s="141"/>
      <c r="P875"/>
      <c r="Q875" s="18"/>
      <c r="R875" s="18"/>
    </row>
    <row r="876" spans="1:18" ht="39.6">
      <c r="A876" s="19"/>
      <c r="B876" s="20" t="s">
        <v>2729</v>
      </c>
      <c r="C876" s="21" t="s">
        <v>2730</v>
      </c>
      <c r="D876" s="54"/>
      <c r="E876" s="185"/>
      <c r="F876" s="141"/>
      <c r="G876" s="141"/>
      <c r="H876" s="141"/>
      <c r="I876" s="141"/>
      <c r="J876" s="141"/>
      <c r="K876" s="141"/>
      <c r="L876" s="141"/>
      <c r="M876" s="141"/>
      <c r="N876" s="141"/>
      <c r="O876" s="141"/>
      <c r="P876"/>
      <c r="Q876" s="18"/>
      <c r="R876" s="18"/>
    </row>
    <row r="877" spans="1:18" ht="66">
      <c r="A877" s="19">
        <v>745</v>
      </c>
      <c r="B877" s="20" t="s">
        <v>2110</v>
      </c>
      <c r="C877" s="21" t="s">
        <v>2100</v>
      </c>
      <c r="D877" s="54"/>
      <c r="E877" s="22" t="s">
        <v>2111</v>
      </c>
      <c r="F877" s="91"/>
      <c r="G877" s="18"/>
      <c r="H877" s="18"/>
      <c r="I877" s="18"/>
      <c r="J877" s="18"/>
      <c r="K877" s="18"/>
      <c r="L877" s="18"/>
      <c r="M877" s="18"/>
      <c r="N877" s="18"/>
      <c r="O877" s="18"/>
      <c r="P877"/>
      <c r="Q877" s="18"/>
      <c r="R877" s="18"/>
    </row>
    <row r="878" spans="1:18" ht="26.4">
      <c r="A878" s="19">
        <v>746</v>
      </c>
      <c r="B878" s="20" t="s">
        <v>2112</v>
      </c>
      <c r="C878" s="21" t="s">
        <v>2113</v>
      </c>
      <c r="D878" s="20"/>
      <c r="E878" s="22" t="s">
        <v>2114</v>
      </c>
      <c r="P878"/>
    </row>
    <row r="879" spans="1:18" ht="26.4">
      <c r="A879" s="19">
        <v>747</v>
      </c>
      <c r="B879" s="20" t="s">
        <v>2115</v>
      </c>
      <c r="C879" s="21" t="s">
        <v>2104</v>
      </c>
      <c r="D879" s="54"/>
      <c r="E879" s="22" t="s">
        <v>2116</v>
      </c>
      <c r="F879" s="91"/>
      <c r="G879" s="18"/>
      <c r="H879" s="18"/>
      <c r="I879" s="18"/>
      <c r="J879" s="18"/>
      <c r="K879" s="18"/>
      <c r="L879" s="18"/>
      <c r="M879" s="18"/>
      <c r="N879" s="18"/>
      <c r="O879" s="18"/>
      <c r="P879"/>
      <c r="Q879" s="18"/>
      <c r="R879" s="18"/>
    </row>
    <row r="880" spans="1:18" ht="26.4">
      <c r="A880" s="19">
        <v>748</v>
      </c>
      <c r="B880" s="48" t="s">
        <v>2117</v>
      </c>
      <c r="C880" s="21" t="s">
        <v>2118</v>
      </c>
      <c r="D880" s="54"/>
      <c r="E880" s="25" t="s">
        <v>2119</v>
      </c>
      <c r="F880" s="95"/>
      <c r="G880" s="95"/>
      <c r="H880" s="111"/>
      <c r="I880" s="67"/>
      <c r="J880" s="94"/>
      <c r="K880" s="94"/>
      <c r="L880" s="94"/>
      <c r="M880" s="94"/>
      <c r="N880" s="94">
        <f>19.5+22.6+(42.1*2)</f>
        <v>126.30000000000001</v>
      </c>
      <c r="O880" s="94"/>
      <c r="P880"/>
      <c r="Q880" s="94"/>
      <c r="R880" s="94"/>
    </row>
    <row r="881" spans="1:18" ht="26.4">
      <c r="A881" s="19">
        <v>749</v>
      </c>
      <c r="B881" s="20" t="s">
        <v>2120</v>
      </c>
      <c r="C881" s="21" t="s">
        <v>2104</v>
      </c>
      <c r="D881" s="20" t="s">
        <v>2101</v>
      </c>
      <c r="E881" s="22" t="s">
        <v>2121</v>
      </c>
      <c r="P881"/>
    </row>
    <row r="882" spans="1:18" ht="52.8">
      <c r="A882" s="19"/>
      <c r="B882" s="20" t="s">
        <v>2694</v>
      </c>
      <c r="C882" s="21" t="s">
        <v>2695</v>
      </c>
      <c r="D882" s="20"/>
      <c r="E882" s="22" t="s">
        <v>2710</v>
      </c>
      <c r="P882"/>
    </row>
    <row r="883" spans="1:18" ht="26.4">
      <c r="A883" s="19">
        <v>750</v>
      </c>
      <c r="B883" s="48" t="s">
        <v>2122</v>
      </c>
      <c r="C883" s="21" t="s">
        <v>2118</v>
      </c>
      <c r="D883" s="54"/>
      <c r="E883" s="25" t="s">
        <v>2123</v>
      </c>
      <c r="F883" s="95"/>
      <c r="G883" s="95"/>
      <c r="H883" s="111"/>
      <c r="I883" s="67"/>
      <c r="J883" s="94"/>
      <c r="K883" s="94"/>
      <c r="L883" s="94"/>
      <c r="M883" s="94"/>
      <c r="N883" s="94"/>
      <c r="O883" s="94"/>
      <c r="P883"/>
      <c r="Q883" s="94"/>
      <c r="R883" s="94"/>
    </row>
    <row r="884" spans="1:18" ht="52.8">
      <c r="A884" s="19">
        <v>751</v>
      </c>
      <c r="B884" s="159" t="s">
        <v>2124</v>
      </c>
      <c r="C884" s="21" t="s">
        <v>2125</v>
      </c>
      <c r="D884" s="20"/>
      <c r="E884" s="22" t="s">
        <v>2126</v>
      </c>
      <c r="P884"/>
    </row>
    <row r="885" spans="1:18" ht="26.4">
      <c r="A885" s="19">
        <v>752</v>
      </c>
      <c r="B885" s="48" t="s">
        <v>2127</v>
      </c>
      <c r="C885" s="21" t="s">
        <v>2118</v>
      </c>
      <c r="D885" s="54"/>
      <c r="E885" s="25" t="s">
        <v>2128</v>
      </c>
      <c r="F885" s="95"/>
      <c r="G885" s="95"/>
      <c r="H885" s="111"/>
      <c r="I885" s="67"/>
      <c r="J885" s="94"/>
      <c r="K885" s="94"/>
      <c r="L885" s="94"/>
      <c r="M885" s="94"/>
      <c r="N885" s="94"/>
      <c r="O885" s="94"/>
      <c r="P885"/>
      <c r="Q885" s="94"/>
      <c r="R885" s="94"/>
    </row>
    <row r="886" spans="1:18" ht="52.8">
      <c r="A886" s="19">
        <v>753</v>
      </c>
      <c r="B886" s="20" t="s">
        <v>2604</v>
      </c>
      <c r="C886" s="21" t="s">
        <v>2129</v>
      </c>
      <c r="D886" s="20" t="s">
        <v>2130</v>
      </c>
      <c r="E886" s="22" t="s">
        <v>2131</v>
      </c>
      <c r="P886"/>
    </row>
    <row r="887" spans="1:18" ht="26.4">
      <c r="A887" s="19">
        <v>754</v>
      </c>
      <c r="B887" s="20" t="s">
        <v>2132</v>
      </c>
      <c r="C887" s="21" t="s">
        <v>2133</v>
      </c>
      <c r="D887" s="20"/>
      <c r="E887" s="22" t="s">
        <v>2134</v>
      </c>
      <c r="P887"/>
    </row>
    <row r="888" spans="1:18" ht="39.6">
      <c r="A888" s="19">
        <v>755</v>
      </c>
      <c r="B888" s="20" t="s">
        <v>2135</v>
      </c>
      <c r="C888" s="21" t="s">
        <v>71</v>
      </c>
      <c r="D888" s="20"/>
      <c r="E888" s="22" t="s">
        <v>2136</v>
      </c>
      <c r="P888"/>
    </row>
    <row r="889" spans="1:18" ht="39.6">
      <c r="A889" s="19">
        <v>756</v>
      </c>
      <c r="B889" s="20" t="s">
        <v>2137</v>
      </c>
      <c r="C889" s="21" t="s">
        <v>71</v>
      </c>
      <c r="D889" s="20"/>
      <c r="E889" s="22" t="s">
        <v>2131</v>
      </c>
      <c r="P889"/>
    </row>
    <row r="890" spans="1:18" ht="39.6">
      <c r="A890" s="19">
        <v>757</v>
      </c>
      <c r="B890" s="20" t="s">
        <v>2138</v>
      </c>
      <c r="C890" s="21" t="s">
        <v>71</v>
      </c>
      <c r="D890" s="20"/>
      <c r="E890" s="42" t="s">
        <v>2139</v>
      </c>
      <c r="P890"/>
    </row>
    <row r="891" spans="1:18" ht="26.4">
      <c r="A891" s="19">
        <v>758</v>
      </c>
      <c r="B891" s="48" t="s">
        <v>2140</v>
      </c>
      <c r="C891" s="21" t="s">
        <v>2118</v>
      </c>
      <c r="D891" s="54"/>
      <c r="E891" s="25" t="s">
        <v>2141</v>
      </c>
      <c r="F891" s="95"/>
      <c r="G891" s="95"/>
      <c r="H891" s="111"/>
      <c r="I891" s="67"/>
      <c r="J891" s="94"/>
      <c r="K891" s="94"/>
      <c r="L891" s="94"/>
      <c r="M891" s="94"/>
      <c r="N891" s="94"/>
      <c r="O891" s="94"/>
      <c r="P891"/>
      <c r="Q891" s="94"/>
      <c r="R891" s="94"/>
    </row>
    <row r="892" spans="1:18" ht="26.4">
      <c r="A892" s="19">
        <v>759</v>
      </c>
      <c r="B892" s="48" t="s">
        <v>2142</v>
      </c>
      <c r="C892" s="21" t="s">
        <v>2118</v>
      </c>
      <c r="D892" s="54"/>
      <c r="E892" s="25" t="s">
        <v>2128</v>
      </c>
      <c r="F892" s="95"/>
      <c r="G892" s="95"/>
      <c r="H892" s="111"/>
      <c r="I892" s="67"/>
      <c r="J892" s="94"/>
      <c r="K892" s="94"/>
      <c r="L892" s="94"/>
      <c r="M892" s="94"/>
      <c r="N892" s="94"/>
      <c r="O892" s="94"/>
      <c r="P892"/>
      <c r="Q892" s="94"/>
      <c r="R892" s="94"/>
    </row>
    <row r="893" spans="1:18" ht="52.8">
      <c r="A893" s="19">
        <v>760</v>
      </c>
      <c r="B893" s="20" t="s">
        <v>2143</v>
      </c>
      <c r="C893" s="21" t="s">
        <v>2144</v>
      </c>
      <c r="D893" s="54"/>
      <c r="E893" s="22" t="s">
        <v>2145</v>
      </c>
      <c r="F893" s="91"/>
      <c r="G893" s="18"/>
      <c r="H893" s="18"/>
      <c r="I893" s="18"/>
      <c r="J893" s="18"/>
      <c r="K893" s="18"/>
      <c r="L893" s="18"/>
      <c r="M893" s="18"/>
      <c r="N893" s="18"/>
      <c r="O893" s="18"/>
      <c r="P893"/>
      <c r="Q893" s="18"/>
      <c r="R893" s="18"/>
    </row>
    <row r="894" spans="1:18" ht="118.8">
      <c r="A894" s="19">
        <v>761</v>
      </c>
      <c r="B894" s="20" t="s">
        <v>2146</v>
      </c>
      <c r="C894" s="21" t="s">
        <v>2147</v>
      </c>
      <c r="D894" s="54"/>
      <c r="E894" s="22" t="s">
        <v>2148</v>
      </c>
      <c r="F894" s="142" t="s">
        <v>2149</v>
      </c>
      <c r="G894" s="18"/>
      <c r="H894" s="18"/>
      <c r="I894" s="18"/>
      <c r="J894" s="18"/>
      <c r="K894" s="18"/>
      <c r="L894" s="18"/>
      <c r="M894" s="18"/>
      <c r="N894" s="18"/>
      <c r="O894" s="18"/>
      <c r="P894"/>
      <c r="Q894" s="18"/>
      <c r="R894" s="18"/>
    </row>
    <row r="895" spans="1:18" ht="52.8">
      <c r="A895" s="19">
        <v>762</v>
      </c>
      <c r="B895" s="20" t="s">
        <v>2150</v>
      </c>
      <c r="C895" s="21" t="s">
        <v>2151</v>
      </c>
      <c r="D895" s="54"/>
      <c r="E895" s="22" t="s">
        <v>2152</v>
      </c>
      <c r="F895" s="91"/>
      <c r="G895" s="18"/>
      <c r="H895" s="18"/>
      <c r="I895" s="18"/>
      <c r="J895" s="18"/>
      <c r="K895" s="18"/>
      <c r="L895" s="18"/>
      <c r="M895" s="18"/>
      <c r="N895" s="18"/>
      <c r="O895" s="18"/>
      <c r="P895"/>
      <c r="Q895" s="18"/>
      <c r="R895" s="18"/>
    </row>
    <row r="896" spans="1:18" ht="79.2">
      <c r="A896" s="19">
        <v>763</v>
      </c>
      <c r="B896" s="20" t="s">
        <v>2153</v>
      </c>
      <c r="C896" s="21" t="s">
        <v>2154</v>
      </c>
      <c r="D896" s="20"/>
      <c r="E896" s="22" t="s">
        <v>2155</v>
      </c>
      <c r="P896"/>
    </row>
    <row r="897" spans="1:18" ht="26.4">
      <c r="A897" s="19">
        <v>764</v>
      </c>
      <c r="B897" s="20" t="s">
        <v>2156</v>
      </c>
      <c r="C897" s="21" t="s">
        <v>2104</v>
      </c>
      <c r="D897" s="54"/>
      <c r="E897" s="187" t="s">
        <v>2157</v>
      </c>
      <c r="F897" s="91"/>
      <c r="G897" s="18"/>
      <c r="H897" s="18"/>
      <c r="I897" s="18"/>
      <c r="J897" s="18"/>
      <c r="K897" s="18"/>
      <c r="L897" s="18"/>
      <c r="M897" s="18"/>
      <c r="N897" s="18"/>
      <c r="O897" s="18"/>
      <c r="P897"/>
      <c r="Q897" s="18"/>
      <c r="R897" s="18"/>
    </row>
    <row r="898" spans="1:18" ht="52.8">
      <c r="A898" s="19">
        <v>765</v>
      </c>
      <c r="B898" s="20" t="s">
        <v>2158</v>
      </c>
      <c r="C898" s="21" t="s">
        <v>2159</v>
      </c>
      <c r="D898" s="20"/>
      <c r="E898" s="22" t="s">
        <v>2160</v>
      </c>
      <c r="P898"/>
    </row>
    <row r="899" spans="1:18" ht="26.4">
      <c r="A899" s="19">
        <v>766</v>
      </c>
      <c r="B899" s="20" t="s">
        <v>2161</v>
      </c>
      <c r="C899" s="21" t="s">
        <v>2162</v>
      </c>
      <c r="D899" s="20"/>
      <c r="E899" s="22"/>
      <c r="P899"/>
    </row>
    <row r="900" spans="1:18" ht="51.6">
      <c r="A900" s="19">
        <v>767</v>
      </c>
      <c r="B900" s="20" t="s">
        <v>2163</v>
      </c>
      <c r="C900" s="119" t="s">
        <v>2164</v>
      </c>
      <c r="D900" s="20"/>
      <c r="E900" s="119" t="s">
        <v>2165</v>
      </c>
      <c r="P900"/>
    </row>
    <row r="901" spans="1:18" ht="26.4">
      <c r="A901" s="19">
        <v>768</v>
      </c>
      <c r="B901" s="20" t="s">
        <v>2166</v>
      </c>
      <c r="C901" s="21" t="s">
        <v>2167</v>
      </c>
      <c r="D901" s="20"/>
      <c r="E901" s="22" t="s">
        <v>2168</v>
      </c>
      <c r="F901" s="91"/>
      <c r="G901" s="18"/>
      <c r="H901" s="18"/>
      <c r="I901" s="18"/>
      <c r="J901" s="18"/>
      <c r="K901" s="18"/>
      <c r="L901" s="18"/>
      <c r="M901" s="18"/>
      <c r="N901" s="18"/>
      <c r="O901" s="18"/>
      <c r="P901"/>
      <c r="Q901" s="18"/>
      <c r="R901" s="18"/>
    </row>
    <row r="902" spans="1:18" ht="26.4">
      <c r="A902" s="19">
        <v>769</v>
      </c>
      <c r="B902" s="188" t="s">
        <v>2169</v>
      </c>
      <c r="C902" s="21" t="s">
        <v>2170</v>
      </c>
      <c r="D902" s="20"/>
      <c r="E902" s="22" t="s">
        <v>2171</v>
      </c>
      <c r="F902" s="91"/>
      <c r="G902" s="18"/>
      <c r="H902" s="18"/>
      <c r="I902" s="18"/>
      <c r="J902" s="18"/>
      <c r="K902" s="18"/>
      <c r="L902" s="18"/>
      <c r="M902" s="18"/>
      <c r="N902" s="18"/>
      <c r="O902" s="18"/>
      <c r="P902"/>
      <c r="Q902" s="18"/>
      <c r="R902" s="18"/>
    </row>
    <row r="903" spans="1:18" ht="66">
      <c r="A903" s="19">
        <v>770</v>
      </c>
      <c r="B903" s="20" t="s">
        <v>2172</v>
      </c>
      <c r="C903" s="21" t="s">
        <v>2173</v>
      </c>
      <c r="D903" s="20"/>
      <c r="E903" s="22" t="s">
        <v>2174</v>
      </c>
      <c r="P903"/>
    </row>
    <row r="904" spans="1:18" ht="39.6">
      <c r="A904" s="19">
        <v>771</v>
      </c>
      <c r="B904" s="20" t="s">
        <v>2175</v>
      </c>
      <c r="C904" s="21" t="s">
        <v>2176</v>
      </c>
      <c r="D904" s="20"/>
      <c r="E904" s="22" t="s">
        <v>2177</v>
      </c>
      <c r="F904" s="143" t="s">
        <v>2178</v>
      </c>
      <c r="G904" s="18"/>
      <c r="H904" s="18"/>
      <c r="I904" s="18"/>
      <c r="J904" s="18"/>
      <c r="K904" s="18"/>
      <c r="L904" s="18"/>
      <c r="M904" s="18"/>
      <c r="N904" s="18"/>
      <c r="O904" s="18"/>
      <c r="P904"/>
      <c r="Q904" s="18"/>
      <c r="R904" s="18"/>
    </row>
    <row r="905" spans="1:18" ht="52.8">
      <c r="A905" s="19">
        <v>772</v>
      </c>
      <c r="B905" s="20" t="s">
        <v>2179</v>
      </c>
      <c r="C905" s="21" t="s">
        <v>2889</v>
      </c>
      <c r="D905" s="20"/>
      <c r="E905" s="22" t="s">
        <v>2180</v>
      </c>
      <c r="P905"/>
    </row>
    <row r="906" spans="1:18" ht="39.6">
      <c r="A906" s="19">
        <v>773</v>
      </c>
      <c r="B906" s="20" t="s">
        <v>2181</v>
      </c>
      <c r="C906" s="21" t="s">
        <v>2182</v>
      </c>
      <c r="D906" s="20"/>
      <c r="E906" s="22" t="s">
        <v>2183</v>
      </c>
      <c r="P906"/>
    </row>
    <row r="907" spans="1:18" ht="39.6">
      <c r="A907" s="19">
        <v>774</v>
      </c>
      <c r="B907" s="20" t="s">
        <v>2184</v>
      </c>
      <c r="C907" s="21" t="s">
        <v>2182</v>
      </c>
      <c r="D907" s="20" t="s">
        <v>328</v>
      </c>
      <c r="E907" s="22" t="s">
        <v>2183</v>
      </c>
      <c r="P907"/>
    </row>
    <row r="908" spans="1:18" ht="39.6">
      <c r="A908" s="19">
        <v>775</v>
      </c>
      <c r="B908" s="20" t="s">
        <v>2185</v>
      </c>
      <c r="C908" s="21" t="s">
        <v>124</v>
      </c>
      <c r="D908" s="20"/>
      <c r="E908" s="22" t="s">
        <v>2186</v>
      </c>
      <c r="P908"/>
    </row>
    <row r="909" spans="1:18" ht="52.8">
      <c r="A909" s="19">
        <v>776</v>
      </c>
      <c r="B909" s="20" t="s">
        <v>2187</v>
      </c>
      <c r="C909" s="21" t="s">
        <v>2188</v>
      </c>
      <c r="D909" s="20" t="s">
        <v>626</v>
      </c>
      <c r="E909" s="22" t="s">
        <v>2189</v>
      </c>
      <c r="P909"/>
    </row>
    <row r="910" spans="1:18" ht="66">
      <c r="A910" s="19">
        <v>777</v>
      </c>
      <c r="B910" s="73" t="s">
        <v>2190</v>
      </c>
      <c r="C910" s="21" t="s">
        <v>2191</v>
      </c>
      <c r="D910" s="20"/>
      <c r="E910" s="76" t="s">
        <v>2192</v>
      </c>
      <c r="F910" s="103"/>
      <c r="G910" s="18"/>
      <c r="H910" s="18"/>
      <c r="I910" s="18"/>
      <c r="J910" s="18"/>
      <c r="K910" s="18"/>
      <c r="L910" s="18"/>
      <c r="M910" s="18"/>
      <c r="N910" s="18"/>
      <c r="O910" s="18"/>
      <c r="P910"/>
      <c r="Q910" s="18"/>
      <c r="R910" s="18"/>
    </row>
    <row r="911" spans="1:18" ht="39.6">
      <c r="A911" s="19">
        <v>778</v>
      </c>
      <c r="B911" s="20" t="s">
        <v>2193</v>
      </c>
      <c r="C911" s="21" t="s">
        <v>2194</v>
      </c>
      <c r="D911" s="20"/>
      <c r="E911" s="22" t="s">
        <v>2195</v>
      </c>
      <c r="F911" s="91"/>
      <c r="G911" s="18"/>
      <c r="H911" s="18"/>
      <c r="I911" s="18"/>
      <c r="J911" s="18"/>
      <c r="K911" s="18"/>
      <c r="L911" s="18"/>
      <c r="M911" s="18"/>
      <c r="N911" s="18"/>
      <c r="O911" s="18"/>
      <c r="P911"/>
      <c r="Q911" s="18"/>
      <c r="R911" s="18"/>
    </row>
    <row r="912" spans="1:18" ht="26.4">
      <c r="A912" s="19">
        <v>779</v>
      </c>
      <c r="B912" s="20" t="s">
        <v>2196</v>
      </c>
      <c r="C912" s="21" t="s">
        <v>2197</v>
      </c>
      <c r="D912" s="20">
        <v>0</v>
      </c>
      <c r="E912" s="22" t="s">
        <v>2198</v>
      </c>
      <c r="P912"/>
    </row>
    <row r="913" spans="1:16" ht="26.4">
      <c r="A913" s="19">
        <v>780</v>
      </c>
      <c r="B913" s="20" t="s">
        <v>2199</v>
      </c>
      <c r="C913" s="21" t="s">
        <v>2197</v>
      </c>
      <c r="D913" s="20" t="s">
        <v>2200</v>
      </c>
      <c r="E913" s="22" t="s">
        <v>2201</v>
      </c>
      <c r="P913"/>
    </row>
    <row r="914" spans="1:16" ht="52.8">
      <c r="A914" s="19">
        <v>781</v>
      </c>
      <c r="B914" s="20" t="s">
        <v>2202</v>
      </c>
      <c r="C914" s="21" t="s">
        <v>2203</v>
      </c>
      <c r="D914" s="20"/>
      <c r="E914" s="22"/>
      <c r="P914"/>
    </row>
    <row r="915" spans="1:16" ht="132">
      <c r="A915" s="19">
        <v>782</v>
      </c>
      <c r="B915" s="20" t="s">
        <v>2204</v>
      </c>
      <c r="C915" s="21" t="s">
        <v>2205</v>
      </c>
      <c r="D915" s="20"/>
      <c r="E915" s="22" t="s">
        <v>2206</v>
      </c>
      <c r="P915"/>
    </row>
    <row r="916" spans="1:16" ht="39.6">
      <c r="A916" s="19">
        <v>783</v>
      </c>
      <c r="B916" s="20" t="s">
        <v>2207</v>
      </c>
      <c r="C916" s="21" t="s">
        <v>2208</v>
      </c>
      <c r="D916" s="20" t="s">
        <v>2209</v>
      </c>
      <c r="E916" s="189" t="s">
        <v>2210</v>
      </c>
      <c r="P916"/>
    </row>
    <row r="917" spans="1:16" ht="39.6">
      <c r="A917" s="19">
        <v>784</v>
      </c>
      <c r="B917" s="20" t="s">
        <v>2211</v>
      </c>
      <c r="C917" s="21" t="s">
        <v>2212</v>
      </c>
      <c r="D917" s="20" t="s">
        <v>2213</v>
      </c>
      <c r="E917" s="190" t="s">
        <v>2214</v>
      </c>
      <c r="P917"/>
    </row>
    <row r="918" spans="1:16" ht="39.6">
      <c r="A918" s="19">
        <v>785</v>
      </c>
      <c r="B918" s="20" t="s">
        <v>2215</v>
      </c>
      <c r="C918" s="21" t="s">
        <v>2216</v>
      </c>
      <c r="D918" s="20"/>
      <c r="E918" s="22" t="s">
        <v>2217</v>
      </c>
      <c r="P918"/>
    </row>
    <row r="919" spans="1:16" ht="39.6">
      <c r="A919" s="19">
        <v>786</v>
      </c>
      <c r="B919" s="20" t="s">
        <v>2218</v>
      </c>
      <c r="C919" s="21" t="s">
        <v>2216</v>
      </c>
      <c r="D919" s="20"/>
      <c r="E919" s="22" t="s">
        <v>2219</v>
      </c>
      <c r="P919"/>
    </row>
    <row r="920" spans="1:16" ht="52.8">
      <c r="A920" s="19">
        <v>787</v>
      </c>
      <c r="B920" s="20" t="s">
        <v>2220</v>
      </c>
      <c r="C920" s="21" t="s">
        <v>2221</v>
      </c>
      <c r="D920" s="20" t="s">
        <v>535</v>
      </c>
      <c r="E920" s="21" t="s">
        <v>2222</v>
      </c>
      <c r="P920"/>
    </row>
    <row r="921" spans="1:16" ht="39.6">
      <c r="A921" s="19">
        <v>788</v>
      </c>
      <c r="B921" s="20" t="s">
        <v>2223</v>
      </c>
      <c r="C921" s="21" t="s">
        <v>2224</v>
      </c>
      <c r="D921" s="20"/>
      <c r="E921" s="22" t="s">
        <v>2225</v>
      </c>
      <c r="P921"/>
    </row>
    <row r="922" spans="1:16" ht="39.6">
      <c r="A922" s="19">
        <v>789</v>
      </c>
      <c r="B922" s="20" t="s">
        <v>2226</v>
      </c>
      <c r="C922" s="21" t="s">
        <v>2227</v>
      </c>
      <c r="D922" s="20"/>
      <c r="E922" s="22" t="s">
        <v>2228</v>
      </c>
      <c r="P922"/>
    </row>
    <row r="923" spans="1:16" ht="79.2">
      <c r="A923" s="19">
        <v>790</v>
      </c>
      <c r="B923" s="20" t="s">
        <v>2229</v>
      </c>
      <c r="C923" s="21" t="s">
        <v>2230</v>
      </c>
      <c r="D923" s="20"/>
      <c r="E923" s="22" t="s">
        <v>2231</v>
      </c>
      <c r="P923"/>
    </row>
    <row r="924" spans="1:16" ht="26.4">
      <c r="A924" s="19">
        <v>791</v>
      </c>
      <c r="B924" s="20" t="s">
        <v>2232</v>
      </c>
      <c r="C924" s="21" t="s">
        <v>2233</v>
      </c>
      <c r="D924" s="20" t="s">
        <v>166</v>
      </c>
      <c r="E924" s="22" t="s">
        <v>2234</v>
      </c>
      <c r="P924"/>
    </row>
    <row r="925" spans="1:16" ht="66">
      <c r="A925" s="19">
        <v>792</v>
      </c>
      <c r="B925" s="191" t="s">
        <v>2235</v>
      </c>
      <c r="C925" s="21" t="s">
        <v>2236</v>
      </c>
      <c r="D925" s="20" t="s">
        <v>2237</v>
      </c>
      <c r="E925" s="22" t="s">
        <v>2238</v>
      </c>
      <c r="P925"/>
    </row>
    <row r="926" spans="1:16" ht="79.2">
      <c r="A926" s="19">
        <v>793</v>
      </c>
      <c r="B926" s="20" t="s">
        <v>2239</v>
      </c>
      <c r="C926" s="21" t="s">
        <v>2240</v>
      </c>
      <c r="D926" s="20"/>
      <c r="E926" s="22" t="s">
        <v>2241</v>
      </c>
      <c r="P926"/>
    </row>
    <row r="927" spans="1:16" ht="39.6">
      <c r="A927" s="19"/>
      <c r="B927" s="20" t="s">
        <v>2608</v>
      </c>
      <c r="C927" s="21" t="s">
        <v>2609</v>
      </c>
      <c r="D927" s="20"/>
      <c r="E927" s="22"/>
      <c r="P927"/>
    </row>
    <row r="928" spans="1:16" ht="52.8">
      <c r="A928" s="19"/>
      <c r="B928" s="20" t="s">
        <v>2849</v>
      </c>
      <c r="C928" s="21" t="s">
        <v>2695</v>
      </c>
      <c r="D928" s="20"/>
      <c r="E928" s="22" t="s">
        <v>2850</v>
      </c>
      <c r="P928"/>
    </row>
    <row r="929" spans="1:18" ht="66">
      <c r="A929" s="19"/>
      <c r="B929" s="20" t="s">
        <v>3613</v>
      </c>
      <c r="C929" s="21" t="s">
        <v>3612</v>
      </c>
      <c r="D929" s="20"/>
      <c r="E929" s="22" t="s">
        <v>3614</v>
      </c>
      <c r="P929"/>
    </row>
    <row r="930" spans="1:18" ht="52.8">
      <c r="A930" s="19"/>
      <c r="B930" s="20" t="s">
        <v>2847</v>
      </c>
      <c r="C930" s="21" t="s">
        <v>2848</v>
      </c>
      <c r="D930" s="20"/>
      <c r="E930" s="22"/>
      <c r="P930"/>
    </row>
    <row r="931" spans="1:18" ht="92.4">
      <c r="A931" s="19">
        <v>794</v>
      </c>
      <c r="B931" s="20" t="s">
        <v>2242</v>
      </c>
      <c r="C931" s="28" t="s">
        <v>2243</v>
      </c>
      <c r="D931" s="20"/>
      <c r="E931" s="22" t="s">
        <v>2244</v>
      </c>
      <c r="P931"/>
    </row>
    <row r="932" spans="1:18" ht="52.8">
      <c r="A932" s="19">
        <v>795</v>
      </c>
      <c r="B932" s="20" t="s">
        <v>2245</v>
      </c>
      <c r="C932" s="21" t="s">
        <v>2246</v>
      </c>
      <c r="D932" s="20" t="s">
        <v>2247</v>
      </c>
      <c r="E932" s="22" t="s">
        <v>2248</v>
      </c>
      <c r="P932"/>
    </row>
    <row r="933" spans="1:18" ht="39.6">
      <c r="A933" s="19">
        <v>796</v>
      </c>
      <c r="B933" s="20" t="s">
        <v>2249</v>
      </c>
      <c r="C933" s="27" t="s">
        <v>2250</v>
      </c>
      <c r="D933" s="20"/>
      <c r="E933" s="22" t="s">
        <v>2251</v>
      </c>
      <c r="P933"/>
    </row>
    <row r="934" spans="1:18" ht="39.6">
      <c r="A934" s="19"/>
      <c r="B934" s="20" t="s">
        <v>2906</v>
      </c>
      <c r="C934" s="27" t="s">
        <v>2907</v>
      </c>
      <c r="D934" s="20"/>
      <c r="E934" s="22" t="s">
        <v>2908</v>
      </c>
      <c r="P934"/>
    </row>
    <row r="935" spans="1:18" ht="52.8">
      <c r="A935" s="19">
        <v>797</v>
      </c>
      <c r="B935" s="20" t="s">
        <v>2252</v>
      </c>
      <c r="C935" s="21" t="s">
        <v>2253</v>
      </c>
      <c r="D935" s="20" t="s">
        <v>2046</v>
      </c>
      <c r="E935" s="22" t="s">
        <v>2048</v>
      </c>
      <c r="F935" s="91"/>
      <c r="G935" s="18"/>
      <c r="H935" s="18"/>
      <c r="I935" s="18"/>
      <c r="J935" s="18"/>
      <c r="K935" s="18"/>
      <c r="L935" s="18"/>
      <c r="M935" s="18"/>
      <c r="N935" s="18"/>
      <c r="O935" s="18"/>
      <c r="P935"/>
      <c r="Q935" s="18"/>
      <c r="R935" s="18"/>
    </row>
    <row r="936" spans="1:18" ht="26.4">
      <c r="A936" s="19">
        <v>798</v>
      </c>
      <c r="B936" s="20" t="s">
        <v>2254</v>
      </c>
      <c r="C936" s="21" t="s">
        <v>2255</v>
      </c>
      <c r="D936" s="20"/>
      <c r="E936" s="22" t="s">
        <v>2256</v>
      </c>
      <c r="P936"/>
    </row>
    <row r="937" spans="1:18" ht="26.4">
      <c r="A937" s="19">
        <v>799</v>
      </c>
      <c r="B937" s="20" t="s">
        <v>2257</v>
      </c>
      <c r="C937" s="21" t="s">
        <v>2258</v>
      </c>
      <c r="D937" s="20"/>
      <c r="E937" s="22" t="s">
        <v>2259</v>
      </c>
      <c r="F937" s="91"/>
      <c r="G937" s="18"/>
      <c r="H937" s="18"/>
      <c r="I937" s="18"/>
      <c r="J937" s="18"/>
      <c r="K937" s="18"/>
      <c r="L937" s="18"/>
      <c r="M937" s="18"/>
      <c r="N937" s="18"/>
      <c r="O937" s="18"/>
      <c r="P937"/>
      <c r="Q937" s="18"/>
      <c r="R937" s="18"/>
    </row>
    <row r="938" spans="1:18" ht="39.6">
      <c r="A938" s="19">
        <v>800</v>
      </c>
      <c r="B938" s="20" t="s">
        <v>2260</v>
      </c>
      <c r="C938" s="21" t="s">
        <v>2261</v>
      </c>
      <c r="D938" s="20"/>
      <c r="E938" s="21" t="s">
        <v>2262</v>
      </c>
      <c r="F938" s="91"/>
      <c r="G938" s="18"/>
      <c r="H938" s="18"/>
      <c r="I938" s="18"/>
      <c r="J938" s="18"/>
      <c r="K938" s="18"/>
      <c r="L938" s="18"/>
      <c r="M938" s="18"/>
      <c r="N938" s="18"/>
      <c r="O938" s="18"/>
      <c r="P938"/>
      <c r="Q938" s="18"/>
      <c r="R938" s="18"/>
    </row>
    <row r="939" spans="1:18" ht="39.6">
      <c r="A939" s="19">
        <v>801</v>
      </c>
      <c r="B939" s="20" t="s">
        <v>2263</v>
      </c>
      <c r="C939" s="21" t="s">
        <v>1260</v>
      </c>
      <c r="D939" s="20"/>
      <c r="E939" s="22" t="s">
        <v>2264</v>
      </c>
      <c r="F939" s="103"/>
      <c r="G939" s="18"/>
      <c r="H939" s="18"/>
      <c r="I939" s="18"/>
      <c r="J939" s="18"/>
      <c r="K939" s="18"/>
      <c r="L939" s="18"/>
      <c r="M939" s="18"/>
      <c r="N939" s="18"/>
      <c r="O939" s="18"/>
      <c r="P939"/>
      <c r="Q939" s="18"/>
      <c r="R939" s="18"/>
    </row>
    <row r="940" spans="1:18" ht="39.6">
      <c r="A940" s="19">
        <v>802</v>
      </c>
      <c r="B940" s="20" t="s">
        <v>2263</v>
      </c>
      <c r="C940" s="21" t="s">
        <v>2265</v>
      </c>
      <c r="D940" s="20"/>
      <c r="E940" s="22"/>
      <c r="F940" s="91"/>
      <c r="G940" s="18"/>
      <c r="H940" s="18"/>
      <c r="I940" s="18"/>
      <c r="J940" s="18"/>
      <c r="K940" s="18"/>
      <c r="L940" s="18"/>
      <c r="M940" s="18"/>
      <c r="N940" s="18"/>
      <c r="O940" s="18"/>
      <c r="P940"/>
      <c r="Q940" s="18"/>
      <c r="R940" s="18"/>
    </row>
    <row r="941" spans="1:18" ht="66">
      <c r="A941" s="19">
        <v>803</v>
      </c>
      <c r="B941" s="20" t="s">
        <v>2266</v>
      </c>
      <c r="C941" s="21" t="s">
        <v>2267</v>
      </c>
      <c r="D941" s="21"/>
      <c r="E941" s="22" t="s">
        <v>2268</v>
      </c>
      <c r="F941" s="91"/>
      <c r="G941" s="18"/>
      <c r="H941" s="18"/>
      <c r="I941" s="18"/>
      <c r="J941" s="18"/>
      <c r="K941" s="18"/>
      <c r="L941" s="18"/>
      <c r="M941" s="18"/>
      <c r="N941" s="18"/>
      <c r="O941" s="18"/>
      <c r="P941"/>
      <c r="Q941" s="18"/>
      <c r="R941" s="18"/>
    </row>
    <row r="942" spans="1:18" ht="52.8">
      <c r="A942" s="19">
        <v>804</v>
      </c>
      <c r="B942" s="20" t="s">
        <v>2269</v>
      </c>
      <c r="C942" s="21" t="s">
        <v>2270</v>
      </c>
      <c r="D942" s="20" t="s">
        <v>2271</v>
      </c>
      <c r="E942" s="22" t="s">
        <v>2272</v>
      </c>
      <c r="P942"/>
    </row>
    <row r="943" spans="1:18" ht="18">
      <c r="A943" s="19">
        <v>805</v>
      </c>
      <c r="B943" s="20" t="s">
        <v>2273</v>
      </c>
      <c r="C943" s="192" t="s">
        <v>2274</v>
      </c>
      <c r="D943" s="20"/>
      <c r="E943" s="193" t="s">
        <v>2275</v>
      </c>
      <c r="F943" s="91"/>
      <c r="G943" s="18"/>
      <c r="H943" s="18"/>
      <c r="I943" s="18"/>
      <c r="J943" s="18"/>
      <c r="K943" s="18"/>
      <c r="L943" s="18"/>
      <c r="M943" s="18"/>
      <c r="N943" s="18"/>
      <c r="O943" s="18"/>
      <c r="P943"/>
      <c r="Q943" s="18"/>
      <c r="R943" s="18"/>
    </row>
    <row r="944" spans="1:18" ht="39.6">
      <c r="A944" s="19">
        <v>806</v>
      </c>
      <c r="B944" s="20" t="s">
        <v>2276</v>
      </c>
      <c r="C944" s="21" t="s">
        <v>2277</v>
      </c>
      <c r="D944" s="20"/>
      <c r="E944" s="22" t="s">
        <v>2278</v>
      </c>
      <c r="F944" s="91"/>
      <c r="G944" t="s">
        <v>2279</v>
      </c>
      <c r="H944" s="18"/>
      <c r="I944" s="18"/>
      <c r="J944" s="18"/>
      <c r="K944" s="18"/>
      <c r="L944" s="18"/>
      <c r="M944" s="18"/>
      <c r="N944" s="18"/>
      <c r="O944" s="18"/>
      <c r="P944"/>
      <c r="Q944" s="18"/>
      <c r="R944" s="18"/>
    </row>
    <row r="945" spans="1:18" ht="52.8">
      <c r="A945" s="19">
        <v>807</v>
      </c>
      <c r="B945" s="20" t="s">
        <v>2280</v>
      </c>
      <c r="C945" s="21" t="s">
        <v>2281</v>
      </c>
      <c r="D945" s="20"/>
      <c r="E945" s="22" t="s">
        <v>2282</v>
      </c>
      <c r="F945" s="91"/>
      <c r="G945" s="18"/>
      <c r="H945" s="18"/>
      <c r="I945" s="18"/>
      <c r="J945" s="18"/>
      <c r="K945" s="18"/>
      <c r="L945" s="18"/>
      <c r="M945" s="18"/>
      <c r="N945" s="18"/>
      <c r="O945" s="18"/>
      <c r="P945"/>
      <c r="Q945" s="18"/>
      <c r="R945" s="18"/>
    </row>
    <row r="946" spans="1:18" ht="52.8">
      <c r="A946" s="19">
        <v>808</v>
      </c>
      <c r="B946" s="20" t="s">
        <v>2283</v>
      </c>
      <c r="C946" s="21" t="s">
        <v>2284</v>
      </c>
      <c r="D946" s="20"/>
      <c r="E946" s="22" t="s">
        <v>2285</v>
      </c>
      <c r="F946" s="91"/>
      <c r="G946" s="18"/>
      <c r="H946" s="18"/>
      <c r="I946" s="18"/>
      <c r="J946" s="18"/>
      <c r="K946" s="18"/>
      <c r="L946" s="18"/>
      <c r="M946" s="18"/>
      <c r="N946" s="18"/>
      <c r="O946" s="18"/>
      <c r="P946"/>
      <c r="Q946" s="18"/>
      <c r="R946" s="18"/>
    </row>
    <row r="947" spans="1:18" ht="39.6">
      <c r="A947" s="19">
        <v>809</v>
      </c>
      <c r="B947" s="20" t="s">
        <v>2286</v>
      </c>
      <c r="C947" s="21" t="s">
        <v>2287</v>
      </c>
      <c r="D947" s="20"/>
      <c r="E947" s="22" t="s">
        <v>2288</v>
      </c>
      <c r="P947"/>
    </row>
    <row r="948" spans="1:18" ht="79.2">
      <c r="A948" s="19">
        <v>810</v>
      </c>
      <c r="B948" s="20" t="s">
        <v>2289</v>
      </c>
      <c r="C948" s="21" t="s">
        <v>2290</v>
      </c>
      <c r="D948" s="20"/>
      <c r="E948" s="22"/>
      <c r="P948"/>
    </row>
    <row r="949" spans="1:18" ht="93">
      <c r="A949" s="19">
        <v>811</v>
      </c>
      <c r="B949" s="20" t="s">
        <v>2291</v>
      </c>
      <c r="C949" s="161" t="s">
        <v>2292</v>
      </c>
      <c r="D949" s="20"/>
      <c r="E949" s="22" t="s">
        <v>2679</v>
      </c>
      <c r="P949"/>
    </row>
    <row r="950" spans="1:18" ht="66">
      <c r="A950" s="19"/>
      <c r="B950" s="20" t="s">
        <v>2832</v>
      </c>
      <c r="C950" s="236" t="s">
        <v>2820</v>
      </c>
      <c r="D950" s="20"/>
      <c r="E950" s="22"/>
      <c r="P950"/>
    </row>
    <row r="951" spans="1:18" ht="66">
      <c r="A951" s="19">
        <v>812</v>
      </c>
      <c r="B951" s="20" t="s">
        <v>2293</v>
      </c>
      <c r="C951" s="21" t="s">
        <v>2294</v>
      </c>
      <c r="D951" s="20"/>
      <c r="E951" s="22" t="s">
        <v>2295</v>
      </c>
      <c r="P951"/>
    </row>
    <row r="952" spans="1:18" ht="39.6">
      <c r="A952" s="19">
        <v>813</v>
      </c>
      <c r="B952" s="20" t="s">
        <v>2296</v>
      </c>
      <c r="C952" s="21" t="s">
        <v>2297</v>
      </c>
      <c r="D952" s="20" t="s">
        <v>2101</v>
      </c>
      <c r="E952" s="22" t="s">
        <v>2298</v>
      </c>
      <c r="F952" s="131" t="s">
        <v>151</v>
      </c>
      <c r="P952"/>
    </row>
    <row r="953" spans="1:18" ht="69">
      <c r="A953" s="19">
        <v>814</v>
      </c>
      <c r="B953" s="20" t="s">
        <v>2299</v>
      </c>
      <c r="C953" s="194" t="s">
        <v>2300</v>
      </c>
      <c r="D953" s="20" t="s">
        <v>2101</v>
      </c>
      <c r="E953" s="195" t="s">
        <v>2301</v>
      </c>
      <c r="P953"/>
    </row>
    <row r="954" spans="1:18" ht="27">
      <c r="A954" s="19">
        <v>815</v>
      </c>
      <c r="B954" s="20" t="s">
        <v>2302</v>
      </c>
      <c r="C954" s="21" t="s">
        <v>2303</v>
      </c>
      <c r="D954" s="20"/>
      <c r="E954" s="196" t="s">
        <v>2304</v>
      </c>
      <c r="P954"/>
    </row>
    <row r="955" spans="1:18" ht="75">
      <c r="A955" s="19">
        <v>816</v>
      </c>
      <c r="B955" s="20" t="s">
        <v>2598</v>
      </c>
      <c r="C955" s="183" t="s">
        <v>2950</v>
      </c>
      <c r="D955" s="20" t="s">
        <v>3015</v>
      </c>
      <c r="E955" s="22" t="s">
        <v>2725</v>
      </c>
      <c r="P955"/>
    </row>
    <row r="956" spans="1:18" ht="45">
      <c r="A956" s="19"/>
      <c r="B956" s="20" t="s">
        <v>2706</v>
      </c>
      <c r="C956" s="183" t="s">
        <v>2707</v>
      </c>
      <c r="D956" s="20"/>
      <c r="E956" s="22"/>
      <c r="P956"/>
    </row>
    <row r="957" spans="1:18" ht="60">
      <c r="A957" s="19"/>
      <c r="B957" s="20" t="s">
        <v>2599</v>
      </c>
      <c r="C957" s="183" t="s">
        <v>2600</v>
      </c>
      <c r="D957" s="20"/>
      <c r="E957" s="22"/>
      <c r="P957"/>
    </row>
    <row r="958" spans="1:18" ht="66">
      <c r="A958" s="19">
        <v>817</v>
      </c>
      <c r="B958" s="20" t="s">
        <v>2305</v>
      </c>
      <c r="C958" s="21" t="s">
        <v>2306</v>
      </c>
      <c r="D958" s="20"/>
      <c r="E958" s="22"/>
      <c r="P958"/>
    </row>
    <row r="959" spans="1:18" ht="53.4">
      <c r="A959" s="19">
        <v>818</v>
      </c>
      <c r="B959" s="20" t="s">
        <v>2307</v>
      </c>
      <c r="C959" s="50" t="s">
        <v>2308</v>
      </c>
      <c r="D959" s="20"/>
      <c r="E959" s="22"/>
      <c r="P959"/>
    </row>
    <row r="960" spans="1:18" ht="66">
      <c r="A960" s="19">
        <v>819</v>
      </c>
      <c r="B960" s="20" t="s">
        <v>2309</v>
      </c>
      <c r="C960" s="21" t="s">
        <v>2310</v>
      </c>
      <c r="D960" s="20"/>
      <c r="E960" s="22" t="s">
        <v>2311</v>
      </c>
      <c r="P960"/>
    </row>
    <row r="961" spans="1:18" ht="39.6">
      <c r="A961" s="19">
        <v>820</v>
      </c>
      <c r="B961" s="20" t="s">
        <v>2312</v>
      </c>
      <c r="C961" s="21" t="s">
        <v>2313</v>
      </c>
      <c r="D961" s="20"/>
      <c r="E961" s="28" t="s">
        <v>2314</v>
      </c>
      <c r="F961" s="91"/>
      <c r="G961" s="18"/>
      <c r="H961" s="18"/>
      <c r="I961" s="18"/>
      <c r="J961" s="18"/>
      <c r="K961" s="18"/>
      <c r="L961" s="18"/>
      <c r="M961" s="18"/>
      <c r="N961" s="18"/>
      <c r="O961" s="18"/>
      <c r="P961"/>
      <c r="Q961" s="18"/>
      <c r="R961" s="18"/>
    </row>
    <row r="962" spans="1:18" ht="66">
      <c r="A962" s="19">
        <v>821</v>
      </c>
      <c r="B962" s="20" t="s">
        <v>2315</v>
      </c>
      <c r="C962" s="21" t="s">
        <v>2316</v>
      </c>
      <c r="D962" s="20"/>
      <c r="E962" s="22" t="s">
        <v>2317</v>
      </c>
      <c r="G962" s="18"/>
      <c r="P962"/>
    </row>
    <row r="963" spans="1:18" ht="66">
      <c r="A963" s="19">
        <v>822</v>
      </c>
      <c r="B963" s="20" t="s">
        <v>2318</v>
      </c>
      <c r="C963" s="21" t="s">
        <v>2319</v>
      </c>
      <c r="D963" s="20"/>
      <c r="E963" s="22" t="s">
        <v>2320</v>
      </c>
      <c r="P963"/>
    </row>
    <row r="964" spans="1:18" ht="39.6">
      <c r="A964" s="19">
        <v>823</v>
      </c>
      <c r="B964" s="20" t="s">
        <v>2321</v>
      </c>
      <c r="C964" s="21" t="s">
        <v>2322</v>
      </c>
      <c r="D964" s="20"/>
      <c r="E964" s="22" t="s">
        <v>2323</v>
      </c>
      <c r="F964" s="103"/>
      <c r="G964" s="18"/>
      <c r="H964" s="18"/>
      <c r="I964" s="18"/>
      <c r="J964" s="18"/>
      <c r="K964" s="18"/>
      <c r="L964" s="18"/>
      <c r="M964" s="18"/>
      <c r="N964" s="18"/>
      <c r="O964" s="18"/>
      <c r="P964"/>
      <c r="Q964" s="18"/>
      <c r="R964" s="18"/>
    </row>
    <row r="965" spans="1:18" ht="53.4">
      <c r="A965" s="19">
        <v>824</v>
      </c>
      <c r="B965" s="20" t="s">
        <v>2324</v>
      </c>
      <c r="C965" s="50" t="s">
        <v>2325</v>
      </c>
      <c r="D965" s="20"/>
      <c r="E965" s="128"/>
      <c r="P965"/>
    </row>
    <row r="966" spans="1:18" ht="52.8">
      <c r="A966" s="19">
        <v>825</v>
      </c>
      <c r="B966" s="20" t="s">
        <v>2326</v>
      </c>
      <c r="C966" s="21" t="s">
        <v>2327</v>
      </c>
      <c r="D966" s="20"/>
      <c r="E966" s="22" t="s">
        <v>2328</v>
      </c>
      <c r="P966"/>
    </row>
    <row r="967" spans="1:18" ht="52.8">
      <c r="A967" s="19">
        <v>826</v>
      </c>
      <c r="B967" s="20" t="s">
        <v>2329</v>
      </c>
      <c r="C967" s="21" t="s">
        <v>2330</v>
      </c>
      <c r="D967" s="20" t="s">
        <v>2955</v>
      </c>
      <c r="E967" s="22" t="s">
        <v>2331</v>
      </c>
      <c r="P967"/>
    </row>
    <row r="968" spans="1:18" ht="39.6">
      <c r="A968" s="19">
        <v>827</v>
      </c>
      <c r="B968" s="20" t="s">
        <v>2332</v>
      </c>
      <c r="C968" s="21" t="s">
        <v>2333</v>
      </c>
      <c r="D968" s="20"/>
      <c r="E968" s="22"/>
      <c r="P968"/>
    </row>
    <row r="969" spans="1:18" ht="52.8">
      <c r="A969" s="19">
        <v>828</v>
      </c>
      <c r="B969" s="20" t="s">
        <v>2334</v>
      </c>
      <c r="C969" s="21" t="s">
        <v>2335</v>
      </c>
      <c r="D969" s="20"/>
      <c r="E969" s="22"/>
      <c r="P969"/>
    </row>
    <row r="970" spans="1:18" ht="52.8">
      <c r="A970" s="19">
        <v>829</v>
      </c>
      <c r="B970" s="20" t="s">
        <v>2336</v>
      </c>
      <c r="C970" s="21" t="s">
        <v>2971</v>
      </c>
      <c r="D970" s="20"/>
      <c r="E970" s="22" t="s">
        <v>2337</v>
      </c>
      <c r="P970"/>
    </row>
    <row r="971" spans="1:18" ht="39.6">
      <c r="A971" s="19">
        <v>830</v>
      </c>
      <c r="B971" s="20" t="s">
        <v>2338</v>
      </c>
      <c r="C971" s="28" t="s">
        <v>2339</v>
      </c>
      <c r="D971" s="43"/>
      <c r="E971" s="43"/>
      <c r="F971" s="144"/>
      <c r="G971" s="144"/>
      <c r="H971" s="144"/>
      <c r="I971" s="144"/>
      <c r="J971" s="144"/>
      <c r="K971" s="144"/>
      <c r="L971" s="144"/>
      <c r="M971" s="144"/>
      <c r="N971" s="144"/>
      <c r="O971" s="144"/>
      <c r="P971"/>
    </row>
    <row r="972" spans="1:18" ht="93">
      <c r="A972" s="19">
        <v>831</v>
      </c>
      <c r="B972" s="20" t="s">
        <v>2340</v>
      </c>
      <c r="C972" s="197" t="s">
        <v>2341</v>
      </c>
      <c r="D972" s="20" t="s">
        <v>2342</v>
      </c>
      <c r="E972" s="197" t="s">
        <v>2343</v>
      </c>
      <c r="P972"/>
    </row>
    <row r="973" spans="1:18" ht="39.6">
      <c r="A973" s="19">
        <v>832</v>
      </c>
      <c r="B973" s="20" t="s">
        <v>2344</v>
      </c>
      <c r="C973" s="21" t="s">
        <v>2345</v>
      </c>
      <c r="D973" s="20"/>
      <c r="E973" s="22" t="s">
        <v>2346</v>
      </c>
      <c r="P973"/>
    </row>
    <row r="974" spans="1:18" ht="52.8">
      <c r="A974" s="19">
        <v>833</v>
      </c>
      <c r="B974" s="20" t="s">
        <v>2347</v>
      </c>
      <c r="C974" s="21" t="s">
        <v>2348</v>
      </c>
      <c r="D974" s="20" t="s">
        <v>2349</v>
      </c>
      <c r="E974" s="22" t="s">
        <v>2350</v>
      </c>
      <c r="P974"/>
    </row>
    <row r="975" spans="1:18" ht="39.6">
      <c r="A975" s="19">
        <v>834</v>
      </c>
      <c r="B975" s="20" t="s">
        <v>2351</v>
      </c>
      <c r="C975" s="21" t="s">
        <v>2348</v>
      </c>
      <c r="D975" s="20"/>
      <c r="E975" s="56" t="s">
        <v>2352</v>
      </c>
      <c r="P975"/>
    </row>
    <row r="976" spans="1:18" ht="39.6">
      <c r="A976" s="19">
        <v>835</v>
      </c>
      <c r="B976" s="20" t="s">
        <v>2682</v>
      </c>
      <c r="C976" s="21" t="s">
        <v>2354</v>
      </c>
      <c r="D976" s="20"/>
      <c r="E976" s="198" t="s">
        <v>2355</v>
      </c>
      <c r="P976"/>
    </row>
    <row r="977" spans="1:18" ht="52.8">
      <c r="A977" s="19"/>
      <c r="B977" s="20" t="s">
        <v>2353</v>
      </c>
      <c r="C977" s="21" t="s">
        <v>2683</v>
      </c>
      <c r="D977" s="20"/>
      <c r="E977" s="198" t="s">
        <v>2684</v>
      </c>
      <c r="P977"/>
    </row>
    <row r="978" spans="1:18" ht="52.8">
      <c r="A978" s="19"/>
      <c r="B978" s="20" t="s">
        <v>2675</v>
      </c>
      <c r="C978" s="21" t="s">
        <v>2676</v>
      </c>
      <c r="D978" s="20"/>
      <c r="E978" s="198"/>
      <c r="P978"/>
    </row>
    <row r="979" spans="1:18" ht="66">
      <c r="A979" s="19">
        <v>836</v>
      </c>
      <c r="B979" s="176" t="s">
        <v>2356</v>
      </c>
      <c r="C979" s="21" t="s">
        <v>2357</v>
      </c>
      <c r="D979" s="20"/>
      <c r="E979" s="22" t="s">
        <v>2358</v>
      </c>
      <c r="P979"/>
    </row>
    <row r="980" spans="1:18" ht="52.8">
      <c r="A980" s="19">
        <v>837</v>
      </c>
      <c r="B980" s="20" t="s">
        <v>2359</v>
      </c>
      <c r="C980" s="21" t="s">
        <v>2360</v>
      </c>
      <c r="D980" s="20"/>
      <c r="E980" s="22" t="s">
        <v>2361</v>
      </c>
      <c r="F980" s="91"/>
      <c r="G980" s="18"/>
      <c r="H980" s="18"/>
      <c r="I980" s="18"/>
      <c r="J980" s="18"/>
      <c r="K980" s="18"/>
      <c r="L980" s="18"/>
      <c r="M980" s="18"/>
      <c r="N980" s="18"/>
      <c r="O980" s="18"/>
      <c r="P980"/>
      <c r="Q980" s="18"/>
      <c r="R980" s="18"/>
    </row>
    <row r="981" spans="1:18" ht="39.6">
      <c r="A981" s="19">
        <v>838</v>
      </c>
      <c r="B981" s="20" t="s">
        <v>2362</v>
      </c>
      <c r="C981" s="21" t="s">
        <v>2363</v>
      </c>
      <c r="D981" s="54"/>
      <c r="E981" s="185" t="s">
        <v>2364</v>
      </c>
      <c r="F981" s="141"/>
      <c r="G981" s="141"/>
      <c r="H981" s="141"/>
      <c r="I981" s="141"/>
      <c r="J981" s="141"/>
      <c r="K981" s="141"/>
      <c r="L981" s="141"/>
      <c r="M981" s="141"/>
      <c r="N981" s="141"/>
      <c r="O981" s="141"/>
      <c r="P981"/>
      <c r="Q981" s="18"/>
      <c r="R981" s="18"/>
    </row>
    <row r="982" spans="1:18" ht="39.6">
      <c r="A982" s="19">
        <v>839</v>
      </c>
      <c r="B982" s="20" t="s">
        <v>2365</v>
      </c>
      <c r="C982" s="21" t="s">
        <v>2366</v>
      </c>
      <c r="D982" s="20"/>
      <c r="E982" s="22" t="s">
        <v>2367</v>
      </c>
      <c r="P982"/>
    </row>
    <row r="983" spans="1:18" ht="39.6">
      <c r="A983" s="19">
        <v>840</v>
      </c>
      <c r="B983" s="116" t="s">
        <v>2368</v>
      </c>
      <c r="C983" s="115" t="s">
        <v>2369</v>
      </c>
      <c r="D983" s="116"/>
      <c r="E983" s="117" t="s">
        <v>2370</v>
      </c>
      <c r="P983"/>
    </row>
    <row r="984" spans="1:18" ht="39.6">
      <c r="A984" s="19">
        <v>841</v>
      </c>
      <c r="B984" s="20" t="s">
        <v>2371</v>
      </c>
      <c r="C984" s="21" t="s">
        <v>2372</v>
      </c>
      <c r="D984" s="20"/>
      <c r="E984" s="22" t="s">
        <v>2373</v>
      </c>
      <c r="F984" s="91"/>
      <c r="G984" s="18"/>
      <c r="H984" s="18"/>
      <c r="I984" s="18"/>
      <c r="J984" s="18"/>
      <c r="K984" s="18"/>
      <c r="L984" s="18"/>
      <c r="M984" s="18"/>
      <c r="N984" s="18"/>
      <c r="O984" s="18"/>
      <c r="P984"/>
      <c r="Q984" s="18"/>
      <c r="R984" s="18"/>
    </row>
    <row r="985" spans="1:18" ht="52.8">
      <c r="A985" s="19">
        <v>842</v>
      </c>
      <c r="B985" s="20" t="s">
        <v>2374</v>
      </c>
      <c r="C985" s="21" t="s">
        <v>2375</v>
      </c>
      <c r="D985" s="20"/>
      <c r="E985" s="199" t="s">
        <v>2376</v>
      </c>
      <c r="P985"/>
    </row>
    <row r="986" spans="1:18" ht="53.4">
      <c r="A986" s="19">
        <v>843</v>
      </c>
      <c r="B986" s="20" t="s">
        <v>2377</v>
      </c>
      <c r="C986" s="50" t="s">
        <v>2378</v>
      </c>
      <c r="D986" s="20"/>
      <c r="E986" s="22" t="s">
        <v>2379</v>
      </c>
      <c r="P986"/>
    </row>
    <row r="987" spans="1:18" ht="79.2">
      <c r="A987" s="19">
        <v>844</v>
      </c>
      <c r="B987" s="20" t="s">
        <v>2380</v>
      </c>
      <c r="C987" s="28" t="s">
        <v>2594</v>
      </c>
      <c r="D987" s="43"/>
      <c r="E987" s="44"/>
      <c r="F987" s="144"/>
      <c r="G987" s="144"/>
      <c r="H987" s="144"/>
      <c r="I987" s="144"/>
      <c r="J987" s="144"/>
      <c r="K987" s="144"/>
      <c r="L987" s="144"/>
      <c r="M987" s="144"/>
      <c r="N987" s="144"/>
      <c r="O987" s="144"/>
      <c r="P987"/>
      <c r="Q987" s="144"/>
    </row>
    <row r="988" spans="1:18" ht="79.2">
      <c r="A988" s="19"/>
      <c r="B988" s="20" t="s">
        <v>2670</v>
      </c>
      <c r="C988" s="28" t="s">
        <v>2594</v>
      </c>
      <c r="D988" s="43"/>
      <c r="E988" s="44"/>
      <c r="F988" s="144"/>
      <c r="G988" s="144"/>
      <c r="H988" s="144"/>
      <c r="I988" s="144"/>
      <c r="J988" s="144"/>
      <c r="K988" s="144"/>
      <c r="L988" s="144"/>
      <c r="M988" s="144"/>
      <c r="N988" s="144"/>
      <c r="O988" s="144"/>
      <c r="P988"/>
      <c r="Q988" s="144"/>
    </row>
    <row r="989" spans="1:18" ht="66">
      <c r="A989" s="19">
        <v>845</v>
      </c>
      <c r="B989" s="20" t="s">
        <v>2720</v>
      </c>
      <c r="C989" s="21" t="s">
        <v>2719</v>
      </c>
      <c r="D989" s="20"/>
      <c r="E989" s="22" t="s">
        <v>2721</v>
      </c>
      <c r="P989"/>
    </row>
    <row r="990" spans="1:18" ht="52.8">
      <c r="A990" s="19">
        <v>846</v>
      </c>
      <c r="B990" s="20" t="s">
        <v>2381</v>
      </c>
      <c r="C990" s="21" t="s">
        <v>2382</v>
      </c>
      <c r="D990" s="20"/>
      <c r="E990" s="22" t="s">
        <v>2383</v>
      </c>
      <c r="P990"/>
    </row>
    <row r="991" spans="1:18" ht="52.8">
      <c r="A991" s="19">
        <v>847</v>
      </c>
      <c r="B991" s="20" t="s">
        <v>2384</v>
      </c>
      <c r="C991" s="21" t="s">
        <v>2385</v>
      </c>
      <c r="D991" s="20"/>
      <c r="E991" s="199"/>
      <c r="P991"/>
    </row>
    <row r="992" spans="1:18" ht="39.6">
      <c r="A992" s="19">
        <v>848</v>
      </c>
      <c r="B992" s="20" t="s">
        <v>2386</v>
      </c>
      <c r="C992" s="21" t="s">
        <v>2387</v>
      </c>
      <c r="D992" s="20" t="s">
        <v>166</v>
      </c>
      <c r="E992" s="22" t="s">
        <v>2388</v>
      </c>
      <c r="P992"/>
    </row>
    <row r="993" spans="1:18" ht="26.4">
      <c r="A993" s="19">
        <v>849</v>
      </c>
      <c r="B993" s="20" t="s">
        <v>2389</v>
      </c>
      <c r="C993" s="21" t="s">
        <v>2390</v>
      </c>
      <c r="D993" s="20"/>
      <c r="E993" s="22" t="s">
        <v>2391</v>
      </c>
      <c r="F993" s="91"/>
      <c r="G993" s="18"/>
      <c r="H993" s="18"/>
      <c r="I993" s="18"/>
      <c r="J993" s="18"/>
      <c r="K993" s="18"/>
      <c r="L993" s="18"/>
      <c r="M993" s="18"/>
      <c r="N993" s="18"/>
      <c r="O993" s="18"/>
      <c r="P993"/>
      <c r="Q993" s="18"/>
      <c r="R993" s="18"/>
    </row>
    <row r="994" spans="1:18" ht="79.2">
      <c r="A994" s="19"/>
      <c r="B994" s="20" t="s">
        <v>432</v>
      </c>
      <c r="C994" s="21" t="s">
        <v>433</v>
      </c>
      <c r="D994" s="20" t="s">
        <v>3002</v>
      </c>
      <c r="E994" s="22"/>
      <c r="F994" s="91"/>
      <c r="G994" s="18"/>
      <c r="H994" s="18"/>
      <c r="I994" s="18"/>
      <c r="J994" s="18"/>
      <c r="K994" s="18"/>
      <c r="L994" s="18"/>
      <c r="M994" s="18"/>
      <c r="N994" s="18"/>
      <c r="O994" s="18"/>
      <c r="P994"/>
      <c r="Q994" s="18"/>
      <c r="R994" s="18"/>
    </row>
    <row r="995" spans="1:18" ht="52.8">
      <c r="A995" s="19">
        <v>850</v>
      </c>
      <c r="B995" s="20" t="s">
        <v>2392</v>
      </c>
      <c r="C995" s="21" t="s">
        <v>2393</v>
      </c>
      <c r="D995" s="20"/>
      <c r="E995" s="22"/>
      <c r="F995" s="91"/>
      <c r="G995" s="18"/>
      <c r="H995" s="18"/>
      <c r="I995" s="18"/>
      <c r="J995" s="18"/>
      <c r="K995" s="18"/>
      <c r="L995" s="18"/>
      <c r="M995" s="18"/>
      <c r="N995" s="18"/>
      <c r="O995" s="18"/>
      <c r="P995"/>
      <c r="Q995" s="18"/>
      <c r="R995" s="18"/>
    </row>
    <row r="996" spans="1:18" ht="39.6">
      <c r="A996" s="19">
        <v>851</v>
      </c>
      <c r="B996" s="20" t="s">
        <v>2394</v>
      </c>
      <c r="C996" s="21" t="s">
        <v>2395</v>
      </c>
      <c r="D996" s="20"/>
      <c r="E996" s="22"/>
      <c r="F996" s="91"/>
      <c r="G996" s="18"/>
      <c r="H996" s="18"/>
      <c r="I996" s="18"/>
      <c r="J996" s="18"/>
      <c r="K996" s="18"/>
      <c r="L996" s="18"/>
      <c r="M996" s="18"/>
      <c r="N996" s="18"/>
      <c r="O996" s="18"/>
      <c r="P996"/>
      <c r="Q996" s="18"/>
      <c r="R996" s="18"/>
    </row>
    <row r="997" spans="1:18" ht="52.8">
      <c r="A997" s="19">
        <v>852</v>
      </c>
      <c r="B997" s="20" t="s">
        <v>2396</v>
      </c>
      <c r="C997" s="21" t="s">
        <v>2397</v>
      </c>
      <c r="D997" s="20"/>
      <c r="E997" s="22" t="s">
        <v>2398</v>
      </c>
      <c r="P997"/>
    </row>
    <row r="998" spans="1:18" ht="26.4">
      <c r="A998" s="19">
        <v>853</v>
      </c>
      <c r="B998" s="20" t="s">
        <v>2752</v>
      </c>
      <c r="C998" s="21" t="s">
        <v>1319</v>
      </c>
      <c r="D998" s="20"/>
      <c r="E998" s="22" t="s">
        <v>2399</v>
      </c>
      <c r="P998"/>
    </row>
    <row r="999" spans="1:18" ht="26.4">
      <c r="A999" s="19">
        <v>854</v>
      </c>
      <c r="B999" s="20" t="s">
        <v>2400</v>
      </c>
      <c r="C999" s="21" t="s">
        <v>1319</v>
      </c>
      <c r="D999" s="20"/>
      <c r="E999" s="22" t="s">
        <v>2401</v>
      </c>
      <c r="P999"/>
    </row>
    <row r="1000" spans="1:18" ht="39.6">
      <c r="A1000" s="19">
        <v>855</v>
      </c>
      <c r="B1000" s="188" t="s">
        <v>2402</v>
      </c>
      <c r="C1000" s="21" t="s">
        <v>2403</v>
      </c>
      <c r="D1000" s="20"/>
      <c r="E1000" s="29" t="s">
        <v>2404</v>
      </c>
      <c r="F1000" s="103"/>
      <c r="G1000" s="18"/>
      <c r="H1000" s="18"/>
      <c r="I1000" s="18"/>
      <c r="J1000" s="18"/>
      <c r="K1000" s="18"/>
      <c r="L1000" s="18"/>
      <c r="M1000" s="18"/>
      <c r="N1000" s="18"/>
      <c r="O1000" s="18"/>
      <c r="P1000"/>
      <c r="Q1000" s="18"/>
      <c r="R1000" s="18"/>
    </row>
    <row r="1001" spans="1:18" ht="26.4">
      <c r="A1001" s="19">
        <v>856</v>
      </c>
      <c r="B1001" s="20" t="s">
        <v>2405</v>
      </c>
      <c r="C1001" s="21" t="s">
        <v>2406</v>
      </c>
      <c r="D1001" s="20"/>
      <c r="E1001" s="22" t="s">
        <v>2407</v>
      </c>
      <c r="P1001"/>
    </row>
    <row r="1002" spans="1:18" ht="53.4">
      <c r="A1002" s="19">
        <v>857</v>
      </c>
      <c r="B1002" s="20" t="s">
        <v>2408</v>
      </c>
      <c r="C1002" s="164" t="s">
        <v>2409</v>
      </c>
      <c r="D1002" s="20"/>
      <c r="E1002" s="165" t="s">
        <v>2410</v>
      </c>
      <c r="P1002"/>
    </row>
    <row r="1003" spans="1:18" ht="158.4">
      <c r="A1003" s="19"/>
      <c r="B1003" s="20" t="s">
        <v>2835</v>
      </c>
      <c r="C1003" s="269" t="s">
        <v>2838</v>
      </c>
      <c r="D1003" s="20" t="s">
        <v>2957</v>
      </c>
      <c r="E1003" s="165"/>
      <c r="P1003"/>
    </row>
    <row r="1004" spans="1:18" ht="52.8">
      <c r="A1004" s="19">
        <v>858</v>
      </c>
      <c r="B1004" s="20" t="s">
        <v>2411</v>
      </c>
      <c r="C1004" s="21" t="s">
        <v>2412</v>
      </c>
      <c r="D1004" s="20"/>
      <c r="E1004" s="187" t="s">
        <v>2413</v>
      </c>
      <c r="P1004"/>
    </row>
    <row r="1005" spans="1:18" ht="39.6">
      <c r="A1005" s="19">
        <v>859</v>
      </c>
      <c r="B1005" s="20" t="s">
        <v>2414</v>
      </c>
      <c r="C1005" s="21" t="s">
        <v>2415</v>
      </c>
      <c r="D1005" s="20"/>
      <c r="E1005" s="22" t="s">
        <v>2416</v>
      </c>
      <c r="P1005"/>
    </row>
    <row r="1006" spans="1:18" ht="52.8">
      <c r="A1006" s="19">
        <v>860</v>
      </c>
      <c r="B1006" s="20" t="s">
        <v>2417</v>
      </c>
      <c r="C1006" s="21" t="s">
        <v>2418</v>
      </c>
      <c r="D1006" s="20"/>
      <c r="E1006" s="22" t="s">
        <v>2419</v>
      </c>
      <c r="F1006" s="91"/>
      <c r="G1006" s="18"/>
      <c r="H1006" s="18"/>
      <c r="I1006" s="18"/>
      <c r="J1006" s="18"/>
      <c r="K1006" s="18"/>
      <c r="L1006" s="18"/>
      <c r="M1006" s="18"/>
      <c r="N1006" s="18"/>
      <c r="O1006" s="18"/>
      <c r="P1006"/>
      <c r="Q1006" s="18"/>
      <c r="R1006" s="18"/>
    </row>
    <row r="1007" spans="1:18" ht="79.2">
      <c r="A1007" s="19">
        <v>861</v>
      </c>
      <c r="B1007" s="20" t="s">
        <v>2420</v>
      </c>
      <c r="C1007" s="21" t="s">
        <v>203</v>
      </c>
      <c r="D1007" s="20"/>
      <c r="E1007" s="22" t="s">
        <v>2421</v>
      </c>
      <c r="F1007" s="91"/>
      <c r="G1007" s="18"/>
      <c r="H1007" s="18"/>
      <c r="I1007" s="18"/>
      <c r="J1007" s="18"/>
      <c r="K1007" s="18"/>
      <c r="L1007" s="18"/>
      <c r="M1007" s="18"/>
      <c r="N1007" s="18"/>
      <c r="O1007" s="18"/>
      <c r="P1007"/>
      <c r="Q1007" s="18"/>
      <c r="R1007" s="18"/>
    </row>
    <row r="1008" spans="1:18" ht="39.6">
      <c r="A1008" s="19">
        <v>862</v>
      </c>
      <c r="B1008" s="20" t="s">
        <v>2422</v>
      </c>
      <c r="C1008" s="21" t="s">
        <v>2423</v>
      </c>
      <c r="D1008" s="20" t="s">
        <v>626</v>
      </c>
      <c r="E1008" s="22" t="s">
        <v>2424</v>
      </c>
      <c r="P1008"/>
    </row>
    <row r="1009" spans="1:18" ht="52.8">
      <c r="A1009" s="19">
        <v>863</v>
      </c>
      <c r="B1009" s="20" t="s">
        <v>2425</v>
      </c>
      <c r="C1009" s="21" t="s">
        <v>2426</v>
      </c>
      <c r="D1009" s="20"/>
      <c r="E1009" s="22" t="s">
        <v>2427</v>
      </c>
      <c r="P1009"/>
    </row>
    <row r="1010" spans="1:18" ht="66">
      <c r="A1010" s="19">
        <v>864</v>
      </c>
      <c r="B1010" s="20" t="s">
        <v>2428</v>
      </c>
      <c r="C1010" s="21" t="s">
        <v>2429</v>
      </c>
      <c r="D1010" s="20" t="s">
        <v>2430</v>
      </c>
      <c r="E1010" s="200" t="s">
        <v>2741</v>
      </c>
      <c r="P1010"/>
    </row>
    <row r="1011" spans="1:18" ht="52.8">
      <c r="A1011" s="19">
        <v>865</v>
      </c>
      <c r="B1011" s="20" t="s">
        <v>2431</v>
      </c>
      <c r="C1011" s="21" t="s">
        <v>2333</v>
      </c>
      <c r="D1011" s="20"/>
      <c r="E1011" s="22" t="s">
        <v>2432</v>
      </c>
      <c r="F1011" s="103"/>
      <c r="G1011" s="18"/>
      <c r="H1011" s="18" t="s">
        <v>2433</v>
      </c>
      <c r="I1011" s="18"/>
      <c r="J1011" s="18"/>
      <c r="K1011" s="18"/>
      <c r="L1011" s="18"/>
      <c r="M1011" s="18"/>
      <c r="N1011" s="18"/>
      <c r="O1011" s="18"/>
      <c r="P1011"/>
      <c r="Q1011" s="18"/>
      <c r="R1011" s="18"/>
    </row>
    <row r="1012" spans="1:18" ht="79.2">
      <c r="A1012" s="19">
        <v>866</v>
      </c>
      <c r="B1012" s="20" t="s">
        <v>2434</v>
      </c>
      <c r="C1012" s="21" t="s">
        <v>2435</v>
      </c>
      <c r="D1012" s="20" t="s">
        <v>664</v>
      </c>
      <c r="E1012" s="22" t="s">
        <v>2436</v>
      </c>
      <c r="P1012"/>
    </row>
    <row r="1013" spans="1:18" ht="66">
      <c r="A1013" s="19">
        <v>867</v>
      </c>
      <c r="B1013" s="20" t="s">
        <v>2437</v>
      </c>
      <c r="C1013" s="21" t="s">
        <v>2438</v>
      </c>
      <c r="D1013" s="20" t="s">
        <v>2439</v>
      </c>
      <c r="E1013" s="22" t="s">
        <v>2440</v>
      </c>
      <c r="P1013"/>
    </row>
    <row r="1014" spans="1:18" ht="93">
      <c r="A1014" s="19">
        <v>868</v>
      </c>
      <c r="B1014" s="20" t="s">
        <v>2441</v>
      </c>
      <c r="C1014" s="50" t="s">
        <v>308</v>
      </c>
      <c r="D1014" s="20"/>
      <c r="E1014" s="22" t="s">
        <v>2442</v>
      </c>
      <c r="P1014"/>
    </row>
    <row r="1015" spans="1:18" ht="39.6">
      <c r="A1015" s="19">
        <v>869</v>
      </c>
      <c r="B1015" s="20" t="s">
        <v>2443</v>
      </c>
      <c r="C1015" s="21" t="s">
        <v>2444</v>
      </c>
      <c r="D1015" s="20"/>
      <c r="E1015" s="22"/>
      <c r="P1015"/>
    </row>
    <row r="1016" spans="1:18" ht="52.8">
      <c r="A1016" s="19">
        <v>870</v>
      </c>
      <c r="B1016" s="20" t="s">
        <v>2445</v>
      </c>
      <c r="C1016" s="21" t="s">
        <v>2446</v>
      </c>
      <c r="D1016" s="20"/>
      <c r="E1016" s="22" t="s">
        <v>2447</v>
      </c>
      <c r="P1016"/>
    </row>
    <row r="1017" spans="1:18" ht="52.8">
      <c r="A1017" s="19">
        <v>871</v>
      </c>
      <c r="B1017" s="20" t="s">
        <v>2448</v>
      </c>
      <c r="C1017" s="21" t="s">
        <v>2449</v>
      </c>
      <c r="D1017" s="20"/>
      <c r="E1017" s="22" t="s">
        <v>2450</v>
      </c>
      <c r="P1017"/>
    </row>
    <row r="1018" spans="1:18" ht="66">
      <c r="A1018" s="19">
        <v>872</v>
      </c>
      <c r="B1018" s="20" t="s">
        <v>2451</v>
      </c>
      <c r="C1018" s="21" t="s">
        <v>2452</v>
      </c>
      <c r="D1018" s="20"/>
      <c r="E1018" s="22" t="s">
        <v>2453</v>
      </c>
      <c r="P1018"/>
    </row>
    <row r="1019" spans="1:18" ht="26.4">
      <c r="A1019" s="19">
        <v>873</v>
      </c>
      <c r="B1019" s="20" t="s">
        <v>2454</v>
      </c>
      <c r="C1019" s="21" t="s">
        <v>2455</v>
      </c>
      <c r="D1019" s="20" t="s">
        <v>518</v>
      </c>
      <c r="E1019" s="22" t="s">
        <v>2456</v>
      </c>
      <c r="P1019"/>
    </row>
    <row r="1020" spans="1:18" ht="66.599999999999994">
      <c r="A1020" s="19">
        <v>874</v>
      </c>
      <c r="B1020" s="20" t="s">
        <v>2457</v>
      </c>
      <c r="C1020" s="201" t="s">
        <v>2458</v>
      </c>
      <c r="D1020" s="20"/>
      <c r="E1020" s="202" t="s">
        <v>2459</v>
      </c>
      <c r="P1020"/>
    </row>
    <row r="1021" spans="1:18" ht="39.6">
      <c r="A1021" s="19">
        <v>875</v>
      </c>
      <c r="B1021" s="20" t="s">
        <v>2726</v>
      </c>
      <c r="C1021" s="21" t="s">
        <v>2460</v>
      </c>
      <c r="D1021" s="20"/>
      <c r="E1021" s="22" t="s">
        <v>2461</v>
      </c>
      <c r="F1021" s="131" t="s">
        <v>151</v>
      </c>
      <c r="P1021"/>
    </row>
    <row r="1022" spans="1:18" ht="79.2">
      <c r="A1022" s="19">
        <v>876</v>
      </c>
      <c r="B1022" s="20" t="s">
        <v>2462</v>
      </c>
      <c r="C1022" s="21" t="s">
        <v>2463</v>
      </c>
      <c r="D1022" s="20"/>
      <c r="E1022" s="22" t="s">
        <v>2464</v>
      </c>
      <c r="P1022"/>
    </row>
    <row r="1023" spans="1:18" ht="26.4">
      <c r="A1023" s="19">
        <v>877</v>
      </c>
      <c r="B1023" s="20" t="s">
        <v>2465</v>
      </c>
      <c r="C1023" s="21" t="s">
        <v>2466</v>
      </c>
      <c r="D1023" s="20"/>
      <c r="E1023" s="184" t="s">
        <v>2467</v>
      </c>
      <c r="F1023" s="91"/>
      <c r="G1023" s="18"/>
      <c r="H1023" s="18"/>
      <c r="I1023" s="18"/>
      <c r="J1023" s="18"/>
      <c r="K1023" s="18"/>
      <c r="L1023" s="18"/>
      <c r="M1023" s="18"/>
      <c r="N1023" s="18"/>
      <c r="O1023" s="18"/>
      <c r="P1023"/>
      <c r="Q1023" s="18"/>
      <c r="R1023" s="18"/>
    </row>
    <row r="1024" spans="1:18" ht="66">
      <c r="A1024" s="19"/>
      <c r="B1024" s="20" t="s">
        <v>2722</v>
      </c>
      <c r="C1024" s="21" t="s">
        <v>2723</v>
      </c>
      <c r="D1024" s="20"/>
      <c r="E1024" s="184" t="s">
        <v>2724</v>
      </c>
      <c r="F1024" s="91"/>
      <c r="G1024" s="18"/>
      <c r="H1024" s="18"/>
      <c r="I1024" s="18"/>
      <c r="J1024" s="18"/>
      <c r="K1024" s="18"/>
      <c r="L1024" s="18"/>
      <c r="M1024" s="18"/>
      <c r="N1024" s="18"/>
      <c r="O1024" s="18"/>
      <c r="P1024"/>
      <c r="Q1024" s="18"/>
      <c r="R1024" s="18"/>
    </row>
    <row r="1025" spans="1:18" ht="39.6">
      <c r="A1025" s="19">
        <v>878</v>
      </c>
      <c r="B1025" s="20" t="s">
        <v>2468</v>
      </c>
      <c r="C1025" s="21" t="s">
        <v>2469</v>
      </c>
      <c r="D1025" s="20"/>
      <c r="E1025" s="22" t="s">
        <v>2470</v>
      </c>
      <c r="P1025"/>
    </row>
    <row r="1026" spans="1:18" ht="52.8">
      <c r="A1026" s="19">
        <v>879</v>
      </c>
      <c r="B1026" s="20" t="s">
        <v>2471</v>
      </c>
      <c r="C1026" s="21" t="s">
        <v>2472</v>
      </c>
      <c r="D1026" s="20"/>
      <c r="E1026" s="22" t="s">
        <v>2473</v>
      </c>
      <c r="P1026"/>
    </row>
    <row r="1027" spans="1:18" ht="79.2">
      <c r="A1027" s="19"/>
      <c r="B1027" s="20" t="s">
        <v>2727</v>
      </c>
      <c r="C1027" s="21" t="s">
        <v>2728</v>
      </c>
      <c r="D1027" s="20" t="s">
        <v>2953</v>
      </c>
      <c r="E1027" s="22"/>
      <c r="P1027"/>
    </row>
    <row r="1028" spans="1:18" ht="52.8">
      <c r="A1028" s="19">
        <v>880</v>
      </c>
      <c r="B1028" s="20" t="s">
        <v>2474</v>
      </c>
      <c r="C1028" s="27" t="s">
        <v>2475</v>
      </c>
      <c r="D1028" s="20" t="s">
        <v>2476</v>
      </c>
      <c r="E1028" s="163" t="s">
        <v>2477</v>
      </c>
      <c r="H1028" s="1" t="s">
        <v>2433</v>
      </c>
      <c r="P1028"/>
    </row>
    <row r="1029" spans="1:18" ht="79.2">
      <c r="A1029" s="19">
        <v>881</v>
      </c>
      <c r="B1029" s="20" t="s">
        <v>2478</v>
      </c>
      <c r="C1029" s="21" t="s">
        <v>2479</v>
      </c>
      <c r="D1029" s="20" t="s">
        <v>626</v>
      </c>
      <c r="E1029" s="22" t="s">
        <v>2480</v>
      </c>
      <c r="P1029"/>
    </row>
    <row r="1030" spans="1:18" ht="66">
      <c r="A1030" s="19"/>
      <c r="B1030" s="20" t="s">
        <v>2735</v>
      </c>
      <c r="C1030" s="21" t="s">
        <v>2736</v>
      </c>
      <c r="D1030" s="20"/>
      <c r="E1030" s="22"/>
      <c r="P1030"/>
    </row>
    <row r="1031" spans="1:18" ht="39.6">
      <c r="A1031" s="19">
        <v>882</v>
      </c>
      <c r="B1031" s="20" t="s">
        <v>2481</v>
      </c>
      <c r="C1031" s="21" t="s">
        <v>2482</v>
      </c>
      <c r="D1031" s="20" t="s">
        <v>2483</v>
      </c>
      <c r="E1031" s="22" t="s">
        <v>2484</v>
      </c>
      <c r="P1031"/>
    </row>
    <row r="1032" spans="1:18" ht="66">
      <c r="A1032" s="19">
        <v>883</v>
      </c>
      <c r="B1032" s="20" t="s">
        <v>2485</v>
      </c>
      <c r="C1032" s="21" t="s">
        <v>2482</v>
      </c>
      <c r="D1032" s="20" t="s">
        <v>2486</v>
      </c>
      <c r="E1032" s="22" t="s">
        <v>2484</v>
      </c>
      <c r="P1032"/>
    </row>
    <row r="1033" spans="1:18" ht="52.8">
      <c r="A1033" s="19">
        <v>884</v>
      </c>
      <c r="B1033" s="20" t="s">
        <v>2487</v>
      </c>
      <c r="C1033" s="21" t="s">
        <v>2488</v>
      </c>
      <c r="D1033" s="20"/>
      <c r="E1033" s="22" t="s">
        <v>2489</v>
      </c>
      <c r="P1033"/>
    </row>
    <row r="1034" spans="1:18" ht="105.6">
      <c r="A1034" s="19">
        <v>885</v>
      </c>
      <c r="B1034" s="20" t="s">
        <v>2490</v>
      </c>
      <c r="C1034" s="21" t="s">
        <v>2491</v>
      </c>
      <c r="D1034" s="20" t="s">
        <v>2963</v>
      </c>
      <c r="E1034" s="22" t="s">
        <v>2492</v>
      </c>
      <c r="P1034"/>
    </row>
    <row r="1035" spans="1:18" ht="53.4">
      <c r="A1035" s="19">
        <v>886</v>
      </c>
      <c r="B1035" s="20" t="s">
        <v>2493</v>
      </c>
      <c r="C1035" s="164" t="s">
        <v>1592</v>
      </c>
      <c r="D1035" s="20"/>
      <c r="E1035" s="165" t="s">
        <v>1594</v>
      </c>
      <c r="P1035"/>
    </row>
    <row r="1036" spans="1:18" ht="79.2">
      <c r="A1036" s="19">
        <v>887</v>
      </c>
      <c r="B1036" s="20" t="s">
        <v>2494</v>
      </c>
      <c r="C1036" s="21" t="s">
        <v>1260</v>
      </c>
      <c r="D1036" s="20" t="s">
        <v>2495</v>
      </c>
      <c r="E1036" s="22" t="s">
        <v>2496</v>
      </c>
      <c r="P1036"/>
    </row>
    <row r="1037" spans="1:18" ht="39.6">
      <c r="A1037" s="19"/>
      <c r="B1037" s="20" t="s">
        <v>2672</v>
      </c>
      <c r="C1037" s="21" t="s">
        <v>2673</v>
      </c>
      <c r="D1037" s="20"/>
      <c r="E1037" s="22" t="s">
        <v>2674</v>
      </c>
      <c r="P1037"/>
    </row>
    <row r="1038" spans="1:18" ht="66">
      <c r="A1038" s="19">
        <v>888</v>
      </c>
      <c r="B1038" s="20" t="s">
        <v>2497</v>
      </c>
      <c r="C1038" s="21" t="s">
        <v>2498</v>
      </c>
      <c r="D1038" s="20"/>
      <c r="E1038" s="22" t="s">
        <v>2671</v>
      </c>
      <c r="P1038"/>
    </row>
    <row r="1039" spans="1:18" ht="26.4">
      <c r="A1039" s="19">
        <v>889</v>
      </c>
      <c r="B1039" s="87" t="s">
        <v>2499</v>
      </c>
      <c r="C1039" s="87" t="s">
        <v>2500</v>
      </c>
      <c r="D1039" s="20" t="s">
        <v>2501</v>
      </c>
      <c r="E1039" s="203" t="s">
        <v>2502</v>
      </c>
      <c r="F1039" s="107"/>
      <c r="G1039" s="18"/>
      <c r="H1039" s="18"/>
      <c r="I1039" s="18"/>
      <c r="J1039" s="18"/>
      <c r="K1039" s="18"/>
      <c r="L1039" s="18"/>
      <c r="M1039" s="18"/>
      <c r="N1039" s="18"/>
      <c r="O1039" s="18"/>
      <c r="P1039"/>
      <c r="Q1039" s="18"/>
      <c r="R1039" s="18"/>
    </row>
    <row r="1040" spans="1:18" ht="39.6">
      <c r="A1040" s="19">
        <v>890</v>
      </c>
      <c r="B1040" s="20" t="s">
        <v>2503</v>
      </c>
      <c r="C1040" s="21" t="s">
        <v>2504</v>
      </c>
      <c r="D1040" s="20"/>
      <c r="E1040" s="22" t="s">
        <v>2505</v>
      </c>
      <c r="P1040"/>
    </row>
    <row r="1041" spans="1:18" ht="26.4">
      <c r="A1041" s="19">
        <v>891</v>
      </c>
      <c r="B1041" s="20" t="s">
        <v>2506</v>
      </c>
      <c r="C1041" s="21" t="s">
        <v>2507</v>
      </c>
      <c r="D1041" s="54"/>
      <c r="E1041" s="21" t="s">
        <v>2508</v>
      </c>
      <c r="F1041" s="103"/>
      <c r="G1041" s="18"/>
      <c r="H1041" s="18"/>
      <c r="I1041" s="18"/>
      <c r="J1041" s="18"/>
      <c r="K1041" s="18"/>
      <c r="L1041" s="18"/>
      <c r="M1041" s="18"/>
      <c r="N1041" s="18"/>
      <c r="O1041" s="18"/>
      <c r="P1041"/>
      <c r="Q1041" s="18"/>
      <c r="R1041" s="18"/>
    </row>
    <row r="1042" spans="1:18" ht="52.8">
      <c r="A1042" s="19">
        <v>892</v>
      </c>
      <c r="B1042" s="20" t="s">
        <v>2509</v>
      </c>
      <c r="C1042" s="21" t="s">
        <v>2510</v>
      </c>
      <c r="D1042" s="20"/>
      <c r="E1042" s="22" t="s">
        <v>2511</v>
      </c>
      <c r="P1042"/>
    </row>
    <row r="1043" spans="1:18" ht="52.8">
      <c r="A1043" s="19">
        <v>893</v>
      </c>
      <c r="B1043" s="20" t="s">
        <v>2512</v>
      </c>
      <c r="C1043" s="21" t="s">
        <v>2513</v>
      </c>
      <c r="D1043" s="20"/>
      <c r="E1043" s="22" t="s">
        <v>2514</v>
      </c>
      <c r="P1043"/>
    </row>
    <row r="1044" spans="1:18" ht="66">
      <c r="A1044" s="19">
        <v>894</v>
      </c>
      <c r="B1044" s="20" t="s">
        <v>2515</v>
      </c>
      <c r="C1044" s="27" t="s">
        <v>2516</v>
      </c>
      <c r="D1044" s="20" t="s">
        <v>166</v>
      </c>
      <c r="E1044" s="27" t="s">
        <v>2517</v>
      </c>
      <c r="P1044"/>
    </row>
    <row r="1045" spans="1:18" ht="52.8">
      <c r="A1045" s="19">
        <v>895</v>
      </c>
      <c r="B1045" s="20" t="s">
        <v>2515</v>
      </c>
      <c r="C1045" s="21" t="s">
        <v>2518</v>
      </c>
      <c r="D1045" s="20"/>
      <c r="E1045" s="22" t="s">
        <v>2519</v>
      </c>
      <c r="P1045"/>
    </row>
    <row r="1046" spans="1:18" ht="52.8">
      <c r="A1046" s="19">
        <v>896</v>
      </c>
      <c r="B1046" s="20" t="s">
        <v>2520</v>
      </c>
      <c r="C1046" s="204" t="s">
        <v>2521</v>
      </c>
      <c r="D1046" s="20"/>
      <c r="E1046" s="204" t="s">
        <v>2522</v>
      </c>
      <c r="P1046"/>
    </row>
    <row r="1047" spans="1:18" ht="79.2">
      <c r="A1047" s="19"/>
      <c r="B1047" s="20" t="s">
        <v>3413</v>
      </c>
      <c r="C1047" s="20" t="s">
        <v>3414</v>
      </c>
      <c r="D1047" s="20"/>
      <c r="E1047" s="204"/>
      <c r="P1047"/>
    </row>
    <row r="1048" spans="1:18" ht="66">
      <c r="A1048" s="19">
        <v>897</v>
      </c>
      <c r="B1048" s="20" t="s">
        <v>2523</v>
      </c>
      <c r="C1048" s="21" t="s">
        <v>2524</v>
      </c>
      <c r="D1048" s="20" t="s">
        <v>96</v>
      </c>
      <c r="E1048" s="22" t="s">
        <v>2525</v>
      </c>
      <c r="P1048"/>
    </row>
    <row r="1049" spans="1:18" ht="39.6">
      <c r="A1049" s="19">
        <v>898</v>
      </c>
      <c r="B1049" s="20" t="s">
        <v>2526</v>
      </c>
      <c r="C1049" s="21" t="s">
        <v>2527</v>
      </c>
      <c r="D1049" s="20" t="s">
        <v>96</v>
      </c>
      <c r="E1049" s="22" t="s">
        <v>2525</v>
      </c>
      <c r="P1049"/>
    </row>
    <row r="1050" spans="1:18" ht="224.4">
      <c r="A1050" s="19">
        <v>899</v>
      </c>
      <c r="B1050" s="20" t="s">
        <v>2528</v>
      </c>
      <c r="C1050" s="21" t="s">
        <v>2529</v>
      </c>
      <c r="D1050" s="20" t="s">
        <v>2964</v>
      </c>
      <c r="E1050" s="22" t="s">
        <v>2530</v>
      </c>
      <c r="P1050"/>
    </row>
    <row r="1051" spans="1:18" ht="52.8">
      <c r="A1051" s="19">
        <v>900</v>
      </c>
      <c r="B1051" s="116" t="s">
        <v>2531</v>
      </c>
      <c r="C1051" s="115" t="s">
        <v>2532</v>
      </c>
      <c r="D1051" s="116"/>
      <c r="E1051" s="117" t="s">
        <v>2533</v>
      </c>
      <c r="P1051"/>
    </row>
    <row r="1052" spans="1:18" ht="52.8">
      <c r="A1052" s="229"/>
      <c r="B1052" s="230" t="s">
        <v>2664</v>
      </c>
      <c r="C1052" s="220" t="s">
        <v>2665</v>
      </c>
      <c r="D1052" s="230"/>
      <c r="E1052" s="231"/>
      <c r="F1052" s="232"/>
      <c r="G1052" s="233"/>
      <c r="H1052" s="233"/>
      <c r="I1052" s="233"/>
      <c r="J1052" s="233"/>
      <c r="K1052" s="233"/>
      <c r="L1052" s="233"/>
      <c r="M1052" s="233"/>
      <c r="N1052" s="233"/>
      <c r="O1052" s="233"/>
      <c r="P1052"/>
      <c r="Q1052" s="233"/>
      <c r="R1052" s="233"/>
    </row>
    <row r="1053" spans="1:18" ht="66">
      <c r="A1053" s="19">
        <v>901</v>
      </c>
      <c r="B1053" s="20" t="s">
        <v>2534</v>
      </c>
      <c r="C1053" s="21" t="s">
        <v>2836</v>
      </c>
      <c r="D1053" s="20"/>
      <c r="E1053" s="22" t="s">
        <v>2837</v>
      </c>
      <c r="F1053" s="91"/>
      <c r="G1053" s="18"/>
      <c r="H1053" s="18"/>
      <c r="I1053" s="18"/>
      <c r="J1053" s="18"/>
      <c r="K1053" s="18"/>
      <c r="L1053" s="18"/>
      <c r="M1053" s="18"/>
      <c r="N1053" s="18"/>
      <c r="O1053" s="18"/>
      <c r="P1053"/>
      <c r="Q1053" s="18"/>
      <c r="R1053" s="18"/>
    </row>
    <row r="1054" spans="1:18" ht="52.8">
      <c r="A1054" s="19">
        <v>902</v>
      </c>
      <c r="B1054" s="20" t="s">
        <v>2535</v>
      </c>
      <c r="C1054" s="21" t="s">
        <v>2536</v>
      </c>
      <c r="D1054" s="21"/>
      <c r="E1054" s="22" t="s">
        <v>2537</v>
      </c>
      <c r="F1054" s="103"/>
      <c r="G1054" s="18"/>
      <c r="H1054" s="18"/>
      <c r="I1054" s="18"/>
      <c r="J1054" s="18"/>
      <c r="K1054" s="18"/>
      <c r="L1054" s="18"/>
      <c r="M1054" s="18"/>
      <c r="N1054" s="18"/>
      <c r="O1054" s="18"/>
      <c r="P1054"/>
      <c r="Q1054" s="18"/>
      <c r="R1054" s="18"/>
    </row>
    <row r="1055" spans="1:18" ht="39.6">
      <c r="A1055" s="19">
        <v>903</v>
      </c>
      <c r="B1055" s="20" t="s">
        <v>2538</v>
      </c>
      <c r="C1055" s="21" t="s">
        <v>2539</v>
      </c>
      <c r="D1055" s="20"/>
      <c r="E1055" s="21" t="s">
        <v>2540</v>
      </c>
      <c r="F1055" s="91"/>
      <c r="G1055" s="18"/>
      <c r="H1055" s="18"/>
      <c r="I1055" s="18"/>
      <c r="J1055" s="18"/>
      <c r="K1055" s="18"/>
      <c r="L1055" s="18"/>
      <c r="M1055" s="18"/>
      <c r="N1055" s="18"/>
      <c r="O1055" s="18"/>
      <c r="P1055"/>
      <c r="Q1055" s="18"/>
      <c r="R1055" s="18"/>
    </row>
    <row r="1056" spans="1:18" ht="66">
      <c r="A1056" s="19">
        <v>904</v>
      </c>
      <c r="B1056" s="20" t="s">
        <v>2541</v>
      </c>
      <c r="C1056" s="21" t="s">
        <v>2542</v>
      </c>
      <c r="D1056" s="20"/>
      <c r="E1056" s="22"/>
      <c r="P1056"/>
    </row>
    <row r="1057" spans="1:18" ht="66">
      <c r="A1057" s="19">
        <v>905</v>
      </c>
      <c r="B1057" s="20" t="s">
        <v>2543</v>
      </c>
      <c r="C1057" s="21" t="s">
        <v>2544</v>
      </c>
      <c r="D1057" s="20" t="s">
        <v>49</v>
      </c>
      <c r="E1057" s="22" t="s">
        <v>2545</v>
      </c>
      <c r="P1057"/>
    </row>
    <row r="1058" spans="1:18" ht="26.4">
      <c r="A1058" s="19">
        <v>906</v>
      </c>
      <c r="B1058" s="20" t="s">
        <v>2546</v>
      </c>
      <c r="C1058" s="21" t="s">
        <v>2547</v>
      </c>
      <c r="D1058" s="20" t="s">
        <v>166</v>
      </c>
      <c r="E1058" s="22" t="s">
        <v>2548</v>
      </c>
      <c r="P1058"/>
      <c r="Q1058" s="132"/>
    </row>
    <row r="1059" spans="1:18" ht="52.8">
      <c r="A1059" s="19">
        <v>907</v>
      </c>
      <c r="B1059" s="20" t="s">
        <v>2932</v>
      </c>
      <c r="C1059" s="21" t="s">
        <v>2549</v>
      </c>
      <c r="D1059" s="20"/>
      <c r="E1059" s="29" t="s">
        <v>2933</v>
      </c>
      <c r="F1059" s="103"/>
      <c r="G1059" s="18"/>
      <c r="H1059" s="18"/>
      <c r="I1059" s="18"/>
      <c r="J1059" s="18"/>
      <c r="K1059" s="18"/>
      <c r="L1059" s="18"/>
      <c r="M1059" s="18"/>
      <c r="N1059" s="18"/>
      <c r="O1059" s="18"/>
      <c r="P1059"/>
      <c r="Q1059" s="18"/>
      <c r="R1059" s="18"/>
    </row>
    <row r="1060" spans="1:18" ht="52.8">
      <c r="A1060" s="19">
        <v>908</v>
      </c>
      <c r="B1060" s="20" t="s">
        <v>3004</v>
      </c>
      <c r="C1060" s="21" t="s">
        <v>2549</v>
      </c>
      <c r="D1060" s="20"/>
      <c r="E1060" s="29" t="s">
        <v>3005</v>
      </c>
      <c r="F1060" s="103"/>
      <c r="G1060" s="18"/>
      <c r="H1060" s="18"/>
      <c r="I1060" s="18"/>
      <c r="J1060" s="18"/>
      <c r="K1060" s="18"/>
      <c r="L1060" s="18"/>
      <c r="M1060" s="18"/>
      <c r="N1060" s="18"/>
      <c r="O1060" s="18"/>
      <c r="P1060"/>
      <c r="Q1060" s="18"/>
      <c r="R1060" s="18"/>
    </row>
    <row r="1061" spans="1:18" ht="52.8">
      <c r="A1061" s="19">
        <v>909</v>
      </c>
      <c r="B1061" s="20" t="s">
        <v>2940</v>
      </c>
      <c r="C1061" s="21" t="s">
        <v>2549</v>
      </c>
      <c r="D1061" s="20"/>
      <c r="E1061" s="29" t="s">
        <v>2983</v>
      </c>
      <c r="F1061" s="103"/>
      <c r="G1061" s="18"/>
      <c r="H1061" s="18"/>
      <c r="I1061" s="18"/>
      <c r="J1061" s="18"/>
      <c r="K1061" s="18"/>
      <c r="L1061" s="18"/>
      <c r="M1061" s="18"/>
      <c r="N1061" s="18"/>
      <c r="O1061" s="18"/>
      <c r="P1061"/>
      <c r="Q1061" s="18"/>
      <c r="R1061" s="18"/>
    </row>
    <row r="1062" spans="1:18" ht="52.8">
      <c r="A1062" s="19">
        <v>910</v>
      </c>
      <c r="B1062" s="20" t="s">
        <v>2943</v>
      </c>
      <c r="C1062" s="21" t="s">
        <v>2549</v>
      </c>
      <c r="D1062" s="20"/>
      <c r="E1062" s="29" t="s">
        <v>2986</v>
      </c>
      <c r="F1062" s="103"/>
      <c r="G1062" s="18"/>
      <c r="H1062" s="18"/>
      <c r="I1062" s="18"/>
      <c r="J1062" s="18"/>
      <c r="K1062" s="18"/>
      <c r="L1062" s="18"/>
      <c r="M1062" s="18"/>
      <c r="N1062" s="18"/>
      <c r="O1062" s="18"/>
      <c r="P1062"/>
      <c r="Q1062" s="18"/>
      <c r="R1062" s="18"/>
    </row>
    <row r="1063" spans="1:18" ht="39.6">
      <c r="A1063" s="19">
        <v>911</v>
      </c>
      <c r="B1063" s="20" t="s">
        <v>2550</v>
      </c>
      <c r="C1063" s="21" t="s">
        <v>2551</v>
      </c>
      <c r="D1063" s="20"/>
      <c r="E1063" s="22"/>
      <c r="P1063"/>
    </row>
    <row r="1064" spans="1:18" ht="66">
      <c r="A1064" s="19">
        <v>912</v>
      </c>
      <c r="B1064" s="20" t="s">
        <v>2552</v>
      </c>
      <c r="C1064" s="21" t="s">
        <v>2553</v>
      </c>
      <c r="D1064" s="31"/>
      <c r="E1064" s="22" t="s">
        <v>2554</v>
      </c>
      <c r="P1064"/>
    </row>
    <row r="1065" spans="1:18" ht="79.2">
      <c r="A1065" s="19">
        <v>913</v>
      </c>
      <c r="B1065" s="20" t="s">
        <v>2555</v>
      </c>
      <c r="C1065" s="21" t="s">
        <v>2549</v>
      </c>
      <c r="D1065" s="20" t="s">
        <v>2556</v>
      </c>
      <c r="E1065" s="29" t="s">
        <v>2557</v>
      </c>
      <c r="F1065" s="103"/>
      <c r="G1065" s="18"/>
      <c r="H1065" s="18"/>
      <c r="I1065" s="18"/>
      <c r="J1065" s="18"/>
      <c r="K1065" s="18">
        <f>3.1+2.3+3.8</f>
        <v>9.1999999999999993</v>
      </c>
      <c r="L1065" s="18"/>
      <c r="M1065" s="18"/>
      <c r="N1065" s="18"/>
      <c r="O1065" s="18"/>
      <c r="P1065"/>
      <c r="Q1065" s="18"/>
      <c r="R1065" s="18"/>
    </row>
    <row r="1066" spans="1:18" ht="52.8">
      <c r="A1066" s="19">
        <v>914</v>
      </c>
      <c r="B1066" s="20" t="s">
        <v>2558</v>
      </c>
      <c r="C1066" s="21" t="s">
        <v>2549</v>
      </c>
      <c r="D1066" s="20"/>
      <c r="E1066" s="29" t="s">
        <v>2559</v>
      </c>
      <c r="F1066" s="103"/>
      <c r="G1066" s="18"/>
      <c r="H1066" s="18"/>
      <c r="I1066" s="18"/>
      <c r="J1066" s="18"/>
      <c r="K1066" s="18"/>
      <c r="L1066" s="18"/>
      <c r="M1066" s="18"/>
      <c r="N1066" s="18"/>
      <c r="O1066" s="18"/>
      <c r="P1066"/>
      <c r="Q1066" s="18"/>
      <c r="R1066" s="18"/>
    </row>
    <row r="1067" spans="1:18" ht="52.8">
      <c r="A1067" s="19">
        <v>915</v>
      </c>
      <c r="B1067" s="20" t="s">
        <v>2560</v>
      </c>
      <c r="C1067" s="21" t="s">
        <v>2549</v>
      </c>
      <c r="D1067" s="20"/>
      <c r="E1067" s="29" t="s">
        <v>2561</v>
      </c>
      <c r="F1067" s="103"/>
      <c r="G1067" s="18"/>
      <c r="H1067" s="18"/>
      <c r="I1067" s="18"/>
      <c r="J1067" s="18"/>
      <c r="K1067" s="18"/>
      <c r="L1067" s="18"/>
      <c r="M1067" s="18"/>
      <c r="N1067" s="18"/>
      <c r="O1067" s="18"/>
      <c r="P1067"/>
      <c r="Q1067" s="18"/>
      <c r="R1067" s="18"/>
    </row>
    <row r="1068" spans="1:18" ht="52.8">
      <c r="A1068" s="19">
        <v>916</v>
      </c>
      <c r="B1068" s="20" t="s">
        <v>2562</v>
      </c>
      <c r="C1068" s="21" t="s">
        <v>2563</v>
      </c>
      <c r="D1068" s="20"/>
      <c r="E1068" s="22" t="s">
        <v>2564</v>
      </c>
      <c r="P1068"/>
    </row>
    <row r="1069" spans="1:18" ht="39.6">
      <c r="A1069" s="19"/>
      <c r="B1069" s="20" t="s">
        <v>2617</v>
      </c>
      <c r="C1069" s="21" t="s">
        <v>2618</v>
      </c>
      <c r="D1069" s="20"/>
      <c r="E1069" s="22"/>
      <c r="P1069"/>
    </row>
    <row r="1070" spans="1:18" ht="26.4">
      <c r="A1070" s="19"/>
      <c r="B1070" s="20" t="s">
        <v>2562</v>
      </c>
      <c r="C1070" s="21"/>
      <c r="D1070" s="20"/>
      <c r="E1070" s="22"/>
      <c r="P1070"/>
    </row>
    <row r="1071" spans="1:18" ht="52.8">
      <c r="A1071" s="19">
        <v>914</v>
      </c>
      <c r="B1071" s="20" t="s">
        <v>2565</v>
      </c>
      <c r="C1071" s="145" t="s">
        <v>2566</v>
      </c>
      <c r="D1071" s="20"/>
      <c r="E1071" s="205" t="s">
        <v>2567</v>
      </c>
      <c r="P1071"/>
    </row>
    <row r="1072" spans="1:18" ht="39.6">
      <c r="A1072" s="19">
        <v>915</v>
      </c>
      <c r="B1072" s="20" t="s">
        <v>2568</v>
      </c>
      <c r="C1072" s="21" t="s">
        <v>1912</v>
      </c>
      <c r="D1072" s="20" t="s">
        <v>49</v>
      </c>
      <c r="E1072" s="22" t="s">
        <v>2569</v>
      </c>
      <c r="P1072"/>
    </row>
    <row r="1073" spans="1:18" ht="52.8">
      <c r="A1073" s="19">
        <v>916</v>
      </c>
      <c r="B1073" s="39" t="s">
        <v>2570</v>
      </c>
      <c r="C1073" s="27" t="s">
        <v>2571</v>
      </c>
      <c r="D1073" s="39"/>
      <c r="E1073" s="39"/>
      <c r="F1073" s="98"/>
      <c r="G1073" s="98"/>
      <c r="H1073" s="98"/>
      <c r="I1073" s="98"/>
      <c r="J1073" s="98"/>
      <c r="K1073" s="98"/>
      <c r="L1073" s="98"/>
      <c r="M1073" s="98"/>
      <c r="N1073" s="98"/>
      <c r="O1073" s="98"/>
      <c r="P1073"/>
      <c r="Q1073" s="98"/>
      <c r="R1073" s="98"/>
    </row>
    <row r="1074" spans="1:18" ht="26.4">
      <c r="A1074" s="19">
        <v>917</v>
      </c>
      <c r="B1074" s="39" t="s">
        <v>2928</v>
      </c>
      <c r="C1074" s="27" t="s">
        <v>2976</v>
      </c>
      <c r="D1074" s="39"/>
      <c r="E1074" s="39" t="s">
        <v>2977</v>
      </c>
      <c r="F1074" s="98"/>
      <c r="G1074" s="98"/>
      <c r="H1074" s="98"/>
      <c r="I1074" s="98"/>
      <c r="J1074" s="98"/>
      <c r="K1074" s="98"/>
      <c r="L1074" s="98"/>
      <c r="M1074" s="98"/>
      <c r="N1074" s="98"/>
      <c r="O1074" s="98"/>
      <c r="P1074"/>
      <c r="Q1074" s="98"/>
      <c r="R1074" s="98"/>
    </row>
    <row r="1075" spans="1:18" ht="52.8">
      <c r="A1075" s="19">
        <v>917</v>
      </c>
      <c r="B1075" s="20" t="s">
        <v>2572</v>
      </c>
      <c r="C1075" s="21" t="s">
        <v>2573</v>
      </c>
      <c r="D1075" s="20" t="s">
        <v>456</v>
      </c>
      <c r="E1075" s="22" t="s">
        <v>2574</v>
      </c>
      <c r="P1075"/>
    </row>
    <row r="1076" spans="1:18" ht="14.4">
      <c r="P1076"/>
    </row>
    <row r="1077" spans="1:18" ht="14.4">
      <c r="P1077"/>
    </row>
    <row r="1078" spans="1:18" ht="14.4">
      <c r="P1078"/>
    </row>
    <row r="1079" spans="1:18" ht="14.4">
      <c r="P1079"/>
    </row>
    <row r="1080" spans="1:18" ht="14.4">
      <c r="P1080"/>
    </row>
    <row r="1081" spans="1:18" ht="14.4">
      <c r="P1081"/>
    </row>
    <row r="1082" spans="1:18" ht="14.4">
      <c r="P1082"/>
    </row>
    <row r="1083" spans="1:18" ht="14.4">
      <c r="P1083"/>
    </row>
    <row r="1084" spans="1:18" ht="14.4">
      <c r="P1084"/>
    </row>
    <row r="1085" spans="1:18" ht="14.4">
      <c r="P1085"/>
    </row>
    <row r="1086" spans="1:18" ht="14.4">
      <c r="P1086"/>
    </row>
    <row r="1087" spans="1:18" ht="14.4">
      <c r="P1087"/>
    </row>
    <row r="1088" spans="1:18" ht="14.4">
      <c r="P1088"/>
    </row>
    <row r="1089" spans="16:16" ht="14.4">
      <c r="P1089"/>
    </row>
    <row r="1090" spans="16:16" ht="14.4">
      <c r="P1090"/>
    </row>
    <row r="1091" spans="16:16" ht="14.4">
      <c r="P1091"/>
    </row>
    <row r="1092" spans="16:16" ht="14.4">
      <c r="P1092"/>
    </row>
    <row r="1093" spans="16:16" ht="14.4">
      <c r="P1093"/>
    </row>
    <row r="1094" spans="16:16" ht="14.4">
      <c r="P1094"/>
    </row>
    <row r="1095" spans="16:16" ht="14.4">
      <c r="P1095"/>
    </row>
    <row r="1096" spans="16:16" ht="14.4">
      <c r="P1096"/>
    </row>
    <row r="1097" spans="16:16" ht="14.4">
      <c r="P1097"/>
    </row>
    <row r="1098" spans="16:16" ht="14.4">
      <c r="P1098"/>
    </row>
    <row r="1099" spans="16:16" ht="14.4">
      <c r="P1099"/>
    </row>
    <row r="1100" spans="16:16" ht="14.4">
      <c r="P1100"/>
    </row>
    <row r="1101" spans="16:16" ht="14.4">
      <c r="P1101"/>
    </row>
    <row r="1102" spans="16:16" ht="14.4">
      <c r="P1102"/>
    </row>
    <row r="1103" spans="16:16" ht="14.4">
      <c r="P1103"/>
    </row>
    <row r="1104" spans="16:16" ht="14.4">
      <c r="P1104"/>
    </row>
    <row r="1105" spans="16:16" ht="14.4">
      <c r="P1105"/>
    </row>
    <row r="1106" spans="16:16" ht="14.4">
      <c r="P1106"/>
    </row>
    <row r="1107" spans="16:16" ht="14.4">
      <c r="P1107"/>
    </row>
    <row r="1108" spans="16:16" ht="14.4">
      <c r="P1108"/>
    </row>
    <row r="1109" spans="16:16" ht="14.4">
      <c r="P1109"/>
    </row>
    <row r="1110" spans="16:16" ht="14.4">
      <c r="P1110"/>
    </row>
    <row r="1111" spans="16:16" ht="14.4">
      <c r="P1111"/>
    </row>
    <row r="1112" spans="16:16" ht="14.4">
      <c r="P1112"/>
    </row>
    <row r="1113" spans="16:16" ht="14.4">
      <c r="P1113"/>
    </row>
    <row r="1114" spans="16:16" ht="14.4">
      <c r="P1114"/>
    </row>
    <row r="1115" spans="16:16" ht="14.4">
      <c r="P1115"/>
    </row>
    <row r="1116" spans="16:16" ht="14.4">
      <c r="P1116"/>
    </row>
    <row r="1117" spans="16:16" ht="14.4">
      <c r="P1117"/>
    </row>
    <row r="1118" spans="16:16" ht="14.4">
      <c r="P1118"/>
    </row>
    <row r="1119" spans="16:16" ht="14.4">
      <c r="P1119"/>
    </row>
    <row r="1120" spans="16:16" ht="14.4">
      <c r="P1120"/>
    </row>
    <row r="1121" spans="16:16" ht="14.4">
      <c r="P1121"/>
    </row>
    <row r="1122" spans="16:16" ht="14.4">
      <c r="P1122"/>
    </row>
    <row r="1123" spans="16:16" ht="14.4">
      <c r="P1123"/>
    </row>
    <row r="1124" spans="16:16" ht="14.4">
      <c r="P1124"/>
    </row>
    <row r="1125" spans="16:16" ht="14.4">
      <c r="P1125"/>
    </row>
    <row r="1126" spans="16:16" ht="14.4">
      <c r="P1126"/>
    </row>
    <row r="1127" spans="16:16" ht="14.4">
      <c r="P1127"/>
    </row>
    <row r="1128" spans="16:16" ht="14.4">
      <c r="P1128"/>
    </row>
    <row r="1129" spans="16:16" ht="14.4">
      <c r="P1129"/>
    </row>
    <row r="1130" spans="16:16" ht="14.4">
      <c r="P1130"/>
    </row>
    <row r="1131" spans="16:16" ht="14.4">
      <c r="P1131"/>
    </row>
    <row r="1132" spans="16:16" ht="14.4">
      <c r="P1132"/>
    </row>
    <row r="1133" spans="16:16" ht="14.4">
      <c r="P1133"/>
    </row>
    <row r="1134" spans="16:16" ht="14.4">
      <c r="P1134"/>
    </row>
    <row r="1135" spans="16:16" ht="14.4">
      <c r="P1135"/>
    </row>
    <row r="1136" spans="16:16" ht="14.4">
      <c r="P1136"/>
    </row>
    <row r="1137" spans="16:16" ht="14.4">
      <c r="P1137"/>
    </row>
    <row r="1138" spans="16:16" ht="14.4">
      <c r="P1138"/>
    </row>
    <row r="1139" spans="16:16" ht="14.4">
      <c r="P1139"/>
    </row>
    <row r="1140" spans="16:16" ht="14.4">
      <c r="P1140"/>
    </row>
    <row r="1141" spans="16:16" ht="14.4">
      <c r="P1141"/>
    </row>
    <row r="1142" spans="16:16" ht="14.4">
      <c r="P1142"/>
    </row>
    <row r="1143" spans="16:16" ht="14.4">
      <c r="P1143"/>
    </row>
    <row r="1144" spans="16:16" ht="14.4">
      <c r="P1144"/>
    </row>
    <row r="1145" spans="16:16" ht="14.4">
      <c r="P1145"/>
    </row>
    <row r="1146" spans="16:16" ht="14.4">
      <c r="P1146"/>
    </row>
    <row r="1147" spans="16:16" ht="14.4">
      <c r="P1147"/>
    </row>
    <row r="1148" spans="16:16" ht="14.4">
      <c r="P1148"/>
    </row>
    <row r="1149" spans="16:16" ht="14.4">
      <c r="P1149"/>
    </row>
    <row r="1150" spans="16:16" ht="14.4">
      <c r="P1150"/>
    </row>
    <row r="1151" spans="16:16" ht="14.4">
      <c r="P1151"/>
    </row>
    <row r="1152" spans="16:16" ht="14.4">
      <c r="P1152"/>
    </row>
    <row r="1153" spans="16:16" ht="14.4">
      <c r="P1153"/>
    </row>
    <row r="1154" spans="16:16" ht="14.4">
      <c r="P1154"/>
    </row>
    <row r="1155" spans="16:16" ht="14.4">
      <c r="P1155"/>
    </row>
    <row r="1156" spans="16:16" ht="14.4">
      <c r="P1156"/>
    </row>
    <row r="1157" spans="16:16" ht="14.4">
      <c r="P1157"/>
    </row>
    <row r="1158" spans="16:16" ht="14.4">
      <c r="P1158"/>
    </row>
    <row r="1159" spans="16:16" ht="14.4">
      <c r="P1159"/>
    </row>
    <row r="1160" spans="16:16" ht="14.4">
      <c r="P1160"/>
    </row>
    <row r="1161" spans="16:16" ht="14.4">
      <c r="P1161"/>
    </row>
    <row r="1162" spans="16:16" ht="14.4">
      <c r="P1162"/>
    </row>
    <row r="1163" spans="16:16" ht="14.4">
      <c r="P1163"/>
    </row>
    <row r="1164" spans="16:16" ht="14.4">
      <c r="P1164"/>
    </row>
    <row r="1165" spans="16:16" ht="14.4">
      <c r="P1165"/>
    </row>
    <row r="1166" spans="16:16" ht="14.4">
      <c r="P1166"/>
    </row>
    <row r="1167" spans="16:16" ht="14.4">
      <c r="P1167"/>
    </row>
    <row r="1168" spans="16:16" ht="14.4">
      <c r="P1168"/>
    </row>
    <row r="1169" spans="16:16" ht="14.4">
      <c r="P1169"/>
    </row>
    <row r="1170" spans="16:16" ht="14.4">
      <c r="P1170"/>
    </row>
    <row r="1171" spans="16:16" ht="14.4">
      <c r="P1171"/>
    </row>
    <row r="1172" spans="16:16" ht="14.4">
      <c r="P1172"/>
    </row>
    <row r="1173" spans="16:16" ht="14.4">
      <c r="P1173"/>
    </row>
    <row r="1174" spans="16:16" ht="14.4">
      <c r="P1174"/>
    </row>
    <row r="1175" spans="16:16" ht="14.4">
      <c r="P1175"/>
    </row>
    <row r="1176" spans="16:16" ht="14.4">
      <c r="P1176"/>
    </row>
    <row r="1177" spans="16:16" ht="14.4">
      <c r="P1177"/>
    </row>
    <row r="1178" spans="16:16" ht="14.4">
      <c r="P1178"/>
    </row>
    <row r="1179" spans="16:16" ht="14.4">
      <c r="P1179"/>
    </row>
    <row r="1180" spans="16:16" ht="14.4">
      <c r="P1180"/>
    </row>
    <row r="1181" spans="16:16" ht="14.4">
      <c r="P1181"/>
    </row>
    <row r="1182" spans="16:16" ht="14.4">
      <c r="P1182"/>
    </row>
    <row r="1183" spans="16:16" ht="14.4">
      <c r="P1183"/>
    </row>
    <row r="1184" spans="16:16" ht="14.4">
      <c r="P1184"/>
    </row>
    <row r="1185" spans="16:16" ht="14.4">
      <c r="P1185"/>
    </row>
    <row r="1186" spans="16:16" ht="14.4">
      <c r="P1186"/>
    </row>
    <row r="1187" spans="16:16" ht="14.4">
      <c r="P1187"/>
    </row>
    <row r="1188" spans="16:16" ht="14.4">
      <c r="P1188"/>
    </row>
    <row r="1189" spans="16:16" ht="14.4">
      <c r="P1189"/>
    </row>
    <row r="1190" spans="16:16" ht="14.4">
      <c r="P1190"/>
    </row>
    <row r="1191" spans="16:16" ht="14.4">
      <c r="P1191"/>
    </row>
    <row r="1192" spans="16:16" ht="14.4">
      <c r="P1192"/>
    </row>
    <row r="1193" spans="16:16" ht="14.4">
      <c r="P1193"/>
    </row>
    <row r="1194" spans="16:16" ht="14.4">
      <c r="P1194"/>
    </row>
    <row r="1195" spans="16:16" ht="14.4">
      <c r="P1195"/>
    </row>
    <row r="1196" spans="16:16" ht="14.4">
      <c r="P1196"/>
    </row>
    <row r="1197" spans="16:16" ht="14.4">
      <c r="P1197"/>
    </row>
    <row r="1198" spans="16:16" ht="14.4">
      <c r="P1198"/>
    </row>
    <row r="1199" spans="16:16" ht="14.4">
      <c r="P1199"/>
    </row>
    <row r="1200" spans="16:16" ht="14.4">
      <c r="P1200"/>
    </row>
    <row r="1201" spans="16:16" ht="14.4">
      <c r="P1201"/>
    </row>
    <row r="1202" spans="16:16" ht="14.4">
      <c r="P1202"/>
    </row>
    <row r="1203" spans="16:16" ht="14.4">
      <c r="P1203"/>
    </row>
    <row r="1204" spans="16:16" ht="14.4">
      <c r="P1204"/>
    </row>
    <row r="1205" spans="16:16" ht="14.4">
      <c r="P1205"/>
    </row>
    <row r="1206" spans="16:16" ht="14.4">
      <c r="P1206"/>
    </row>
    <row r="1207" spans="16:16" ht="14.4">
      <c r="P1207"/>
    </row>
    <row r="1208" spans="16:16" ht="14.4">
      <c r="P1208"/>
    </row>
    <row r="1209" spans="16:16" ht="14.4">
      <c r="P1209"/>
    </row>
    <row r="1210" spans="16:16" ht="14.4">
      <c r="P1210"/>
    </row>
    <row r="1211" spans="16:16" ht="14.4">
      <c r="P1211"/>
    </row>
    <row r="1212" spans="16:16" ht="14.4">
      <c r="P1212"/>
    </row>
    <row r="1213" spans="16:16" ht="14.4">
      <c r="P1213"/>
    </row>
    <row r="1214" spans="16:16" ht="14.4">
      <c r="P1214"/>
    </row>
    <row r="1215" spans="16:16" ht="14.4">
      <c r="P1215"/>
    </row>
    <row r="1216" spans="16:16" ht="14.4">
      <c r="P1216"/>
    </row>
    <row r="1217" spans="16:16" ht="14.4">
      <c r="P1217"/>
    </row>
    <row r="1218" spans="16:16" ht="14.4">
      <c r="P1218"/>
    </row>
    <row r="1219" spans="16:16" ht="14.4">
      <c r="P1219"/>
    </row>
    <row r="1220" spans="16:16" ht="14.4">
      <c r="P1220"/>
    </row>
    <row r="1221" spans="16:16" ht="14.4">
      <c r="P1221"/>
    </row>
    <row r="1222" spans="16:16" ht="14.4">
      <c r="P1222"/>
    </row>
    <row r="1223" spans="16:16" ht="14.4">
      <c r="P1223"/>
    </row>
    <row r="1224" spans="16:16" ht="14.4">
      <c r="P1224"/>
    </row>
    <row r="1225" spans="16:16" ht="14.4">
      <c r="P1225"/>
    </row>
    <row r="1226" spans="16:16" ht="14.4">
      <c r="P1226"/>
    </row>
    <row r="1227" spans="16:16" ht="14.4">
      <c r="P1227"/>
    </row>
    <row r="1228" spans="16:16" ht="14.4">
      <c r="P1228"/>
    </row>
    <row r="1229" spans="16:16" ht="14.4">
      <c r="P1229"/>
    </row>
    <row r="1230" spans="16:16" ht="14.4">
      <c r="P1230"/>
    </row>
    <row r="1231" spans="16:16" ht="14.4">
      <c r="P1231"/>
    </row>
    <row r="1232" spans="16:16" ht="14.4">
      <c r="P1232"/>
    </row>
    <row r="1233" spans="16:16" ht="14.4">
      <c r="P1233"/>
    </row>
    <row r="1234" spans="16:16" ht="14.4">
      <c r="P1234"/>
    </row>
    <row r="1235" spans="16:16" ht="14.4">
      <c r="P1235"/>
    </row>
    <row r="1236" spans="16:16" ht="14.4">
      <c r="P1236"/>
    </row>
    <row r="1237" spans="16:16" ht="14.4">
      <c r="P1237"/>
    </row>
    <row r="1238" spans="16:16" ht="14.4">
      <c r="P1238"/>
    </row>
    <row r="1239" spans="16:16" ht="14.4">
      <c r="P1239"/>
    </row>
    <row r="1240" spans="16:16" ht="14.4">
      <c r="P1240"/>
    </row>
    <row r="1241" spans="16:16" ht="14.4">
      <c r="P1241"/>
    </row>
    <row r="1242" spans="16:16" ht="14.4">
      <c r="P1242"/>
    </row>
    <row r="1243" spans="16:16" ht="14.4">
      <c r="P1243"/>
    </row>
    <row r="1244" spans="16:16" ht="14.4">
      <c r="P1244"/>
    </row>
    <row r="1245" spans="16:16" ht="14.4">
      <c r="P1245"/>
    </row>
    <row r="1246" spans="16:16" ht="14.4">
      <c r="P1246"/>
    </row>
    <row r="1247" spans="16:16" ht="14.4">
      <c r="P1247"/>
    </row>
    <row r="1248" spans="16:16" ht="14.4">
      <c r="P1248"/>
    </row>
    <row r="1249" spans="16:16" ht="14.4">
      <c r="P1249"/>
    </row>
    <row r="1250" spans="16:16" ht="14.4">
      <c r="P1250"/>
    </row>
    <row r="1251" spans="16:16" ht="14.4">
      <c r="P1251"/>
    </row>
    <row r="1252" spans="16:16" ht="14.4">
      <c r="P1252"/>
    </row>
    <row r="1253" spans="16:16" ht="14.4">
      <c r="P1253"/>
    </row>
    <row r="1254" spans="16:16" ht="14.4">
      <c r="P1254"/>
    </row>
    <row r="1255" spans="16:16" ht="14.4">
      <c r="P1255"/>
    </row>
    <row r="1256" spans="16:16" ht="14.4">
      <c r="P1256"/>
    </row>
    <row r="1257" spans="16:16" ht="14.4">
      <c r="P1257"/>
    </row>
    <row r="1258" spans="16:16" ht="14.4">
      <c r="P1258"/>
    </row>
    <row r="1259" spans="16:16" ht="14.4">
      <c r="P1259"/>
    </row>
    <row r="1260" spans="16:16" ht="14.4">
      <c r="P1260"/>
    </row>
    <row r="1261" spans="16:16" ht="14.4">
      <c r="P1261"/>
    </row>
    <row r="1262" spans="16:16" ht="14.4">
      <c r="P1262"/>
    </row>
    <row r="1263" spans="16:16" ht="14.4">
      <c r="P1263"/>
    </row>
    <row r="1264" spans="16:16" ht="14.4">
      <c r="P1264"/>
    </row>
    <row r="1265" spans="16:16" ht="14.4">
      <c r="P1265"/>
    </row>
    <row r="1266" spans="16:16" ht="14.4">
      <c r="P1266"/>
    </row>
    <row r="1267" spans="16:16" ht="14.4">
      <c r="P1267"/>
    </row>
    <row r="1268" spans="16:16" ht="14.4">
      <c r="P1268"/>
    </row>
    <row r="1269" spans="16:16" ht="14.4">
      <c r="P1269"/>
    </row>
    <row r="1270" spans="16:16" ht="14.4">
      <c r="P1270"/>
    </row>
    <row r="1271" spans="16:16" ht="14.4">
      <c r="P1271"/>
    </row>
    <row r="1272" spans="16:16" ht="14.4">
      <c r="P1272"/>
    </row>
    <row r="1273" spans="16:16" ht="14.4">
      <c r="P1273"/>
    </row>
    <row r="1274" spans="16:16" ht="14.4">
      <c r="P1274"/>
    </row>
    <row r="1275" spans="16:16" ht="14.4">
      <c r="P1275"/>
    </row>
    <row r="1276" spans="16:16" ht="14.4">
      <c r="P1276"/>
    </row>
    <row r="1277" spans="16:16" ht="14.4">
      <c r="P1277"/>
    </row>
    <row r="1278" spans="16:16" ht="14.4">
      <c r="P1278"/>
    </row>
    <row r="1279" spans="16:16" ht="14.4">
      <c r="P1279"/>
    </row>
    <row r="1280" spans="16:16" ht="14.4">
      <c r="P1280"/>
    </row>
    <row r="1281" spans="16:16" ht="14.4">
      <c r="P1281"/>
    </row>
    <row r="1282" spans="16:16" ht="14.4">
      <c r="P1282"/>
    </row>
    <row r="1283" spans="16:16" ht="14.4">
      <c r="P1283"/>
    </row>
    <row r="1284" spans="16:16" ht="14.4">
      <c r="P1284"/>
    </row>
    <row r="1285" spans="16:16" ht="14.4">
      <c r="P1285"/>
    </row>
    <row r="1286" spans="16:16" ht="14.4">
      <c r="P1286"/>
    </row>
    <row r="1287" spans="16:16" ht="14.4">
      <c r="P1287"/>
    </row>
    <row r="1288" spans="16:16" ht="14.4">
      <c r="P1288"/>
    </row>
    <row r="1289" spans="16:16" ht="14.4">
      <c r="P1289"/>
    </row>
    <row r="1290" spans="16:16" ht="14.4">
      <c r="P1290"/>
    </row>
    <row r="1291" spans="16:16" ht="14.4">
      <c r="P1291"/>
    </row>
    <row r="1292" spans="16:16" ht="14.4">
      <c r="P1292"/>
    </row>
    <row r="1293" spans="16:16" ht="14.4">
      <c r="P1293"/>
    </row>
    <row r="1294" spans="16:16" ht="14.4">
      <c r="P1294"/>
    </row>
    <row r="1295" spans="16:16" ht="14.4">
      <c r="P1295"/>
    </row>
    <row r="1296" spans="16:16" ht="14.4">
      <c r="P1296"/>
    </row>
    <row r="1297" spans="3:16" ht="14.4">
      <c r="P1297"/>
    </row>
    <row r="1298" spans="3:16" ht="14.4">
      <c r="P1298"/>
    </row>
    <row r="1299" spans="3:16" ht="14.4">
      <c r="P1299"/>
    </row>
    <row r="1300" spans="3:16" ht="14.4">
      <c r="P1300"/>
    </row>
    <row r="1301" spans="3:16" ht="14.4">
      <c r="P1301"/>
    </row>
    <row r="1302" spans="3:16" ht="14.4">
      <c r="P1302"/>
    </row>
    <row r="1303" spans="3:16" ht="14.4">
      <c r="P1303"/>
    </row>
    <row r="1304" spans="3:16" ht="14.4">
      <c r="P1304"/>
    </row>
    <row r="1305" spans="3:16" ht="14.4">
      <c r="P1305"/>
    </row>
    <row r="1306" spans="3:16" ht="26.4">
      <c r="C1306" s="13" t="s">
        <v>2175</v>
      </c>
      <c r="E1306" s="30">
        <v>1</v>
      </c>
      <c r="H1306" s="1" t="s">
        <v>2874</v>
      </c>
      <c r="J1306" s="1" t="s">
        <v>2875</v>
      </c>
      <c r="L1306" s="1">
        <v>1.3</v>
      </c>
      <c r="P1306"/>
    </row>
    <row r="1307" spans="3:16" ht="52.8">
      <c r="C1307" s="13" t="s">
        <v>2876</v>
      </c>
      <c r="D1307" s="11" t="s">
        <v>2877</v>
      </c>
      <c r="E1307" s="30">
        <v>1</v>
      </c>
      <c r="H1307" s="1">
        <v>1088729631</v>
      </c>
      <c r="I1307" s="1" t="s">
        <v>2860</v>
      </c>
      <c r="J1307" s="1" t="s">
        <v>2878</v>
      </c>
      <c r="L1307" s="1">
        <v>0.7</v>
      </c>
      <c r="P1307"/>
    </row>
    <row r="1308" spans="3:16" ht="14.4">
      <c r="P1308"/>
    </row>
    <row r="1309" spans="3:16" ht="14.4">
      <c r="P1309"/>
    </row>
    <row r="1310" spans="3:16" ht="14.4">
      <c r="P1310"/>
    </row>
    <row r="1311" spans="3:16" ht="14.4">
      <c r="P1311"/>
    </row>
    <row r="1312" spans="3:16" ht="14.4">
      <c r="P1312"/>
    </row>
    <row r="1313" spans="16:16" ht="14.4">
      <c r="P1313"/>
    </row>
    <row r="1314" spans="16:16" ht="14.4">
      <c r="P1314"/>
    </row>
    <row r="1315" spans="16:16" ht="14.4">
      <c r="P1315"/>
    </row>
    <row r="1316" spans="16:16" ht="14.4">
      <c r="P1316"/>
    </row>
    <row r="1317" spans="16:16" ht="14.4">
      <c r="P1317"/>
    </row>
    <row r="1318" spans="16:16" ht="14.4">
      <c r="P1318"/>
    </row>
    <row r="1319" spans="16:16" ht="14.4">
      <c r="P1319"/>
    </row>
    <row r="1320" spans="16:16" ht="14.4">
      <c r="P1320"/>
    </row>
    <row r="1321" spans="16:16" ht="14.4">
      <c r="P1321"/>
    </row>
    <row r="1322" spans="16:16" ht="14.4">
      <c r="P1322"/>
    </row>
    <row r="1323" spans="16:16" ht="14.4">
      <c r="P1323"/>
    </row>
    <row r="1324" spans="16:16" ht="14.4">
      <c r="P1324"/>
    </row>
    <row r="1325" spans="16:16" ht="14.4">
      <c r="P1325"/>
    </row>
    <row r="1326" spans="16:16" ht="14.4">
      <c r="P1326"/>
    </row>
    <row r="1327" spans="16:16" ht="14.4">
      <c r="P1327"/>
    </row>
    <row r="1328" spans="16:16" ht="14.4">
      <c r="P1328"/>
    </row>
    <row r="1329" spans="16:16" ht="14.4">
      <c r="P1329"/>
    </row>
    <row r="1330" spans="16:16" ht="14.4">
      <c r="P1330"/>
    </row>
    <row r="1331" spans="16:16" ht="14.4">
      <c r="P1331"/>
    </row>
    <row r="1332" spans="16:16" ht="14.4">
      <c r="P1332"/>
    </row>
    <row r="1333" spans="16:16" ht="14.4">
      <c r="P1333"/>
    </row>
    <row r="1334" spans="16:16" ht="14.4">
      <c r="P1334"/>
    </row>
    <row r="1335" spans="16:16" ht="14.4">
      <c r="P1335"/>
    </row>
    <row r="1336" spans="16:16" ht="14.4">
      <c r="P1336"/>
    </row>
    <row r="1337" spans="16:16" ht="14.4">
      <c r="P1337"/>
    </row>
    <row r="1338" spans="16:16" ht="14.4">
      <c r="P1338"/>
    </row>
    <row r="1339" spans="16:16" ht="14.4">
      <c r="P1339"/>
    </row>
    <row r="1340" spans="16:16" ht="14.4">
      <c r="P1340"/>
    </row>
    <row r="1341" spans="16:16" ht="14.4">
      <c r="P1341"/>
    </row>
    <row r="1342" spans="16:16" ht="14.4">
      <c r="P1342"/>
    </row>
    <row r="1343" spans="16:16" ht="14.4">
      <c r="P1343"/>
    </row>
    <row r="1344" spans="16:16" ht="14.4">
      <c r="P1344"/>
    </row>
    <row r="1345" spans="16:16" ht="14.4">
      <c r="P1345"/>
    </row>
    <row r="1346" spans="16:16" ht="14.4">
      <c r="P1346"/>
    </row>
    <row r="1347" spans="16:16" ht="14.4">
      <c r="P1347"/>
    </row>
    <row r="1348" spans="16:16" ht="14.4">
      <c r="P1348"/>
    </row>
    <row r="1349" spans="16:16" ht="14.4">
      <c r="P1349"/>
    </row>
    <row r="1350" spans="16:16" ht="14.4">
      <c r="P1350"/>
    </row>
    <row r="1351" spans="16:16" ht="14.4">
      <c r="P1351"/>
    </row>
    <row r="1352" spans="16:16" ht="14.4">
      <c r="P1352"/>
    </row>
    <row r="1353" spans="16:16" ht="14.4">
      <c r="P1353"/>
    </row>
    <row r="1354" spans="16:16" ht="14.4">
      <c r="P1354"/>
    </row>
    <row r="1355" spans="16:16" ht="14.4">
      <c r="P1355"/>
    </row>
    <row r="1356" spans="16:16" ht="14.4">
      <c r="P1356"/>
    </row>
    <row r="1357" spans="16:16" ht="14.4">
      <c r="P1357"/>
    </row>
    <row r="1358" spans="16:16" ht="14.4">
      <c r="P1358"/>
    </row>
    <row r="1359" spans="16:16" ht="14.4">
      <c r="P1359"/>
    </row>
    <row r="1360" spans="16:16" ht="14.4">
      <c r="P1360"/>
    </row>
    <row r="1361" spans="16:16" ht="14.4">
      <c r="P1361"/>
    </row>
    <row r="1362" spans="16:16" ht="14.4">
      <c r="P1362"/>
    </row>
    <row r="1363" spans="16:16" ht="14.4">
      <c r="P1363"/>
    </row>
    <row r="1364" spans="16:16" ht="14.4">
      <c r="P1364"/>
    </row>
    <row r="1365" spans="16:16" ht="14.4">
      <c r="P1365"/>
    </row>
    <row r="1366" spans="16:16" ht="14.4">
      <c r="P1366"/>
    </row>
    <row r="1367" spans="16:16" ht="14.4">
      <c r="P1367"/>
    </row>
    <row r="1368" spans="16:16" ht="14.4">
      <c r="P1368"/>
    </row>
    <row r="1369" spans="16:16" ht="14.4">
      <c r="P1369"/>
    </row>
    <row r="1370" spans="16:16" ht="14.4">
      <c r="P1370"/>
    </row>
    <row r="1371" spans="16:16" ht="14.4">
      <c r="P1371"/>
    </row>
    <row r="1372" spans="16:16" ht="14.4">
      <c r="P1372"/>
    </row>
    <row r="1373" spans="16:16" ht="14.4">
      <c r="P1373"/>
    </row>
    <row r="1374" spans="16:16" ht="14.4">
      <c r="P1374"/>
    </row>
    <row r="1375" spans="16:16" ht="14.4">
      <c r="P1375"/>
    </row>
    <row r="1376" spans="16:16" ht="14.4">
      <c r="P1376"/>
    </row>
    <row r="1377" spans="16:16" ht="14.4">
      <c r="P1377"/>
    </row>
    <row r="1378" spans="16:16" ht="14.4">
      <c r="P1378"/>
    </row>
    <row r="1379" spans="16:16" ht="14.4">
      <c r="P1379"/>
    </row>
    <row r="1380" spans="16:16" ht="14.4">
      <c r="P1380"/>
    </row>
    <row r="1381" spans="16:16" ht="14.4">
      <c r="P1381"/>
    </row>
    <row r="1382" spans="16:16" ht="14.4">
      <c r="P1382"/>
    </row>
    <row r="1383" spans="16:16" ht="14.4">
      <c r="P1383"/>
    </row>
    <row r="1384" spans="16:16" ht="14.4">
      <c r="P1384"/>
    </row>
    <row r="1385" spans="16:16" ht="14.4">
      <c r="P1385"/>
    </row>
    <row r="1386" spans="16:16" ht="14.4">
      <c r="P1386"/>
    </row>
    <row r="1387" spans="16:16" ht="14.4">
      <c r="P1387"/>
    </row>
    <row r="1388" spans="16:16" ht="14.4">
      <c r="P1388"/>
    </row>
    <row r="1389" spans="16:16" ht="14.4">
      <c r="P1389"/>
    </row>
    <row r="1390" spans="16:16" ht="14.4">
      <c r="P1390"/>
    </row>
    <row r="1391" spans="16:16" ht="14.4">
      <c r="P1391"/>
    </row>
    <row r="1392" spans="16:16" ht="14.4">
      <c r="P1392"/>
    </row>
    <row r="1393" spans="16:16" ht="14.4">
      <c r="P1393"/>
    </row>
    <row r="1394" spans="16:16" ht="14.4">
      <c r="P1394"/>
    </row>
    <row r="1395" spans="16:16" ht="14.4">
      <c r="P1395"/>
    </row>
    <row r="1396" spans="16:16" ht="14.4">
      <c r="P1396"/>
    </row>
    <row r="1397" spans="16:16" ht="14.4">
      <c r="P1397"/>
    </row>
    <row r="1398" spans="16:16" ht="14.4">
      <c r="P1398"/>
    </row>
    <row r="1399" spans="16:16" ht="14.4">
      <c r="P1399"/>
    </row>
    <row r="1400" spans="16:16" ht="14.4">
      <c r="P1400"/>
    </row>
    <row r="1401" spans="16:16" ht="14.4">
      <c r="P1401"/>
    </row>
    <row r="1402" spans="16:16" ht="14.4">
      <c r="P1402"/>
    </row>
    <row r="1403" spans="16:16" ht="14.4">
      <c r="P1403"/>
    </row>
    <row r="1404" spans="16:16" ht="14.4">
      <c r="P1404"/>
    </row>
    <row r="1405" spans="16:16" ht="14.4">
      <c r="P1405"/>
    </row>
    <row r="1406" spans="16:16" ht="14.4">
      <c r="P1406"/>
    </row>
    <row r="1407" spans="16:16" ht="14.4">
      <c r="P1407"/>
    </row>
    <row r="1408" spans="16:16" ht="14.4">
      <c r="P1408"/>
    </row>
    <row r="1409" spans="16:16" ht="14.4">
      <c r="P1409"/>
    </row>
    <row r="1410" spans="16:16" ht="14.4">
      <c r="P1410"/>
    </row>
    <row r="1411" spans="16:16" ht="14.4">
      <c r="P1411"/>
    </row>
    <row r="1412" spans="16:16" ht="14.4">
      <c r="P1412"/>
    </row>
    <row r="1413" spans="16:16" ht="14.4">
      <c r="P1413"/>
    </row>
    <row r="1414" spans="16:16" ht="14.4">
      <c r="P1414"/>
    </row>
    <row r="1415" spans="16:16" ht="14.4">
      <c r="P1415"/>
    </row>
    <row r="1416" spans="16:16" ht="14.4">
      <c r="P1416"/>
    </row>
    <row r="1417" spans="16:16" ht="14.4">
      <c r="P1417"/>
    </row>
    <row r="1418" spans="16:16" ht="14.4">
      <c r="P1418"/>
    </row>
    <row r="1419" spans="16:16" ht="14.4">
      <c r="P1419"/>
    </row>
    <row r="1420" spans="16:16" ht="14.4">
      <c r="P1420"/>
    </row>
    <row r="1421" spans="16:16" ht="14.4">
      <c r="P1421"/>
    </row>
    <row r="1422" spans="16:16" ht="14.4">
      <c r="P1422"/>
    </row>
    <row r="1423" spans="16:16" ht="14.4">
      <c r="P1423"/>
    </row>
    <row r="1424" spans="16:16" ht="14.4">
      <c r="P1424"/>
    </row>
    <row r="1425" spans="16:16" ht="14.4">
      <c r="P1425"/>
    </row>
    <row r="1426" spans="16:16" ht="14.4">
      <c r="P1426"/>
    </row>
    <row r="1427" spans="16:16" ht="14.4">
      <c r="P1427"/>
    </row>
    <row r="1428" spans="16:16" ht="14.4">
      <c r="P1428"/>
    </row>
    <row r="1429" spans="16:16" ht="14.4">
      <c r="P1429"/>
    </row>
    <row r="1430" spans="16:16" ht="14.4">
      <c r="P1430"/>
    </row>
    <row r="1431" spans="16:16" ht="14.4">
      <c r="P1431"/>
    </row>
    <row r="1432" spans="16:16" ht="14.4">
      <c r="P1432"/>
    </row>
    <row r="1433" spans="16:16" ht="14.4">
      <c r="P1433"/>
    </row>
    <row r="1434" spans="16:16" ht="14.4">
      <c r="P1434"/>
    </row>
    <row r="1435" spans="16:16" ht="14.4">
      <c r="P1435"/>
    </row>
    <row r="1436" spans="16:16" ht="14.4">
      <c r="P1436"/>
    </row>
    <row r="1437" spans="16:16" ht="14.4">
      <c r="P1437"/>
    </row>
    <row r="1438" spans="16:16" ht="14.4">
      <c r="P1438"/>
    </row>
    <row r="1439" spans="16:16" ht="14.4">
      <c r="P1439"/>
    </row>
    <row r="1440" spans="16:16" ht="14.4">
      <c r="P1440"/>
    </row>
    <row r="1441" spans="16:16" ht="14.4">
      <c r="P1441"/>
    </row>
    <row r="1442" spans="16:16" ht="14.4">
      <c r="P1442"/>
    </row>
    <row r="1443" spans="16:16" ht="14.4">
      <c r="P1443"/>
    </row>
    <row r="1444" spans="16:16" ht="14.4">
      <c r="P1444"/>
    </row>
    <row r="1445" spans="16:16" ht="14.4">
      <c r="P1445"/>
    </row>
    <row r="1446" spans="16:16" ht="14.4">
      <c r="P1446"/>
    </row>
    <row r="1447" spans="16:16" ht="14.4">
      <c r="P1447"/>
    </row>
    <row r="1448" spans="16:16" ht="14.4">
      <c r="P1448"/>
    </row>
    <row r="1449" spans="16:16" ht="14.4">
      <c r="P1449"/>
    </row>
    <row r="1450" spans="16:16" ht="14.4">
      <c r="P1450"/>
    </row>
    <row r="1451" spans="16:16" ht="14.4">
      <c r="P1451"/>
    </row>
    <row r="1452" spans="16:16" ht="14.4">
      <c r="P1452"/>
    </row>
    <row r="1453" spans="16:16" ht="14.4">
      <c r="P1453"/>
    </row>
    <row r="1454" spans="16:16" ht="14.4">
      <c r="P1454"/>
    </row>
    <row r="1455" spans="16:16" ht="14.4">
      <c r="P1455"/>
    </row>
    <row r="1456" spans="16:16" ht="14.4">
      <c r="P1456"/>
    </row>
    <row r="1457" spans="16:16" ht="14.4">
      <c r="P1457"/>
    </row>
    <row r="1458" spans="16:16" ht="14.4">
      <c r="P1458"/>
    </row>
    <row r="1459" spans="16:16" ht="14.4">
      <c r="P1459"/>
    </row>
    <row r="1460" spans="16:16" ht="14.4">
      <c r="P1460"/>
    </row>
    <row r="1461" spans="16:16" ht="14.4">
      <c r="P1461"/>
    </row>
    <row r="1462" spans="16:16" ht="14.4">
      <c r="P1462"/>
    </row>
    <row r="1463" spans="16:16" ht="14.4">
      <c r="P1463"/>
    </row>
    <row r="1464" spans="16:16" ht="14.4">
      <c r="P1464"/>
    </row>
    <row r="1465" spans="16:16" ht="14.4">
      <c r="P1465"/>
    </row>
    <row r="1466" spans="16:16" ht="14.4">
      <c r="P1466"/>
    </row>
    <row r="1467" spans="16:16" ht="14.4">
      <c r="P1467"/>
    </row>
    <row r="1468" spans="16:16" ht="14.4">
      <c r="P1468"/>
    </row>
    <row r="1469" spans="16:16" ht="14.4">
      <c r="P1469"/>
    </row>
    <row r="1470" spans="16:16" ht="14.4">
      <c r="P1470"/>
    </row>
    <row r="1471" spans="16:16" ht="14.4">
      <c r="P1471"/>
    </row>
    <row r="1472" spans="16:16" ht="14.4">
      <c r="P1472"/>
    </row>
    <row r="1473" spans="16:16" ht="14.4">
      <c r="P1473"/>
    </row>
    <row r="1474" spans="16:16" ht="14.4">
      <c r="P1474"/>
    </row>
    <row r="1475" spans="16:16" ht="14.4">
      <c r="P1475"/>
    </row>
    <row r="1476" spans="16:16" ht="14.4">
      <c r="P1476"/>
    </row>
    <row r="1477" spans="16:16" ht="14.4">
      <c r="P1477"/>
    </row>
    <row r="1478" spans="16:16" ht="14.4">
      <c r="P1478"/>
    </row>
    <row r="1479" spans="16:16" ht="14.4">
      <c r="P1479"/>
    </row>
    <row r="1480" spans="16:16" ht="14.4">
      <c r="P1480"/>
    </row>
    <row r="1481" spans="16:16" ht="14.4">
      <c r="P1481"/>
    </row>
    <row r="1482" spans="16:16" ht="14.4">
      <c r="P1482"/>
    </row>
    <row r="1483" spans="16:16" ht="14.4">
      <c r="P1483"/>
    </row>
    <row r="1484" spans="16:16" ht="14.4">
      <c r="P1484"/>
    </row>
    <row r="1485" spans="16:16" ht="14.4">
      <c r="P1485"/>
    </row>
    <row r="1486" spans="16:16" ht="14.4">
      <c r="P1486"/>
    </row>
    <row r="1487" spans="16:16" ht="14.4">
      <c r="P1487"/>
    </row>
    <row r="1488" spans="16:16" ht="14.4">
      <c r="P1488"/>
    </row>
    <row r="1489" spans="16:16" ht="14.4">
      <c r="P1489"/>
    </row>
    <row r="1490" spans="16:16" ht="14.4">
      <c r="P1490"/>
    </row>
    <row r="1491" spans="16:16" ht="14.4">
      <c r="P1491"/>
    </row>
    <row r="1492" spans="16:16" ht="14.4">
      <c r="P1492"/>
    </row>
    <row r="1493" spans="16:16" ht="14.4">
      <c r="P1493"/>
    </row>
    <row r="1494" spans="16:16" ht="14.4">
      <c r="P1494"/>
    </row>
    <row r="1495" spans="16:16" ht="14.4">
      <c r="P1495"/>
    </row>
    <row r="1496" spans="16:16" ht="14.4">
      <c r="P1496"/>
    </row>
    <row r="1497" spans="16:16" ht="14.4">
      <c r="P1497"/>
    </row>
    <row r="1498" spans="16:16" ht="14.4">
      <c r="P1498"/>
    </row>
    <row r="1499" spans="16:16" ht="14.4">
      <c r="P1499"/>
    </row>
    <row r="1500" spans="16:16" ht="14.4">
      <c r="P1500"/>
    </row>
    <row r="1501" spans="16:16" ht="14.4">
      <c r="P1501"/>
    </row>
    <row r="1502" spans="16:16" ht="14.4">
      <c r="P1502"/>
    </row>
    <row r="1503" spans="16:16" ht="14.4">
      <c r="P1503"/>
    </row>
    <row r="1504" spans="16:16" ht="14.4">
      <c r="P1504"/>
    </row>
    <row r="1505" spans="16:16" ht="14.4">
      <c r="P1505"/>
    </row>
    <row r="1506" spans="16:16" ht="14.4">
      <c r="P1506"/>
    </row>
    <row r="1507" spans="16:16" ht="14.4">
      <c r="P1507"/>
    </row>
    <row r="1508" spans="16:16" ht="14.4">
      <c r="P1508"/>
    </row>
    <row r="1509" spans="16:16" ht="14.4">
      <c r="P1509"/>
    </row>
    <row r="1510" spans="16:16" ht="14.4">
      <c r="P1510"/>
    </row>
    <row r="1511" spans="16:16" ht="14.4">
      <c r="P1511"/>
    </row>
    <row r="1512" spans="16:16" ht="14.4">
      <c r="P1512"/>
    </row>
    <row r="1513" spans="16:16" ht="14.4">
      <c r="P1513"/>
    </row>
    <row r="1514" spans="16:16" ht="14.4">
      <c r="P1514"/>
    </row>
    <row r="1515" spans="16:16" ht="14.4">
      <c r="P1515"/>
    </row>
    <row r="1516" spans="16:16" ht="14.4">
      <c r="P1516"/>
    </row>
    <row r="1517" spans="16:16" ht="14.4">
      <c r="P1517"/>
    </row>
    <row r="1518" spans="16:16" ht="14.4">
      <c r="P1518"/>
    </row>
    <row r="1519" spans="16:16" ht="14.4">
      <c r="P1519"/>
    </row>
    <row r="1520" spans="16:16" ht="14.4">
      <c r="P1520"/>
    </row>
    <row r="1521" spans="16:16" ht="14.4">
      <c r="P1521"/>
    </row>
    <row r="1522" spans="16:16" ht="14.4">
      <c r="P1522"/>
    </row>
    <row r="1523" spans="16:16" ht="14.4">
      <c r="P1523"/>
    </row>
    <row r="1524" spans="16:16" ht="14.4">
      <c r="P1524"/>
    </row>
    <row r="1525" spans="16:16" ht="14.4">
      <c r="P1525"/>
    </row>
    <row r="1526" spans="16:16" ht="14.4">
      <c r="P1526"/>
    </row>
    <row r="1527" spans="16:16" ht="14.4">
      <c r="P1527"/>
    </row>
    <row r="1528" spans="16:16" ht="14.4">
      <c r="P1528"/>
    </row>
    <row r="1529" spans="16:16" ht="14.4">
      <c r="P1529"/>
    </row>
    <row r="1530" spans="16:16" ht="14.4">
      <c r="P1530"/>
    </row>
    <row r="1531" spans="16:16" ht="14.4">
      <c r="P1531"/>
    </row>
    <row r="1532" spans="16:16" ht="14.4">
      <c r="P1532"/>
    </row>
    <row r="1533" spans="16:16" ht="14.4">
      <c r="P1533"/>
    </row>
    <row r="1534" spans="16:16" ht="14.4">
      <c r="P1534"/>
    </row>
    <row r="1535" spans="16:16" ht="14.4">
      <c r="P1535"/>
    </row>
    <row r="1536" spans="16:16" ht="14.4">
      <c r="P1536"/>
    </row>
    <row r="1537" spans="16:16" ht="14.4">
      <c r="P1537"/>
    </row>
    <row r="1538" spans="16:16" ht="14.4">
      <c r="P1538"/>
    </row>
    <row r="1539" spans="16:16" ht="14.4">
      <c r="P1539"/>
    </row>
    <row r="1540" spans="16:16" ht="14.4">
      <c r="P1540"/>
    </row>
    <row r="1541" spans="16:16" ht="14.4">
      <c r="P1541"/>
    </row>
    <row r="1542" spans="16:16" ht="14.4">
      <c r="P1542"/>
    </row>
    <row r="1543" spans="16:16" ht="14.4">
      <c r="P1543"/>
    </row>
    <row r="1544" spans="16:16" ht="14.4">
      <c r="P1544"/>
    </row>
    <row r="1545" spans="16:16" ht="14.4">
      <c r="P1545"/>
    </row>
    <row r="1546" spans="16:16" ht="14.4">
      <c r="P1546"/>
    </row>
    <row r="1547" spans="16:16" ht="14.4">
      <c r="P1547"/>
    </row>
    <row r="1548" spans="16:16" ht="14.4">
      <c r="P1548"/>
    </row>
    <row r="1549" spans="16:16" ht="14.4">
      <c r="P1549"/>
    </row>
    <row r="1550" spans="16:16" ht="14.4">
      <c r="P1550"/>
    </row>
    <row r="1551" spans="16:16" ht="14.4">
      <c r="P1551"/>
    </row>
    <row r="1552" spans="16:16" ht="14.4">
      <c r="P1552"/>
    </row>
    <row r="1553" spans="16:16" ht="14.4">
      <c r="P1553"/>
    </row>
    <row r="1554" spans="16:16" ht="14.4">
      <c r="P1554"/>
    </row>
    <row r="1555" spans="16:16" ht="14.4">
      <c r="P1555"/>
    </row>
    <row r="1556" spans="16:16" ht="14.4">
      <c r="P1556"/>
    </row>
    <row r="1557" spans="16:16" ht="14.4">
      <c r="P1557"/>
    </row>
    <row r="1558" spans="16:16" ht="14.4">
      <c r="P1558"/>
    </row>
    <row r="1559" spans="16:16" ht="14.4">
      <c r="P1559"/>
    </row>
    <row r="1560" spans="16:16" ht="14.4">
      <c r="P1560"/>
    </row>
    <row r="1561" spans="16:16" ht="14.4">
      <c r="P1561"/>
    </row>
    <row r="1562" spans="16:16" ht="14.4">
      <c r="P1562"/>
    </row>
    <row r="1563" spans="16:16" ht="14.4">
      <c r="P1563"/>
    </row>
    <row r="1564" spans="16:16" ht="14.4">
      <c r="P1564"/>
    </row>
    <row r="1565" spans="16:16" ht="14.4">
      <c r="P1565"/>
    </row>
    <row r="1566" spans="16:16" ht="14.4">
      <c r="P1566"/>
    </row>
    <row r="1567" spans="16:16" ht="14.4">
      <c r="P1567"/>
    </row>
    <row r="1568" spans="16:16" ht="14.4">
      <c r="P1568"/>
    </row>
    <row r="1569" spans="16:16" ht="14.4">
      <c r="P1569"/>
    </row>
    <row r="1570" spans="16:16" ht="14.4">
      <c r="P1570"/>
    </row>
    <row r="1571" spans="16:16" ht="14.4">
      <c r="P1571"/>
    </row>
    <row r="1572" spans="16:16" ht="14.4">
      <c r="P1572"/>
    </row>
    <row r="1573" spans="16:16" ht="14.4">
      <c r="P1573"/>
    </row>
    <row r="1574" spans="16:16" ht="14.4">
      <c r="P1574"/>
    </row>
    <row r="1575" spans="16:16" ht="14.4">
      <c r="P1575"/>
    </row>
    <row r="1576" spans="16:16" ht="14.4">
      <c r="P1576"/>
    </row>
    <row r="1577" spans="16:16" ht="14.4">
      <c r="P1577"/>
    </row>
    <row r="1578" spans="16:16" ht="14.4">
      <c r="P1578"/>
    </row>
    <row r="1579" spans="16:16" ht="14.4">
      <c r="P1579"/>
    </row>
    <row r="1580" spans="16:16" ht="14.4">
      <c r="P1580"/>
    </row>
    <row r="1581" spans="16:16" ht="14.4">
      <c r="P1581"/>
    </row>
    <row r="1582" spans="16:16" ht="14.4">
      <c r="P1582"/>
    </row>
    <row r="1583" spans="16:16" ht="14.4">
      <c r="P1583"/>
    </row>
    <row r="1584" spans="16:16" ht="14.4">
      <c r="P1584"/>
    </row>
    <row r="1585" spans="16:16" ht="14.4">
      <c r="P1585"/>
    </row>
    <row r="1586" spans="16:16" ht="14.4">
      <c r="P1586"/>
    </row>
    <row r="1587" spans="16:16" ht="14.4">
      <c r="P1587"/>
    </row>
    <row r="1588" spans="16:16" ht="14.4">
      <c r="P1588"/>
    </row>
    <row r="1589" spans="16:16" ht="14.4">
      <c r="P1589"/>
    </row>
    <row r="1590" spans="16:16" ht="14.4">
      <c r="P1590"/>
    </row>
    <row r="1591" spans="16:16" ht="14.4">
      <c r="P1591"/>
    </row>
    <row r="1592" spans="16:16" ht="14.4">
      <c r="P1592"/>
    </row>
    <row r="1593" spans="16:16" ht="14.4">
      <c r="P1593"/>
    </row>
    <row r="1594" spans="16:16" ht="14.4">
      <c r="P1594"/>
    </row>
    <row r="1595" spans="16:16" ht="14.4">
      <c r="P1595"/>
    </row>
    <row r="1596" spans="16:16" ht="14.4">
      <c r="P1596"/>
    </row>
    <row r="1597" spans="16:16" ht="14.4">
      <c r="P1597"/>
    </row>
    <row r="1598" spans="16:16" ht="14.4">
      <c r="P1598"/>
    </row>
    <row r="1599" spans="16:16" ht="14.4">
      <c r="P1599"/>
    </row>
    <row r="1600" spans="16:16" ht="14.4">
      <c r="P1600"/>
    </row>
    <row r="1601" spans="16:16" ht="14.4">
      <c r="P1601"/>
    </row>
    <row r="1602" spans="16:16" ht="14.4">
      <c r="P1602"/>
    </row>
    <row r="1603" spans="16:16" ht="14.4">
      <c r="P1603"/>
    </row>
    <row r="1604" spans="16:16" ht="14.4">
      <c r="P1604"/>
    </row>
    <row r="1605" spans="16:16" ht="14.4">
      <c r="P1605"/>
    </row>
    <row r="1606" spans="16:16" ht="14.4">
      <c r="P1606"/>
    </row>
    <row r="1607" spans="16:16" ht="14.4">
      <c r="P1607"/>
    </row>
    <row r="1608" spans="16:16" ht="14.4">
      <c r="P1608"/>
    </row>
    <row r="1609" spans="16:16" ht="14.4">
      <c r="P1609"/>
    </row>
    <row r="1610" spans="16:16" ht="14.4">
      <c r="P1610"/>
    </row>
    <row r="1611" spans="16:16" ht="14.4">
      <c r="P1611"/>
    </row>
    <row r="1612" spans="16:16" ht="14.4">
      <c r="P1612"/>
    </row>
    <row r="1613" spans="16:16" ht="14.4">
      <c r="P1613"/>
    </row>
    <row r="1614" spans="16:16" ht="14.4">
      <c r="P1614"/>
    </row>
    <row r="1615" spans="16:16" ht="14.4">
      <c r="P1615"/>
    </row>
    <row r="1616" spans="16:16" ht="14.4">
      <c r="P1616"/>
    </row>
    <row r="1617" spans="16:16" ht="14.4">
      <c r="P1617"/>
    </row>
    <row r="1618" spans="16:16" ht="14.4">
      <c r="P1618"/>
    </row>
    <row r="1619" spans="16:16" ht="14.4">
      <c r="P1619"/>
    </row>
    <row r="1620" spans="16:16" ht="14.4">
      <c r="P1620"/>
    </row>
    <row r="1621" spans="16:16" ht="14.4">
      <c r="P1621"/>
    </row>
    <row r="1622" spans="16:16" ht="14.4">
      <c r="P1622"/>
    </row>
    <row r="1623" spans="16:16" ht="14.4">
      <c r="P1623"/>
    </row>
    <row r="1624" spans="16:16" ht="14.4">
      <c r="P1624"/>
    </row>
    <row r="1625" spans="16:16" ht="14.4">
      <c r="P1625"/>
    </row>
    <row r="1626" spans="16:16" ht="14.4">
      <c r="P1626"/>
    </row>
    <row r="1627" spans="16:16" ht="14.4">
      <c r="P1627"/>
    </row>
    <row r="1628" spans="16:16" ht="14.4">
      <c r="P1628"/>
    </row>
    <row r="1629" spans="16:16" ht="14.4">
      <c r="P1629"/>
    </row>
    <row r="1630" spans="16:16" ht="14.4">
      <c r="P1630"/>
    </row>
    <row r="1631" spans="16:16" ht="14.4">
      <c r="P1631"/>
    </row>
    <row r="1632" spans="16:16" ht="14.4">
      <c r="P1632"/>
    </row>
    <row r="1633" spans="16:16" ht="14.4">
      <c r="P1633"/>
    </row>
    <row r="1634" spans="16:16" ht="14.4">
      <c r="P1634"/>
    </row>
    <row r="1635" spans="16:16" ht="14.4">
      <c r="P1635"/>
    </row>
    <row r="1636" spans="16:16" ht="14.4">
      <c r="P1636"/>
    </row>
    <row r="1637" spans="16:16" ht="14.4">
      <c r="P1637"/>
    </row>
    <row r="1638" spans="16:16" ht="14.4">
      <c r="P1638"/>
    </row>
    <row r="1639" spans="16:16" ht="14.4">
      <c r="P1639"/>
    </row>
    <row r="1640" spans="16:16" ht="14.4">
      <c r="P1640"/>
    </row>
    <row r="1641" spans="16:16" ht="14.4">
      <c r="P1641"/>
    </row>
    <row r="1642" spans="16:16" ht="14.4">
      <c r="P1642"/>
    </row>
    <row r="1643" spans="16:16" ht="14.4">
      <c r="P1643"/>
    </row>
    <row r="1644" spans="16:16" ht="14.4">
      <c r="P1644"/>
    </row>
    <row r="1645" spans="16:16" ht="14.4">
      <c r="P1645"/>
    </row>
    <row r="1646" spans="16:16" ht="14.4">
      <c r="P1646"/>
    </row>
    <row r="1647" spans="16:16" ht="14.4">
      <c r="P1647"/>
    </row>
    <row r="1648" spans="16:16" ht="14.4">
      <c r="P1648"/>
    </row>
    <row r="1649" spans="16:16" ht="14.4">
      <c r="P1649"/>
    </row>
    <row r="1650" spans="16:16" ht="14.4">
      <c r="P1650"/>
    </row>
    <row r="1651" spans="16:16" ht="14.4">
      <c r="P1651"/>
    </row>
    <row r="1652" spans="16:16" ht="14.4">
      <c r="P1652"/>
    </row>
    <row r="1653" spans="16:16" ht="14.4">
      <c r="P1653"/>
    </row>
    <row r="1654" spans="16:16" ht="14.4">
      <c r="P1654"/>
    </row>
    <row r="1655" spans="16:16" ht="14.4">
      <c r="P1655"/>
    </row>
    <row r="1656" spans="16:16" ht="14.4">
      <c r="P1656"/>
    </row>
    <row r="1657" spans="16:16" ht="14.4">
      <c r="P1657"/>
    </row>
    <row r="1658" spans="16:16" ht="14.4">
      <c r="P1658"/>
    </row>
    <row r="1659" spans="16:16" ht="14.4">
      <c r="P1659"/>
    </row>
    <row r="1660" spans="16:16" ht="14.4">
      <c r="P1660"/>
    </row>
    <row r="1661" spans="16:16" ht="14.4">
      <c r="P1661"/>
    </row>
    <row r="1662" spans="16:16" ht="14.4">
      <c r="P1662"/>
    </row>
    <row r="1663" spans="16:16" ht="14.4">
      <c r="P1663"/>
    </row>
    <row r="1664" spans="16:16" ht="14.4">
      <c r="P1664"/>
    </row>
    <row r="1665" spans="16:16" ht="14.4">
      <c r="P1665"/>
    </row>
    <row r="1666" spans="16:16" ht="14.4">
      <c r="P1666"/>
    </row>
    <row r="1667" spans="16:16" ht="14.4">
      <c r="P1667"/>
    </row>
    <row r="1668" spans="16:16" ht="14.4">
      <c r="P1668"/>
    </row>
    <row r="1669" spans="16:16" ht="14.4">
      <c r="P1669"/>
    </row>
    <row r="1670" spans="16:16" ht="14.4">
      <c r="P1670"/>
    </row>
    <row r="1671" spans="16:16" ht="14.4">
      <c r="P1671"/>
    </row>
    <row r="1672" spans="16:16" ht="14.4">
      <c r="P1672"/>
    </row>
    <row r="1673" spans="16:16" ht="14.4">
      <c r="P1673"/>
    </row>
    <row r="1674" spans="16:16" ht="14.4">
      <c r="P1674"/>
    </row>
    <row r="1675" spans="16:16" ht="14.4">
      <c r="P1675"/>
    </row>
    <row r="1676" spans="16:16" ht="14.4">
      <c r="P1676"/>
    </row>
    <row r="1677" spans="16:16" ht="14.4">
      <c r="P1677"/>
    </row>
    <row r="1678" spans="16:16" ht="14.4">
      <c r="P1678"/>
    </row>
    <row r="1679" spans="16:16" ht="14.4">
      <c r="P1679"/>
    </row>
    <row r="1680" spans="16:16" ht="14.4">
      <c r="P1680"/>
    </row>
    <row r="1681" spans="16:16" ht="14.4">
      <c r="P1681"/>
    </row>
    <row r="1682" spans="16:16" ht="14.4">
      <c r="P1682"/>
    </row>
    <row r="1683" spans="16:16" ht="14.4">
      <c r="P1683"/>
    </row>
    <row r="1684" spans="16:16" ht="14.4">
      <c r="P1684"/>
    </row>
    <row r="1685" spans="16:16" ht="14.4">
      <c r="P1685"/>
    </row>
    <row r="1686" spans="16:16" ht="14.4">
      <c r="P1686"/>
    </row>
    <row r="1687" spans="16:16" ht="14.4">
      <c r="P1687"/>
    </row>
    <row r="1688" spans="16:16" ht="14.4">
      <c r="P1688"/>
    </row>
    <row r="1689" spans="16:16" ht="14.4">
      <c r="P1689"/>
    </row>
    <row r="1690" spans="16:16" ht="14.4">
      <c r="P1690"/>
    </row>
    <row r="1691" spans="16:16" ht="14.4">
      <c r="P1691"/>
    </row>
    <row r="1692" spans="16:16" ht="14.4">
      <c r="P1692"/>
    </row>
    <row r="1693" spans="16:16" ht="14.4">
      <c r="P1693"/>
    </row>
    <row r="1694" spans="16:16" ht="14.4">
      <c r="P1694"/>
    </row>
    <row r="1695" spans="16:16" ht="14.4">
      <c r="P1695"/>
    </row>
    <row r="1696" spans="16:16" ht="14.4">
      <c r="P1696"/>
    </row>
    <row r="1697" spans="16:16" ht="14.4">
      <c r="P1697"/>
    </row>
    <row r="1698" spans="16:16" ht="14.4">
      <c r="P1698"/>
    </row>
    <row r="1699" spans="16:16" ht="14.4">
      <c r="P1699"/>
    </row>
    <row r="1700" spans="16:16" ht="14.4">
      <c r="P1700"/>
    </row>
    <row r="1701" spans="16:16" ht="14.4">
      <c r="P1701"/>
    </row>
    <row r="1702" spans="16:16" ht="14.4">
      <c r="P1702"/>
    </row>
    <row r="1703" spans="16:16" ht="14.4">
      <c r="P1703"/>
    </row>
    <row r="1704" spans="16:16" ht="14.4">
      <c r="P1704"/>
    </row>
    <row r="1705" spans="16:16" ht="14.4">
      <c r="P1705"/>
    </row>
    <row r="1706" spans="16:16" ht="14.4">
      <c r="P1706"/>
    </row>
    <row r="1707" spans="16:16" ht="14.4">
      <c r="P1707"/>
    </row>
    <row r="1708" spans="16:16" ht="14.4">
      <c r="P1708"/>
    </row>
    <row r="1709" spans="16:16" ht="14.4">
      <c r="P1709"/>
    </row>
    <row r="1710" spans="16:16" ht="14.4">
      <c r="P1710"/>
    </row>
    <row r="1711" spans="16:16" ht="14.4">
      <c r="P1711"/>
    </row>
    <row r="1712" spans="16:16" ht="14.4">
      <c r="P1712"/>
    </row>
    <row r="1713" spans="2:16" ht="14.4">
      <c r="P1713"/>
    </row>
    <row r="1714" spans="2:16" ht="14.4">
      <c r="P1714"/>
    </row>
    <row r="1715" spans="2:16" ht="14.4">
      <c r="P1715"/>
    </row>
    <row r="1716" spans="2:16" ht="14.4">
      <c r="P1716"/>
    </row>
    <row r="1717" spans="2:16" ht="14.4">
      <c r="P1717"/>
    </row>
    <row r="1718" spans="2:16" ht="14.4">
      <c r="P1718"/>
    </row>
    <row r="1719" spans="2:16" ht="14.4">
      <c r="P1719"/>
    </row>
    <row r="1720" spans="2:16" ht="14.4">
      <c r="P1720"/>
    </row>
    <row r="1721" spans="2:16" ht="14.4">
      <c r="P1721"/>
    </row>
    <row r="1722" spans="2:16" ht="14.4">
      <c r="P1722"/>
    </row>
    <row r="1723" spans="2:16" ht="14.4">
      <c r="B1723" s="1"/>
      <c r="C1723" s="1"/>
      <c r="D1723" s="1"/>
      <c r="E1723" s="1"/>
      <c r="F1723" s="1"/>
      <c r="P1723"/>
    </row>
    <row r="1724" spans="2:16" ht="14.4">
      <c r="P1724"/>
    </row>
    <row r="1725" spans="2:16" ht="14.4">
      <c r="P1725"/>
    </row>
    <row r="1726" spans="2:16" ht="14.4">
      <c r="P1726"/>
    </row>
    <row r="1727" spans="2:16" ht="14.4">
      <c r="P1727"/>
    </row>
    <row r="1728" spans="2:16" ht="14.4">
      <c r="P1728"/>
    </row>
    <row r="1729" spans="2:16" ht="14.4">
      <c r="P1729"/>
    </row>
    <row r="1730" spans="2:16" ht="14.4">
      <c r="P1730"/>
    </row>
    <row r="1731" spans="2:16" ht="14.4">
      <c r="P1731"/>
    </row>
    <row r="1732" spans="2:16" ht="14.4">
      <c r="P1732"/>
    </row>
    <row r="1733" spans="2:16" ht="14.4">
      <c r="P1733"/>
    </row>
    <row r="1734" spans="2:16" ht="14.4">
      <c r="P1734"/>
    </row>
    <row r="1735" spans="2:16" ht="14.4">
      <c r="P1735"/>
    </row>
    <row r="1736" spans="2:16" ht="14.4">
      <c r="P1736"/>
    </row>
    <row r="1737" spans="2:16" ht="14.4">
      <c r="P1737"/>
    </row>
    <row r="1738" spans="2:16" ht="14.4">
      <c r="P1738"/>
    </row>
    <row r="1739" spans="2:16" ht="14.4">
      <c r="P1739"/>
    </row>
    <row r="1740" spans="2:16" ht="14.4">
      <c r="P1740"/>
    </row>
    <row r="1741" spans="2:16" ht="14.4">
      <c r="P1741"/>
    </row>
    <row r="1742" spans="2:16" ht="14.4">
      <c r="B1742" s="1"/>
      <c r="C1742" s="1"/>
      <c r="D1742" s="1"/>
      <c r="E1742" s="1"/>
      <c r="F1742" s="1"/>
      <c r="H1742" s="1">
        <v>168293070</v>
      </c>
      <c r="P1742"/>
    </row>
    <row r="1743" spans="2:16" ht="14.4">
      <c r="P1743"/>
    </row>
    <row r="1744" spans="2:16" ht="14.4">
      <c r="P1744"/>
    </row>
    <row r="1745" spans="2:16" ht="14.4">
      <c r="P1745"/>
    </row>
    <row r="1746" spans="2:16" ht="14.4">
      <c r="P1746"/>
    </row>
    <row r="1747" spans="2:16" ht="14.4">
      <c r="P1747"/>
    </row>
    <row r="1748" spans="2:16" ht="14.4">
      <c r="P1748"/>
    </row>
    <row r="1749" spans="2:16" ht="14.4">
      <c r="B1749" s="1"/>
      <c r="C1749" s="13" t="s">
        <v>2575</v>
      </c>
      <c r="H1749" s="1">
        <v>1682930777</v>
      </c>
      <c r="P1749"/>
    </row>
    <row r="1750" spans="2:16" ht="14.4">
      <c r="P1750"/>
    </row>
    <row r="1751" spans="2:16" ht="14.4">
      <c r="B1751" s="1"/>
      <c r="E1751" s="30">
        <v>1</v>
      </c>
      <c r="G1751" s="1">
        <v>14302511</v>
      </c>
      <c r="H1751" s="1">
        <v>168293079</v>
      </c>
      <c r="J1751" s="1">
        <v>1.8</v>
      </c>
      <c r="P1751"/>
    </row>
    <row r="1752" spans="2:16" ht="14.4">
      <c r="B1752" s="1"/>
      <c r="C1752" s="13" t="s">
        <v>2070</v>
      </c>
      <c r="E1752" s="30">
        <v>2</v>
      </c>
      <c r="G1752" s="1">
        <v>14320975</v>
      </c>
      <c r="H1752" s="1">
        <v>168293080</v>
      </c>
      <c r="J1752" s="1">
        <v>0.2</v>
      </c>
      <c r="P1752"/>
    </row>
    <row r="1753" spans="2:16" ht="39.6">
      <c r="B1753" s="1"/>
      <c r="C1753" s="13" t="s">
        <v>2576</v>
      </c>
      <c r="E1753" s="30">
        <v>8</v>
      </c>
      <c r="G1753" s="1" t="s">
        <v>2577</v>
      </c>
      <c r="H1753" s="1">
        <v>168293081</v>
      </c>
      <c r="J1753" s="1">
        <f>0.2+0.5+0.2+0.5+0.4+1.3+1.4+0.3</f>
        <v>4.8</v>
      </c>
      <c r="P1753"/>
    </row>
    <row r="1754" spans="2:16" ht="14.4">
      <c r="B1754" s="1"/>
      <c r="C1754" s="13" t="s">
        <v>2578</v>
      </c>
      <c r="E1754" s="30">
        <v>1</v>
      </c>
      <c r="G1754" s="1">
        <v>14340246</v>
      </c>
      <c r="H1754" s="1">
        <v>168293082</v>
      </c>
      <c r="J1754" s="1">
        <v>0.1</v>
      </c>
      <c r="P1754"/>
    </row>
    <row r="1755" spans="2:16" ht="26.4">
      <c r="B1755" s="1"/>
      <c r="C1755" s="13" t="s">
        <v>2431</v>
      </c>
      <c r="E1755" s="30">
        <v>1</v>
      </c>
      <c r="G1755" s="1" t="s">
        <v>2579</v>
      </c>
      <c r="H1755" s="1">
        <v>168293083</v>
      </c>
      <c r="I1755" s="1" t="s">
        <v>2580</v>
      </c>
      <c r="J1755" s="1">
        <v>3</v>
      </c>
      <c r="P1755"/>
    </row>
    <row r="1756" spans="2:16" ht="14.4">
      <c r="B1756" s="1"/>
      <c r="C1756" s="13" t="s">
        <v>1312</v>
      </c>
      <c r="E1756" s="30">
        <v>1</v>
      </c>
      <c r="G1756" s="1">
        <v>14300389</v>
      </c>
      <c r="H1756" s="1">
        <v>168293084</v>
      </c>
      <c r="J1756" s="1">
        <v>0.6</v>
      </c>
      <c r="P1756"/>
    </row>
    <row r="1757" spans="2:16" ht="52.8">
      <c r="B1757" s="1"/>
      <c r="C1757" s="13" t="s">
        <v>1270</v>
      </c>
      <c r="E1757" s="30">
        <v>3</v>
      </c>
      <c r="G1757" s="1" t="s">
        <v>2581</v>
      </c>
      <c r="H1757" s="1">
        <v>168293085</v>
      </c>
      <c r="J1757" s="1">
        <f>0.9+0.25+1.7</f>
        <v>2.8499999999999996</v>
      </c>
      <c r="P1757"/>
    </row>
    <row r="1758" spans="2:16" ht="14.4">
      <c r="B1758" s="1"/>
      <c r="C1758" s="13" t="s">
        <v>2582</v>
      </c>
      <c r="E1758" s="30">
        <v>1</v>
      </c>
      <c r="G1758" s="1">
        <v>14332921</v>
      </c>
      <c r="H1758" s="1">
        <v>168293086</v>
      </c>
      <c r="J1758" s="1">
        <v>0.3</v>
      </c>
      <c r="P1758"/>
    </row>
    <row r="1759" spans="2:16" ht="52.8">
      <c r="B1759" s="1"/>
      <c r="C1759" s="13" t="s">
        <v>2472</v>
      </c>
      <c r="E1759" s="30">
        <v>1</v>
      </c>
      <c r="G1759" s="1">
        <v>14347505</v>
      </c>
      <c r="H1759" s="1">
        <v>168293087</v>
      </c>
      <c r="J1759" s="1">
        <v>0.6</v>
      </c>
      <c r="P1759"/>
    </row>
    <row r="1760" spans="2:16" ht="14.4">
      <c r="B1760" s="1"/>
      <c r="C1760" s="13" t="s">
        <v>2583</v>
      </c>
      <c r="E1760" s="30">
        <v>1</v>
      </c>
      <c r="G1760" s="1">
        <v>14333153</v>
      </c>
      <c r="H1760" s="1">
        <v>168293088</v>
      </c>
      <c r="J1760" s="1">
        <v>1.9</v>
      </c>
      <c r="P1760"/>
    </row>
    <row r="1761" spans="2:16" ht="26.4">
      <c r="B1761" s="1"/>
      <c r="C1761" s="13" t="s">
        <v>2150</v>
      </c>
      <c r="E1761" s="30">
        <v>1</v>
      </c>
      <c r="G1761" s="1">
        <v>14314374</v>
      </c>
      <c r="H1761" s="1">
        <v>168293089</v>
      </c>
      <c r="J1761" s="1">
        <v>0.1</v>
      </c>
      <c r="P1761"/>
    </row>
    <row r="1762" spans="2:16" ht="66">
      <c r="B1762" s="1"/>
      <c r="C1762" s="13" t="s">
        <v>1835</v>
      </c>
      <c r="E1762" s="30">
        <v>3</v>
      </c>
      <c r="G1762" s="1" t="s">
        <v>2584</v>
      </c>
      <c r="H1762" s="1">
        <v>168293090</v>
      </c>
      <c r="J1762" s="1">
        <f>0.5+0.5+0.3</f>
        <v>1.3</v>
      </c>
      <c r="P1762"/>
    </row>
    <row r="1763" spans="2:16" ht="14.4">
      <c r="B1763" s="1"/>
      <c r="C1763" s="13" t="s">
        <v>2585</v>
      </c>
      <c r="E1763" s="30">
        <v>1</v>
      </c>
      <c r="G1763" s="1">
        <v>14341094</v>
      </c>
      <c r="H1763" s="1">
        <v>168293091</v>
      </c>
      <c r="J1763" s="1">
        <v>0.6</v>
      </c>
      <c r="P1763"/>
    </row>
    <row r="1764" spans="2:16" ht="14.4">
      <c r="P1764"/>
    </row>
    <row r="1765" spans="2:16" ht="14.4">
      <c r="P1765"/>
    </row>
    <row r="1766" spans="2:16" ht="14.4">
      <c r="P1766"/>
    </row>
    <row r="1767" spans="2:16" ht="14.4">
      <c r="P1767"/>
    </row>
    <row r="1768" spans="2:16" ht="14.4">
      <c r="P1768"/>
    </row>
    <row r="1769" spans="2:16" ht="14.4">
      <c r="P1769"/>
    </row>
    <row r="1770" spans="2:16" ht="14.4">
      <c r="P1770"/>
    </row>
    <row r="1771" spans="2:16" ht="14.4">
      <c r="P1771"/>
    </row>
    <row r="1772" spans="2:16" ht="14.4">
      <c r="P1772"/>
    </row>
    <row r="1773" spans="2:16" ht="14.4">
      <c r="P1773"/>
    </row>
    <row r="1774" spans="2:16" ht="14.4">
      <c r="P1774"/>
    </row>
    <row r="1775" spans="2:16" ht="14.4">
      <c r="P1775"/>
    </row>
    <row r="1776" spans="2:16" ht="14.4">
      <c r="P1776"/>
    </row>
    <row r="1777" spans="16:16" ht="14.4">
      <c r="P1777"/>
    </row>
    <row r="1778" spans="16:16" ht="14.4">
      <c r="P1778"/>
    </row>
    <row r="1779" spans="16:16" ht="14.4">
      <c r="P1779"/>
    </row>
    <row r="1780" spans="16:16" ht="14.4">
      <c r="P1780"/>
    </row>
    <row r="1781" spans="16:16" ht="14.4">
      <c r="P1781"/>
    </row>
    <row r="1782" spans="16:16" ht="14.4">
      <c r="P1782"/>
    </row>
    <row r="1783" spans="16:16" ht="14.4">
      <c r="P1783"/>
    </row>
    <row r="1784" spans="16:16" ht="14.4">
      <c r="P1784"/>
    </row>
    <row r="1785" spans="16:16" ht="14.4">
      <c r="P1785"/>
    </row>
    <row r="1786" spans="16:16" ht="14.4">
      <c r="P1786"/>
    </row>
    <row r="1787" spans="16:16" ht="14.4">
      <c r="P1787"/>
    </row>
    <row r="1788" spans="16:16" ht="14.4">
      <c r="P1788"/>
    </row>
    <row r="1789" spans="16:16" ht="14.4">
      <c r="P1789"/>
    </row>
    <row r="1790" spans="16:16" ht="14.4">
      <c r="P1790"/>
    </row>
    <row r="1791" spans="16:16" ht="14.4">
      <c r="P1791"/>
    </row>
    <row r="1792" spans="16:16" ht="14.4">
      <c r="P1792"/>
    </row>
    <row r="1793" spans="16:16" ht="14.4">
      <c r="P1793"/>
    </row>
    <row r="1794" spans="16:16" ht="14.4">
      <c r="P1794"/>
    </row>
    <row r="1795" spans="16:16" ht="14.4">
      <c r="P1795"/>
    </row>
    <row r="1796" spans="16:16" ht="14.4">
      <c r="P1796"/>
    </row>
    <row r="1797" spans="16:16" ht="14.4">
      <c r="P1797"/>
    </row>
    <row r="1798" spans="16:16" ht="14.4">
      <c r="P1798"/>
    </row>
    <row r="1799" spans="16:16" ht="14.4">
      <c r="P1799"/>
    </row>
    <row r="1800" spans="16:16" ht="14.4">
      <c r="P1800"/>
    </row>
    <row r="1801" spans="16:16" ht="14.4">
      <c r="P1801"/>
    </row>
    <row r="1802" spans="16:16" ht="14.4">
      <c r="P1802"/>
    </row>
    <row r="1803" spans="16:16" ht="14.4">
      <c r="P1803"/>
    </row>
    <row r="1804" spans="16:16" ht="14.4">
      <c r="P1804"/>
    </row>
    <row r="1805" spans="16:16" ht="14.4">
      <c r="P1805"/>
    </row>
    <row r="1806" spans="16:16" ht="14.4">
      <c r="P1806"/>
    </row>
    <row r="1807" spans="16:16" ht="14.4">
      <c r="P1807"/>
    </row>
    <row r="1808" spans="16:16" ht="14.4">
      <c r="P1808"/>
    </row>
    <row r="1809" spans="16:16" ht="14.4">
      <c r="P1809"/>
    </row>
    <row r="1810" spans="16:16" ht="14.4">
      <c r="P1810"/>
    </row>
    <row r="1811" spans="16:16" ht="14.4">
      <c r="P1811"/>
    </row>
    <row r="1812" spans="16:16" ht="14.4">
      <c r="P1812"/>
    </row>
    <row r="1813" spans="16:16" ht="14.4">
      <c r="P1813"/>
    </row>
    <row r="1814" spans="16:16" ht="14.4">
      <c r="P1814"/>
    </row>
    <row r="1815" spans="16:16" ht="14.4">
      <c r="P1815"/>
    </row>
    <row r="1816" spans="16:16" ht="14.4">
      <c r="P1816"/>
    </row>
    <row r="1817" spans="16:16" ht="14.4">
      <c r="P1817"/>
    </row>
    <row r="1818" spans="16:16" ht="14.4">
      <c r="P1818"/>
    </row>
    <row r="1819" spans="16:16" ht="14.4">
      <c r="P1819"/>
    </row>
    <row r="1820" spans="16:16" ht="14.4">
      <c r="P1820"/>
    </row>
    <row r="1821" spans="16:16" ht="14.4">
      <c r="P1821"/>
    </row>
    <row r="1822" spans="16:16" ht="14.4">
      <c r="P1822"/>
    </row>
    <row r="1823" spans="16:16" ht="14.4">
      <c r="P1823"/>
    </row>
    <row r="1824" spans="16:16" ht="14.4">
      <c r="P1824"/>
    </row>
    <row r="1825" spans="16:16" ht="14.4">
      <c r="P1825"/>
    </row>
    <row r="1826" spans="16:16" ht="14.4">
      <c r="P1826"/>
    </row>
    <row r="1827" spans="16:16" ht="14.4">
      <c r="P1827"/>
    </row>
    <row r="1828" spans="16:16" ht="14.4">
      <c r="P1828"/>
    </row>
    <row r="1829" spans="16:16" ht="14.4">
      <c r="P1829"/>
    </row>
    <row r="1830" spans="16:16" ht="14.4">
      <c r="P1830"/>
    </row>
    <row r="1831" spans="16:16" ht="14.4">
      <c r="P1831"/>
    </row>
    <row r="1832" spans="16:16" ht="14.4">
      <c r="P1832"/>
    </row>
    <row r="1833" spans="16:16" ht="14.4">
      <c r="P1833"/>
    </row>
    <row r="1834" spans="16:16" ht="14.4">
      <c r="P1834"/>
    </row>
    <row r="1835" spans="16:16" ht="14.4">
      <c r="P1835"/>
    </row>
    <row r="1836" spans="16:16" ht="14.4">
      <c r="P1836"/>
    </row>
    <row r="1837" spans="16:16" ht="14.4">
      <c r="P1837"/>
    </row>
    <row r="1838" spans="16:16" ht="14.4">
      <c r="P1838"/>
    </row>
    <row r="1839" spans="16:16" ht="14.4">
      <c r="P1839"/>
    </row>
    <row r="1840" spans="16:16" ht="14.4">
      <c r="P1840"/>
    </row>
    <row r="1841" spans="16:16" ht="14.4">
      <c r="P1841"/>
    </row>
    <row r="1842" spans="16:16" ht="14.4">
      <c r="P1842"/>
    </row>
    <row r="1843" spans="16:16" ht="14.4">
      <c r="P1843"/>
    </row>
    <row r="1844" spans="16:16" ht="14.4">
      <c r="P1844"/>
    </row>
    <row r="1845" spans="16:16" ht="14.4">
      <c r="P1845"/>
    </row>
    <row r="1846" spans="16:16" ht="14.4">
      <c r="P1846"/>
    </row>
    <row r="1847" spans="16:16" ht="14.4">
      <c r="P1847"/>
    </row>
    <row r="1848" spans="16:16" ht="14.4">
      <c r="P1848"/>
    </row>
    <row r="1849" spans="16:16" ht="14.4">
      <c r="P1849"/>
    </row>
    <row r="1850" spans="16:16" ht="14.4">
      <c r="P1850"/>
    </row>
    <row r="1851" spans="16:16" ht="14.4">
      <c r="P1851"/>
    </row>
    <row r="1852" spans="16:16" ht="14.4">
      <c r="P1852"/>
    </row>
    <row r="1853" spans="16:16" ht="14.4">
      <c r="P1853"/>
    </row>
    <row r="1854" spans="16:16" ht="14.4">
      <c r="P1854"/>
    </row>
    <row r="1855" spans="16:16" ht="14.4">
      <c r="P1855"/>
    </row>
    <row r="1856" spans="16:16" ht="14.4">
      <c r="P1856"/>
    </row>
    <row r="1857" spans="16:16" ht="14.4">
      <c r="P1857"/>
    </row>
    <row r="1858" spans="16:16" ht="14.4">
      <c r="P1858"/>
    </row>
    <row r="1859" spans="16:16" ht="14.4">
      <c r="P1859"/>
    </row>
    <row r="1860" spans="16:16" ht="14.4">
      <c r="P1860"/>
    </row>
  </sheetData>
  <mergeCells count="3">
    <mergeCell ref="D1:E1"/>
    <mergeCell ref="D3:E3"/>
    <mergeCell ref="C5:E5"/>
  </mergeCells>
  <conditionalFormatting sqref="D7:D10 B9:B10">
    <cfRule type="cellIs" dxfId="5000" priority="4999" stopIfTrue="1" operator="equal">
      <formula>#REF!</formula>
    </cfRule>
  </conditionalFormatting>
  <conditionalFormatting sqref="E290:E297">
    <cfRule type="expression" dxfId="4999" priority="4996" stopIfTrue="1">
      <formula>OR(LEFT(E290,4)="KHTT",LEFT(E290,5)="10USD",RIGHT(E290,3)="TTC",LEFT(E290,3)="TNT")</formula>
    </cfRule>
    <cfRule type="expression" dxfId="4998" priority="4997" stopIfTrue="1">
      <formula>OR(LEFT(E290,3)="CTU",LEFT(E290,4)="HDON")</formula>
    </cfRule>
    <cfRule type="expression" dxfId="4997" priority="4998" stopIfTrue="1">
      <formula>OR(LEFT(E290,4)="HOLD",OR(B290="QTNP",B290="HOA THO",B290="YES VINA",B290="HUNG YEN",B290="TEX GIANG",B290="HUNG LONG"),LEFT(B290,5)="HANES",LEFT(B290,3)="ITG")</formula>
    </cfRule>
  </conditionalFormatting>
  <conditionalFormatting sqref="D470">
    <cfRule type="expression" dxfId="4996" priority="4993" stopIfTrue="1">
      <formula>OR(LEFT(D470,4)="KHTT",LEFT(D470,5)="10USD",RIGHT(D470,3)="TTC",LEFT(D470,3)="TNT")</formula>
    </cfRule>
    <cfRule type="expression" dxfId="4995" priority="4994" stopIfTrue="1">
      <formula>OR(LEFT(D470,3)="CTU",LEFT(D470,4)="HDON")</formula>
    </cfRule>
    <cfRule type="expression" dxfId="4994" priority="4995" stopIfTrue="1">
      <formula>OR(LEFT(D470,4)="HOLD",OR(A470="QTNP",A470="HOA THO",A470="YES VINA",A470="HUNG YEN",A470="TEX GIANG",A470="HUNG LONG"),LEFT(A470,5)="HANES",LEFT(A470,3)="ITG")</formula>
    </cfRule>
  </conditionalFormatting>
  <conditionalFormatting sqref="D470">
    <cfRule type="expression" dxfId="4993" priority="4990" stopIfTrue="1">
      <formula>OR(LEFT(D470,4)="KHTT",LEFT(D470,5)="10USD",RIGHT(D470,3)="TTC",LEFT(D470,3)="TNT")</formula>
    </cfRule>
    <cfRule type="expression" dxfId="4992" priority="4991" stopIfTrue="1">
      <formula>OR(LEFT(D470,3)="CTU",LEFT(D470,4)="HDON")</formula>
    </cfRule>
    <cfRule type="expression" dxfId="4991" priority="4992" stopIfTrue="1">
      <formula>OR(LEFT(D470,4)="HOLD",OR(A470="QTNP",A470="HOA THO",A470="YES VINA",A470="HUNG YEN",A470="TEX GIANG",A470="HUNG LONG"),LEFT(A470,5)="HANES",LEFT(A470,3)="ITG")</formula>
    </cfRule>
  </conditionalFormatting>
  <conditionalFormatting sqref="D470">
    <cfRule type="expression" dxfId="4990" priority="4987" stopIfTrue="1">
      <formula>OR(LEFT(D470,4)="KHTT",LEFT(D470,5)="10USD",RIGHT(D470,3)="TTC",LEFT(D470,3)="TNT")</formula>
    </cfRule>
    <cfRule type="expression" dxfId="4989" priority="4988" stopIfTrue="1">
      <formula>OR(LEFT(D470,3)="CTU",LEFT(D470,4)="HDON")</formula>
    </cfRule>
    <cfRule type="expression" dxfId="4988" priority="4989" stopIfTrue="1">
      <formula>OR(LEFT(D470,4)="HOLD",OR(A470="QTNP",A470="HOA THO",A470="YES VINA",A470="HUNG YEN",A470="TEX GIANG",A470="HUNG LONG"),LEFT(A470,5)="HANES",LEFT(A470,3)="ITG")</formula>
    </cfRule>
  </conditionalFormatting>
  <conditionalFormatting sqref="D470">
    <cfRule type="expression" dxfId="4987" priority="4984" stopIfTrue="1">
      <formula>OR(LEFT(D470,4)="KHTT",LEFT(D470,5)="10USD",RIGHT(D470,3)="TTC",LEFT(D470,3)="TNT")</formula>
    </cfRule>
    <cfRule type="expression" dxfId="4986" priority="4985" stopIfTrue="1">
      <formula>OR(LEFT(D470,3)="CTU",LEFT(D470,4)="HDON")</formula>
    </cfRule>
    <cfRule type="expression" dxfId="4985" priority="4986" stopIfTrue="1">
      <formula>OR(LEFT(D470,4)="HOLD",OR(A470="QTNP",A470="HOA THO",A470="YES VINA",A470="HUNG YEN",A470="TEX GIANG",A470="HUNG LONG"),LEFT(A470,5)="HANES",LEFT(A470,3)="ITG")</formula>
    </cfRule>
  </conditionalFormatting>
  <conditionalFormatting sqref="D469">
    <cfRule type="expression" dxfId="4984" priority="4981" stopIfTrue="1">
      <formula>OR(LEFT(D469,4)="KHTT",LEFT(D469,5)="10USD",RIGHT(D469,3)="TTC",LEFT(D469,3)="TNT")</formula>
    </cfRule>
    <cfRule type="expression" dxfId="4983" priority="4982" stopIfTrue="1">
      <formula>OR(LEFT(D469,3)="CTU",LEFT(D469,4)="HDON")</formula>
    </cfRule>
    <cfRule type="expression" dxfId="4982" priority="4983" stopIfTrue="1">
      <formula>OR(LEFT(D469,4)="HOLD",OR(A469="QTNP",A469="HOA THO",A469="YES VINA",A469="HUNG YEN",A469="TEX GIANG",A469="HUNG LONG"),LEFT(A469,5)="HANES",LEFT(A469,3)="ITG")</formula>
    </cfRule>
  </conditionalFormatting>
  <conditionalFormatting sqref="D469">
    <cfRule type="expression" dxfId="4981" priority="4978" stopIfTrue="1">
      <formula>OR(LEFT(D469,4)="KHTT",LEFT(D469,5)="10USD",RIGHT(D469,3)="TTC",LEFT(D469,3)="TNT")</formula>
    </cfRule>
    <cfRule type="expression" dxfId="4980" priority="4979" stopIfTrue="1">
      <formula>OR(LEFT(D469,3)="CTU",LEFT(D469,4)="HDON")</formula>
    </cfRule>
    <cfRule type="expression" dxfId="4979" priority="4980" stopIfTrue="1">
      <formula>OR(LEFT(D469,4)="HOLD",OR(A469="QTNP",A469="HOA THO",A469="YES VINA",A469="HUNG YEN",A469="TEX GIANG",A469="HUNG LONG"),LEFT(A469,5)="HANES",LEFT(A469,3)="ITG")</formula>
    </cfRule>
  </conditionalFormatting>
  <conditionalFormatting sqref="D470">
    <cfRule type="expression" dxfId="4978" priority="4975" stopIfTrue="1">
      <formula>OR(LEFT(D470,4)="KHTT",LEFT(D470,5)="10USD",RIGHT(D470,3)="TTC",LEFT(D470,3)="TNT")</formula>
    </cfRule>
    <cfRule type="expression" dxfId="4977" priority="4976" stopIfTrue="1">
      <formula>OR(LEFT(D470,3)="CTU",LEFT(D470,4)="HDON")</formula>
    </cfRule>
    <cfRule type="expression" dxfId="4976" priority="4977" stopIfTrue="1">
      <formula>OR(LEFT(D470,4)="HOLD",OR(A470="QTNP",A470="HOA THO",A470="YES VINA",A470="HUNG YEN",A470="TEX GIANG",A470="HUNG LONG"),LEFT(A470,5)="HANES",LEFT(A470,3)="ITG")</formula>
    </cfRule>
  </conditionalFormatting>
  <conditionalFormatting sqref="D470">
    <cfRule type="expression" dxfId="4975" priority="4972" stopIfTrue="1">
      <formula>OR(LEFT(D470,4)="KHTT",LEFT(D470,5)="10USD",RIGHT(D470,3)="TTC",LEFT(D470,3)="TNT")</formula>
    </cfRule>
    <cfRule type="expression" dxfId="4974" priority="4973" stopIfTrue="1">
      <formula>OR(LEFT(D470,3)="CTU",LEFT(D470,4)="HDON")</formula>
    </cfRule>
    <cfRule type="expression" dxfId="4973" priority="4974" stopIfTrue="1">
      <formula>OR(LEFT(D470,4)="HOLD",OR(A470="QTNP",A470="HOA THO",A470="YES VINA",A470="HUNG YEN",A470="TEX GIANG",A470="HUNG LONG"),LEFT(A470,5)="HANES",LEFT(A470,3)="ITG")</formula>
    </cfRule>
  </conditionalFormatting>
  <conditionalFormatting sqref="D470">
    <cfRule type="expression" dxfId="4972" priority="4969" stopIfTrue="1">
      <formula>OR(LEFT(D470,4)="KHTT",LEFT(D470,5)="10USD",RIGHT(D470,3)="TTC",LEFT(D470,3)="TNT")</formula>
    </cfRule>
    <cfRule type="expression" dxfId="4971" priority="4970" stopIfTrue="1">
      <formula>OR(LEFT(D470,3)="CTU",LEFT(D470,4)="HDON")</formula>
    </cfRule>
    <cfRule type="expression" dxfId="4970" priority="4971" stopIfTrue="1">
      <formula>OR(LEFT(D470,4)="HOLD",OR(A470="QTNP",A470="HOA THO",A470="YES VINA",A470="HUNG YEN",A470="TEX GIANG",A470="HUNG LONG"),LEFT(A470,5)="HANES",LEFT(A470,3)="ITG")</formula>
    </cfRule>
  </conditionalFormatting>
  <conditionalFormatting sqref="D470">
    <cfRule type="expression" dxfId="4969" priority="4966" stopIfTrue="1">
      <formula>OR(LEFT(D470,4)="KHTT",LEFT(D470,5)="10USD",RIGHT(D470,3)="TTC",LEFT(D470,3)="TNT")</formula>
    </cfRule>
    <cfRule type="expression" dxfId="4968" priority="4967" stopIfTrue="1">
      <formula>OR(LEFT(D470,3)="CTU",LEFT(D470,4)="HDON")</formula>
    </cfRule>
    <cfRule type="expression" dxfId="4967" priority="4968" stopIfTrue="1">
      <formula>OR(LEFT(D470,4)="HOLD",OR(A470="QTNP",A470="HOA THO",A470="YES VINA",A470="HUNG YEN",A470="TEX GIANG",A470="HUNG LONG"),LEFT(A470,5)="HANES",LEFT(A470,3)="ITG")</formula>
    </cfRule>
  </conditionalFormatting>
  <conditionalFormatting sqref="D469">
    <cfRule type="expression" dxfId="4966" priority="4963" stopIfTrue="1">
      <formula>OR(LEFT(D469,4)="KHTT",LEFT(D469,5)="10USD",RIGHT(D469,3)="TTC",LEFT(D469,3)="TNT")</formula>
    </cfRule>
    <cfRule type="expression" dxfId="4965" priority="4964" stopIfTrue="1">
      <formula>OR(LEFT(D469,3)="CTU",LEFT(D469,4)="HDON")</formula>
    </cfRule>
    <cfRule type="expression" dxfId="4964" priority="4965" stopIfTrue="1">
      <formula>OR(LEFT(D469,4)="HOLD",OR(A469="QTNP",A469="HOA THO",A469="YES VINA",A469="HUNG YEN",A469="TEX GIANG",A469="HUNG LONG"),LEFT(A469,5)="HANES",LEFT(A469,3)="ITG")</formula>
    </cfRule>
  </conditionalFormatting>
  <conditionalFormatting sqref="D469">
    <cfRule type="expression" dxfId="4963" priority="4960" stopIfTrue="1">
      <formula>OR(LEFT(D469,4)="KHTT",LEFT(D469,5)="10USD",RIGHT(D469,3)="TTC",LEFT(D469,3)="TNT")</formula>
    </cfRule>
    <cfRule type="expression" dxfId="4962" priority="4961" stopIfTrue="1">
      <formula>OR(LEFT(D469,3)="CTU",LEFT(D469,4)="HDON")</formula>
    </cfRule>
    <cfRule type="expression" dxfId="4961" priority="4962" stopIfTrue="1">
      <formula>OR(LEFT(D469,4)="HOLD",OR(A469="QTNP",A469="HOA THO",A469="YES VINA",A469="HUNG YEN",A469="TEX GIANG",A469="HUNG LONG"),LEFT(A469,5)="HANES",LEFT(A469,3)="ITG")</formula>
    </cfRule>
  </conditionalFormatting>
  <conditionalFormatting sqref="D470">
    <cfRule type="expression" dxfId="4960" priority="4957" stopIfTrue="1">
      <formula>OR(LEFT(D470,4)="KHTT",LEFT(D470,5)="10USD",RIGHT(D470,3)="TTC",LEFT(D470,3)="TNT")</formula>
    </cfRule>
    <cfRule type="expression" dxfId="4959" priority="4958" stopIfTrue="1">
      <formula>OR(LEFT(D470,3)="CTU",LEFT(D470,4)="HDON")</formula>
    </cfRule>
    <cfRule type="expression" dxfId="4958" priority="4959" stopIfTrue="1">
      <formula>OR(LEFT(D470,4)="HOLD",OR(A470="QTNP",A470="HOA THO",A470="YES VINA",A470="HUNG YEN",A470="TEX GIANG",A470="HUNG LONG"),LEFT(A470,5)="HANES",LEFT(A470,3)="ITG")</formula>
    </cfRule>
  </conditionalFormatting>
  <conditionalFormatting sqref="D470">
    <cfRule type="expression" dxfId="4957" priority="4954" stopIfTrue="1">
      <formula>OR(LEFT(D470,4)="KHTT",LEFT(D470,5)="10USD",RIGHT(D470,3)="TTC",LEFT(D470,3)="TNT")</formula>
    </cfRule>
    <cfRule type="expression" dxfId="4956" priority="4955" stopIfTrue="1">
      <formula>OR(LEFT(D470,3)="CTU",LEFT(D470,4)="HDON")</formula>
    </cfRule>
    <cfRule type="expression" dxfId="4955" priority="4956" stopIfTrue="1">
      <formula>OR(LEFT(D470,4)="HOLD",OR(A470="QTNP",A470="HOA THO",A470="YES VINA",A470="HUNG YEN",A470="TEX GIANG",A470="HUNG LONG"),LEFT(A470,5)="HANES",LEFT(A470,3)="ITG")</formula>
    </cfRule>
  </conditionalFormatting>
  <conditionalFormatting sqref="D470">
    <cfRule type="expression" dxfId="4954" priority="4951" stopIfTrue="1">
      <formula>OR(LEFT(D470,4)="KHTT",LEFT(D470,5)="10USD",RIGHT(D470,3)="TTC",LEFT(D470,3)="TNT")</formula>
    </cfRule>
    <cfRule type="expression" dxfId="4953" priority="4952" stopIfTrue="1">
      <formula>OR(LEFT(D470,3)="CTU",LEFT(D470,4)="HDON")</formula>
    </cfRule>
    <cfRule type="expression" dxfId="4952" priority="4953" stopIfTrue="1">
      <formula>OR(LEFT(D470,4)="HOLD",OR(A470="QTNP",A470="HOA THO",A470="YES VINA",A470="HUNG YEN",A470="TEX GIANG",A470="HUNG LONG"),LEFT(A470,5)="HANES",LEFT(A470,3)="ITG")</formula>
    </cfRule>
  </conditionalFormatting>
  <conditionalFormatting sqref="D470">
    <cfRule type="expression" dxfId="4951" priority="4948" stopIfTrue="1">
      <formula>OR(LEFT(D470,4)="KHTT",LEFT(D470,5)="10USD",RIGHT(D470,3)="TTC",LEFT(D470,3)="TNT")</formula>
    </cfRule>
    <cfRule type="expression" dxfId="4950" priority="4949" stopIfTrue="1">
      <formula>OR(LEFT(D470,3)="CTU",LEFT(D470,4)="HDON")</formula>
    </cfRule>
    <cfRule type="expression" dxfId="4949" priority="4950" stopIfTrue="1">
      <formula>OR(LEFT(D470,4)="HOLD",OR(A470="QTNP",A470="HOA THO",A470="YES VINA",A470="HUNG YEN",A470="TEX GIANG",A470="HUNG LONG"),LEFT(A470,5)="HANES",LEFT(A470,3)="ITG")</formula>
    </cfRule>
  </conditionalFormatting>
  <conditionalFormatting sqref="D469">
    <cfRule type="expression" dxfId="4948" priority="4945" stopIfTrue="1">
      <formula>OR(LEFT(D469,4)="KHTT",LEFT(D469,5)="10USD",RIGHT(D469,3)="TTC",LEFT(D469,3)="TNT")</formula>
    </cfRule>
    <cfRule type="expression" dxfId="4947" priority="4946" stopIfTrue="1">
      <formula>OR(LEFT(D469,3)="CTU",LEFT(D469,4)="HDON")</formula>
    </cfRule>
    <cfRule type="expression" dxfId="4946" priority="4947" stopIfTrue="1">
      <formula>OR(LEFT(D469,4)="HOLD",OR(A469="QTNP",A469="HOA THO",A469="YES VINA",A469="HUNG YEN",A469="TEX GIANG",A469="HUNG LONG"),LEFT(A469,5)="HANES",LEFT(A469,3)="ITG")</formula>
    </cfRule>
  </conditionalFormatting>
  <conditionalFormatting sqref="D469">
    <cfRule type="expression" dxfId="4945" priority="4942" stopIfTrue="1">
      <formula>OR(LEFT(D469,4)="KHTT",LEFT(D469,5)="10USD",RIGHT(D469,3)="TTC",LEFT(D469,3)="TNT")</formula>
    </cfRule>
    <cfRule type="expression" dxfId="4944" priority="4943" stopIfTrue="1">
      <formula>OR(LEFT(D469,3)="CTU",LEFT(D469,4)="HDON")</formula>
    </cfRule>
    <cfRule type="expression" dxfId="4943" priority="4944" stopIfTrue="1">
      <formula>OR(LEFT(D469,4)="HOLD",OR(A469="QTNP",A469="HOA THO",A469="YES VINA",A469="HUNG YEN",A469="TEX GIANG",A469="HUNG LONG"),LEFT(A469,5)="HANES",LEFT(A469,3)="ITG")</formula>
    </cfRule>
  </conditionalFormatting>
  <conditionalFormatting sqref="D470">
    <cfRule type="expression" dxfId="4942" priority="4939" stopIfTrue="1">
      <formula>OR(LEFT(D470,4)="KHTT",LEFT(D470,5)="10USD",RIGHT(D470,3)="TTC",LEFT(D470,3)="TNT")</formula>
    </cfRule>
    <cfRule type="expression" dxfId="4941" priority="4940" stopIfTrue="1">
      <formula>OR(LEFT(D470,3)="CTU",LEFT(D470,4)="HDON")</formula>
    </cfRule>
    <cfRule type="expression" dxfId="4940" priority="4941" stopIfTrue="1">
      <formula>OR(LEFT(D470,4)="HOLD",OR(A470="QTNP",A470="HOA THO",A470="YES VINA",A470="HUNG YEN",A470="TEX GIANG",A470="HUNG LONG"),LEFT(A470,5)="HANES",LEFT(A470,3)="ITG")</formula>
    </cfRule>
  </conditionalFormatting>
  <conditionalFormatting sqref="D470">
    <cfRule type="expression" dxfId="4939" priority="4936" stopIfTrue="1">
      <formula>OR(LEFT(D470,4)="KHTT",LEFT(D470,5)="10USD",RIGHT(D470,3)="TTC",LEFT(D470,3)="TNT")</formula>
    </cfRule>
    <cfRule type="expression" dxfId="4938" priority="4937" stopIfTrue="1">
      <formula>OR(LEFT(D470,3)="CTU",LEFT(D470,4)="HDON")</formula>
    </cfRule>
    <cfRule type="expression" dxfId="4937" priority="4938" stopIfTrue="1">
      <formula>OR(LEFT(D470,4)="HOLD",OR(A470="QTNP",A470="HOA THO",A470="YES VINA",A470="HUNG YEN",A470="TEX GIANG",A470="HUNG LONG"),LEFT(A470,5)="HANES",LEFT(A470,3)="ITG")</formula>
    </cfRule>
  </conditionalFormatting>
  <conditionalFormatting sqref="D470">
    <cfRule type="expression" dxfId="4936" priority="4933" stopIfTrue="1">
      <formula>OR(LEFT(D470,4)="KHTT",LEFT(D470,5)="10USD",RIGHT(D470,3)="TTC",LEFT(D470,3)="TNT")</formula>
    </cfRule>
    <cfRule type="expression" dxfId="4935" priority="4934" stopIfTrue="1">
      <formula>OR(LEFT(D470,3)="CTU",LEFT(D470,4)="HDON")</formula>
    </cfRule>
    <cfRule type="expression" dxfId="4934" priority="4935" stopIfTrue="1">
      <formula>OR(LEFT(D470,4)="HOLD",OR(A470="QTNP",A470="HOA THO",A470="YES VINA",A470="HUNG YEN",A470="TEX GIANG",A470="HUNG LONG"),LEFT(A470,5)="HANES",LEFT(A470,3)="ITG")</formula>
    </cfRule>
  </conditionalFormatting>
  <conditionalFormatting sqref="D470">
    <cfRule type="expression" dxfId="4933" priority="4930" stopIfTrue="1">
      <formula>OR(LEFT(D470,4)="KHTT",LEFT(D470,5)="10USD",RIGHT(D470,3)="TTC",LEFT(D470,3)="TNT")</formula>
    </cfRule>
    <cfRule type="expression" dxfId="4932" priority="4931" stopIfTrue="1">
      <formula>OR(LEFT(D470,3)="CTU",LEFT(D470,4)="HDON")</formula>
    </cfRule>
    <cfRule type="expression" dxfId="4931" priority="4932" stopIfTrue="1">
      <formula>OR(LEFT(D470,4)="HOLD",OR(A470="QTNP",A470="HOA THO",A470="YES VINA",A470="HUNG YEN",A470="TEX GIANG",A470="HUNG LONG"),LEFT(A470,5)="HANES",LEFT(A470,3)="ITG")</formula>
    </cfRule>
  </conditionalFormatting>
  <conditionalFormatting sqref="D469">
    <cfRule type="expression" dxfId="4930" priority="4927" stopIfTrue="1">
      <formula>OR(LEFT(D469,4)="KHTT",LEFT(D469,5)="10USD",RIGHT(D469,3)="TTC",LEFT(D469,3)="TNT")</formula>
    </cfRule>
    <cfRule type="expression" dxfId="4929" priority="4928" stopIfTrue="1">
      <formula>OR(LEFT(D469,3)="CTU",LEFT(D469,4)="HDON")</formula>
    </cfRule>
    <cfRule type="expression" dxfId="4928" priority="4929" stopIfTrue="1">
      <formula>OR(LEFT(D469,4)="HOLD",OR(A469="QTNP",A469="HOA THO",A469="YES VINA",A469="HUNG YEN",A469="TEX GIANG",A469="HUNG LONG"),LEFT(A469,5)="HANES",LEFT(A469,3)="ITG")</formula>
    </cfRule>
  </conditionalFormatting>
  <conditionalFormatting sqref="D469">
    <cfRule type="expression" dxfId="4927" priority="4924" stopIfTrue="1">
      <formula>OR(LEFT(D469,4)="KHTT",LEFT(D469,5)="10USD",RIGHT(D469,3)="TTC",LEFT(D469,3)="TNT")</formula>
    </cfRule>
    <cfRule type="expression" dxfId="4926" priority="4925" stopIfTrue="1">
      <formula>OR(LEFT(D469,3)="CTU",LEFT(D469,4)="HDON")</formula>
    </cfRule>
    <cfRule type="expression" dxfId="4925" priority="4926" stopIfTrue="1">
      <formula>OR(LEFT(D469,4)="HOLD",OR(A469="QTNP",A469="HOA THO",A469="YES VINA",A469="HUNG YEN",A469="TEX GIANG",A469="HUNG LONG"),LEFT(A469,5)="HANES",LEFT(A469,3)="ITG")</formula>
    </cfRule>
  </conditionalFormatting>
  <conditionalFormatting sqref="D470">
    <cfRule type="expression" dxfId="4924" priority="4921" stopIfTrue="1">
      <formula>OR(LEFT(D470,4)="KHTT",LEFT(D470,5)="10USD",RIGHT(D470,3)="TTC",LEFT(D470,3)="TNT")</formula>
    </cfRule>
    <cfRule type="expression" dxfId="4923" priority="4922" stopIfTrue="1">
      <formula>OR(LEFT(D470,3)="CTU",LEFT(D470,4)="HDON")</formula>
    </cfRule>
    <cfRule type="expression" dxfId="4922" priority="4923" stopIfTrue="1">
      <formula>OR(LEFT(D470,4)="HOLD",OR(A470="QTNP",A470="HOA THO",A470="YES VINA",A470="HUNG YEN",A470="TEX GIANG",A470="HUNG LONG"),LEFT(A470,5)="HANES",LEFT(A470,3)="ITG")</formula>
    </cfRule>
  </conditionalFormatting>
  <conditionalFormatting sqref="D470">
    <cfRule type="expression" dxfId="4921" priority="4918" stopIfTrue="1">
      <formula>OR(LEFT(D470,4)="KHTT",LEFT(D470,5)="10USD",RIGHT(D470,3)="TTC",LEFT(D470,3)="TNT")</formula>
    </cfRule>
    <cfRule type="expression" dxfId="4920" priority="4919" stopIfTrue="1">
      <formula>OR(LEFT(D470,3)="CTU",LEFT(D470,4)="HDON")</formula>
    </cfRule>
    <cfRule type="expression" dxfId="4919" priority="4920" stopIfTrue="1">
      <formula>OR(LEFT(D470,4)="HOLD",OR(A470="QTNP",A470="HOA THO",A470="YES VINA",A470="HUNG YEN",A470="TEX GIANG",A470="HUNG LONG"),LEFT(A470,5)="HANES",LEFT(A470,3)="ITG")</formula>
    </cfRule>
  </conditionalFormatting>
  <conditionalFormatting sqref="D470">
    <cfRule type="expression" dxfId="4918" priority="4915" stopIfTrue="1">
      <formula>OR(LEFT(D470,4)="KHTT",LEFT(D470,5)="10USD",RIGHT(D470,3)="TTC",LEFT(D470,3)="TNT")</formula>
    </cfRule>
    <cfRule type="expression" dxfId="4917" priority="4916" stopIfTrue="1">
      <formula>OR(LEFT(D470,3)="CTU",LEFT(D470,4)="HDON")</formula>
    </cfRule>
    <cfRule type="expression" dxfId="4916" priority="4917" stopIfTrue="1">
      <formula>OR(LEFT(D470,4)="HOLD",OR(A470="QTNP",A470="HOA THO",A470="YES VINA",A470="HUNG YEN",A470="TEX GIANG",A470="HUNG LONG"),LEFT(A470,5)="HANES",LEFT(A470,3)="ITG")</formula>
    </cfRule>
  </conditionalFormatting>
  <conditionalFormatting sqref="D470">
    <cfRule type="expression" dxfId="4915" priority="4912" stopIfTrue="1">
      <formula>OR(LEFT(D470,4)="KHTT",LEFT(D470,5)="10USD",RIGHT(D470,3)="TTC",LEFT(D470,3)="TNT")</formula>
    </cfRule>
    <cfRule type="expression" dxfId="4914" priority="4913" stopIfTrue="1">
      <formula>OR(LEFT(D470,3)="CTU",LEFT(D470,4)="HDON")</formula>
    </cfRule>
    <cfRule type="expression" dxfId="4913" priority="4914" stopIfTrue="1">
      <formula>OR(LEFT(D470,4)="HOLD",OR(A470="QTNP",A470="HOA THO",A470="YES VINA",A470="HUNG YEN",A470="TEX GIANG",A470="HUNG LONG"),LEFT(A470,5)="HANES",LEFT(A470,3)="ITG")</formula>
    </cfRule>
  </conditionalFormatting>
  <conditionalFormatting sqref="D469">
    <cfRule type="expression" dxfId="4912" priority="4909" stopIfTrue="1">
      <formula>OR(LEFT(D469,4)="KHTT",LEFT(D469,5)="10USD",RIGHT(D469,3)="TTC",LEFT(D469,3)="TNT")</formula>
    </cfRule>
    <cfRule type="expression" dxfId="4911" priority="4910" stopIfTrue="1">
      <formula>OR(LEFT(D469,3)="CTU",LEFT(D469,4)="HDON")</formula>
    </cfRule>
    <cfRule type="expression" dxfId="4910" priority="4911" stopIfTrue="1">
      <formula>OR(LEFT(D469,4)="HOLD",OR(A469="QTNP",A469="HOA THO",A469="YES VINA",A469="HUNG YEN",A469="TEX GIANG",A469="HUNG LONG"),LEFT(A469,5)="HANES",LEFT(A469,3)="ITG")</formula>
    </cfRule>
  </conditionalFormatting>
  <conditionalFormatting sqref="D469">
    <cfRule type="expression" dxfId="4909" priority="4906" stopIfTrue="1">
      <formula>OR(LEFT(D469,4)="KHTT",LEFT(D469,5)="10USD",RIGHT(D469,3)="TTC",LEFT(D469,3)="TNT")</formula>
    </cfRule>
    <cfRule type="expression" dxfId="4908" priority="4907" stopIfTrue="1">
      <formula>OR(LEFT(D469,3)="CTU",LEFT(D469,4)="HDON")</formula>
    </cfRule>
    <cfRule type="expression" dxfId="4907" priority="4908" stopIfTrue="1">
      <formula>OR(LEFT(D469,4)="HOLD",OR(A469="QTNP",A469="HOA THO",A469="YES VINA",A469="HUNG YEN",A469="TEX GIANG",A469="HUNG LONG"),LEFT(A469,5)="HANES",LEFT(A469,3)="ITG")</formula>
    </cfRule>
  </conditionalFormatting>
  <conditionalFormatting sqref="D470">
    <cfRule type="expression" dxfId="4906" priority="4903" stopIfTrue="1">
      <formula>OR(LEFT(D470,4)="KHTT",LEFT(D470,5)="10USD",RIGHT(D470,3)="TTC",LEFT(D470,3)="TNT")</formula>
    </cfRule>
    <cfRule type="expression" dxfId="4905" priority="4904" stopIfTrue="1">
      <formula>OR(LEFT(D470,3)="CTU",LEFT(D470,4)="HDON")</formula>
    </cfRule>
    <cfRule type="expression" dxfId="4904" priority="4905" stopIfTrue="1">
      <formula>OR(LEFT(D470,4)="HOLD",OR(A470="QTNP",A470="HOA THO",A470="YES VINA",A470="HUNG YEN",A470="TEX GIANG",A470="HUNG LONG"),LEFT(A470,5)="HANES",LEFT(A470,3)="ITG")</formula>
    </cfRule>
  </conditionalFormatting>
  <conditionalFormatting sqref="D470">
    <cfRule type="expression" dxfId="4903" priority="4900" stopIfTrue="1">
      <formula>OR(LEFT(D470,4)="KHTT",LEFT(D470,5)="10USD",RIGHT(D470,3)="TTC",LEFT(D470,3)="TNT")</formula>
    </cfRule>
    <cfRule type="expression" dxfId="4902" priority="4901" stopIfTrue="1">
      <formula>OR(LEFT(D470,3)="CTU",LEFT(D470,4)="HDON")</formula>
    </cfRule>
    <cfRule type="expression" dxfId="4901" priority="4902" stopIfTrue="1">
      <formula>OR(LEFT(D470,4)="HOLD",OR(A470="QTNP",A470="HOA THO",A470="YES VINA",A470="HUNG YEN",A470="TEX GIANG",A470="HUNG LONG"),LEFT(A470,5)="HANES",LEFT(A470,3)="ITG")</formula>
    </cfRule>
  </conditionalFormatting>
  <conditionalFormatting sqref="D470">
    <cfRule type="expression" dxfId="4900" priority="4897" stopIfTrue="1">
      <formula>OR(LEFT(D470,4)="KHTT",LEFT(D470,5)="10USD",RIGHT(D470,3)="TTC",LEFT(D470,3)="TNT")</formula>
    </cfRule>
    <cfRule type="expression" dxfId="4899" priority="4898" stopIfTrue="1">
      <formula>OR(LEFT(D470,3)="CTU",LEFT(D470,4)="HDON")</formula>
    </cfRule>
    <cfRule type="expression" dxfId="4898" priority="4899" stopIfTrue="1">
      <formula>OR(LEFT(D470,4)="HOLD",OR(A470="QTNP",A470="HOA THO",A470="YES VINA",A470="HUNG YEN",A470="TEX GIANG",A470="HUNG LONG"),LEFT(A470,5)="HANES",LEFT(A470,3)="ITG")</formula>
    </cfRule>
  </conditionalFormatting>
  <conditionalFormatting sqref="D470">
    <cfRule type="expression" dxfId="4897" priority="4894" stopIfTrue="1">
      <formula>OR(LEFT(D470,4)="KHTT",LEFT(D470,5)="10USD",RIGHT(D470,3)="TTC",LEFT(D470,3)="TNT")</formula>
    </cfRule>
    <cfRule type="expression" dxfId="4896" priority="4895" stopIfTrue="1">
      <formula>OR(LEFT(D470,3)="CTU",LEFT(D470,4)="HDON")</formula>
    </cfRule>
    <cfRule type="expression" dxfId="4895" priority="4896" stopIfTrue="1">
      <formula>OR(LEFT(D470,4)="HOLD",OR(A470="QTNP",A470="HOA THO",A470="YES VINA",A470="HUNG YEN",A470="TEX GIANG",A470="HUNG LONG"),LEFT(A470,5)="HANES",LEFT(A470,3)="ITG")</formula>
    </cfRule>
  </conditionalFormatting>
  <conditionalFormatting sqref="D469">
    <cfRule type="expression" dxfId="4894" priority="4891" stopIfTrue="1">
      <formula>OR(LEFT(D469,4)="KHTT",LEFT(D469,5)="10USD",RIGHT(D469,3)="TTC",LEFT(D469,3)="TNT")</formula>
    </cfRule>
    <cfRule type="expression" dxfId="4893" priority="4892" stopIfTrue="1">
      <formula>OR(LEFT(D469,3)="CTU",LEFT(D469,4)="HDON")</formula>
    </cfRule>
    <cfRule type="expression" dxfId="4892" priority="4893" stopIfTrue="1">
      <formula>OR(LEFT(D469,4)="HOLD",OR(A469="QTNP",A469="HOA THO",A469="YES VINA",A469="HUNG YEN",A469="TEX GIANG",A469="HUNG LONG"),LEFT(A469,5)="HANES",LEFT(A469,3)="ITG")</formula>
    </cfRule>
  </conditionalFormatting>
  <conditionalFormatting sqref="D469">
    <cfRule type="expression" dxfId="4891" priority="4888" stopIfTrue="1">
      <formula>OR(LEFT(D469,4)="KHTT",LEFT(D469,5)="10USD",RIGHT(D469,3)="TTC",LEFT(D469,3)="TNT")</formula>
    </cfRule>
    <cfRule type="expression" dxfId="4890" priority="4889" stopIfTrue="1">
      <formula>OR(LEFT(D469,3)="CTU",LEFT(D469,4)="HDON")</formula>
    </cfRule>
    <cfRule type="expression" dxfId="4889" priority="4890" stopIfTrue="1">
      <formula>OR(LEFT(D469,4)="HOLD",OR(A469="QTNP",A469="HOA THO",A469="YES VINA",A469="HUNG YEN",A469="TEX GIANG",A469="HUNG LONG"),LEFT(A469,5)="HANES",LEFT(A469,3)="ITG")</formula>
    </cfRule>
  </conditionalFormatting>
  <conditionalFormatting sqref="D470">
    <cfRule type="expression" dxfId="4888" priority="4885" stopIfTrue="1">
      <formula>OR(LEFT(D470,4)="KHTT",LEFT(D470,5)="10USD",RIGHT(D470,3)="TTC",LEFT(D470,3)="TNT")</formula>
    </cfRule>
    <cfRule type="expression" dxfId="4887" priority="4886" stopIfTrue="1">
      <formula>OR(LEFT(D470,3)="CTU",LEFT(D470,4)="HDON")</formula>
    </cfRule>
    <cfRule type="expression" dxfId="4886" priority="4887" stopIfTrue="1">
      <formula>OR(LEFT(D470,4)="HOLD",OR(A470="QTNP",A470="HOA THO",A470="YES VINA",A470="HUNG YEN",A470="TEX GIANG",A470="HUNG LONG"),LEFT(A470,5)="HANES",LEFT(A470,3)="ITG")</formula>
    </cfRule>
  </conditionalFormatting>
  <conditionalFormatting sqref="D470">
    <cfRule type="expression" dxfId="4885" priority="4882" stopIfTrue="1">
      <formula>OR(LEFT(D470,4)="KHTT",LEFT(D470,5)="10USD",RIGHT(D470,3)="TTC",LEFT(D470,3)="TNT")</formula>
    </cfRule>
    <cfRule type="expression" dxfId="4884" priority="4883" stopIfTrue="1">
      <formula>OR(LEFT(D470,3)="CTU",LEFT(D470,4)="HDON")</formula>
    </cfRule>
    <cfRule type="expression" dxfId="4883" priority="4884" stopIfTrue="1">
      <formula>OR(LEFT(D470,4)="HOLD",OR(A470="QTNP",A470="HOA THO",A470="YES VINA",A470="HUNG YEN",A470="TEX GIANG",A470="HUNG LONG"),LEFT(A470,5)="HANES",LEFT(A470,3)="ITG")</formula>
    </cfRule>
  </conditionalFormatting>
  <conditionalFormatting sqref="D470">
    <cfRule type="expression" dxfId="4882" priority="4879" stopIfTrue="1">
      <formula>OR(LEFT(D470,4)="KHTT",LEFT(D470,5)="10USD",RIGHT(D470,3)="TTC",LEFT(D470,3)="TNT")</formula>
    </cfRule>
    <cfRule type="expression" dxfId="4881" priority="4880" stopIfTrue="1">
      <formula>OR(LEFT(D470,3)="CTU",LEFT(D470,4)="HDON")</formula>
    </cfRule>
    <cfRule type="expression" dxfId="4880" priority="4881" stopIfTrue="1">
      <formula>OR(LEFT(D470,4)="HOLD",OR(A470="QTNP",A470="HOA THO",A470="YES VINA",A470="HUNG YEN",A470="TEX GIANG",A470="HUNG LONG"),LEFT(A470,5)="HANES",LEFT(A470,3)="ITG")</formula>
    </cfRule>
  </conditionalFormatting>
  <conditionalFormatting sqref="D470">
    <cfRule type="expression" dxfId="4879" priority="4876" stopIfTrue="1">
      <formula>OR(LEFT(D470,4)="KHTT",LEFT(D470,5)="10USD",RIGHT(D470,3)="TTC",LEFT(D470,3)="TNT")</formula>
    </cfRule>
    <cfRule type="expression" dxfId="4878" priority="4877" stopIfTrue="1">
      <formula>OR(LEFT(D470,3)="CTU",LEFT(D470,4)="HDON")</formula>
    </cfRule>
    <cfRule type="expression" dxfId="4877" priority="4878" stopIfTrue="1">
      <formula>OR(LEFT(D470,4)="HOLD",OR(A470="QTNP",A470="HOA THO",A470="YES VINA",A470="HUNG YEN",A470="TEX GIANG",A470="HUNG LONG"),LEFT(A470,5)="HANES",LEFT(A470,3)="ITG")</formula>
    </cfRule>
  </conditionalFormatting>
  <conditionalFormatting sqref="D469">
    <cfRule type="expression" dxfId="4876" priority="4873" stopIfTrue="1">
      <formula>OR(LEFT(D469,4)="KHTT",LEFT(D469,5)="10USD",RIGHT(D469,3)="TTC",LEFT(D469,3)="TNT")</formula>
    </cfRule>
    <cfRule type="expression" dxfId="4875" priority="4874" stopIfTrue="1">
      <formula>OR(LEFT(D469,3)="CTU",LEFT(D469,4)="HDON")</formula>
    </cfRule>
    <cfRule type="expression" dxfId="4874" priority="4875" stopIfTrue="1">
      <formula>OR(LEFT(D469,4)="HOLD",OR(A469="QTNP",A469="HOA THO",A469="YES VINA",A469="HUNG YEN",A469="TEX GIANG",A469="HUNG LONG"),LEFT(A469,5)="HANES",LEFT(A469,3)="ITG")</formula>
    </cfRule>
  </conditionalFormatting>
  <conditionalFormatting sqref="D469">
    <cfRule type="expression" dxfId="4873" priority="4870" stopIfTrue="1">
      <formula>OR(LEFT(D469,4)="KHTT",LEFT(D469,5)="10USD",RIGHT(D469,3)="TTC",LEFT(D469,3)="TNT")</formula>
    </cfRule>
    <cfRule type="expression" dxfId="4872" priority="4871" stopIfTrue="1">
      <formula>OR(LEFT(D469,3)="CTU",LEFT(D469,4)="HDON")</formula>
    </cfRule>
    <cfRule type="expression" dxfId="4871" priority="4872" stopIfTrue="1">
      <formula>OR(LEFT(D469,4)="HOLD",OR(A469="QTNP",A469="HOA THO",A469="YES VINA",A469="HUNG YEN",A469="TEX GIANG",A469="HUNG LONG"),LEFT(A469,5)="HANES",LEFT(A469,3)="ITG")</formula>
    </cfRule>
  </conditionalFormatting>
  <conditionalFormatting sqref="D470">
    <cfRule type="expression" dxfId="4870" priority="4867" stopIfTrue="1">
      <formula>OR(LEFT(D470,4)="KHTT",LEFT(D470,5)="10USD",RIGHT(D470,3)="TTC",LEFT(D470,3)="TNT")</formula>
    </cfRule>
    <cfRule type="expression" dxfId="4869" priority="4868" stopIfTrue="1">
      <formula>OR(LEFT(D470,3)="CTU",LEFT(D470,4)="HDON")</formula>
    </cfRule>
    <cfRule type="expression" dxfId="4868" priority="4869" stopIfTrue="1">
      <formula>OR(LEFT(D470,4)="HOLD",OR(A470="QTNP",A470="HOA THO",A470="YES VINA",A470="HUNG YEN",A470="TEX GIANG",A470="HUNG LONG"),LEFT(A470,5)="HANES",LEFT(A470,3)="ITG")</formula>
    </cfRule>
  </conditionalFormatting>
  <conditionalFormatting sqref="D470">
    <cfRule type="expression" dxfId="4867" priority="4864" stopIfTrue="1">
      <formula>OR(LEFT(D470,4)="KHTT",LEFT(D470,5)="10USD",RIGHT(D470,3)="TTC",LEFT(D470,3)="TNT")</formula>
    </cfRule>
    <cfRule type="expression" dxfId="4866" priority="4865" stopIfTrue="1">
      <formula>OR(LEFT(D470,3)="CTU",LEFT(D470,4)="HDON")</formula>
    </cfRule>
    <cfRule type="expression" dxfId="4865" priority="4866" stopIfTrue="1">
      <formula>OR(LEFT(D470,4)="HOLD",OR(A470="QTNP",A470="HOA THO",A470="YES VINA",A470="HUNG YEN",A470="TEX GIANG",A470="HUNG LONG"),LEFT(A470,5)="HANES",LEFT(A470,3)="ITG")</formula>
    </cfRule>
  </conditionalFormatting>
  <conditionalFormatting sqref="D470">
    <cfRule type="expression" dxfId="4864" priority="4861" stopIfTrue="1">
      <formula>OR(LEFT(D470,4)="KHTT",LEFT(D470,5)="10USD",RIGHT(D470,3)="TTC",LEFT(D470,3)="TNT")</formula>
    </cfRule>
    <cfRule type="expression" dxfId="4863" priority="4862" stopIfTrue="1">
      <formula>OR(LEFT(D470,3)="CTU",LEFT(D470,4)="HDON")</formula>
    </cfRule>
    <cfRule type="expression" dxfId="4862" priority="4863" stopIfTrue="1">
      <formula>OR(LEFT(D470,4)="HOLD",OR(A470="QTNP",A470="HOA THO",A470="YES VINA",A470="HUNG YEN",A470="TEX GIANG",A470="HUNG LONG"),LEFT(A470,5)="HANES",LEFT(A470,3)="ITG")</formula>
    </cfRule>
  </conditionalFormatting>
  <conditionalFormatting sqref="D470">
    <cfRule type="expression" dxfId="4861" priority="4858" stopIfTrue="1">
      <formula>OR(LEFT(D470,4)="KHTT",LEFT(D470,5)="10USD",RIGHT(D470,3)="TTC",LEFT(D470,3)="TNT")</formula>
    </cfRule>
    <cfRule type="expression" dxfId="4860" priority="4859" stopIfTrue="1">
      <formula>OR(LEFT(D470,3)="CTU",LEFT(D470,4)="HDON")</formula>
    </cfRule>
    <cfRule type="expression" dxfId="4859" priority="4860" stopIfTrue="1">
      <formula>OR(LEFT(D470,4)="HOLD",OR(A470="QTNP",A470="HOA THO",A470="YES VINA",A470="HUNG YEN",A470="TEX GIANG",A470="HUNG LONG"),LEFT(A470,5)="HANES",LEFT(A470,3)="ITG")</formula>
    </cfRule>
  </conditionalFormatting>
  <conditionalFormatting sqref="D469">
    <cfRule type="expression" dxfId="4858" priority="4855" stopIfTrue="1">
      <formula>OR(LEFT(D469,4)="KHTT",LEFT(D469,5)="10USD",RIGHT(D469,3)="TTC",LEFT(D469,3)="TNT")</formula>
    </cfRule>
    <cfRule type="expression" dxfId="4857" priority="4856" stopIfTrue="1">
      <formula>OR(LEFT(D469,3)="CTU",LEFT(D469,4)="HDON")</formula>
    </cfRule>
    <cfRule type="expression" dxfId="4856" priority="4857" stopIfTrue="1">
      <formula>OR(LEFT(D469,4)="HOLD",OR(A469="QTNP",A469="HOA THO",A469="YES VINA",A469="HUNG YEN",A469="TEX GIANG",A469="HUNG LONG"),LEFT(A469,5)="HANES",LEFT(A469,3)="ITG")</formula>
    </cfRule>
  </conditionalFormatting>
  <conditionalFormatting sqref="D469">
    <cfRule type="expression" dxfId="4855" priority="4852" stopIfTrue="1">
      <formula>OR(LEFT(D469,4)="KHTT",LEFT(D469,5)="10USD",RIGHT(D469,3)="TTC",LEFT(D469,3)="TNT")</formula>
    </cfRule>
    <cfRule type="expression" dxfId="4854" priority="4853" stopIfTrue="1">
      <formula>OR(LEFT(D469,3)="CTU",LEFT(D469,4)="HDON")</formula>
    </cfRule>
    <cfRule type="expression" dxfId="4853" priority="4854" stopIfTrue="1">
      <formula>OR(LEFT(D469,4)="HOLD",OR(A469="QTNP",A469="HOA THO",A469="YES VINA",A469="HUNG YEN",A469="TEX GIANG",A469="HUNG LONG"),LEFT(A469,5)="HANES",LEFT(A469,3)="ITG")</formula>
    </cfRule>
  </conditionalFormatting>
  <conditionalFormatting sqref="D470">
    <cfRule type="expression" dxfId="4852" priority="4849" stopIfTrue="1">
      <formula>OR(LEFT(D470,4)="KHTT",LEFT(D470,5)="10USD",RIGHT(D470,3)="TTC",LEFT(D470,3)="TNT")</formula>
    </cfRule>
    <cfRule type="expression" dxfId="4851" priority="4850" stopIfTrue="1">
      <formula>OR(LEFT(D470,3)="CTU",LEFT(D470,4)="HDON")</formula>
    </cfRule>
    <cfRule type="expression" dxfId="4850" priority="4851" stopIfTrue="1">
      <formula>OR(LEFT(D470,4)="HOLD",OR(A470="QTNP",A470="HOA THO",A470="YES VINA",A470="HUNG YEN",A470="TEX GIANG",A470="HUNG LONG"),LEFT(A470,5)="HANES",LEFT(A470,3)="ITG")</formula>
    </cfRule>
  </conditionalFormatting>
  <conditionalFormatting sqref="D470">
    <cfRule type="expression" dxfId="4849" priority="4846" stopIfTrue="1">
      <formula>OR(LEFT(D470,4)="KHTT",LEFT(D470,5)="10USD",RIGHT(D470,3)="TTC",LEFT(D470,3)="TNT")</formula>
    </cfRule>
    <cfRule type="expression" dxfId="4848" priority="4847" stopIfTrue="1">
      <formula>OR(LEFT(D470,3)="CTU",LEFT(D470,4)="HDON")</formula>
    </cfRule>
    <cfRule type="expression" dxfId="4847" priority="4848" stopIfTrue="1">
      <formula>OR(LEFT(D470,4)="HOLD",OR(A470="QTNP",A470="HOA THO",A470="YES VINA",A470="HUNG YEN",A470="TEX GIANG",A470="HUNG LONG"),LEFT(A470,5)="HANES",LEFT(A470,3)="ITG")</formula>
    </cfRule>
  </conditionalFormatting>
  <conditionalFormatting sqref="D470">
    <cfRule type="expression" dxfId="4846" priority="4843" stopIfTrue="1">
      <formula>OR(LEFT(D470,4)="KHTT",LEFT(D470,5)="10USD",RIGHT(D470,3)="TTC",LEFT(D470,3)="TNT")</formula>
    </cfRule>
    <cfRule type="expression" dxfId="4845" priority="4844" stopIfTrue="1">
      <formula>OR(LEFT(D470,3)="CTU",LEFT(D470,4)="HDON")</formula>
    </cfRule>
    <cfRule type="expression" dxfId="4844" priority="4845" stopIfTrue="1">
      <formula>OR(LEFT(D470,4)="HOLD",OR(A470="QTNP",A470="HOA THO",A470="YES VINA",A470="HUNG YEN",A470="TEX GIANG",A470="HUNG LONG"),LEFT(A470,5)="HANES",LEFT(A470,3)="ITG")</formula>
    </cfRule>
  </conditionalFormatting>
  <conditionalFormatting sqref="D470">
    <cfRule type="expression" dxfId="4843" priority="4840" stopIfTrue="1">
      <formula>OR(LEFT(D470,4)="KHTT",LEFT(D470,5)="10USD",RIGHT(D470,3)="TTC",LEFT(D470,3)="TNT")</formula>
    </cfRule>
    <cfRule type="expression" dxfId="4842" priority="4841" stopIfTrue="1">
      <formula>OR(LEFT(D470,3)="CTU",LEFT(D470,4)="HDON")</formula>
    </cfRule>
    <cfRule type="expression" dxfId="4841" priority="4842" stopIfTrue="1">
      <formula>OR(LEFT(D470,4)="HOLD",OR(A470="QTNP",A470="HOA THO",A470="YES VINA",A470="HUNG YEN",A470="TEX GIANG",A470="HUNG LONG"),LEFT(A470,5)="HANES",LEFT(A470,3)="ITG")</formula>
    </cfRule>
  </conditionalFormatting>
  <conditionalFormatting sqref="D469">
    <cfRule type="expression" dxfId="4840" priority="4837" stopIfTrue="1">
      <formula>OR(LEFT(D469,4)="KHTT",LEFT(D469,5)="10USD",RIGHT(D469,3)="TTC",LEFT(D469,3)="TNT")</formula>
    </cfRule>
    <cfRule type="expression" dxfId="4839" priority="4838" stopIfTrue="1">
      <formula>OR(LEFT(D469,3)="CTU",LEFT(D469,4)="HDON")</formula>
    </cfRule>
    <cfRule type="expression" dxfId="4838" priority="4839" stopIfTrue="1">
      <formula>OR(LEFT(D469,4)="HOLD",OR(A469="QTNP",A469="HOA THO",A469="YES VINA",A469="HUNG YEN",A469="TEX GIANG",A469="HUNG LONG"),LEFT(A469,5)="HANES",LEFT(A469,3)="ITG")</formula>
    </cfRule>
  </conditionalFormatting>
  <conditionalFormatting sqref="D469">
    <cfRule type="expression" dxfId="4837" priority="4834" stopIfTrue="1">
      <formula>OR(LEFT(D469,4)="KHTT",LEFT(D469,5)="10USD",RIGHT(D469,3)="TTC",LEFT(D469,3)="TNT")</formula>
    </cfRule>
    <cfRule type="expression" dxfId="4836" priority="4835" stopIfTrue="1">
      <formula>OR(LEFT(D469,3)="CTU",LEFT(D469,4)="HDON")</formula>
    </cfRule>
    <cfRule type="expression" dxfId="4835" priority="4836" stopIfTrue="1">
      <formula>OR(LEFT(D469,4)="HOLD",OR(A469="QTNP",A469="HOA THO",A469="YES VINA",A469="HUNG YEN",A469="TEX GIANG",A469="HUNG LONG"),LEFT(A469,5)="HANES",LEFT(A469,3)="ITG")</formula>
    </cfRule>
  </conditionalFormatting>
  <conditionalFormatting sqref="D470">
    <cfRule type="expression" dxfId="4834" priority="4831" stopIfTrue="1">
      <formula>OR(LEFT(D470,4)="KHTT",LEFT(D470,5)="10USD",RIGHT(D470,3)="TTC",LEFT(D470,3)="TNT")</formula>
    </cfRule>
    <cfRule type="expression" dxfId="4833" priority="4832" stopIfTrue="1">
      <formula>OR(LEFT(D470,3)="CTU",LEFT(D470,4)="HDON")</formula>
    </cfRule>
    <cfRule type="expression" dxfId="4832" priority="4833" stopIfTrue="1">
      <formula>OR(LEFT(D470,4)="HOLD",OR(A470="QTNP",A470="HOA THO",A470="YES VINA",A470="HUNG YEN",A470="TEX GIANG",A470="HUNG LONG"),LEFT(A470,5)="HANES",LEFT(A470,3)="ITG")</formula>
    </cfRule>
  </conditionalFormatting>
  <conditionalFormatting sqref="D470">
    <cfRule type="expression" dxfId="4831" priority="4828" stopIfTrue="1">
      <formula>OR(LEFT(D470,4)="KHTT",LEFT(D470,5)="10USD",RIGHT(D470,3)="TTC",LEFT(D470,3)="TNT")</formula>
    </cfRule>
    <cfRule type="expression" dxfId="4830" priority="4829" stopIfTrue="1">
      <formula>OR(LEFT(D470,3)="CTU",LEFT(D470,4)="HDON")</formula>
    </cfRule>
    <cfRule type="expression" dxfId="4829" priority="4830" stopIfTrue="1">
      <formula>OR(LEFT(D470,4)="HOLD",OR(A470="QTNP",A470="HOA THO",A470="YES VINA",A470="HUNG YEN",A470="TEX GIANG",A470="HUNG LONG"),LEFT(A470,5)="HANES",LEFT(A470,3)="ITG")</formula>
    </cfRule>
  </conditionalFormatting>
  <conditionalFormatting sqref="D470">
    <cfRule type="expression" dxfId="4828" priority="4825" stopIfTrue="1">
      <formula>OR(LEFT(D470,4)="KHTT",LEFT(D470,5)="10USD",RIGHT(D470,3)="TTC",LEFT(D470,3)="TNT")</formula>
    </cfRule>
    <cfRule type="expression" dxfId="4827" priority="4826" stopIfTrue="1">
      <formula>OR(LEFT(D470,3)="CTU",LEFT(D470,4)="HDON")</formula>
    </cfRule>
    <cfRule type="expression" dxfId="4826" priority="4827" stopIfTrue="1">
      <formula>OR(LEFT(D470,4)="HOLD",OR(A470="QTNP",A470="HOA THO",A470="YES VINA",A470="HUNG YEN",A470="TEX GIANG",A470="HUNG LONG"),LEFT(A470,5)="HANES",LEFT(A470,3)="ITG")</formula>
    </cfRule>
  </conditionalFormatting>
  <conditionalFormatting sqref="D470">
    <cfRule type="expression" dxfId="4825" priority="4822" stopIfTrue="1">
      <formula>OR(LEFT(D470,4)="KHTT",LEFT(D470,5)="10USD",RIGHT(D470,3)="TTC",LEFT(D470,3)="TNT")</formula>
    </cfRule>
    <cfRule type="expression" dxfId="4824" priority="4823" stopIfTrue="1">
      <formula>OR(LEFT(D470,3)="CTU",LEFT(D470,4)="HDON")</formula>
    </cfRule>
    <cfRule type="expression" dxfId="4823" priority="4824" stopIfTrue="1">
      <formula>OR(LEFT(D470,4)="HOLD",OR(A470="QTNP",A470="HOA THO",A470="YES VINA",A470="HUNG YEN",A470="TEX GIANG",A470="HUNG LONG"),LEFT(A470,5)="HANES",LEFT(A470,3)="ITG")</formula>
    </cfRule>
  </conditionalFormatting>
  <conditionalFormatting sqref="D469">
    <cfRule type="expression" dxfId="4822" priority="4819" stopIfTrue="1">
      <formula>OR(LEFT(D469,4)="KHTT",LEFT(D469,5)="10USD",RIGHT(D469,3)="TTC",LEFT(D469,3)="TNT")</formula>
    </cfRule>
    <cfRule type="expression" dxfId="4821" priority="4820" stopIfTrue="1">
      <formula>OR(LEFT(D469,3)="CTU",LEFT(D469,4)="HDON")</formula>
    </cfRule>
    <cfRule type="expression" dxfId="4820" priority="4821" stopIfTrue="1">
      <formula>OR(LEFT(D469,4)="HOLD",OR(A469="QTNP",A469="HOA THO",A469="YES VINA",A469="HUNG YEN",A469="TEX GIANG",A469="HUNG LONG"),LEFT(A469,5)="HANES",LEFT(A469,3)="ITG")</formula>
    </cfRule>
  </conditionalFormatting>
  <conditionalFormatting sqref="D469">
    <cfRule type="expression" dxfId="4819" priority="4816" stopIfTrue="1">
      <formula>OR(LEFT(D469,4)="KHTT",LEFT(D469,5)="10USD",RIGHT(D469,3)="TTC",LEFT(D469,3)="TNT")</formula>
    </cfRule>
    <cfRule type="expression" dxfId="4818" priority="4817" stopIfTrue="1">
      <formula>OR(LEFT(D469,3)="CTU",LEFT(D469,4)="HDON")</formula>
    </cfRule>
    <cfRule type="expression" dxfId="4817" priority="4818" stopIfTrue="1">
      <formula>OR(LEFT(D469,4)="HOLD",OR(A469="QTNP",A469="HOA THO",A469="YES VINA",A469="HUNG YEN",A469="TEX GIANG",A469="HUNG LONG"),LEFT(A469,5)="HANES",LEFT(A469,3)="ITG")</formula>
    </cfRule>
  </conditionalFormatting>
  <conditionalFormatting sqref="D470">
    <cfRule type="expression" dxfId="4816" priority="4813" stopIfTrue="1">
      <formula>OR(LEFT(D470,4)="KHTT",LEFT(D470,5)="10USD",RIGHT(D470,3)="TTC",LEFT(D470,3)="TNT")</formula>
    </cfRule>
    <cfRule type="expression" dxfId="4815" priority="4814" stopIfTrue="1">
      <formula>OR(LEFT(D470,3)="CTU",LEFT(D470,4)="HDON")</formula>
    </cfRule>
    <cfRule type="expression" dxfId="4814" priority="4815" stopIfTrue="1">
      <formula>OR(LEFT(D470,4)="HOLD",OR(A470="QTNP",A470="HOA THO",A470="YES VINA",A470="HUNG YEN",A470="TEX GIANG",A470="HUNG LONG"),LEFT(A470,5)="HANES",LEFT(A470,3)="ITG")</formula>
    </cfRule>
  </conditionalFormatting>
  <conditionalFormatting sqref="D470">
    <cfRule type="expression" dxfId="4813" priority="4810" stopIfTrue="1">
      <formula>OR(LEFT(D470,4)="KHTT",LEFT(D470,5)="10USD",RIGHT(D470,3)="TTC",LEFT(D470,3)="TNT")</formula>
    </cfRule>
    <cfRule type="expression" dxfId="4812" priority="4811" stopIfTrue="1">
      <formula>OR(LEFT(D470,3)="CTU",LEFT(D470,4)="HDON")</formula>
    </cfRule>
    <cfRule type="expression" dxfId="4811" priority="4812" stopIfTrue="1">
      <formula>OR(LEFT(D470,4)="HOLD",OR(A470="QTNP",A470="HOA THO",A470="YES VINA",A470="HUNG YEN",A470="TEX GIANG",A470="HUNG LONG"),LEFT(A470,5)="HANES",LEFT(A470,3)="ITG")</formula>
    </cfRule>
  </conditionalFormatting>
  <conditionalFormatting sqref="D470">
    <cfRule type="expression" dxfId="4810" priority="4807" stopIfTrue="1">
      <formula>OR(LEFT(D470,4)="KHTT",LEFT(D470,5)="10USD",RIGHT(D470,3)="TTC",LEFT(D470,3)="TNT")</formula>
    </cfRule>
    <cfRule type="expression" dxfId="4809" priority="4808" stopIfTrue="1">
      <formula>OR(LEFT(D470,3)="CTU",LEFT(D470,4)="HDON")</formula>
    </cfRule>
    <cfRule type="expression" dxfId="4808" priority="4809" stopIfTrue="1">
      <formula>OR(LEFT(D470,4)="HOLD",OR(A470="QTNP",A470="HOA THO",A470="YES VINA",A470="HUNG YEN",A470="TEX GIANG",A470="HUNG LONG"),LEFT(A470,5)="HANES",LEFT(A470,3)="ITG")</formula>
    </cfRule>
  </conditionalFormatting>
  <conditionalFormatting sqref="D470">
    <cfRule type="expression" dxfId="4807" priority="4804" stopIfTrue="1">
      <formula>OR(LEFT(D470,4)="KHTT",LEFT(D470,5)="10USD",RIGHT(D470,3)="TTC",LEFT(D470,3)="TNT")</formula>
    </cfRule>
    <cfRule type="expression" dxfId="4806" priority="4805" stopIfTrue="1">
      <formula>OR(LEFT(D470,3)="CTU",LEFT(D470,4)="HDON")</formula>
    </cfRule>
    <cfRule type="expression" dxfId="4805" priority="4806" stopIfTrue="1">
      <formula>OR(LEFT(D470,4)="HOLD",OR(A470="QTNP",A470="HOA THO",A470="YES VINA",A470="HUNG YEN",A470="TEX GIANG",A470="HUNG LONG"),LEFT(A470,5)="HANES",LEFT(A470,3)="ITG")</formula>
    </cfRule>
  </conditionalFormatting>
  <conditionalFormatting sqref="D469">
    <cfRule type="expression" dxfId="4804" priority="4801" stopIfTrue="1">
      <formula>OR(LEFT(D469,4)="KHTT",LEFT(D469,5)="10USD",RIGHT(D469,3)="TTC",LEFT(D469,3)="TNT")</formula>
    </cfRule>
    <cfRule type="expression" dxfId="4803" priority="4802" stopIfTrue="1">
      <formula>OR(LEFT(D469,3)="CTU",LEFT(D469,4)="HDON")</formula>
    </cfRule>
    <cfRule type="expression" dxfId="4802" priority="4803" stopIfTrue="1">
      <formula>OR(LEFT(D469,4)="HOLD",OR(A469="QTNP",A469="HOA THO",A469="YES VINA",A469="HUNG YEN",A469="TEX GIANG",A469="HUNG LONG"),LEFT(A469,5)="HANES",LEFT(A469,3)="ITG")</formula>
    </cfRule>
  </conditionalFormatting>
  <conditionalFormatting sqref="D469">
    <cfRule type="expression" dxfId="4801" priority="4798" stopIfTrue="1">
      <formula>OR(LEFT(D469,4)="KHTT",LEFT(D469,5)="10USD",RIGHT(D469,3)="TTC",LEFT(D469,3)="TNT")</formula>
    </cfRule>
    <cfRule type="expression" dxfId="4800" priority="4799" stopIfTrue="1">
      <formula>OR(LEFT(D469,3)="CTU",LEFT(D469,4)="HDON")</formula>
    </cfRule>
    <cfRule type="expression" dxfId="4799" priority="4800" stopIfTrue="1">
      <formula>OR(LEFT(D469,4)="HOLD",OR(A469="QTNP",A469="HOA THO",A469="YES VINA",A469="HUNG YEN",A469="TEX GIANG",A469="HUNG LONG"),LEFT(A469,5)="HANES",LEFT(A469,3)="ITG")</formula>
    </cfRule>
  </conditionalFormatting>
  <conditionalFormatting sqref="D470">
    <cfRule type="expression" dxfId="4798" priority="4795" stopIfTrue="1">
      <formula>OR(LEFT(D470,4)="KHTT",LEFT(D470,5)="10USD",RIGHT(D470,3)="TTC",LEFT(D470,3)="TNT")</formula>
    </cfRule>
    <cfRule type="expression" dxfId="4797" priority="4796" stopIfTrue="1">
      <formula>OR(LEFT(D470,3)="CTU",LEFT(D470,4)="HDON")</formula>
    </cfRule>
    <cfRule type="expression" dxfId="4796" priority="4797" stopIfTrue="1">
      <formula>OR(LEFT(D470,4)="HOLD",OR(A470="QTNP",A470="HOA THO",A470="YES VINA",A470="HUNG YEN",A470="TEX GIANG",A470="HUNG LONG"),LEFT(A470,5)="HANES",LEFT(A470,3)="ITG")</formula>
    </cfRule>
  </conditionalFormatting>
  <conditionalFormatting sqref="D470">
    <cfRule type="expression" dxfId="4795" priority="4792" stopIfTrue="1">
      <formula>OR(LEFT(D470,4)="KHTT",LEFT(D470,5)="10USD",RIGHT(D470,3)="TTC",LEFT(D470,3)="TNT")</formula>
    </cfRule>
    <cfRule type="expression" dxfId="4794" priority="4793" stopIfTrue="1">
      <formula>OR(LEFT(D470,3)="CTU",LEFT(D470,4)="HDON")</formula>
    </cfRule>
    <cfRule type="expression" dxfId="4793" priority="4794" stopIfTrue="1">
      <formula>OR(LEFT(D470,4)="HOLD",OR(A470="QTNP",A470="HOA THO",A470="YES VINA",A470="HUNG YEN",A470="TEX GIANG",A470="HUNG LONG"),LEFT(A470,5)="HANES",LEFT(A470,3)="ITG")</formula>
    </cfRule>
  </conditionalFormatting>
  <conditionalFormatting sqref="D470">
    <cfRule type="expression" dxfId="4792" priority="4789" stopIfTrue="1">
      <formula>OR(LEFT(D470,4)="KHTT",LEFT(D470,5)="10USD",RIGHT(D470,3)="TTC",LEFT(D470,3)="TNT")</formula>
    </cfRule>
    <cfRule type="expression" dxfId="4791" priority="4790" stopIfTrue="1">
      <formula>OR(LEFT(D470,3)="CTU",LEFT(D470,4)="HDON")</formula>
    </cfRule>
    <cfRule type="expression" dxfId="4790" priority="4791" stopIfTrue="1">
      <formula>OR(LEFT(D470,4)="HOLD",OR(A470="QTNP",A470="HOA THO",A470="YES VINA",A470="HUNG YEN",A470="TEX GIANG",A470="HUNG LONG"),LEFT(A470,5)="HANES",LEFT(A470,3)="ITG")</formula>
    </cfRule>
  </conditionalFormatting>
  <conditionalFormatting sqref="D470">
    <cfRule type="expression" dxfId="4789" priority="4786" stopIfTrue="1">
      <formula>OR(LEFT(D470,4)="KHTT",LEFT(D470,5)="10USD",RIGHT(D470,3)="TTC",LEFT(D470,3)="TNT")</formula>
    </cfRule>
    <cfRule type="expression" dxfId="4788" priority="4787" stopIfTrue="1">
      <formula>OR(LEFT(D470,3)="CTU",LEFT(D470,4)="HDON")</formula>
    </cfRule>
    <cfRule type="expression" dxfId="4787" priority="4788" stopIfTrue="1">
      <formula>OR(LEFT(D470,4)="HOLD",OR(A470="QTNP",A470="HOA THO",A470="YES VINA",A470="HUNG YEN",A470="TEX GIANG",A470="HUNG LONG"),LEFT(A470,5)="HANES",LEFT(A470,3)="ITG")</formula>
    </cfRule>
  </conditionalFormatting>
  <conditionalFormatting sqref="D469">
    <cfRule type="expression" dxfId="4786" priority="4783" stopIfTrue="1">
      <formula>OR(LEFT(D469,4)="KHTT",LEFT(D469,5)="10USD",RIGHT(D469,3)="TTC",LEFT(D469,3)="TNT")</formula>
    </cfRule>
    <cfRule type="expression" dxfId="4785" priority="4784" stopIfTrue="1">
      <formula>OR(LEFT(D469,3)="CTU",LEFT(D469,4)="HDON")</formula>
    </cfRule>
    <cfRule type="expression" dxfId="4784" priority="4785" stopIfTrue="1">
      <formula>OR(LEFT(D469,4)="HOLD",OR(A469="QTNP",A469="HOA THO",A469="YES VINA",A469="HUNG YEN",A469="TEX GIANG",A469="HUNG LONG"),LEFT(A469,5)="HANES",LEFT(A469,3)="ITG")</formula>
    </cfRule>
  </conditionalFormatting>
  <conditionalFormatting sqref="D469">
    <cfRule type="expression" dxfId="4783" priority="4780" stopIfTrue="1">
      <formula>OR(LEFT(D469,4)="KHTT",LEFT(D469,5)="10USD",RIGHT(D469,3)="TTC",LEFT(D469,3)="TNT")</formula>
    </cfRule>
    <cfRule type="expression" dxfId="4782" priority="4781" stopIfTrue="1">
      <formula>OR(LEFT(D469,3)="CTU",LEFT(D469,4)="HDON")</formula>
    </cfRule>
    <cfRule type="expression" dxfId="4781" priority="4782" stopIfTrue="1">
      <formula>OR(LEFT(D469,4)="HOLD",OR(A469="QTNP",A469="HOA THO",A469="YES VINA",A469="HUNG YEN",A469="TEX GIANG",A469="HUNG LONG"),LEFT(A469,5)="HANES",LEFT(A469,3)="ITG")</formula>
    </cfRule>
  </conditionalFormatting>
  <conditionalFormatting sqref="D470">
    <cfRule type="expression" dxfId="4780" priority="4777" stopIfTrue="1">
      <formula>OR(LEFT(D470,4)="KHTT",LEFT(D470,5)="10USD",RIGHT(D470,3)="TTC",LEFT(D470,3)="TNT")</formula>
    </cfRule>
    <cfRule type="expression" dxfId="4779" priority="4778" stopIfTrue="1">
      <formula>OR(LEFT(D470,3)="CTU",LEFT(D470,4)="HDON")</formula>
    </cfRule>
    <cfRule type="expression" dxfId="4778" priority="4779" stopIfTrue="1">
      <formula>OR(LEFT(D470,4)="HOLD",OR(A470="QTNP",A470="HOA THO",A470="YES VINA",A470="HUNG YEN",A470="TEX GIANG",A470="HUNG LONG"),LEFT(A470,5)="HANES",LEFT(A470,3)="ITG")</formula>
    </cfRule>
  </conditionalFormatting>
  <conditionalFormatting sqref="D470">
    <cfRule type="expression" dxfId="4777" priority="4774" stopIfTrue="1">
      <formula>OR(LEFT(D470,4)="KHTT",LEFT(D470,5)="10USD",RIGHT(D470,3)="TTC",LEFT(D470,3)="TNT")</formula>
    </cfRule>
    <cfRule type="expression" dxfId="4776" priority="4775" stopIfTrue="1">
      <formula>OR(LEFT(D470,3)="CTU",LEFT(D470,4)="HDON")</formula>
    </cfRule>
    <cfRule type="expression" dxfId="4775" priority="4776" stopIfTrue="1">
      <formula>OR(LEFT(D470,4)="HOLD",OR(A470="QTNP",A470="HOA THO",A470="YES VINA",A470="HUNG YEN",A470="TEX GIANG",A470="HUNG LONG"),LEFT(A470,5)="HANES",LEFT(A470,3)="ITG")</formula>
    </cfRule>
  </conditionalFormatting>
  <conditionalFormatting sqref="D470">
    <cfRule type="expression" dxfId="4774" priority="4771" stopIfTrue="1">
      <formula>OR(LEFT(D470,4)="KHTT",LEFT(D470,5)="10USD",RIGHT(D470,3)="TTC",LEFT(D470,3)="TNT")</formula>
    </cfRule>
    <cfRule type="expression" dxfId="4773" priority="4772" stopIfTrue="1">
      <formula>OR(LEFT(D470,3)="CTU",LEFT(D470,4)="HDON")</formula>
    </cfRule>
    <cfRule type="expression" dxfId="4772" priority="4773" stopIfTrue="1">
      <formula>OR(LEFT(D470,4)="HOLD",OR(A470="QTNP",A470="HOA THO",A470="YES VINA",A470="HUNG YEN",A470="TEX GIANG",A470="HUNG LONG"),LEFT(A470,5)="HANES",LEFT(A470,3)="ITG")</formula>
    </cfRule>
  </conditionalFormatting>
  <conditionalFormatting sqref="D470">
    <cfRule type="expression" dxfId="4771" priority="4768" stopIfTrue="1">
      <formula>OR(LEFT(D470,4)="KHTT",LEFT(D470,5)="10USD",RIGHT(D470,3)="TTC",LEFT(D470,3)="TNT")</formula>
    </cfRule>
    <cfRule type="expression" dxfId="4770" priority="4769" stopIfTrue="1">
      <formula>OR(LEFT(D470,3)="CTU",LEFT(D470,4)="HDON")</formula>
    </cfRule>
    <cfRule type="expression" dxfId="4769" priority="4770" stopIfTrue="1">
      <formula>OR(LEFT(D470,4)="HOLD",OR(A470="QTNP",A470="HOA THO",A470="YES VINA",A470="HUNG YEN",A470="TEX GIANG",A470="HUNG LONG"),LEFT(A470,5)="HANES",LEFT(A470,3)="ITG")</formula>
    </cfRule>
  </conditionalFormatting>
  <conditionalFormatting sqref="D469">
    <cfRule type="expression" dxfId="4768" priority="4765" stopIfTrue="1">
      <formula>OR(LEFT(D469,4)="KHTT",LEFT(D469,5)="10USD",RIGHT(D469,3)="TTC",LEFT(D469,3)="TNT")</formula>
    </cfRule>
    <cfRule type="expression" dxfId="4767" priority="4766" stopIfTrue="1">
      <formula>OR(LEFT(D469,3)="CTU",LEFT(D469,4)="HDON")</formula>
    </cfRule>
    <cfRule type="expression" dxfId="4766" priority="4767" stopIfTrue="1">
      <formula>OR(LEFT(D469,4)="HOLD",OR(A469="QTNP",A469="HOA THO",A469="YES VINA",A469="HUNG YEN",A469="TEX GIANG",A469="HUNG LONG"),LEFT(A469,5)="HANES",LEFT(A469,3)="ITG")</formula>
    </cfRule>
  </conditionalFormatting>
  <conditionalFormatting sqref="D469">
    <cfRule type="expression" dxfId="4765" priority="4762" stopIfTrue="1">
      <formula>OR(LEFT(D469,4)="KHTT",LEFT(D469,5)="10USD",RIGHT(D469,3)="TTC",LEFT(D469,3)="TNT")</formula>
    </cfRule>
    <cfRule type="expression" dxfId="4764" priority="4763" stopIfTrue="1">
      <formula>OR(LEFT(D469,3)="CTU",LEFT(D469,4)="HDON")</formula>
    </cfRule>
    <cfRule type="expression" dxfId="4763" priority="4764" stopIfTrue="1">
      <formula>OR(LEFT(D469,4)="HOLD",OR(A469="QTNP",A469="HOA THO",A469="YES VINA",A469="HUNG YEN",A469="TEX GIANG",A469="HUNG LONG"),LEFT(A469,5)="HANES",LEFT(A469,3)="ITG")</formula>
    </cfRule>
  </conditionalFormatting>
  <conditionalFormatting sqref="D470">
    <cfRule type="expression" dxfId="4762" priority="4759" stopIfTrue="1">
      <formula>OR(LEFT(D470,4)="KHTT",LEFT(D470,5)="10USD",RIGHT(D470,3)="TTC",LEFT(D470,3)="TNT")</formula>
    </cfRule>
    <cfRule type="expression" dxfId="4761" priority="4760" stopIfTrue="1">
      <formula>OR(LEFT(D470,3)="CTU",LEFT(D470,4)="HDON")</formula>
    </cfRule>
    <cfRule type="expression" dxfId="4760" priority="4761" stopIfTrue="1">
      <formula>OR(LEFT(D470,4)="HOLD",OR(A470="QTNP",A470="HOA THO",A470="YES VINA",A470="HUNG YEN",A470="TEX GIANG",A470="HUNG LONG"),LEFT(A470,5)="HANES",LEFT(A470,3)="ITG")</formula>
    </cfRule>
  </conditionalFormatting>
  <conditionalFormatting sqref="D470">
    <cfRule type="expression" dxfId="4759" priority="4756" stopIfTrue="1">
      <formula>OR(LEFT(D470,4)="KHTT",LEFT(D470,5)="10USD",RIGHT(D470,3)="TTC",LEFT(D470,3)="TNT")</formula>
    </cfRule>
    <cfRule type="expression" dxfId="4758" priority="4757" stopIfTrue="1">
      <formula>OR(LEFT(D470,3)="CTU",LEFT(D470,4)="HDON")</formula>
    </cfRule>
    <cfRule type="expression" dxfId="4757" priority="4758" stopIfTrue="1">
      <formula>OR(LEFT(D470,4)="HOLD",OR(A470="QTNP",A470="HOA THO",A470="YES VINA",A470="HUNG YEN",A470="TEX GIANG",A470="HUNG LONG"),LEFT(A470,5)="HANES",LEFT(A470,3)="ITG")</formula>
    </cfRule>
  </conditionalFormatting>
  <conditionalFormatting sqref="D470">
    <cfRule type="expression" dxfId="4756" priority="4753" stopIfTrue="1">
      <formula>OR(LEFT(D470,4)="KHTT",LEFT(D470,5)="10USD",RIGHT(D470,3)="TTC",LEFT(D470,3)="TNT")</formula>
    </cfRule>
    <cfRule type="expression" dxfId="4755" priority="4754" stopIfTrue="1">
      <formula>OR(LEFT(D470,3)="CTU",LEFT(D470,4)="HDON")</formula>
    </cfRule>
    <cfRule type="expression" dxfId="4754" priority="4755" stopIfTrue="1">
      <formula>OR(LEFT(D470,4)="HOLD",OR(A470="QTNP",A470="HOA THO",A470="YES VINA",A470="HUNG YEN",A470="TEX GIANG",A470="HUNG LONG"),LEFT(A470,5)="HANES",LEFT(A470,3)="ITG")</formula>
    </cfRule>
  </conditionalFormatting>
  <conditionalFormatting sqref="D470">
    <cfRule type="expression" dxfId="4753" priority="4750" stopIfTrue="1">
      <formula>OR(LEFT(D470,4)="KHTT",LEFT(D470,5)="10USD",RIGHT(D470,3)="TTC",LEFT(D470,3)="TNT")</formula>
    </cfRule>
    <cfRule type="expression" dxfId="4752" priority="4751" stopIfTrue="1">
      <formula>OR(LEFT(D470,3)="CTU",LEFT(D470,4)="HDON")</formula>
    </cfRule>
    <cfRule type="expression" dxfId="4751" priority="4752" stopIfTrue="1">
      <formula>OR(LEFT(D470,4)="HOLD",OR(A470="QTNP",A470="HOA THO",A470="YES VINA",A470="HUNG YEN",A470="TEX GIANG",A470="HUNG LONG"),LEFT(A470,5)="HANES",LEFT(A470,3)="ITG")</formula>
    </cfRule>
  </conditionalFormatting>
  <conditionalFormatting sqref="D469">
    <cfRule type="expression" dxfId="4750" priority="4747" stopIfTrue="1">
      <formula>OR(LEFT(D469,4)="KHTT",LEFT(D469,5)="10USD",RIGHT(D469,3)="TTC",LEFT(D469,3)="TNT")</formula>
    </cfRule>
    <cfRule type="expression" dxfId="4749" priority="4748" stopIfTrue="1">
      <formula>OR(LEFT(D469,3)="CTU",LEFT(D469,4)="HDON")</formula>
    </cfRule>
    <cfRule type="expression" dxfId="4748" priority="4749" stopIfTrue="1">
      <formula>OR(LEFT(D469,4)="HOLD",OR(A469="QTNP",A469="HOA THO",A469="YES VINA",A469="HUNG YEN",A469="TEX GIANG",A469="HUNG LONG"),LEFT(A469,5)="HANES",LEFT(A469,3)="ITG")</formula>
    </cfRule>
  </conditionalFormatting>
  <conditionalFormatting sqref="D469">
    <cfRule type="expression" dxfId="4747" priority="4744" stopIfTrue="1">
      <formula>OR(LEFT(D469,4)="KHTT",LEFT(D469,5)="10USD",RIGHT(D469,3)="TTC",LEFT(D469,3)="TNT")</formula>
    </cfRule>
    <cfRule type="expression" dxfId="4746" priority="4745" stopIfTrue="1">
      <formula>OR(LEFT(D469,3)="CTU",LEFT(D469,4)="HDON")</formula>
    </cfRule>
    <cfRule type="expression" dxfId="4745" priority="4746" stopIfTrue="1">
      <formula>OR(LEFT(D469,4)="HOLD",OR(A469="QTNP",A469="HOA THO",A469="YES VINA",A469="HUNG YEN",A469="TEX GIANG",A469="HUNG LONG"),LEFT(A469,5)="HANES",LEFT(A469,3)="ITG")</formula>
    </cfRule>
  </conditionalFormatting>
  <conditionalFormatting sqref="D470">
    <cfRule type="expression" dxfId="4744" priority="4741" stopIfTrue="1">
      <formula>OR(LEFT(D470,4)="KHTT",LEFT(D470,5)="10USD",RIGHT(D470,3)="TTC",LEFT(D470,3)="TNT")</formula>
    </cfRule>
    <cfRule type="expression" dxfId="4743" priority="4742" stopIfTrue="1">
      <formula>OR(LEFT(D470,3)="CTU",LEFT(D470,4)="HDON")</formula>
    </cfRule>
    <cfRule type="expression" dxfId="4742" priority="4743" stopIfTrue="1">
      <formula>OR(LEFT(D470,4)="HOLD",OR(A470="QTNP",A470="HOA THO",A470="YES VINA",A470="HUNG YEN",A470="TEX GIANG",A470="HUNG LONG"),LEFT(A470,5)="HANES",LEFT(A470,3)="ITG")</formula>
    </cfRule>
  </conditionalFormatting>
  <conditionalFormatting sqref="D470">
    <cfRule type="expression" dxfId="4741" priority="4738" stopIfTrue="1">
      <formula>OR(LEFT(D470,4)="KHTT",LEFT(D470,5)="10USD",RIGHT(D470,3)="TTC",LEFT(D470,3)="TNT")</formula>
    </cfRule>
    <cfRule type="expression" dxfId="4740" priority="4739" stopIfTrue="1">
      <formula>OR(LEFT(D470,3)="CTU",LEFT(D470,4)="HDON")</formula>
    </cfRule>
    <cfRule type="expression" dxfId="4739" priority="4740" stopIfTrue="1">
      <formula>OR(LEFT(D470,4)="HOLD",OR(A470="QTNP",A470="HOA THO",A470="YES VINA",A470="HUNG YEN",A470="TEX GIANG",A470="HUNG LONG"),LEFT(A470,5)="HANES",LEFT(A470,3)="ITG")</formula>
    </cfRule>
  </conditionalFormatting>
  <conditionalFormatting sqref="D470">
    <cfRule type="expression" dxfId="4738" priority="4735" stopIfTrue="1">
      <formula>OR(LEFT(D470,4)="KHTT",LEFT(D470,5)="10USD",RIGHT(D470,3)="TTC",LEFT(D470,3)="TNT")</formula>
    </cfRule>
    <cfRule type="expression" dxfId="4737" priority="4736" stopIfTrue="1">
      <formula>OR(LEFT(D470,3)="CTU",LEFT(D470,4)="HDON")</formula>
    </cfRule>
    <cfRule type="expression" dxfId="4736" priority="4737" stopIfTrue="1">
      <formula>OR(LEFT(D470,4)="HOLD",OR(A470="QTNP",A470="HOA THO",A470="YES VINA",A470="HUNG YEN",A470="TEX GIANG",A470="HUNG LONG"),LEFT(A470,5)="HANES",LEFT(A470,3)="ITG")</formula>
    </cfRule>
  </conditionalFormatting>
  <conditionalFormatting sqref="D470">
    <cfRule type="expression" dxfId="4735" priority="4732" stopIfTrue="1">
      <formula>OR(LEFT(D470,4)="KHTT",LEFT(D470,5)="10USD",RIGHT(D470,3)="TTC",LEFT(D470,3)="TNT")</formula>
    </cfRule>
    <cfRule type="expression" dxfId="4734" priority="4733" stopIfTrue="1">
      <formula>OR(LEFT(D470,3)="CTU",LEFT(D470,4)="HDON")</formula>
    </cfRule>
    <cfRule type="expression" dxfId="4733" priority="4734" stopIfTrue="1">
      <formula>OR(LEFT(D470,4)="HOLD",OR(A470="QTNP",A470="HOA THO",A470="YES VINA",A470="HUNG YEN",A470="TEX GIANG",A470="HUNG LONG"),LEFT(A470,5)="HANES",LEFT(A470,3)="ITG")</formula>
    </cfRule>
  </conditionalFormatting>
  <conditionalFormatting sqref="D469">
    <cfRule type="expression" dxfId="4732" priority="4729" stopIfTrue="1">
      <formula>OR(LEFT(D469,4)="KHTT",LEFT(D469,5)="10USD",RIGHT(D469,3)="TTC",LEFT(D469,3)="TNT")</formula>
    </cfRule>
    <cfRule type="expression" dxfId="4731" priority="4730" stopIfTrue="1">
      <formula>OR(LEFT(D469,3)="CTU",LEFT(D469,4)="HDON")</formula>
    </cfRule>
    <cfRule type="expression" dxfId="4730" priority="4731" stopIfTrue="1">
      <formula>OR(LEFT(D469,4)="HOLD",OR(A469="QTNP",A469="HOA THO",A469="YES VINA",A469="HUNG YEN",A469="TEX GIANG",A469="HUNG LONG"),LEFT(A469,5)="HANES",LEFT(A469,3)="ITG")</formula>
    </cfRule>
  </conditionalFormatting>
  <conditionalFormatting sqref="D469">
    <cfRule type="expression" dxfId="4729" priority="4726" stopIfTrue="1">
      <formula>OR(LEFT(D469,4)="KHTT",LEFT(D469,5)="10USD",RIGHT(D469,3)="TTC",LEFT(D469,3)="TNT")</formula>
    </cfRule>
    <cfRule type="expression" dxfId="4728" priority="4727" stopIfTrue="1">
      <formula>OR(LEFT(D469,3)="CTU",LEFT(D469,4)="HDON")</formula>
    </cfRule>
    <cfRule type="expression" dxfId="4727" priority="4728" stopIfTrue="1">
      <formula>OR(LEFT(D469,4)="HOLD",OR(A469="QTNP",A469="HOA THO",A469="YES VINA",A469="HUNG YEN",A469="TEX GIANG",A469="HUNG LONG"),LEFT(A469,5)="HANES",LEFT(A469,3)="ITG")</formula>
    </cfRule>
  </conditionalFormatting>
  <conditionalFormatting sqref="D470">
    <cfRule type="expression" dxfId="4726" priority="4723" stopIfTrue="1">
      <formula>OR(LEFT(D470,4)="KHTT",LEFT(D470,5)="10USD",RIGHT(D470,3)="TTC",LEFT(D470,3)="TNT")</formula>
    </cfRule>
    <cfRule type="expression" dxfId="4725" priority="4724" stopIfTrue="1">
      <formula>OR(LEFT(D470,3)="CTU",LEFT(D470,4)="HDON")</formula>
    </cfRule>
    <cfRule type="expression" dxfId="4724" priority="4725" stopIfTrue="1">
      <formula>OR(LEFT(D470,4)="HOLD",OR(A470="QTNP",A470="HOA THO",A470="YES VINA",A470="HUNG YEN",A470="TEX GIANG",A470="HUNG LONG"),LEFT(A470,5)="HANES",LEFT(A470,3)="ITG")</formula>
    </cfRule>
  </conditionalFormatting>
  <conditionalFormatting sqref="D470">
    <cfRule type="expression" dxfId="4723" priority="4720" stopIfTrue="1">
      <formula>OR(LEFT(D470,4)="KHTT",LEFT(D470,5)="10USD",RIGHT(D470,3)="TTC",LEFT(D470,3)="TNT")</formula>
    </cfRule>
    <cfRule type="expression" dxfId="4722" priority="4721" stopIfTrue="1">
      <formula>OR(LEFT(D470,3)="CTU",LEFT(D470,4)="HDON")</formula>
    </cfRule>
    <cfRule type="expression" dxfId="4721" priority="4722" stopIfTrue="1">
      <formula>OR(LEFT(D470,4)="HOLD",OR(A470="QTNP",A470="HOA THO",A470="YES VINA",A470="HUNG YEN",A470="TEX GIANG",A470="HUNG LONG"),LEFT(A470,5)="HANES",LEFT(A470,3)="ITG")</formula>
    </cfRule>
  </conditionalFormatting>
  <conditionalFormatting sqref="D470">
    <cfRule type="expression" dxfId="4720" priority="4717" stopIfTrue="1">
      <formula>OR(LEFT(D470,4)="KHTT",LEFT(D470,5)="10USD",RIGHT(D470,3)="TTC",LEFT(D470,3)="TNT")</formula>
    </cfRule>
    <cfRule type="expression" dxfId="4719" priority="4718" stopIfTrue="1">
      <formula>OR(LEFT(D470,3)="CTU",LEFT(D470,4)="HDON")</formula>
    </cfRule>
    <cfRule type="expression" dxfId="4718" priority="4719" stopIfTrue="1">
      <formula>OR(LEFT(D470,4)="HOLD",OR(A470="QTNP",A470="HOA THO",A470="YES VINA",A470="HUNG YEN",A470="TEX GIANG",A470="HUNG LONG"),LEFT(A470,5)="HANES",LEFT(A470,3)="ITG")</formula>
    </cfRule>
  </conditionalFormatting>
  <conditionalFormatting sqref="D470">
    <cfRule type="expression" dxfId="4717" priority="4714" stopIfTrue="1">
      <formula>OR(LEFT(D470,4)="KHTT",LEFT(D470,5)="10USD",RIGHT(D470,3)="TTC",LEFT(D470,3)="TNT")</formula>
    </cfRule>
    <cfRule type="expression" dxfId="4716" priority="4715" stopIfTrue="1">
      <formula>OR(LEFT(D470,3)="CTU",LEFT(D470,4)="HDON")</formula>
    </cfRule>
    <cfRule type="expression" dxfId="4715" priority="4716" stopIfTrue="1">
      <formula>OR(LEFT(D470,4)="HOLD",OR(A470="QTNP",A470="HOA THO",A470="YES VINA",A470="HUNG YEN",A470="TEX GIANG",A470="HUNG LONG"),LEFT(A470,5)="HANES",LEFT(A470,3)="ITG")</formula>
    </cfRule>
  </conditionalFormatting>
  <conditionalFormatting sqref="D469">
    <cfRule type="expression" dxfId="4714" priority="4711" stopIfTrue="1">
      <formula>OR(LEFT(D469,4)="KHTT",LEFT(D469,5)="10USD",RIGHT(D469,3)="TTC",LEFT(D469,3)="TNT")</formula>
    </cfRule>
    <cfRule type="expression" dxfId="4713" priority="4712" stopIfTrue="1">
      <formula>OR(LEFT(D469,3)="CTU",LEFT(D469,4)="HDON")</formula>
    </cfRule>
    <cfRule type="expression" dxfId="4712" priority="4713" stopIfTrue="1">
      <formula>OR(LEFT(D469,4)="HOLD",OR(A469="QTNP",A469="HOA THO",A469="YES VINA",A469="HUNG YEN",A469="TEX GIANG",A469="HUNG LONG"),LEFT(A469,5)="HANES",LEFT(A469,3)="ITG")</formula>
    </cfRule>
  </conditionalFormatting>
  <conditionalFormatting sqref="D469">
    <cfRule type="expression" dxfId="4711" priority="4708" stopIfTrue="1">
      <formula>OR(LEFT(D469,4)="KHTT",LEFT(D469,5)="10USD",RIGHT(D469,3)="TTC",LEFT(D469,3)="TNT")</formula>
    </cfRule>
    <cfRule type="expression" dxfId="4710" priority="4709" stopIfTrue="1">
      <formula>OR(LEFT(D469,3)="CTU",LEFT(D469,4)="HDON")</formula>
    </cfRule>
    <cfRule type="expression" dxfId="4709" priority="4710" stopIfTrue="1">
      <formula>OR(LEFT(D469,4)="HOLD",OR(A469="QTNP",A469="HOA THO",A469="YES VINA",A469="HUNG YEN",A469="TEX GIANG",A469="HUNG LONG"),LEFT(A469,5)="HANES",LEFT(A469,3)="ITG")</formula>
    </cfRule>
  </conditionalFormatting>
  <conditionalFormatting sqref="D470">
    <cfRule type="expression" dxfId="4708" priority="4705" stopIfTrue="1">
      <formula>OR(LEFT(D470,4)="KHTT",LEFT(D470,5)="10USD",RIGHT(D470,3)="TTC",LEFT(D470,3)="TNT")</formula>
    </cfRule>
    <cfRule type="expression" dxfId="4707" priority="4706" stopIfTrue="1">
      <formula>OR(LEFT(D470,3)="CTU",LEFT(D470,4)="HDON")</formula>
    </cfRule>
    <cfRule type="expression" dxfId="4706" priority="4707" stopIfTrue="1">
      <formula>OR(LEFT(D470,4)="HOLD",OR(A470="QTNP",A470="HOA THO",A470="YES VINA",A470="HUNG YEN",A470="TEX GIANG",A470="HUNG LONG"),LEFT(A470,5)="HANES",LEFT(A470,3)="ITG")</formula>
    </cfRule>
  </conditionalFormatting>
  <conditionalFormatting sqref="D470">
    <cfRule type="expression" dxfId="4705" priority="4702" stopIfTrue="1">
      <formula>OR(LEFT(D470,4)="KHTT",LEFT(D470,5)="10USD",RIGHT(D470,3)="TTC",LEFT(D470,3)="TNT")</formula>
    </cfRule>
    <cfRule type="expression" dxfId="4704" priority="4703" stopIfTrue="1">
      <formula>OR(LEFT(D470,3)="CTU",LEFT(D470,4)="HDON")</formula>
    </cfRule>
    <cfRule type="expression" dxfId="4703" priority="4704" stopIfTrue="1">
      <formula>OR(LEFT(D470,4)="HOLD",OR(A470="QTNP",A470="HOA THO",A470="YES VINA",A470="HUNG YEN",A470="TEX GIANG",A470="HUNG LONG"),LEFT(A470,5)="HANES",LEFT(A470,3)="ITG")</formula>
    </cfRule>
  </conditionalFormatting>
  <conditionalFormatting sqref="D470">
    <cfRule type="expression" dxfId="4702" priority="4699" stopIfTrue="1">
      <formula>OR(LEFT(D470,4)="KHTT",LEFT(D470,5)="10USD",RIGHT(D470,3)="TTC",LEFT(D470,3)="TNT")</formula>
    </cfRule>
    <cfRule type="expression" dxfId="4701" priority="4700" stopIfTrue="1">
      <formula>OR(LEFT(D470,3)="CTU",LEFT(D470,4)="HDON")</formula>
    </cfRule>
    <cfRule type="expression" dxfId="4700" priority="4701" stopIfTrue="1">
      <formula>OR(LEFT(D470,4)="HOLD",OR(A470="QTNP",A470="HOA THO",A470="YES VINA",A470="HUNG YEN",A470="TEX GIANG",A470="HUNG LONG"),LEFT(A470,5)="HANES",LEFT(A470,3)="ITG")</formula>
    </cfRule>
  </conditionalFormatting>
  <conditionalFormatting sqref="D470">
    <cfRule type="expression" dxfId="4699" priority="4696" stopIfTrue="1">
      <formula>OR(LEFT(D470,4)="KHTT",LEFT(D470,5)="10USD",RIGHT(D470,3)="TTC",LEFT(D470,3)="TNT")</formula>
    </cfRule>
    <cfRule type="expression" dxfId="4698" priority="4697" stopIfTrue="1">
      <formula>OR(LEFT(D470,3)="CTU",LEFT(D470,4)="HDON")</formula>
    </cfRule>
    <cfRule type="expression" dxfId="4697" priority="4698" stopIfTrue="1">
      <formula>OR(LEFT(D470,4)="HOLD",OR(A470="QTNP",A470="HOA THO",A470="YES VINA",A470="HUNG YEN",A470="TEX GIANG",A470="HUNG LONG"),LEFT(A470,5)="HANES",LEFT(A470,3)="ITG")</formula>
    </cfRule>
  </conditionalFormatting>
  <conditionalFormatting sqref="D469">
    <cfRule type="expression" dxfId="4696" priority="4693" stopIfTrue="1">
      <formula>OR(LEFT(D469,4)="KHTT",LEFT(D469,5)="10USD",RIGHT(D469,3)="TTC",LEFT(D469,3)="TNT")</formula>
    </cfRule>
    <cfRule type="expression" dxfId="4695" priority="4694" stopIfTrue="1">
      <formula>OR(LEFT(D469,3)="CTU",LEFT(D469,4)="HDON")</formula>
    </cfRule>
    <cfRule type="expression" dxfId="4694" priority="4695" stopIfTrue="1">
      <formula>OR(LEFT(D469,4)="HOLD",OR(A469="QTNP",A469="HOA THO",A469="YES VINA",A469="HUNG YEN",A469="TEX GIANG",A469="HUNG LONG"),LEFT(A469,5)="HANES",LEFT(A469,3)="ITG")</formula>
    </cfRule>
  </conditionalFormatting>
  <conditionalFormatting sqref="D469">
    <cfRule type="expression" dxfId="4693" priority="4690" stopIfTrue="1">
      <formula>OR(LEFT(D469,4)="KHTT",LEFT(D469,5)="10USD",RIGHT(D469,3)="TTC",LEFT(D469,3)="TNT")</formula>
    </cfRule>
    <cfRule type="expression" dxfId="4692" priority="4691" stopIfTrue="1">
      <formula>OR(LEFT(D469,3)="CTU",LEFT(D469,4)="HDON")</formula>
    </cfRule>
    <cfRule type="expression" dxfId="4691" priority="4692" stopIfTrue="1">
      <formula>OR(LEFT(D469,4)="HOLD",OR(A469="QTNP",A469="HOA THO",A469="YES VINA",A469="HUNG YEN",A469="TEX GIANG",A469="HUNG LONG"),LEFT(A469,5)="HANES",LEFT(A469,3)="ITG")</formula>
    </cfRule>
  </conditionalFormatting>
  <conditionalFormatting sqref="D470">
    <cfRule type="expression" dxfId="4690" priority="4687" stopIfTrue="1">
      <formula>OR(LEFT(D470,4)="KHTT",LEFT(D470,5)="10USD",RIGHT(D470,3)="TTC",LEFT(D470,3)="TNT")</formula>
    </cfRule>
    <cfRule type="expression" dxfId="4689" priority="4688" stopIfTrue="1">
      <formula>OR(LEFT(D470,3)="CTU",LEFT(D470,4)="HDON")</formula>
    </cfRule>
    <cfRule type="expression" dxfId="4688" priority="4689" stopIfTrue="1">
      <formula>OR(LEFT(D470,4)="HOLD",OR(A470="QTNP",A470="HOA THO",A470="YES VINA",A470="HUNG YEN",A470="TEX GIANG",A470="HUNG LONG"),LEFT(A470,5)="HANES",LEFT(A470,3)="ITG")</formula>
    </cfRule>
  </conditionalFormatting>
  <conditionalFormatting sqref="D470">
    <cfRule type="expression" dxfId="4687" priority="4684" stopIfTrue="1">
      <formula>OR(LEFT(D470,4)="KHTT",LEFT(D470,5)="10USD",RIGHT(D470,3)="TTC",LEFT(D470,3)="TNT")</formula>
    </cfRule>
    <cfRule type="expression" dxfId="4686" priority="4685" stopIfTrue="1">
      <formula>OR(LEFT(D470,3)="CTU",LEFT(D470,4)="HDON")</formula>
    </cfRule>
    <cfRule type="expression" dxfId="4685" priority="4686" stopIfTrue="1">
      <formula>OR(LEFT(D470,4)="HOLD",OR(A470="QTNP",A470="HOA THO",A470="YES VINA",A470="HUNG YEN",A470="TEX GIANG",A470="HUNG LONG"),LEFT(A470,5)="HANES",LEFT(A470,3)="ITG")</formula>
    </cfRule>
  </conditionalFormatting>
  <conditionalFormatting sqref="D470">
    <cfRule type="expression" dxfId="4684" priority="4681" stopIfTrue="1">
      <formula>OR(LEFT(D470,4)="KHTT",LEFT(D470,5)="10USD",RIGHT(D470,3)="TTC",LEFT(D470,3)="TNT")</formula>
    </cfRule>
    <cfRule type="expression" dxfId="4683" priority="4682" stopIfTrue="1">
      <formula>OR(LEFT(D470,3)="CTU",LEFT(D470,4)="HDON")</formula>
    </cfRule>
    <cfRule type="expression" dxfId="4682" priority="4683" stopIfTrue="1">
      <formula>OR(LEFT(D470,4)="HOLD",OR(A470="QTNP",A470="HOA THO",A470="YES VINA",A470="HUNG YEN",A470="TEX GIANG",A470="HUNG LONG"),LEFT(A470,5)="HANES",LEFT(A470,3)="ITG")</formula>
    </cfRule>
  </conditionalFormatting>
  <conditionalFormatting sqref="D470">
    <cfRule type="expression" dxfId="4681" priority="4678" stopIfTrue="1">
      <formula>OR(LEFT(D470,4)="KHTT",LEFT(D470,5)="10USD",RIGHT(D470,3)="TTC",LEFT(D470,3)="TNT")</formula>
    </cfRule>
    <cfRule type="expression" dxfId="4680" priority="4679" stopIfTrue="1">
      <formula>OR(LEFT(D470,3)="CTU",LEFT(D470,4)="HDON")</formula>
    </cfRule>
    <cfRule type="expression" dxfId="4679" priority="4680" stopIfTrue="1">
      <formula>OR(LEFT(D470,4)="HOLD",OR(A470="QTNP",A470="HOA THO",A470="YES VINA",A470="HUNG YEN",A470="TEX GIANG",A470="HUNG LONG"),LEFT(A470,5)="HANES",LEFT(A470,3)="ITG")</formula>
    </cfRule>
  </conditionalFormatting>
  <conditionalFormatting sqref="D469">
    <cfRule type="expression" dxfId="4678" priority="4675" stopIfTrue="1">
      <formula>OR(LEFT(D469,4)="KHTT",LEFT(D469,5)="10USD",RIGHT(D469,3)="TTC",LEFT(D469,3)="TNT")</formula>
    </cfRule>
    <cfRule type="expression" dxfId="4677" priority="4676" stopIfTrue="1">
      <formula>OR(LEFT(D469,3)="CTU",LEFT(D469,4)="HDON")</formula>
    </cfRule>
    <cfRule type="expression" dxfId="4676" priority="4677" stopIfTrue="1">
      <formula>OR(LEFT(D469,4)="HOLD",OR(A469="QTNP",A469="HOA THO",A469="YES VINA",A469="HUNG YEN",A469="TEX GIANG",A469="HUNG LONG"),LEFT(A469,5)="HANES",LEFT(A469,3)="ITG")</formula>
    </cfRule>
  </conditionalFormatting>
  <conditionalFormatting sqref="D469">
    <cfRule type="expression" dxfId="4675" priority="4672" stopIfTrue="1">
      <formula>OR(LEFT(D469,4)="KHTT",LEFT(D469,5)="10USD",RIGHT(D469,3)="TTC",LEFT(D469,3)="TNT")</formula>
    </cfRule>
    <cfRule type="expression" dxfId="4674" priority="4673" stopIfTrue="1">
      <formula>OR(LEFT(D469,3)="CTU",LEFT(D469,4)="HDON")</formula>
    </cfRule>
    <cfRule type="expression" dxfId="4673" priority="4674" stopIfTrue="1">
      <formula>OR(LEFT(D469,4)="HOLD",OR(A469="QTNP",A469="HOA THO",A469="YES VINA",A469="HUNG YEN",A469="TEX GIANG",A469="HUNG LONG"),LEFT(A469,5)="HANES",LEFT(A469,3)="ITG")</formula>
    </cfRule>
  </conditionalFormatting>
  <conditionalFormatting sqref="D470">
    <cfRule type="expression" dxfId="4672" priority="4669" stopIfTrue="1">
      <formula>OR(LEFT(D470,4)="KHTT",LEFT(D470,5)="10USD",RIGHT(D470,3)="TTC",LEFT(D470,3)="TNT")</formula>
    </cfRule>
    <cfRule type="expression" dxfId="4671" priority="4670" stopIfTrue="1">
      <formula>OR(LEFT(D470,3)="CTU",LEFT(D470,4)="HDON")</formula>
    </cfRule>
    <cfRule type="expression" dxfId="4670" priority="4671" stopIfTrue="1">
      <formula>OR(LEFT(D470,4)="HOLD",OR(A470="QTNP",A470="HOA THO",A470="YES VINA",A470="HUNG YEN",A470="TEX GIANG",A470="HUNG LONG"),LEFT(A470,5)="HANES",LEFT(A470,3)="ITG")</formula>
    </cfRule>
  </conditionalFormatting>
  <conditionalFormatting sqref="D470">
    <cfRule type="expression" dxfId="4669" priority="4666" stopIfTrue="1">
      <formula>OR(LEFT(D470,4)="KHTT",LEFT(D470,5)="10USD",RIGHT(D470,3)="TTC",LEFT(D470,3)="TNT")</formula>
    </cfRule>
    <cfRule type="expression" dxfId="4668" priority="4667" stopIfTrue="1">
      <formula>OR(LEFT(D470,3)="CTU",LEFT(D470,4)="HDON")</formula>
    </cfRule>
    <cfRule type="expression" dxfId="4667" priority="4668" stopIfTrue="1">
      <formula>OR(LEFT(D470,4)="HOLD",OR(A470="QTNP",A470="HOA THO",A470="YES VINA",A470="HUNG YEN",A470="TEX GIANG",A470="HUNG LONG"),LEFT(A470,5)="HANES",LEFT(A470,3)="ITG")</formula>
    </cfRule>
  </conditionalFormatting>
  <conditionalFormatting sqref="D470">
    <cfRule type="expression" dxfId="4666" priority="4663" stopIfTrue="1">
      <formula>OR(LEFT(D470,4)="KHTT",LEFT(D470,5)="10USD",RIGHT(D470,3)="TTC",LEFT(D470,3)="TNT")</formula>
    </cfRule>
    <cfRule type="expression" dxfId="4665" priority="4664" stopIfTrue="1">
      <formula>OR(LEFT(D470,3)="CTU",LEFT(D470,4)="HDON")</formula>
    </cfRule>
    <cfRule type="expression" dxfId="4664" priority="4665" stopIfTrue="1">
      <formula>OR(LEFT(D470,4)="HOLD",OR(A470="QTNP",A470="HOA THO",A470="YES VINA",A470="HUNG YEN",A470="TEX GIANG",A470="HUNG LONG"),LEFT(A470,5)="HANES",LEFT(A470,3)="ITG")</formula>
    </cfRule>
  </conditionalFormatting>
  <conditionalFormatting sqref="D470">
    <cfRule type="expression" dxfId="4663" priority="4660" stopIfTrue="1">
      <formula>OR(LEFT(D470,4)="KHTT",LEFT(D470,5)="10USD",RIGHT(D470,3)="TTC",LEFT(D470,3)="TNT")</formula>
    </cfRule>
    <cfRule type="expression" dxfId="4662" priority="4661" stopIfTrue="1">
      <formula>OR(LEFT(D470,3)="CTU",LEFT(D470,4)="HDON")</formula>
    </cfRule>
    <cfRule type="expression" dxfId="4661" priority="4662" stopIfTrue="1">
      <formula>OR(LEFT(D470,4)="HOLD",OR(A470="QTNP",A470="HOA THO",A470="YES VINA",A470="HUNG YEN",A470="TEX GIANG",A470="HUNG LONG"),LEFT(A470,5)="HANES",LEFT(A470,3)="ITG")</formula>
    </cfRule>
  </conditionalFormatting>
  <conditionalFormatting sqref="D469">
    <cfRule type="expression" dxfId="4660" priority="4657" stopIfTrue="1">
      <formula>OR(LEFT(D469,4)="KHTT",LEFT(D469,5)="10USD",RIGHT(D469,3)="TTC",LEFT(D469,3)="TNT")</formula>
    </cfRule>
    <cfRule type="expression" dxfId="4659" priority="4658" stopIfTrue="1">
      <formula>OR(LEFT(D469,3)="CTU",LEFT(D469,4)="HDON")</formula>
    </cfRule>
    <cfRule type="expression" dxfId="4658" priority="4659" stopIfTrue="1">
      <formula>OR(LEFT(D469,4)="HOLD",OR(A469="QTNP",A469="HOA THO",A469="YES VINA",A469="HUNG YEN",A469="TEX GIANG",A469="HUNG LONG"),LEFT(A469,5)="HANES",LEFT(A469,3)="ITG")</formula>
    </cfRule>
  </conditionalFormatting>
  <conditionalFormatting sqref="D469">
    <cfRule type="expression" dxfId="4657" priority="4654" stopIfTrue="1">
      <formula>OR(LEFT(D469,4)="KHTT",LEFT(D469,5)="10USD",RIGHT(D469,3)="TTC",LEFT(D469,3)="TNT")</formula>
    </cfRule>
    <cfRule type="expression" dxfId="4656" priority="4655" stopIfTrue="1">
      <formula>OR(LEFT(D469,3)="CTU",LEFT(D469,4)="HDON")</formula>
    </cfRule>
    <cfRule type="expression" dxfId="4655" priority="4656" stopIfTrue="1">
      <formula>OR(LEFT(D469,4)="HOLD",OR(A469="QTNP",A469="HOA THO",A469="YES VINA",A469="HUNG YEN",A469="TEX GIANG",A469="HUNG LONG"),LEFT(A469,5)="HANES",LEFT(A469,3)="ITG")</formula>
    </cfRule>
  </conditionalFormatting>
  <conditionalFormatting sqref="D470">
    <cfRule type="expression" dxfId="4654" priority="4651" stopIfTrue="1">
      <formula>OR(LEFT(D470,4)="KHTT",LEFT(D470,5)="10USD",RIGHT(D470,3)="TTC",LEFT(D470,3)="TNT")</formula>
    </cfRule>
    <cfRule type="expression" dxfId="4653" priority="4652" stopIfTrue="1">
      <formula>OR(LEFT(D470,3)="CTU",LEFT(D470,4)="HDON")</formula>
    </cfRule>
    <cfRule type="expression" dxfId="4652" priority="4653" stopIfTrue="1">
      <formula>OR(LEFT(D470,4)="HOLD",OR(A470="QTNP",A470="HOA THO",A470="YES VINA",A470="HUNG YEN",A470="TEX GIANG",A470="HUNG LONG"),LEFT(A470,5)="HANES",LEFT(A470,3)="ITG")</formula>
    </cfRule>
  </conditionalFormatting>
  <conditionalFormatting sqref="D470">
    <cfRule type="expression" dxfId="4651" priority="4648" stopIfTrue="1">
      <formula>OR(LEFT(D470,4)="KHTT",LEFT(D470,5)="10USD",RIGHT(D470,3)="TTC",LEFT(D470,3)="TNT")</formula>
    </cfRule>
    <cfRule type="expression" dxfId="4650" priority="4649" stopIfTrue="1">
      <formula>OR(LEFT(D470,3)="CTU",LEFT(D470,4)="HDON")</formula>
    </cfRule>
    <cfRule type="expression" dxfId="4649" priority="4650" stopIfTrue="1">
      <formula>OR(LEFT(D470,4)="HOLD",OR(A470="QTNP",A470="HOA THO",A470="YES VINA",A470="HUNG YEN",A470="TEX GIANG",A470="HUNG LONG"),LEFT(A470,5)="HANES",LEFT(A470,3)="ITG")</formula>
    </cfRule>
  </conditionalFormatting>
  <conditionalFormatting sqref="D470">
    <cfRule type="expression" dxfId="4648" priority="4645" stopIfTrue="1">
      <formula>OR(LEFT(D470,4)="KHTT",LEFT(D470,5)="10USD",RIGHT(D470,3)="TTC",LEFT(D470,3)="TNT")</formula>
    </cfRule>
    <cfRule type="expression" dxfId="4647" priority="4646" stopIfTrue="1">
      <formula>OR(LEFT(D470,3)="CTU",LEFT(D470,4)="HDON")</formula>
    </cfRule>
    <cfRule type="expression" dxfId="4646" priority="4647" stopIfTrue="1">
      <formula>OR(LEFT(D470,4)="HOLD",OR(A470="QTNP",A470="HOA THO",A470="YES VINA",A470="HUNG YEN",A470="TEX GIANG",A470="HUNG LONG"),LEFT(A470,5)="HANES",LEFT(A470,3)="ITG")</formula>
    </cfRule>
  </conditionalFormatting>
  <conditionalFormatting sqref="D470">
    <cfRule type="expression" dxfId="4645" priority="4642" stopIfTrue="1">
      <formula>OR(LEFT(D470,4)="KHTT",LEFT(D470,5)="10USD",RIGHT(D470,3)="TTC",LEFT(D470,3)="TNT")</formula>
    </cfRule>
    <cfRule type="expression" dxfId="4644" priority="4643" stopIfTrue="1">
      <formula>OR(LEFT(D470,3)="CTU",LEFT(D470,4)="HDON")</formula>
    </cfRule>
    <cfRule type="expression" dxfId="4643" priority="4644" stopIfTrue="1">
      <formula>OR(LEFT(D470,4)="HOLD",OR(A470="QTNP",A470="HOA THO",A470="YES VINA",A470="HUNG YEN",A470="TEX GIANG",A470="HUNG LONG"),LEFT(A470,5)="HANES",LEFT(A470,3)="ITG")</formula>
    </cfRule>
  </conditionalFormatting>
  <conditionalFormatting sqref="D469">
    <cfRule type="expression" dxfId="4642" priority="4639" stopIfTrue="1">
      <formula>OR(LEFT(D469,4)="KHTT",LEFT(D469,5)="10USD",RIGHT(D469,3)="TTC",LEFT(D469,3)="TNT")</formula>
    </cfRule>
    <cfRule type="expression" dxfId="4641" priority="4640" stopIfTrue="1">
      <formula>OR(LEFT(D469,3)="CTU",LEFT(D469,4)="HDON")</formula>
    </cfRule>
    <cfRule type="expression" dxfId="4640" priority="4641" stopIfTrue="1">
      <formula>OR(LEFT(D469,4)="HOLD",OR(A469="QTNP",A469="HOA THO",A469="YES VINA",A469="HUNG YEN",A469="TEX GIANG",A469="HUNG LONG"),LEFT(A469,5)="HANES",LEFT(A469,3)="ITG")</formula>
    </cfRule>
  </conditionalFormatting>
  <conditionalFormatting sqref="D469">
    <cfRule type="expression" dxfId="4639" priority="4636" stopIfTrue="1">
      <formula>OR(LEFT(D469,4)="KHTT",LEFT(D469,5)="10USD",RIGHT(D469,3)="TTC",LEFT(D469,3)="TNT")</formula>
    </cfRule>
    <cfRule type="expression" dxfId="4638" priority="4637" stopIfTrue="1">
      <formula>OR(LEFT(D469,3)="CTU",LEFT(D469,4)="HDON")</formula>
    </cfRule>
    <cfRule type="expression" dxfId="4637" priority="4638" stopIfTrue="1">
      <formula>OR(LEFT(D469,4)="HOLD",OR(A469="QTNP",A469="HOA THO",A469="YES VINA",A469="HUNG YEN",A469="TEX GIANG",A469="HUNG LONG"),LEFT(A469,5)="HANES",LEFT(A469,3)="ITG")</formula>
    </cfRule>
  </conditionalFormatting>
  <conditionalFormatting sqref="D470">
    <cfRule type="expression" dxfId="4636" priority="4633" stopIfTrue="1">
      <formula>OR(LEFT(D470,4)="KHTT",LEFT(D470,5)="10USD",RIGHT(D470,3)="TTC",LEFT(D470,3)="TNT")</formula>
    </cfRule>
    <cfRule type="expression" dxfId="4635" priority="4634" stopIfTrue="1">
      <formula>OR(LEFT(D470,3)="CTU",LEFT(D470,4)="HDON")</formula>
    </cfRule>
    <cfRule type="expression" dxfId="4634" priority="4635" stopIfTrue="1">
      <formula>OR(LEFT(D470,4)="HOLD",OR(A470="QTNP",A470="HOA THO",A470="YES VINA",A470="HUNG YEN",A470="TEX GIANG",A470="HUNG LONG"),LEFT(A470,5)="HANES",LEFT(A470,3)="ITG")</formula>
    </cfRule>
  </conditionalFormatting>
  <conditionalFormatting sqref="D470">
    <cfRule type="expression" dxfId="4633" priority="4630" stopIfTrue="1">
      <formula>OR(LEFT(D470,4)="KHTT",LEFT(D470,5)="10USD",RIGHT(D470,3)="TTC",LEFT(D470,3)="TNT")</formula>
    </cfRule>
    <cfRule type="expression" dxfId="4632" priority="4631" stopIfTrue="1">
      <formula>OR(LEFT(D470,3)="CTU",LEFT(D470,4)="HDON")</formula>
    </cfRule>
    <cfRule type="expression" dxfId="4631" priority="4632" stopIfTrue="1">
      <formula>OR(LEFT(D470,4)="HOLD",OR(A470="QTNP",A470="HOA THO",A470="YES VINA",A470="HUNG YEN",A470="TEX GIANG",A470="HUNG LONG"),LEFT(A470,5)="HANES",LEFT(A470,3)="ITG")</formula>
    </cfRule>
  </conditionalFormatting>
  <conditionalFormatting sqref="D470">
    <cfRule type="expression" dxfId="4630" priority="4627" stopIfTrue="1">
      <formula>OR(LEFT(D470,4)="KHTT",LEFT(D470,5)="10USD",RIGHT(D470,3)="TTC",LEFT(D470,3)="TNT")</formula>
    </cfRule>
    <cfRule type="expression" dxfId="4629" priority="4628" stopIfTrue="1">
      <formula>OR(LEFT(D470,3)="CTU",LEFT(D470,4)="HDON")</formula>
    </cfRule>
    <cfRule type="expression" dxfId="4628" priority="4629" stopIfTrue="1">
      <formula>OR(LEFT(D470,4)="HOLD",OR(A470="QTNP",A470="HOA THO",A470="YES VINA",A470="HUNG YEN",A470="TEX GIANG",A470="HUNG LONG"),LEFT(A470,5)="HANES",LEFT(A470,3)="ITG")</formula>
    </cfRule>
  </conditionalFormatting>
  <conditionalFormatting sqref="D470">
    <cfRule type="expression" dxfId="4627" priority="4624" stopIfTrue="1">
      <formula>OR(LEFT(D470,4)="KHTT",LEFT(D470,5)="10USD",RIGHT(D470,3)="TTC",LEFT(D470,3)="TNT")</formula>
    </cfRule>
    <cfRule type="expression" dxfId="4626" priority="4625" stopIfTrue="1">
      <formula>OR(LEFT(D470,3)="CTU",LEFT(D470,4)="HDON")</formula>
    </cfRule>
    <cfRule type="expression" dxfId="4625" priority="4626" stopIfTrue="1">
      <formula>OR(LEFT(D470,4)="HOLD",OR(A470="QTNP",A470="HOA THO",A470="YES VINA",A470="HUNG YEN",A470="TEX GIANG",A470="HUNG LONG"),LEFT(A470,5)="HANES",LEFT(A470,3)="ITG")</formula>
    </cfRule>
  </conditionalFormatting>
  <conditionalFormatting sqref="D469">
    <cfRule type="expression" dxfId="4624" priority="4621" stopIfTrue="1">
      <formula>OR(LEFT(D469,4)="KHTT",LEFT(D469,5)="10USD",RIGHT(D469,3)="TTC",LEFT(D469,3)="TNT")</formula>
    </cfRule>
    <cfRule type="expression" dxfId="4623" priority="4622" stopIfTrue="1">
      <formula>OR(LEFT(D469,3)="CTU",LEFT(D469,4)="HDON")</formula>
    </cfRule>
    <cfRule type="expression" dxfId="4622" priority="4623" stopIfTrue="1">
      <formula>OR(LEFT(D469,4)="HOLD",OR(A469="QTNP",A469="HOA THO",A469="YES VINA",A469="HUNG YEN",A469="TEX GIANG",A469="HUNG LONG"),LEFT(A469,5)="HANES",LEFT(A469,3)="ITG")</formula>
    </cfRule>
  </conditionalFormatting>
  <conditionalFormatting sqref="D469">
    <cfRule type="expression" dxfId="4621" priority="4618" stopIfTrue="1">
      <formula>OR(LEFT(D469,4)="KHTT",LEFT(D469,5)="10USD",RIGHT(D469,3)="TTC",LEFT(D469,3)="TNT")</formula>
    </cfRule>
    <cfRule type="expression" dxfId="4620" priority="4619" stopIfTrue="1">
      <formula>OR(LEFT(D469,3)="CTU",LEFT(D469,4)="HDON")</formula>
    </cfRule>
    <cfRule type="expression" dxfId="4619" priority="4620" stopIfTrue="1">
      <formula>OR(LEFT(D469,4)="HOLD",OR(A469="QTNP",A469="HOA THO",A469="YES VINA",A469="HUNG YEN",A469="TEX GIANG",A469="HUNG LONG"),LEFT(A469,5)="HANES",LEFT(A469,3)="ITG")</formula>
    </cfRule>
  </conditionalFormatting>
  <conditionalFormatting sqref="D470">
    <cfRule type="expression" dxfId="4618" priority="4615" stopIfTrue="1">
      <formula>OR(LEFT(D470,4)="KHTT",LEFT(D470,5)="10USD",RIGHT(D470,3)="TTC",LEFT(D470,3)="TNT")</formula>
    </cfRule>
    <cfRule type="expression" dxfId="4617" priority="4616" stopIfTrue="1">
      <formula>OR(LEFT(D470,3)="CTU",LEFT(D470,4)="HDON")</formula>
    </cfRule>
    <cfRule type="expression" dxfId="4616" priority="4617" stopIfTrue="1">
      <formula>OR(LEFT(D470,4)="HOLD",OR(A470="QTNP",A470="HOA THO",A470="YES VINA",A470="HUNG YEN",A470="TEX GIANG",A470="HUNG LONG"),LEFT(A470,5)="HANES",LEFT(A470,3)="ITG")</formula>
    </cfRule>
  </conditionalFormatting>
  <conditionalFormatting sqref="D470">
    <cfRule type="expression" dxfId="4615" priority="4612" stopIfTrue="1">
      <formula>OR(LEFT(D470,4)="KHTT",LEFT(D470,5)="10USD",RIGHT(D470,3)="TTC",LEFT(D470,3)="TNT")</formula>
    </cfRule>
    <cfRule type="expression" dxfId="4614" priority="4613" stopIfTrue="1">
      <formula>OR(LEFT(D470,3)="CTU",LEFT(D470,4)="HDON")</formula>
    </cfRule>
    <cfRule type="expression" dxfId="4613" priority="4614" stopIfTrue="1">
      <formula>OR(LEFT(D470,4)="HOLD",OR(A470="QTNP",A470="HOA THO",A470="YES VINA",A470="HUNG YEN",A470="TEX GIANG",A470="HUNG LONG"),LEFT(A470,5)="HANES",LEFT(A470,3)="ITG")</formula>
    </cfRule>
  </conditionalFormatting>
  <conditionalFormatting sqref="D470">
    <cfRule type="expression" dxfId="4612" priority="4609" stopIfTrue="1">
      <formula>OR(LEFT(D470,4)="KHTT",LEFT(D470,5)="10USD",RIGHT(D470,3)="TTC",LEFT(D470,3)="TNT")</formula>
    </cfRule>
    <cfRule type="expression" dxfId="4611" priority="4610" stopIfTrue="1">
      <formula>OR(LEFT(D470,3)="CTU",LEFT(D470,4)="HDON")</formula>
    </cfRule>
    <cfRule type="expression" dxfId="4610" priority="4611" stopIfTrue="1">
      <formula>OR(LEFT(D470,4)="HOLD",OR(A470="QTNP",A470="HOA THO",A470="YES VINA",A470="HUNG YEN",A470="TEX GIANG",A470="HUNG LONG"),LEFT(A470,5)="HANES",LEFT(A470,3)="ITG")</formula>
    </cfRule>
  </conditionalFormatting>
  <conditionalFormatting sqref="D470">
    <cfRule type="expression" dxfId="4609" priority="4606" stopIfTrue="1">
      <formula>OR(LEFT(D470,4)="KHTT",LEFT(D470,5)="10USD",RIGHT(D470,3)="TTC",LEFT(D470,3)="TNT")</formula>
    </cfRule>
    <cfRule type="expression" dxfId="4608" priority="4607" stopIfTrue="1">
      <formula>OR(LEFT(D470,3)="CTU",LEFT(D470,4)="HDON")</formula>
    </cfRule>
    <cfRule type="expression" dxfId="4607" priority="4608" stopIfTrue="1">
      <formula>OR(LEFT(D470,4)="HOLD",OR(A470="QTNP",A470="HOA THO",A470="YES VINA",A470="HUNG YEN",A470="TEX GIANG",A470="HUNG LONG"),LEFT(A470,5)="HANES",LEFT(A470,3)="ITG")</formula>
    </cfRule>
  </conditionalFormatting>
  <conditionalFormatting sqref="D469">
    <cfRule type="expression" dxfId="4606" priority="4603" stopIfTrue="1">
      <formula>OR(LEFT(D469,4)="KHTT",LEFT(D469,5)="10USD",RIGHT(D469,3)="TTC",LEFT(D469,3)="TNT")</formula>
    </cfRule>
    <cfRule type="expression" dxfId="4605" priority="4604" stopIfTrue="1">
      <formula>OR(LEFT(D469,3)="CTU",LEFT(D469,4)="HDON")</formula>
    </cfRule>
    <cfRule type="expression" dxfId="4604" priority="4605" stopIfTrue="1">
      <formula>OR(LEFT(D469,4)="HOLD",OR(A469="QTNP",A469="HOA THO",A469="YES VINA",A469="HUNG YEN",A469="TEX GIANG",A469="HUNG LONG"),LEFT(A469,5)="HANES",LEFT(A469,3)="ITG")</formula>
    </cfRule>
  </conditionalFormatting>
  <conditionalFormatting sqref="D469">
    <cfRule type="expression" dxfId="4603" priority="4600" stopIfTrue="1">
      <formula>OR(LEFT(D469,4)="KHTT",LEFT(D469,5)="10USD",RIGHT(D469,3)="TTC",LEFT(D469,3)="TNT")</formula>
    </cfRule>
    <cfRule type="expression" dxfId="4602" priority="4601" stopIfTrue="1">
      <formula>OR(LEFT(D469,3)="CTU",LEFT(D469,4)="HDON")</formula>
    </cfRule>
    <cfRule type="expression" dxfId="4601" priority="4602" stopIfTrue="1">
      <formula>OR(LEFT(D469,4)="HOLD",OR(A469="QTNP",A469="HOA THO",A469="YES VINA",A469="HUNG YEN",A469="TEX GIANG",A469="HUNG LONG"),LEFT(A469,5)="HANES",LEFT(A469,3)="ITG")</formula>
    </cfRule>
  </conditionalFormatting>
  <conditionalFormatting sqref="D470">
    <cfRule type="expression" dxfId="4600" priority="4597" stopIfTrue="1">
      <formula>OR(LEFT(D470,4)="KHTT",LEFT(D470,5)="10USD",RIGHT(D470,3)="TTC",LEFT(D470,3)="TNT")</formula>
    </cfRule>
    <cfRule type="expression" dxfId="4599" priority="4598" stopIfTrue="1">
      <formula>OR(LEFT(D470,3)="CTU",LEFT(D470,4)="HDON")</formula>
    </cfRule>
    <cfRule type="expression" dxfId="4598" priority="4599" stopIfTrue="1">
      <formula>OR(LEFT(D470,4)="HOLD",OR(A470="QTNP",A470="HOA THO",A470="YES VINA",A470="HUNG YEN",A470="TEX GIANG",A470="HUNG LONG"),LEFT(A470,5)="HANES",LEFT(A470,3)="ITG")</formula>
    </cfRule>
  </conditionalFormatting>
  <conditionalFormatting sqref="D470">
    <cfRule type="expression" dxfId="4597" priority="4594" stopIfTrue="1">
      <formula>OR(LEFT(D470,4)="KHTT",LEFT(D470,5)="10USD",RIGHT(D470,3)="TTC",LEFT(D470,3)="TNT")</formula>
    </cfRule>
    <cfRule type="expression" dxfId="4596" priority="4595" stopIfTrue="1">
      <formula>OR(LEFT(D470,3)="CTU",LEFT(D470,4)="HDON")</formula>
    </cfRule>
    <cfRule type="expression" dxfId="4595" priority="4596" stopIfTrue="1">
      <formula>OR(LEFT(D470,4)="HOLD",OR(A470="QTNP",A470="HOA THO",A470="YES VINA",A470="HUNG YEN",A470="TEX GIANG",A470="HUNG LONG"),LEFT(A470,5)="HANES",LEFT(A470,3)="ITG")</formula>
    </cfRule>
  </conditionalFormatting>
  <conditionalFormatting sqref="D470">
    <cfRule type="expression" dxfId="4594" priority="4591" stopIfTrue="1">
      <formula>OR(LEFT(D470,4)="KHTT",LEFT(D470,5)="10USD",RIGHT(D470,3)="TTC",LEFT(D470,3)="TNT")</formula>
    </cfRule>
    <cfRule type="expression" dxfId="4593" priority="4592" stopIfTrue="1">
      <formula>OR(LEFT(D470,3)="CTU",LEFT(D470,4)="HDON")</formula>
    </cfRule>
    <cfRule type="expression" dxfId="4592" priority="4593" stopIfTrue="1">
      <formula>OR(LEFT(D470,4)="HOLD",OR(A470="QTNP",A470="HOA THO",A470="YES VINA",A470="HUNG YEN",A470="TEX GIANG",A470="HUNG LONG"),LEFT(A470,5)="HANES",LEFT(A470,3)="ITG")</formula>
    </cfRule>
  </conditionalFormatting>
  <conditionalFormatting sqref="D470">
    <cfRule type="expression" dxfId="4591" priority="4588" stopIfTrue="1">
      <formula>OR(LEFT(D470,4)="KHTT",LEFT(D470,5)="10USD",RIGHT(D470,3)="TTC",LEFT(D470,3)="TNT")</formula>
    </cfRule>
    <cfRule type="expression" dxfId="4590" priority="4589" stopIfTrue="1">
      <formula>OR(LEFT(D470,3)="CTU",LEFT(D470,4)="HDON")</formula>
    </cfRule>
    <cfRule type="expression" dxfId="4589" priority="4590" stopIfTrue="1">
      <formula>OR(LEFT(D470,4)="HOLD",OR(A470="QTNP",A470="HOA THO",A470="YES VINA",A470="HUNG YEN",A470="TEX GIANG",A470="HUNG LONG"),LEFT(A470,5)="HANES",LEFT(A470,3)="ITG")</formula>
    </cfRule>
  </conditionalFormatting>
  <conditionalFormatting sqref="D469">
    <cfRule type="expression" dxfId="4588" priority="4585" stopIfTrue="1">
      <formula>OR(LEFT(D469,4)="KHTT",LEFT(D469,5)="10USD",RIGHT(D469,3)="TTC",LEFT(D469,3)="TNT")</formula>
    </cfRule>
    <cfRule type="expression" dxfId="4587" priority="4586" stopIfTrue="1">
      <formula>OR(LEFT(D469,3)="CTU",LEFT(D469,4)="HDON")</formula>
    </cfRule>
    <cfRule type="expression" dxfId="4586" priority="4587" stopIfTrue="1">
      <formula>OR(LEFT(D469,4)="HOLD",OR(A469="QTNP",A469="HOA THO",A469="YES VINA",A469="HUNG YEN",A469="TEX GIANG",A469="HUNG LONG"),LEFT(A469,5)="HANES",LEFT(A469,3)="ITG")</formula>
    </cfRule>
  </conditionalFormatting>
  <conditionalFormatting sqref="D469">
    <cfRule type="expression" dxfId="4585" priority="4582" stopIfTrue="1">
      <formula>OR(LEFT(D469,4)="KHTT",LEFT(D469,5)="10USD",RIGHT(D469,3)="TTC",LEFT(D469,3)="TNT")</formula>
    </cfRule>
    <cfRule type="expression" dxfId="4584" priority="4583" stopIfTrue="1">
      <formula>OR(LEFT(D469,3)="CTU",LEFT(D469,4)="HDON")</formula>
    </cfRule>
    <cfRule type="expression" dxfId="4583" priority="4584" stopIfTrue="1">
      <formula>OR(LEFT(D469,4)="HOLD",OR(A469="QTNP",A469="HOA THO",A469="YES VINA",A469="HUNG YEN",A469="TEX GIANG",A469="HUNG LONG"),LEFT(A469,5)="HANES",LEFT(A469,3)="ITG")</formula>
    </cfRule>
  </conditionalFormatting>
  <conditionalFormatting sqref="D470">
    <cfRule type="expression" dxfId="4582" priority="4579" stopIfTrue="1">
      <formula>OR(LEFT(D470,4)="KHTT",LEFT(D470,5)="10USD",RIGHT(D470,3)="TTC",LEFT(D470,3)="TNT")</formula>
    </cfRule>
    <cfRule type="expression" dxfId="4581" priority="4580" stopIfTrue="1">
      <formula>OR(LEFT(D470,3)="CTU",LEFT(D470,4)="HDON")</formula>
    </cfRule>
    <cfRule type="expression" dxfId="4580" priority="4581" stopIfTrue="1">
      <formula>OR(LEFT(D470,4)="HOLD",OR(A470="QTNP",A470="HOA THO",A470="YES VINA",A470="HUNG YEN",A470="TEX GIANG",A470="HUNG LONG"),LEFT(A470,5)="HANES",LEFT(A470,3)="ITG")</formula>
    </cfRule>
  </conditionalFormatting>
  <conditionalFormatting sqref="D470">
    <cfRule type="expression" dxfId="4579" priority="4576" stopIfTrue="1">
      <formula>OR(LEFT(D470,4)="KHTT",LEFT(D470,5)="10USD",RIGHT(D470,3)="TTC",LEFT(D470,3)="TNT")</formula>
    </cfRule>
    <cfRule type="expression" dxfId="4578" priority="4577" stopIfTrue="1">
      <formula>OR(LEFT(D470,3)="CTU",LEFT(D470,4)="HDON")</formula>
    </cfRule>
    <cfRule type="expression" dxfId="4577" priority="4578" stopIfTrue="1">
      <formula>OR(LEFT(D470,4)="HOLD",OR(A470="QTNP",A470="HOA THO",A470="YES VINA",A470="HUNG YEN",A470="TEX GIANG",A470="HUNG LONG"),LEFT(A470,5)="HANES",LEFT(A470,3)="ITG")</formula>
    </cfRule>
  </conditionalFormatting>
  <conditionalFormatting sqref="D470">
    <cfRule type="expression" dxfId="4576" priority="4573" stopIfTrue="1">
      <formula>OR(LEFT(D470,4)="KHTT",LEFT(D470,5)="10USD",RIGHT(D470,3)="TTC",LEFT(D470,3)="TNT")</formula>
    </cfRule>
    <cfRule type="expression" dxfId="4575" priority="4574" stopIfTrue="1">
      <formula>OR(LEFT(D470,3)="CTU",LEFT(D470,4)="HDON")</formula>
    </cfRule>
    <cfRule type="expression" dxfId="4574" priority="4575" stopIfTrue="1">
      <formula>OR(LEFT(D470,4)="HOLD",OR(A470="QTNP",A470="HOA THO",A470="YES VINA",A470="HUNG YEN",A470="TEX GIANG",A470="HUNG LONG"),LEFT(A470,5)="HANES",LEFT(A470,3)="ITG")</formula>
    </cfRule>
  </conditionalFormatting>
  <conditionalFormatting sqref="D470">
    <cfRule type="expression" dxfId="4573" priority="4570" stopIfTrue="1">
      <formula>OR(LEFT(D470,4)="KHTT",LEFT(D470,5)="10USD",RIGHT(D470,3)="TTC",LEFT(D470,3)="TNT")</formula>
    </cfRule>
    <cfRule type="expression" dxfId="4572" priority="4571" stopIfTrue="1">
      <formula>OR(LEFT(D470,3)="CTU",LEFT(D470,4)="HDON")</formula>
    </cfRule>
    <cfRule type="expression" dxfId="4571" priority="4572" stopIfTrue="1">
      <formula>OR(LEFT(D470,4)="HOLD",OR(A470="QTNP",A470="HOA THO",A470="YES VINA",A470="HUNG YEN",A470="TEX GIANG",A470="HUNG LONG"),LEFT(A470,5)="HANES",LEFT(A470,3)="ITG")</formula>
    </cfRule>
  </conditionalFormatting>
  <conditionalFormatting sqref="D469">
    <cfRule type="expression" dxfId="4570" priority="4567" stopIfTrue="1">
      <formula>OR(LEFT(D469,4)="KHTT",LEFT(D469,5)="10USD",RIGHT(D469,3)="TTC",LEFT(D469,3)="TNT")</formula>
    </cfRule>
    <cfRule type="expression" dxfId="4569" priority="4568" stopIfTrue="1">
      <formula>OR(LEFT(D469,3)="CTU",LEFT(D469,4)="HDON")</formula>
    </cfRule>
    <cfRule type="expression" dxfId="4568" priority="4569" stopIfTrue="1">
      <formula>OR(LEFT(D469,4)="HOLD",OR(A469="QTNP",A469="HOA THO",A469="YES VINA",A469="HUNG YEN",A469="TEX GIANG",A469="HUNG LONG"),LEFT(A469,5)="HANES",LEFT(A469,3)="ITG")</formula>
    </cfRule>
  </conditionalFormatting>
  <conditionalFormatting sqref="D469">
    <cfRule type="expression" dxfId="4567" priority="4564" stopIfTrue="1">
      <formula>OR(LEFT(D469,4)="KHTT",LEFT(D469,5)="10USD",RIGHT(D469,3)="TTC",LEFT(D469,3)="TNT")</formula>
    </cfRule>
    <cfRule type="expression" dxfId="4566" priority="4565" stopIfTrue="1">
      <formula>OR(LEFT(D469,3)="CTU",LEFT(D469,4)="HDON")</formula>
    </cfRule>
    <cfRule type="expression" dxfId="4565" priority="4566" stopIfTrue="1">
      <formula>OR(LEFT(D469,4)="HOLD",OR(A469="QTNP",A469="HOA THO",A469="YES VINA",A469="HUNG YEN",A469="TEX GIANG",A469="HUNG LONG"),LEFT(A469,5)="HANES",LEFT(A469,3)="ITG")</formula>
    </cfRule>
  </conditionalFormatting>
  <conditionalFormatting sqref="D470">
    <cfRule type="expression" dxfId="4564" priority="4561" stopIfTrue="1">
      <formula>OR(LEFT(D470,4)="KHTT",LEFT(D470,5)="10USD",RIGHT(D470,3)="TTC",LEFT(D470,3)="TNT")</formula>
    </cfRule>
    <cfRule type="expression" dxfId="4563" priority="4562" stopIfTrue="1">
      <formula>OR(LEFT(D470,3)="CTU",LEFT(D470,4)="HDON")</formula>
    </cfRule>
    <cfRule type="expression" dxfId="4562" priority="4563" stopIfTrue="1">
      <formula>OR(LEFT(D470,4)="HOLD",OR(A470="QTNP",A470="HOA THO",A470="YES VINA",A470="HUNG YEN",A470="TEX GIANG",A470="HUNG LONG"),LEFT(A470,5)="HANES",LEFT(A470,3)="ITG")</formula>
    </cfRule>
  </conditionalFormatting>
  <conditionalFormatting sqref="D470">
    <cfRule type="expression" dxfId="4561" priority="4558" stopIfTrue="1">
      <formula>OR(LEFT(D470,4)="KHTT",LEFT(D470,5)="10USD",RIGHT(D470,3)="TTC",LEFT(D470,3)="TNT")</formula>
    </cfRule>
    <cfRule type="expression" dxfId="4560" priority="4559" stopIfTrue="1">
      <formula>OR(LEFT(D470,3)="CTU",LEFT(D470,4)="HDON")</formula>
    </cfRule>
    <cfRule type="expression" dxfId="4559" priority="4560" stopIfTrue="1">
      <formula>OR(LEFT(D470,4)="HOLD",OR(A470="QTNP",A470="HOA THO",A470="YES VINA",A470="HUNG YEN",A470="TEX GIANG",A470="HUNG LONG"),LEFT(A470,5)="HANES",LEFT(A470,3)="ITG")</formula>
    </cfRule>
  </conditionalFormatting>
  <conditionalFormatting sqref="D470">
    <cfRule type="expression" dxfId="4558" priority="4555" stopIfTrue="1">
      <formula>OR(LEFT(D470,4)="KHTT",LEFT(D470,5)="10USD",RIGHT(D470,3)="TTC",LEFT(D470,3)="TNT")</formula>
    </cfRule>
    <cfRule type="expression" dxfId="4557" priority="4556" stopIfTrue="1">
      <formula>OR(LEFT(D470,3)="CTU",LEFT(D470,4)="HDON")</formula>
    </cfRule>
    <cfRule type="expression" dxfId="4556" priority="4557" stopIfTrue="1">
      <formula>OR(LEFT(D470,4)="HOLD",OR(A470="QTNP",A470="HOA THO",A470="YES VINA",A470="HUNG YEN",A470="TEX GIANG",A470="HUNG LONG"),LEFT(A470,5)="HANES",LEFT(A470,3)="ITG")</formula>
    </cfRule>
  </conditionalFormatting>
  <conditionalFormatting sqref="D470">
    <cfRule type="expression" dxfId="4555" priority="4552" stopIfTrue="1">
      <formula>OR(LEFT(D470,4)="KHTT",LEFT(D470,5)="10USD",RIGHT(D470,3)="TTC",LEFT(D470,3)="TNT")</formula>
    </cfRule>
    <cfRule type="expression" dxfId="4554" priority="4553" stopIfTrue="1">
      <formula>OR(LEFT(D470,3)="CTU",LEFT(D470,4)="HDON")</formula>
    </cfRule>
    <cfRule type="expression" dxfId="4553" priority="4554" stopIfTrue="1">
      <formula>OR(LEFT(D470,4)="HOLD",OR(A470="QTNP",A470="HOA THO",A470="YES VINA",A470="HUNG YEN",A470="TEX GIANG",A470="HUNG LONG"),LEFT(A470,5)="HANES",LEFT(A470,3)="ITG")</formula>
    </cfRule>
  </conditionalFormatting>
  <conditionalFormatting sqref="D469">
    <cfRule type="expression" dxfId="4552" priority="4549" stopIfTrue="1">
      <formula>OR(LEFT(D469,4)="KHTT",LEFT(D469,5)="10USD",RIGHT(D469,3)="TTC",LEFT(D469,3)="TNT")</formula>
    </cfRule>
    <cfRule type="expression" dxfId="4551" priority="4550" stopIfTrue="1">
      <formula>OR(LEFT(D469,3)="CTU",LEFT(D469,4)="HDON")</formula>
    </cfRule>
    <cfRule type="expression" dxfId="4550" priority="4551" stopIfTrue="1">
      <formula>OR(LEFT(D469,4)="HOLD",OR(A469="QTNP",A469="HOA THO",A469="YES VINA",A469="HUNG YEN",A469="TEX GIANG",A469="HUNG LONG"),LEFT(A469,5)="HANES",LEFT(A469,3)="ITG")</formula>
    </cfRule>
  </conditionalFormatting>
  <conditionalFormatting sqref="D469">
    <cfRule type="expression" dxfId="4549" priority="4546" stopIfTrue="1">
      <formula>OR(LEFT(D469,4)="KHTT",LEFT(D469,5)="10USD",RIGHT(D469,3)="TTC",LEFT(D469,3)="TNT")</formula>
    </cfRule>
    <cfRule type="expression" dxfId="4548" priority="4547" stopIfTrue="1">
      <formula>OR(LEFT(D469,3)="CTU",LEFT(D469,4)="HDON")</formula>
    </cfRule>
    <cfRule type="expression" dxfId="4547" priority="4548" stopIfTrue="1">
      <formula>OR(LEFT(D469,4)="HOLD",OR(A469="QTNP",A469="HOA THO",A469="YES VINA",A469="HUNG YEN",A469="TEX GIANG",A469="HUNG LONG"),LEFT(A469,5)="HANES",LEFT(A469,3)="ITG")</formula>
    </cfRule>
  </conditionalFormatting>
  <conditionalFormatting sqref="D470">
    <cfRule type="expression" dxfId="4546" priority="4543" stopIfTrue="1">
      <formula>OR(LEFT(D470,4)="KHTT",LEFT(D470,5)="10USD",RIGHT(D470,3)="TTC",LEFT(D470,3)="TNT")</formula>
    </cfRule>
    <cfRule type="expression" dxfId="4545" priority="4544" stopIfTrue="1">
      <formula>OR(LEFT(D470,3)="CTU",LEFT(D470,4)="HDON")</formula>
    </cfRule>
    <cfRule type="expression" dxfId="4544" priority="4545" stopIfTrue="1">
      <formula>OR(LEFT(D470,4)="HOLD",OR(A470="QTNP",A470="HOA THO",A470="YES VINA",A470="HUNG YEN",A470="TEX GIANG",A470="HUNG LONG"),LEFT(A470,5)="HANES",LEFT(A470,3)="ITG")</formula>
    </cfRule>
  </conditionalFormatting>
  <conditionalFormatting sqref="D470">
    <cfRule type="expression" dxfId="4543" priority="4540" stopIfTrue="1">
      <formula>OR(LEFT(D470,4)="KHTT",LEFT(D470,5)="10USD",RIGHT(D470,3)="TTC",LEFT(D470,3)="TNT")</formula>
    </cfRule>
    <cfRule type="expression" dxfId="4542" priority="4541" stopIfTrue="1">
      <formula>OR(LEFT(D470,3)="CTU",LEFT(D470,4)="HDON")</formula>
    </cfRule>
    <cfRule type="expression" dxfId="4541" priority="4542" stopIfTrue="1">
      <formula>OR(LEFT(D470,4)="HOLD",OR(A470="QTNP",A470="HOA THO",A470="YES VINA",A470="HUNG YEN",A470="TEX GIANG",A470="HUNG LONG"),LEFT(A470,5)="HANES",LEFT(A470,3)="ITG")</formula>
    </cfRule>
  </conditionalFormatting>
  <conditionalFormatting sqref="D470">
    <cfRule type="expression" dxfId="4540" priority="4537" stopIfTrue="1">
      <formula>OR(LEFT(D470,4)="KHTT",LEFT(D470,5)="10USD",RIGHT(D470,3)="TTC",LEFT(D470,3)="TNT")</formula>
    </cfRule>
    <cfRule type="expression" dxfId="4539" priority="4538" stopIfTrue="1">
      <formula>OR(LEFT(D470,3)="CTU",LEFT(D470,4)="HDON")</formula>
    </cfRule>
    <cfRule type="expression" dxfId="4538" priority="4539" stopIfTrue="1">
      <formula>OR(LEFT(D470,4)="HOLD",OR(A470="QTNP",A470="HOA THO",A470="YES VINA",A470="HUNG YEN",A470="TEX GIANG",A470="HUNG LONG"),LEFT(A470,5)="HANES",LEFT(A470,3)="ITG")</formula>
    </cfRule>
  </conditionalFormatting>
  <conditionalFormatting sqref="D470">
    <cfRule type="expression" dxfId="4537" priority="4534" stopIfTrue="1">
      <formula>OR(LEFT(D470,4)="KHTT",LEFT(D470,5)="10USD",RIGHT(D470,3)="TTC",LEFT(D470,3)="TNT")</formula>
    </cfRule>
    <cfRule type="expression" dxfId="4536" priority="4535" stopIfTrue="1">
      <formula>OR(LEFT(D470,3)="CTU",LEFT(D470,4)="HDON")</formula>
    </cfRule>
    <cfRule type="expression" dxfId="4535" priority="4536" stopIfTrue="1">
      <formula>OR(LEFT(D470,4)="HOLD",OR(A470="QTNP",A470="HOA THO",A470="YES VINA",A470="HUNG YEN",A470="TEX GIANG",A470="HUNG LONG"),LEFT(A470,5)="HANES",LEFT(A470,3)="ITG")</formula>
    </cfRule>
  </conditionalFormatting>
  <conditionalFormatting sqref="D469">
    <cfRule type="expression" dxfId="4534" priority="4531" stopIfTrue="1">
      <formula>OR(LEFT(D469,4)="KHTT",LEFT(D469,5)="10USD",RIGHT(D469,3)="TTC",LEFT(D469,3)="TNT")</formula>
    </cfRule>
    <cfRule type="expression" dxfId="4533" priority="4532" stopIfTrue="1">
      <formula>OR(LEFT(D469,3)="CTU",LEFT(D469,4)="HDON")</formula>
    </cfRule>
    <cfRule type="expression" dxfId="4532" priority="4533" stopIfTrue="1">
      <formula>OR(LEFT(D469,4)="HOLD",OR(A469="QTNP",A469="HOA THO",A469="YES VINA",A469="HUNG YEN",A469="TEX GIANG",A469="HUNG LONG"),LEFT(A469,5)="HANES",LEFT(A469,3)="ITG")</formula>
    </cfRule>
  </conditionalFormatting>
  <conditionalFormatting sqref="D469">
    <cfRule type="expression" dxfId="4531" priority="4528" stopIfTrue="1">
      <formula>OR(LEFT(D469,4)="KHTT",LEFT(D469,5)="10USD",RIGHT(D469,3)="TTC",LEFT(D469,3)="TNT")</formula>
    </cfRule>
    <cfRule type="expression" dxfId="4530" priority="4529" stopIfTrue="1">
      <formula>OR(LEFT(D469,3)="CTU",LEFT(D469,4)="HDON")</formula>
    </cfRule>
    <cfRule type="expression" dxfId="4529" priority="4530" stopIfTrue="1">
      <formula>OR(LEFT(D469,4)="HOLD",OR(A469="QTNP",A469="HOA THO",A469="YES VINA",A469="HUNG YEN",A469="TEX GIANG",A469="HUNG LONG"),LEFT(A469,5)="HANES",LEFT(A469,3)="ITG")</formula>
    </cfRule>
  </conditionalFormatting>
  <conditionalFormatting sqref="D470">
    <cfRule type="expression" dxfId="4528" priority="4525" stopIfTrue="1">
      <formula>OR(LEFT(D470,4)="KHTT",LEFT(D470,5)="10USD",RIGHT(D470,3)="TTC",LEFT(D470,3)="TNT")</formula>
    </cfRule>
    <cfRule type="expression" dxfId="4527" priority="4526" stopIfTrue="1">
      <formula>OR(LEFT(D470,3)="CTU",LEFT(D470,4)="HDON")</formula>
    </cfRule>
    <cfRule type="expression" dxfId="4526" priority="4527" stopIfTrue="1">
      <formula>OR(LEFT(D470,4)="HOLD",OR(A470="QTNP",A470="HOA THO",A470="YES VINA",A470="HUNG YEN",A470="TEX GIANG",A470="HUNG LONG"),LEFT(A470,5)="HANES",LEFT(A470,3)="ITG")</formula>
    </cfRule>
  </conditionalFormatting>
  <conditionalFormatting sqref="D470">
    <cfRule type="expression" dxfId="4525" priority="4522" stopIfTrue="1">
      <formula>OR(LEFT(D470,4)="KHTT",LEFT(D470,5)="10USD",RIGHT(D470,3)="TTC",LEFT(D470,3)="TNT")</formula>
    </cfRule>
    <cfRule type="expression" dxfId="4524" priority="4523" stopIfTrue="1">
      <formula>OR(LEFT(D470,3)="CTU",LEFT(D470,4)="HDON")</formula>
    </cfRule>
    <cfRule type="expression" dxfId="4523" priority="4524" stopIfTrue="1">
      <formula>OR(LEFT(D470,4)="HOLD",OR(A470="QTNP",A470="HOA THO",A470="YES VINA",A470="HUNG YEN",A470="TEX GIANG",A470="HUNG LONG"),LEFT(A470,5)="HANES",LEFT(A470,3)="ITG")</formula>
    </cfRule>
  </conditionalFormatting>
  <conditionalFormatting sqref="D470">
    <cfRule type="expression" dxfId="4522" priority="4519" stopIfTrue="1">
      <formula>OR(LEFT(D470,4)="KHTT",LEFT(D470,5)="10USD",RIGHT(D470,3)="TTC",LEFT(D470,3)="TNT")</formula>
    </cfRule>
    <cfRule type="expression" dxfId="4521" priority="4520" stopIfTrue="1">
      <formula>OR(LEFT(D470,3)="CTU",LEFT(D470,4)="HDON")</formula>
    </cfRule>
    <cfRule type="expression" dxfId="4520" priority="4521" stopIfTrue="1">
      <formula>OR(LEFT(D470,4)="HOLD",OR(A470="QTNP",A470="HOA THO",A470="YES VINA",A470="HUNG YEN",A470="TEX GIANG",A470="HUNG LONG"),LEFT(A470,5)="HANES",LEFT(A470,3)="ITG")</formula>
    </cfRule>
  </conditionalFormatting>
  <conditionalFormatting sqref="D470">
    <cfRule type="expression" dxfId="4519" priority="4516" stopIfTrue="1">
      <formula>OR(LEFT(D470,4)="KHTT",LEFT(D470,5)="10USD",RIGHT(D470,3)="TTC",LEFT(D470,3)="TNT")</formula>
    </cfRule>
    <cfRule type="expression" dxfId="4518" priority="4517" stopIfTrue="1">
      <formula>OR(LEFT(D470,3)="CTU",LEFT(D470,4)="HDON")</formula>
    </cfRule>
    <cfRule type="expression" dxfId="4517" priority="4518" stopIfTrue="1">
      <formula>OR(LEFT(D470,4)="HOLD",OR(A470="QTNP",A470="HOA THO",A470="YES VINA",A470="HUNG YEN",A470="TEX GIANG",A470="HUNG LONG"),LEFT(A470,5)="HANES",LEFT(A470,3)="ITG")</formula>
    </cfRule>
  </conditionalFormatting>
  <conditionalFormatting sqref="D469">
    <cfRule type="expression" dxfId="4516" priority="4513" stopIfTrue="1">
      <formula>OR(LEFT(D469,4)="KHTT",LEFT(D469,5)="10USD",RIGHT(D469,3)="TTC",LEFT(D469,3)="TNT")</formula>
    </cfRule>
    <cfRule type="expression" dxfId="4515" priority="4514" stopIfTrue="1">
      <formula>OR(LEFT(D469,3)="CTU",LEFT(D469,4)="HDON")</formula>
    </cfRule>
    <cfRule type="expression" dxfId="4514" priority="4515" stopIfTrue="1">
      <formula>OR(LEFT(D469,4)="HOLD",OR(A469="QTNP",A469="HOA THO",A469="YES VINA",A469="HUNG YEN",A469="TEX GIANG",A469="HUNG LONG"),LEFT(A469,5)="HANES",LEFT(A469,3)="ITG")</formula>
    </cfRule>
  </conditionalFormatting>
  <conditionalFormatting sqref="D469">
    <cfRule type="expression" dxfId="4513" priority="4510" stopIfTrue="1">
      <formula>OR(LEFT(D469,4)="KHTT",LEFT(D469,5)="10USD",RIGHT(D469,3)="TTC",LEFT(D469,3)="TNT")</formula>
    </cfRule>
    <cfRule type="expression" dxfId="4512" priority="4511" stopIfTrue="1">
      <formula>OR(LEFT(D469,3)="CTU",LEFT(D469,4)="HDON")</formula>
    </cfRule>
    <cfRule type="expression" dxfId="4511" priority="4512" stopIfTrue="1">
      <formula>OR(LEFT(D469,4)="HOLD",OR(A469="QTNP",A469="HOA THO",A469="YES VINA",A469="HUNG YEN",A469="TEX GIANG",A469="HUNG LONG"),LEFT(A469,5)="HANES",LEFT(A469,3)="ITG")</formula>
    </cfRule>
  </conditionalFormatting>
  <conditionalFormatting sqref="D470">
    <cfRule type="expression" dxfId="4510" priority="4507" stopIfTrue="1">
      <formula>OR(LEFT(D470,4)="KHTT",LEFT(D470,5)="10USD",RIGHT(D470,3)="TTC",LEFT(D470,3)="TNT")</formula>
    </cfRule>
    <cfRule type="expression" dxfId="4509" priority="4508" stopIfTrue="1">
      <formula>OR(LEFT(D470,3)="CTU",LEFT(D470,4)="HDON")</formula>
    </cfRule>
    <cfRule type="expression" dxfId="4508" priority="4509" stopIfTrue="1">
      <formula>OR(LEFT(D470,4)="HOLD",OR(A470="QTNP",A470="HOA THO",A470="YES VINA",A470="HUNG YEN",A470="TEX GIANG",A470="HUNG LONG"),LEFT(A470,5)="HANES",LEFT(A470,3)="ITG")</formula>
    </cfRule>
  </conditionalFormatting>
  <conditionalFormatting sqref="D470">
    <cfRule type="expression" dxfId="4507" priority="4504" stopIfTrue="1">
      <formula>OR(LEFT(D470,4)="KHTT",LEFT(D470,5)="10USD",RIGHT(D470,3)="TTC",LEFT(D470,3)="TNT")</formula>
    </cfRule>
    <cfRule type="expression" dxfId="4506" priority="4505" stopIfTrue="1">
      <formula>OR(LEFT(D470,3)="CTU",LEFT(D470,4)="HDON")</formula>
    </cfRule>
    <cfRule type="expression" dxfId="4505" priority="4506" stopIfTrue="1">
      <formula>OR(LEFT(D470,4)="HOLD",OR(A470="QTNP",A470="HOA THO",A470="YES VINA",A470="HUNG YEN",A470="TEX GIANG",A470="HUNG LONG"),LEFT(A470,5)="HANES",LEFT(A470,3)="ITG")</formula>
    </cfRule>
  </conditionalFormatting>
  <conditionalFormatting sqref="D470">
    <cfRule type="expression" dxfId="4504" priority="4501" stopIfTrue="1">
      <formula>OR(LEFT(D470,4)="KHTT",LEFT(D470,5)="10USD",RIGHT(D470,3)="TTC",LEFT(D470,3)="TNT")</formula>
    </cfRule>
    <cfRule type="expression" dxfId="4503" priority="4502" stopIfTrue="1">
      <formula>OR(LEFT(D470,3)="CTU",LEFT(D470,4)="HDON")</formula>
    </cfRule>
    <cfRule type="expression" dxfId="4502" priority="4503" stopIfTrue="1">
      <formula>OR(LEFT(D470,4)="HOLD",OR(A470="QTNP",A470="HOA THO",A470="YES VINA",A470="HUNG YEN",A470="TEX GIANG",A470="HUNG LONG"),LEFT(A470,5)="HANES",LEFT(A470,3)="ITG")</formula>
    </cfRule>
  </conditionalFormatting>
  <conditionalFormatting sqref="D470">
    <cfRule type="expression" dxfId="4501" priority="4498" stopIfTrue="1">
      <formula>OR(LEFT(D470,4)="KHTT",LEFT(D470,5)="10USD",RIGHT(D470,3)="TTC",LEFT(D470,3)="TNT")</formula>
    </cfRule>
    <cfRule type="expression" dxfId="4500" priority="4499" stopIfTrue="1">
      <formula>OR(LEFT(D470,3)="CTU",LEFT(D470,4)="HDON")</formula>
    </cfRule>
    <cfRule type="expression" dxfId="4499" priority="4500" stopIfTrue="1">
      <formula>OR(LEFT(D470,4)="HOLD",OR(A470="QTNP",A470="HOA THO",A470="YES VINA",A470="HUNG YEN",A470="TEX GIANG",A470="HUNG LONG"),LEFT(A470,5)="HANES",LEFT(A470,3)="ITG")</formula>
    </cfRule>
  </conditionalFormatting>
  <conditionalFormatting sqref="D469">
    <cfRule type="expression" dxfId="4498" priority="4495" stopIfTrue="1">
      <formula>OR(LEFT(D469,4)="KHTT",LEFT(D469,5)="10USD",RIGHT(D469,3)="TTC",LEFT(D469,3)="TNT")</formula>
    </cfRule>
    <cfRule type="expression" dxfId="4497" priority="4496" stopIfTrue="1">
      <formula>OR(LEFT(D469,3)="CTU",LEFT(D469,4)="HDON")</formula>
    </cfRule>
    <cfRule type="expression" dxfId="4496" priority="4497" stopIfTrue="1">
      <formula>OR(LEFT(D469,4)="HOLD",OR(A469="QTNP",A469="HOA THO",A469="YES VINA",A469="HUNG YEN",A469="TEX GIANG",A469="HUNG LONG"),LEFT(A469,5)="HANES",LEFT(A469,3)="ITG")</formula>
    </cfRule>
  </conditionalFormatting>
  <conditionalFormatting sqref="D469">
    <cfRule type="expression" dxfId="4495" priority="4492" stopIfTrue="1">
      <formula>OR(LEFT(D469,4)="KHTT",LEFT(D469,5)="10USD",RIGHT(D469,3)="TTC",LEFT(D469,3)="TNT")</formula>
    </cfRule>
    <cfRule type="expression" dxfId="4494" priority="4493" stopIfTrue="1">
      <formula>OR(LEFT(D469,3)="CTU",LEFT(D469,4)="HDON")</formula>
    </cfRule>
    <cfRule type="expression" dxfId="4493" priority="4494" stopIfTrue="1">
      <formula>OR(LEFT(D469,4)="HOLD",OR(A469="QTNP",A469="HOA THO",A469="YES VINA",A469="HUNG YEN",A469="TEX GIANG",A469="HUNG LONG"),LEFT(A469,5)="HANES",LEFT(A469,3)="ITG")</formula>
    </cfRule>
  </conditionalFormatting>
  <conditionalFormatting sqref="D470">
    <cfRule type="expression" dxfId="4492" priority="4489" stopIfTrue="1">
      <formula>OR(LEFT(D470,4)="KHTT",LEFT(D470,5)="10USD",RIGHT(D470,3)="TTC",LEFT(D470,3)="TNT")</formula>
    </cfRule>
    <cfRule type="expression" dxfId="4491" priority="4490" stopIfTrue="1">
      <formula>OR(LEFT(D470,3)="CTU",LEFT(D470,4)="HDON")</formula>
    </cfRule>
    <cfRule type="expression" dxfId="4490" priority="4491" stopIfTrue="1">
      <formula>OR(LEFT(D470,4)="HOLD",OR(A470="QTNP",A470="HOA THO",A470="YES VINA",A470="HUNG YEN",A470="TEX GIANG",A470="HUNG LONG"),LEFT(A470,5)="HANES",LEFT(A470,3)="ITG")</formula>
    </cfRule>
  </conditionalFormatting>
  <conditionalFormatting sqref="D470">
    <cfRule type="expression" dxfId="4489" priority="4486" stopIfTrue="1">
      <formula>OR(LEFT(D470,4)="KHTT",LEFT(D470,5)="10USD",RIGHT(D470,3)="TTC",LEFT(D470,3)="TNT")</formula>
    </cfRule>
    <cfRule type="expression" dxfId="4488" priority="4487" stopIfTrue="1">
      <formula>OR(LEFT(D470,3)="CTU",LEFT(D470,4)="HDON")</formula>
    </cfRule>
    <cfRule type="expression" dxfId="4487" priority="4488" stopIfTrue="1">
      <formula>OR(LEFT(D470,4)="HOLD",OR(A470="QTNP",A470="HOA THO",A470="YES VINA",A470="HUNG YEN",A470="TEX GIANG",A470="HUNG LONG"),LEFT(A470,5)="HANES",LEFT(A470,3)="ITG")</formula>
    </cfRule>
  </conditionalFormatting>
  <conditionalFormatting sqref="D470">
    <cfRule type="expression" dxfId="4486" priority="4483" stopIfTrue="1">
      <formula>OR(LEFT(D470,4)="KHTT",LEFT(D470,5)="10USD",RIGHT(D470,3)="TTC",LEFT(D470,3)="TNT")</formula>
    </cfRule>
    <cfRule type="expression" dxfId="4485" priority="4484" stopIfTrue="1">
      <formula>OR(LEFT(D470,3)="CTU",LEFT(D470,4)="HDON")</formula>
    </cfRule>
    <cfRule type="expression" dxfId="4484" priority="4485" stopIfTrue="1">
      <formula>OR(LEFT(D470,4)="HOLD",OR(A470="QTNP",A470="HOA THO",A470="YES VINA",A470="HUNG YEN",A470="TEX GIANG",A470="HUNG LONG"),LEFT(A470,5)="HANES",LEFT(A470,3)="ITG")</formula>
    </cfRule>
  </conditionalFormatting>
  <conditionalFormatting sqref="D470">
    <cfRule type="expression" dxfId="4483" priority="4480" stopIfTrue="1">
      <formula>OR(LEFT(D470,4)="KHTT",LEFT(D470,5)="10USD",RIGHT(D470,3)="TTC",LEFT(D470,3)="TNT")</formula>
    </cfRule>
    <cfRule type="expression" dxfId="4482" priority="4481" stopIfTrue="1">
      <formula>OR(LEFT(D470,3)="CTU",LEFT(D470,4)="HDON")</formula>
    </cfRule>
    <cfRule type="expression" dxfId="4481" priority="4482" stopIfTrue="1">
      <formula>OR(LEFT(D470,4)="HOLD",OR(A470="QTNP",A470="HOA THO",A470="YES VINA",A470="HUNG YEN",A470="TEX GIANG",A470="HUNG LONG"),LEFT(A470,5)="HANES",LEFT(A470,3)="ITG")</formula>
    </cfRule>
  </conditionalFormatting>
  <conditionalFormatting sqref="D469">
    <cfRule type="expression" dxfId="4480" priority="4477" stopIfTrue="1">
      <formula>OR(LEFT(D469,4)="KHTT",LEFT(D469,5)="10USD",RIGHT(D469,3)="TTC",LEFT(D469,3)="TNT")</formula>
    </cfRule>
    <cfRule type="expression" dxfId="4479" priority="4478" stopIfTrue="1">
      <formula>OR(LEFT(D469,3)="CTU",LEFT(D469,4)="HDON")</formula>
    </cfRule>
    <cfRule type="expression" dxfId="4478" priority="4479" stopIfTrue="1">
      <formula>OR(LEFT(D469,4)="HOLD",OR(A469="QTNP",A469="HOA THO",A469="YES VINA",A469="HUNG YEN",A469="TEX GIANG",A469="HUNG LONG"),LEFT(A469,5)="HANES",LEFT(A469,3)="ITG")</formula>
    </cfRule>
  </conditionalFormatting>
  <conditionalFormatting sqref="D469">
    <cfRule type="expression" dxfId="4477" priority="4474" stopIfTrue="1">
      <formula>OR(LEFT(D469,4)="KHTT",LEFT(D469,5)="10USD",RIGHT(D469,3)="TTC",LEFT(D469,3)="TNT")</formula>
    </cfRule>
    <cfRule type="expression" dxfId="4476" priority="4475" stopIfTrue="1">
      <formula>OR(LEFT(D469,3)="CTU",LEFT(D469,4)="HDON")</formula>
    </cfRule>
    <cfRule type="expression" dxfId="4475" priority="4476" stopIfTrue="1">
      <formula>OR(LEFT(D469,4)="HOLD",OR(A469="QTNP",A469="HOA THO",A469="YES VINA",A469="HUNG YEN",A469="TEX GIANG",A469="HUNG LONG"),LEFT(A469,5)="HANES",LEFT(A469,3)="ITG")</formula>
    </cfRule>
  </conditionalFormatting>
  <conditionalFormatting sqref="D470">
    <cfRule type="expression" dxfId="4474" priority="4471" stopIfTrue="1">
      <formula>OR(LEFT(D470,4)="KHTT",LEFT(D470,5)="10USD",RIGHT(D470,3)="TTC",LEFT(D470,3)="TNT")</formula>
    </cfRule>
    <cfRule type="expression" dxfId="4473" priority="4472" stopIfTrue="1">
      <formula>OR(LEFT(D470,3)="CTU",LEFT(D470,4)="HDON")</formula>
    </cfRule>
    <cfRule type="expression" dxfId="4472" priority="4473" stopIfTrue="1">
      <formula>OR(LEFT(D470,4)="HOLD",OR(A470="QTNP",A470="HOA THO",A470="YES VINA",A470="HUNG YEN",A470="TEX GIANG",A470="HUNG LONG"),LEFT(A470,5)="HANES",LEFT(A470,3)="ITG")</formula>
    </cfRule>
  </conditionalFormatting>
  <conditionalFormatting sqref="D470">
    <cfRule type="expression" dxfId="4471" priority="4468" stopIfTrue="1">
      <formula>OR(LEFT(D470,4)="KHTT",LEFT(D470,5)="10USD",RIGHT(D470,3)="TTC",LEFT(D470,3)="TNT")</formula>
    </cfRule>
    <cfRule type="expression" dxfId="4470" priority="4469" stopIfTrue="1">
      <formula>OR(LEFT(D470,3)="CTU",LEFT(D470,4)="HDON")</formula>
    </cfRule>
    <cfRule type="expression" dxfId="4469" priority="4470" stopIfTrue="1">
      <formula>OR(LEFT(D470,4)="HOLD",OR(A470="QTNP",A470="HOA THO",A470="YES VINA",A470="HUNG YEN",A470="TEX GIANG",A470="HUNG LONG"),LEFT(A470,5)="HANES",LEFT(A470,3)="ITG")</formula>
    </cfRule>
  </conditionalFormatting>
  <conditionalFormatting sqref="D470">
    <cfRule type="expression" dxfId="4468" priority="4465" stopIfTrue="1">
      <formula>OR(LEFT(D470,4)="KHTT",LEFT(D470,5)="10USD",RIGHT(D470,3)="TTC",LEFT(D470,3)="TNT")</formula>
    </cfRule>
    <cfRule type="expression" dxfId="4467" priority="4466" stopIfTrue="1">
      <formula>OR(LEFT(D470,3)="CTU",LEFT(D470,4)="HDON")</formula>
    </cfRule>
    <cfRule type="expression" dxfId="4466" priority="4467" stopIfTrue="1">
      <formula>OR(LEFT(D470,4)="HOLD",OR(A470="QTNP",A470="HOA THO",A470="YES VINA",A470="HUNG YEN",A470="TEX GIANG",A470="HUNG LONG"),LEFT(A470,5)="HANES",LEFT(A470,3)="ITG")</formula>
    </cfRule>
  </conditionalFormatting>
  <conditionalFormatting sqref="D470">
    <cfRule type="expression" dxfId="4465" priority="4462" stopIfTrue="1">
      <formula>OR(LEFT(D470,4)="KHTT",LEFT(D470,5)="10USD",RIGHT(D470,3)="TTC",LEFT(D470,3)="TNT")</formula>
    </cfRule>
    <cfRule type="expression" dxfId="4464" priority="4463" stopIfTrue="1">
      <formula>OR(LEFT(D470,3)="CTU",LEFT(D470,4)="HDON")</formula>
    </cfRule>
    <cfRule type="expression" dxfId="4463" priority="4464" stopIfTrue="1">
      <formula>OR(LEFT(D470,4)="HOLD",OR(A470="QTNP",A470="HOA THO",A470="YES VINA",A470="HUNG YEN",A470="TEX GIANG",A470="HUNG LONG"),LEFT(A470,5)="HANES",LEFT(A470,3)="ITG")</formula>
    </cfRule>
  </conditionalFormatting>
  <conditionalFormatting sqref="D469">
    <cfRule type="expression" dxfId="4462" priority="4459" stopIfTrue="1">
      <formula>OR(LEFT(D469,4)="KHTT",LEFT(D469,5)="10USD",RIGHT(D469,3)="TTC",LEFT(D469,3)="TNT")</formula>
    </cfRule>
    <cfRule type="expression" dxfId="4461" priority="4460" stopIfTrue="1">
      <formula>OR(LEFT(D469,3)="CTU",LEFT(D469,4)="HDON")</formula>
    </cfRule>
    <cfRule type="expression" dxfId="4460" priority="4461" stopIfTrue="1">
      <formula>OR(LEFT(D469,4)="HOLD",OR(A469="QTNP",A469="HOA THO",A469="YES VINA",A469="HUNG YEN",A469="TEX GIANG",A469="HUNG LONG"),LEFT(A469,5)="HANES",LEFT(A469,3)="ITG")</formula>
    </cfRule>
  </conditionalFormatting>
  <conditionalFormatting sqref="D469">
    <cfRule type="expression" dxfId="4459" priority="4456" stopIfTrue="1">
      <formula>OR(LEFT(D469,4)="KHTT",LEFT(D469,5)="10USD",RIGHT(D469,3)="TTC",LEFT(D469,3)="TNT")</formula>
    </cfRule>
    <cfRule type="expression" dxfId="4458" priority="4457" stopIfTrue="1">
      <formula>OR(LEFT(D469,3)="CTU",LEFT(D469,4)="HDON")</formula>
    </cfRule>
    <cfRule type="expression" dxfId="4457" priority="4458" stopIfTrue="1">
      <formula>OR(LEFT(D469,4)="HOLD",OR(A469="QTNP",A469="HOA THO",A469="YES VINA",A469="HUNG YEN",A469="TEX GIANG",A469="HUNG LONG"),LEFT(A469,5)="HANES",LEFT(A469,3)="ITG")</formula>
    </cfRule>
  </conditionalFormatting>
  <conditionalFormatting sqref="D470">
    <cfRule type="expression" dxfId="4456" priority="4453" stopIfTrue="1">
      <formula>OR(LEFT(D470,4)="KHTT",LEFT(D470,5)="10USD",RIGHT(D470,3)="TTC",LEFT(D470,3)="TNT")</formula>
    </cfRule>
    <cfRule type="expression" dxfId="4455" priority="4454" stopIfTrue="1">
      <formula>OR(LEFT(D470,3)="CTU",LEFT(D470,4)="HDON")</formula>
    </cfRule>
    <cfRule type="expression" dxfId="4454" priority="4455" stopIfTrue="1">
      <formula>OR(LEFT(D470,4)="HOLD",OR(A470="QTNP",A470="HOA THO",A470="YES VINA",A470="HUNG YEN",A470="TEX GIANG",A470="HUNG LONG"),LEFT(A470,5)="HANES",LEFT(A470,3)="ITG")</formula>
    </cfRule>
  </conditionalFormatting>
  <conditionalFormatting sqref="D470">
    <cfRule type="expression" dxfId="4453" priority="4450" stopIfTrue="1">
      <formula>OR(LEFT(D470,4)="KHTT",LEFT(D470,5)="10USD",RIGHT(D470,3)="TTC",LEFT(D470,3)="TNT")</formula>
    </cfRule>
    <cfRule type="expression" dxfId="4452" priority="4451" stopIfTrue="1">
      <formula>OR(LEFT(D470,3)="CTU",LEFT(D470,4)="HDON")</formula>
    </cfRule>
    <cfRule type="expression" dxfId="4451" priority="4452" stopIfTrue="1">
      <formula>OR(LEFT(D470,4)="HOLD",OR(A470="QTNP",A470="HOA THO",A470="YES VINA",A470="HUNG YEN",A470="TEX GIANG",A470="HUNG LONG"),LEFT(A470,5)="HANES",LEFT(A470,3)="ITG")</formula>
    </cfRule>
  </conditionalFormatting>
  <conditionalFormatting sqref="D470">
    <cfRule type="expression" dxfId="4450" priority="4447" stopIfTrue="1">
      <formula>OR(LEFT(D470,4)="KHTT",LEFT(D470,5)="10USD",RIGHT(D470,3)="TTC",LEFT(D470,3)="TNT")</formula>
    </cfRule>
    <cfRule type="expression" dxfId="4449" priority="4448" stopIfTrue="1">
      <formula>OR(LEFT(D470,3)="CTU",LEFT(D470,4)="HDON")</formula>
    </cfRule>
    <cfRule type="expression" dxfId="4448" priority="4449" stopIfTrue="1">
      <formula>OR(LEFT(D470,4)="HOLD",OR(A470="QTNP",A470="HOA THO",A470="YES VINA",A470="HUNG YEN",A470="TEX GIANG",A470="HUNG LONG"),LEFT(A470,5)="HANES",LEFT(A470,3)="ITG")</formula>
    </cfRule>
  </conditionalFormatting>
  <conditionalFormatting sqref="D470">
    <cfRule type="expression" dxfId="4447" priority="4444" stopIfTrue="1">
      <formula>OR(LEFT(D470,4)="KHTT",LEFT(D470,5)="10USD",RIGHT(D470,3)="TTC",LEFT(D470,3)="TNT")</formula>
    </cfRule>
    <cfRule type="expression" dxfId="4446" priority="4445" stopIfTrue="1">
      <formula>OR(LEFT(D470,3)="CTU",LEFT(D470,4)="HDON")</formula>
    </cfRule>
    <cfRule type="expression" dxfId="4445" priority="4446" stopIfTrue="1">
      <formula>OR(LEFT(D470,4)="HOLD",OR(A470="QTNP",A470="HOA THO",A470="YES VINA",A470="HUNG YEN",A470="TEX GIANG",A470="HUNG LONG"),LEFT(A470,5)="HANES",LEFT(A470,3)="ITG")</formula>
    </cfRule>
  </conditionalFormatting>
  <conditionalFormatting sqref="D469">
    <cfRule type="expression" dxfId="4444" priority="4441" stopIfTrue="1">
      <formula>OR(LEFT(D469,4)="KHTT",LEFT(D469,5)="10USD",RIGHT(D469,3)="TTC",LEFT(D469,3)="TNT")</formula>
    </cfRule>
    <cfRule type="expression" dxfId="4443" priority="4442" stopIfTrue="1">
      <formula>OR(LEFT(D469,3)="CTU",LEFT(D469,4)="HDON")</formula>
    </cfRule>
    <cfRule type="expression" dxfId="4442" priority="4443" stopIfTrue="1">
      <formula>OR(LEFT(D469,4)="HOLD",OR(A469="QTNP",A469="HOA THO",A469="YES VINA",A469="HUNG YEN",A469="TEX GIANG",A469="HUNG LONG"),LEFT(A469,5)="HANES",LEFT(A469,3)="ITG")</formula>
    </cfRule>
  </conditionalFormatting>
  <conditionalFormatting sqref="D469">
    <cfRule type="expression" dxfId="4441" priority="4438" stopIfTrue="1">
      <formula>OR(LEFT(D469,4)="KHTT",LEFT(D469,5)="10USD",RIGHT(D469,3)="TTC",LEFT(D469,3)="TNT")</formula>
    </cfRule>
    <cfRule type="expression" dxfId="4440" priority="4439" stopIfTrue="1">
      <formula>OR(LEFT(D469,3)="CTU",LEFT(D469,4)="HDON")</formula>
    </cfRule>
    <cfRule type="expression" dxfId="4439" priority="4440" stopIfTrue="1">
      <formula>OR(LEFT(D469,4)="HOLD",OR(A469="QTNP",A469="HOA THO",A469="YES VINA",A469="HUNG YEN",A469="TEX GIANG",A469="HUNG LONG"),LEFT(A469,5)="HANES",LEFT(A469,3)="ITG")</formula>
    </cfRule>
  </conditionalFormatting>
  <conditionalFormatting sqref="D470">
    <cfRule type="expression" dxfId="4438" priority="4435" stopIfTrue="1">
      <formula>OR(LEFT(D470,4)="KHTT",LEFT(D470,5)="10USD",RIGHT(D470,3)="TTC",LEFT(D470,3)="TNT")</formula>
    </cfRule>
    <cfRule type="expression" dxfId="4437" priority="4436" stopIfTrue="1">
      <formula>OR(LEFT(D470,3)="CTU",LEFT(D470,4)="HDON")</formula>
    </cfRule>
    <cfRule type="expression" dxfId="4436" priority="4437" stopIfTrue="1">
      <formula>OR(LEFT(D470,4)="HOLD",OR(A470="QTNP",A470="HOA THO",A470="YES VINA",A470="HUNG YEN",A470="TEX GIANG",A470="HUNG LONG"),LEFT(A470,5)="HANES",LEFT(A470,3)="ITG")</formula>
    </cfRule>
  </conditionalFormatting>
  <conditionalFormatting sqref="D470">
    <cfRule type="expression" dxfId="4435" priority="4432" stopIfTrue="1">
      <formula>OR(LEFT(D470,4)="KHTT",LEFT(D470,5)="10USD",RIGHT(D470,3)="TTC",LEFT(D470,3)="TNT")</formula>
    </cfRule>
    <cfRule type="expression" dxfId="4434" priority="4433" stopIfTrue="1">
      <formula>OR(LEFT(D470,3)="CTU",LEFT(D470,4)="HDON")</formula>
    </cfRule>
    <cfRule type="expression" dxfId="4433" priority="4434" stopIfTrue="1">
      <formula>OR(LEFT(D470,4)="HOLD",OR(A470="QTNP",A470="HOA THO",A470="YES VINA",A470="HUNG YEN",A470="TEX GIANG",A470="HUNG LONG"),LEFT(A470,5)="HANES",LEFT(A470,3)="ITG")</formula>
    </cfRule>
  </conditionalFormatting>
  <conditionalFormatting sqref="D470">
    <cfRule type="expression" dxfId="4432" priority="4429" stopIfTrue="1">
      <formula>OR(LEFT(D470,4)="KHTT",LEFT(D470,5)="10USD",RIGHT(D470,3)="TTC",LEFT(D470,3)="TNT")</formula>
    </cfRule>
    <cfRule type="expression" dxfId="4431" priority="4430" stopIfTrue="1">
      <formula>OR(LEFT(D470,3)="CTU",LEFT(D470,4)="HDON")</formula>
    </cfRule>
    <cfRule type="expression" dxfId="4430" priority="4431" stopIfTrue="1">
      <formula>OR(LEFT(D470,4)="HOLD",OR(A470="QTNP",A470="HOA THO",A470="YES VINA",A470="HUNG YEN",A470="TEX GIANG",A470="HUNG LONG"),LEFT(A470,5)="HANES",LEFT(A470,3)="ITG")</formula>
    </cfRule>
  </conditionalFormatting>
  <conditionalFormatting sqref="D470">
    <cfRule type="expression" dxfId="4429" priority="4426" stopIfTrue="1">
      <formula>OR(LEFT(D470,4)="KHTT",LEFT(D470,5)="10USD",RIGHT(D470,3)="TTC",LEFT(D470,3)="TNT")</formula>
    </cfRule>
    <cfRule type="expression" dxfId="4428" priority="4427" stopIfTrue="1">
      <formula>OR(LEFT(D470,3)="CTU",LEFT(D470,4)="HDON")</formula>
    </cfRule>
    <cfRule type="expression" dxfId="4427" priority="4428" stopIfTrue="1">
      <formula>OR(LEFT(D470,4)="HOLD",OR(A470="QTNP",A470="HOA THO",A470="YES VINA",A470="HUNG YEN",A470="TEX GIANG",A470="HUNG LONG"),LEFT(A470,5)="HANES",LEFT(A470,3)="ITG")</formula>
    </cfRule>
  </conditionalFormatting>
  <conditionalFormatting sqref="D469">
    <cfRule type="expression" dxfId="4426" priority="4423" stopIfTrue="1">
      <formula>OR(LEFT(D469,4)="KHTT",LEFT(D469,5)="10USD",RIGHT(D469,3)="TTC",LEFT(D469,3)="TNT")</formula>
    </cfRule>
    <cfRule type="expression" dxfId="4425" priority="4424" stopIfTrue="1">
      <formula>OR(LEFT(D469,3)="CTU",LEFT(D469,4)="HDON")</formula>
    </cfRule>
    <cfRule type="expression" dxfId="4424" priority="4425" stopIfTrue="1">
      <formula>OR(LEFT(D469,4)="HOLD",OR(A469="QTNP",A469="HOA THO",A469="YES VINA",A469="HUNG YEN",A469="TEX GIANG",A469="HUNG LONG"),LEFT(A469,5)="HANES",LEFT(A469,3)="ITG")</formula>
    </cfRule>
  </conditionalFormatting>
  <conditionalFormatting sqref="D469">
    <cfRule type="expression" dxfId="4423" priority="4420" stopIfTrue="1">
      <formula>OR(LEFT(D469,4)="KHTT",LEFT(D469,5)="10USD",RIGHT(D469,3)="TTC",LEFT(D469,3)="TNT")</formula>
    </cfRule>
    <cfRule type="expression" dxfId="4422" priority="4421" stopIfTrue="1">
      <formula>OR(LEFT(D469,3)="CTU",LEFT(D469,4)="HDON")</formula>
    </cfRule>
    <cfRule type="expression" dxfId="4421" priority="4422" stopIfTrue="1">
      <formula>OR(LEFT(D469,4)="HOLD",OR(A469="QTNP",A469="HOA THO",A469="YES VINA",A469="HUNG YEN",A469="TEX GIANG",A469="HUNG LONG"),LEFT(A469,5)="HANES",LEFT(A469,3)="ITG")</formula>
    </cfRule>
  </conditionalFormatting>
  <conditionalFormatting sqref="D470">
    <cfRule type="expression" dxfId="4420" priority="4417" stopIfTrue="1">
      <formula>OR(LEFT(D470,4)="KHTT",LEFT(D470,5)="10USD",RIGHT(D470,3)="TTC",LEFT(D470,3)="TNT")</formula>
    </cfRule>
    <cfRule type="expression" dxfId="4419" priority="4418" stopIfTrue="1">
      <formula>OR(LEFT(D470,3)="CTU",LEFT(D470,4)="HDON")</formula>
    </cfRule>
    <cfRule type="expression" dxfId="4418" priority="4419" stopIfTrue="1">
      <formula>OR(LEFT(D470,4)="HOLD",OR(A470="QTNP",A470="HOA THO",A470="YES VINA",A470="HUNG YEN",A470="TEX GIANG",A470="HUNG LONG"),LEFT(A470,5)="HANES",LEFT(A470,3)="ITG")</formula>
    </cfRule>
  </conditionalFormatting>
  <conditionalFormatting sqref="D470">
    <cfRule type="expression" dxfId="4417" priority="4414" stopIfTrue="1">
      <formula>OR(LEFT(D470,4)="KHTT",LEFT(D470,5)="10USD",RIGHT(D470,3)="TTC",LEFT(D470,3)="TNT")</formula>
    </cfRule>
    <cfRule type="expression" dxfId="4416" priority="4415" stopIfTrue="1">
      <formula>OR(LEFT(D470,3)="CTU",LEFT(D470,4)="HDON")</formula>
    </cfRule>
    <cfRule type="expression" dxfId="4415" priority="4416" stopIfTrue="1">
      <formula>OR(LEFT(D470,4)="HOLD",OR(A470="QTNP",A470="HOA THO",A470="YES VINA",A470="HUNG YEN",A470="TEX GIANG",A470="HUNG LONG"),LEFT(A470,5)="HANES",LEFT(A470,3)="ITG")</formula>
    </cfRule>
  </conditionalFormatting>
  <conditionalFormatting sqref="D470">
    <cfRule type="expression" dxfId="4414" priority="4411" stopIfTrue="1">
      <formula>OR(LEFT(D470,4)="KHTT",LEFT(D470,5)="10USD",RIGHT(D470,3)="TTC",LEFT(D470,3)="TNT")</formula>
    </cfRule>
    <cfRule type="expression" dxfId="4413" priority="4412" stopIfTrue="1">
      <formula>OR(LEFT(D470,3)="CTU",LEFT(D470,4)="HDON")</formula>
    </cfRule>
    <cfRule type="expression" dxfId="4412" priority="4413" stopIfTrue="1">
      <formula>OR(LEFT(D470,4)="HOLD",OR(A470="QTNP",A470="HOA THO",A470="YES VINA",A470="HUNG YEN",A470="TEX GIANG",A470="HUNG LONG"),LEFT(A470,5)="HANES",LEFT(A470,3)="ITG")</formula>
    </cfRule>
  </conditionalFormatting>
  <conditionalFormatting sqref="D470">
    <cfRule type="expression" dxfId="4411" priority="4408" stopIfTrue="1">
      <formula>OR(LEFT(D470,4)="KHTT",LEFT(D470,5)="10USD",RIGHT(D470,3)="TTC",LEFT(D470,3)="TNT")</formula>
    </cfRule>
    <cfRule type="expression" dxfId="4410" priority="4409" stopIfTrue="1">
      <formula>OR(LEFT(D470,3)="CTU",LEFT(D470,4)="HDON")</formula>
    </cfRule>
    <cfRule type="expression" dxfId="4409" priority="4410" stopIfTrue="1">
      <formula>OR(LEFT(D470,4)="HOLD",OR(A470="QTNP",A470="HOA THO",A470="YES VINA",A470="HUNG YEN",A470="TEX GIANG",A470="HUNG LONG"),LEFT(A470,5)="HANES",LEFT(A470,3)="ITG")</formula>
    </cfRule>
  </conditionalFormatting>
  <conditionalFormatting sqref="D469">
    <cfRule type="expression" dxfId="4408" priority="4405" stopIfTrue="1">
      <formula>OR(LEFT(D469,4)="KHTT",LEFT(D469,5)="10USD",RIGHT(D469,3)="TTC",LEFT(D469,3)="TNT")</formula>
    </cfRule>
    <cfRule type="expression" dxfId="4407" priority="4406" stopIfTrue="1">
      <formula>OR(LEFT(D469,3)="CTU",LEFT(D469,4)="HDON")</formula>
    </cfRule>
    <cfRule type="expression" dxfId="4406" priority="4407" stopIfTrue="1">
      <formula>OR(LEFT(D469,4)="HOLD",OR(A469="QTNP",A469="HOA THO",A469="YES VINA",A469="HUNG YEN",A469="TEX GIANG",A469="HUNG LONG"),LEFT(A469,5)="HANES",LEFT(A469,3)="ITG")</formula>
    </cfRule>
  </conditionalFormatting>
  <conditionalFormatting sqref="D469">
    <cfRule type="expression" dxfId="4405" priority="4402" stopIfTrue="1">
      <formula>OR(LEFT(D469,4)="KHTT",LEFT(D469,5)="10USD",RIGHT(D469,3)="TTC",LEFT(D469,3)="TNT")</formula>
    </cfRule>
    <cfRule type="expression" dxfId="4404" priority="4403" stopIfTrue="1">
      <formula>OR(LEFT(D469,3)="CTU",LEFT(D469,4)="HDON")</formula>
    </cfRule>
    <cfRule type="expression" dxfId="4403" priority="4404" stopIfTrue="1">
      <formula>OR(LEFT(D469,4)="HOLD",OR(A469="QTNP",A469="HOA THO",A469="YES VINA",A469="HUNG YEN",A469="TEX GIANG",A469="HUNG LONG"),LEFT(A469,5)="HANES",LEFT(A469,3)="ITG")</formula>
    </cfRule>
  </conditionalFormatting>
  <conditionalFormatting sqref="D470">
    <cfRule type="expression" dxfId="4402" priority="4399" stopIfTrue="1">
      <formula>OR(LEFT(D470,4)="KHTT",LEFT(D470,5)="10USD",RIGHT(D470,3)="TTC",LEFT(D470,3)="TNT")</formula>
    </cfRule>
    <cfRule type="expression" dxfId="4401" priority="4400" stopIfTrue="1">
      <formula>OR(LEFT(D470,3)="CTU",LEFT(D470,4)="HDON")</formula>
    </cfRule>
    <cfRule type="expression" dxfId="4400" priority="4401" stopIfTrue="1">
      <formula>OR(LEFT(D470,4)="HOLD",OR(A470="QTNP",A470="HOA THO",A470="YES VINA",A470="HUNG YEN",A470="TEX GIANG",A470="HUNG LONG"),LEFT(A470,5)="HANES",LEFT(A470,3)="ITG")</formula>
    </cfRule>
  </conditionalFormatting>
  <conditionalFormatting sqref="D470">
    <cfRule type="expression" dxfId="4399" priority="4396" stopIfTrue="1">
      <formula>OR(LEFT(D470,4)="KHTT",LEFT(D470,5)="10USD",RIGHT(D470,3)="TTC",LEFT(D470,3)="TNT")</formula>
    </cfRule>
    <cfRule type="expression" dxfId="4398" priority="4397" stopIfTrue="1">
      <formula>OR(LEFT(D470,3)="CTU",LEFT(D470,4)="HDON")</formula>
    </cfRule>
    <cfRule type="expression" dxfId="4397" priority="4398" stopIfTrue="1">
      <formula>OR(LEFT(D470,4)="HOLD",OR(A470="QTNP",A470="HOA THO",A470="YES VINA",A470="HUNG YEN",A470="TEX GIANG",A470="HUNG LONG"),LEFT(A470,5)="HANES",LEFT(A470,3)="ITG")</formula>
    </cfRule>
  </conditionalFormatting>
  <conditionalFormatting sqref="D470">
    <cfRule type="expression" dxfId="4396" priority="4393" stopIfTrue="1">
      <formula>OR(LEFT(D470,4)="KHTT",LEFT(D470,5)="10USD",RIGHT(D470,3)="TTC",LEFT(D470,3)="TNT")</formula>
    </cfRule>
    <cfRule type="expression" dxfId="4395" priority="4394" stopIfTrue="1">
      <formula>OR(LEFT(D470,3)="CTU",LEFT(D470,4)="HDON")</formula>
    </cfRule>
    <cfRule type="expression" dxfId="4394" priority="4395" stopIfTrue="1">
      <formula>OR(LEFT(D470,4)="HOLD",OR(A470="QTNP",A470="HOA THO",A470="YES VINA",A470="HUNG YEN",A470="TEX GIANG",A470="HUNG LONG"),LEFT(A470,5)="HANES",LEFT(A470,3)="ITG")</formula>
    </cfRule>
  </conditionalFormatting>
  <conditionalFormatting sqref="D470">
    <cfRule type="expression" dxfId="4393" priority="4390" stopIfTrue="1">
      <formula>OR(LEFT(D470,4)="KHTT",LEFT(D470,5)="10USD",RIGHT(D470,3)="TTC",LEFT(D470,3)="TNT")</formula>
    </cfRule>
    <cfRule type="expression" dxfId="4392" priority="4391" stopIfTrue="1">
      <formula>OR(LEFT(D470,3)="CTU",LEFT(D470,4)="HDON")</formula>
    </cfRule>
    <cfRule type="expression" dxfId="4391" priority="4392" stopIfTrue="1">
      <formula>OR(LEFT(D470,4)="HOLD",OR(A470="QTNP",A470="HOA THO",A470="YES VINA",A470="HUNG YEN",A470="TEX GIANG",A470="HUNG LONG"),LEFT(A470,5)="HANES",LEFT(A470,3)="ITG")</formula>
    </cfRule>
  </conditionalFormatting>
  <conditionalFormatting sqref="D469">
    <cfRule type="expression" dxfId="4390" priority="4387" stopIfTrue="1">
      <formula>OR(LEFT(D469,4)="KHTT",LEFT(D469,5)="10USD",RIGHT(D469,3)="TTC",LEFT(D469,3)="TNT")</formula>
    </cfRule>
    <cfRule type="expression" dxfId="4389" priority="4388" stopIfTrue="1">
      <formula>OR(LEFT(D469,3)="CTU",LEFT(D469,4)="HDON")</formula>
    </cfRule>
    <cfRule type="expression" dxfId="4388" priority="4389" stopIfTrue="1">
      <formula>OR(LEFT(D469,4)="HOLD",OR(A469="QTNP",A469="HOA THO",A469="YES VINA",A469="HUNG YEN",A469="TEX GIANG",A469="HUNG LONG"),LEFT(A469,5)="HANES",LEFT(A469,3)="ITG")</formula>
    </cfRule>
  </conditionalFormatting>
  <conditionalFormatting sqref="D469">
    <cfRule type="expression" dxfId="4387" priority="4384" stopIfTrue="1">
      <formula>OR(LEFT(D469,4)="KHTT",LEFT(D469,5)="10USD",RIGHT(D469,3)="TTC",LEFT(D469,3)="TNT")</formula>
    </cfRule>
    <cfRule type="expression" dxfId="4386" priority="4385" stopIfTrue="1">
      <formula>OR(LEFT(D469,3)="CTU",LEFT(D469,4)="HDON")</formula>
    </cfRule>
    <cfRule type="expression" dxfId="4385" priority="4386" stopIfTrue="1">
      <formula>OR(LEFT(D469,4)="HOLD",OR(A469="QTNP",A469="HOA THO",A469="YES VINA",A469="HUNG YEN",A469="TEX GIANG",A469="HUNG LONG"),LEFT(A469,5)="HANES",LEFT(A469,3)="ITG")</formula>
    </cfRule>
  </conditionalFormatting>
  <conditionalFormatting sqref="D470">
    <cfRule type="expression" dxfId="4384" priority="4381" stopIfTrue="1">
      <formula>OR(LEFT(D470,4)="KHTT",LEFT(D470,5)="10USD",RIGHT(D470,3)="TTC",LEFT(D470,3)="TNT")</formula>
    </cfRule>
    <cfRule type="expression" dxfId="4383" priority="4382" stopIfTrue="1">
      <formula>OR(LEFT(D470,3)="CTU",LEFT(D470,4)="HDON")</formula>
    </cfRule>
    <cfRule type="expression" dxfId="4382" priority="4383" stopIfTrue="1">
      <formula>OR(LEFT(D470,4)="HOLD",OR(A470="QTNP",A470="HOA THO",A470="YES VINA",A470="HUNG YEN",A470="TEX GIANG",A470="HUNG LONG"),LEFT(A470,5)="HANES",LEFT(A470,3)="ITG")</formula>
    </cfRule>
  </conditionalFormatting>
  <conditionalFormatting sqref="D470">
    <cfRule type="expression" dxfId="4381" priority="4378" stopIfTrue="1">
      <formula>OR(LEFT(D470,4)="KHTT",LEFT(D470,5)="10USD",RIGHT(D470,3)="TTC",LEFT(D470,3)="TNT")</formula>
    </cfRule>
    <cfRule type="expression" dxfId="4380" priority="4379" stopIfTrue="1">
      <formula>OR(LEFT(D470,3)="CTU",LEFT(D470,4)="HDON")</formula>
    </cfRule>
    <cfRule type="expression" dxfId="4379" priority="4380" stopIfTrue="1">
      <formula>OR(LEFT(D470,4)="HOLD",OR(A470="QTNP",A470="HOA THO",A470="YES VINA",A470="HUNG YEN",A470="TEX GIANG",A470="HUNG LONG"),LEFT(A470,5)="HANES",LEFT(A470,3)="ITG")</formula>
    </cfRule>
  </conditionalFormatting>
  <conditionalFormatting sqref="D470">
    <cfRule type="expression" dxfId="4378" priority="4375" stopIfTrue="1">
      <formula>OR(LEFT(D470,4)="KHTT",LEFT(D470,5)="10USD",RIGHT(D470,3)="TTC",LEFT(D470,3)="TNT")</formula>
    </cfRule>
    <cfRule type="expression" dxfId="4377" priority="4376" stopIfTrue="1">
      <formula>OR(LEFT(D470,3)="CTU",LEFT(D470,4)="HDON")</formula>
    </cfRule>
    <cfRule type="expression" dxfId="4376" priority="4377" stopIfTrue="1">
      <formula>OR(LEFT(D470,4)="HOLD",OR(A470="QTNP",A470="HOA THO",A470="YES VINA",A470="HUNG YEN",A470="TEX GIANG",A470="HUNG LONG"),LEFT(A470,5)="HANES",LEFT(A470,3)="ITG")</formula>
    </cfRule>
  </conditionalFormatting>
  <conditionalFormatting sqref="D470">
    <cfRule type="expression" dxfId="4375" priority="4372" stopIfTrue="1">
      <formula>OR(LEFT(D470,4)="KHTT",LEFT(D470,5)="10USD",RIGHT(D470,3)="TTC",LEFT(D470,3)="TNT")</formula>
    </cfRule>
    <cfRule type="expression" dxfId="4374" priority="4373" stopIfTrue="1">
      <formula>OR(LEFT(D470,3)="CTU",LEFT(D470,4)="HDON")</formula>
    </cfRule>
    <cfRule type="expression" dxfId="4373" priority="4374" stopIfTrue="1">
      <formula>OR(LEFT(D470,4)="HOLD",OR(A470="QTNP",A470="HOA THO",A470="YES VINA",A470="HUNG YEN",A470="TEX GIANG",A470="HUNG LONG"),LEFT(A470,5)="HANES",LEFT(A470,3)="ITG")</formula>
    </cfRule>
  </conditionalFormatting>
  <conditionalFormatting sqref="D469">
    <cfRule type="expression" dxfId="4372" priority="4369" stopIfTrue="1">
      <formula>OR(LEFT(D469,4)="KHTT",LEFT(D469,5)="10USD",RIGHT(D469,3)="TTC",LEFT(D469,3)="TNT")</formula>
    </cfRule>
    <cfRule type="expression" dxfId="4371" priority="4370" stopIfTrue="1">
      <formula>OR(LEFT(D469,3)="CTU",LEFT(D469,4)="HDON")</formula>
    </cfRule>
    <cfRule type="expression" dxfId="4370" priority="4371" stopIfTrue="1">
      <formula>OR(LEFT(D469,4)="HOLD",OR(A469="QTNP",A469="HOA THO",A469="YES VINA",A469="HUNG YEN",A469="TEX GIANG",A469="HUNG LONG"),LEFT(A469,5)="HANES",LEFT(A469,3)="ITG")</formula>
    </cfRule>
  </conditionalFormatting>
  <conditionalFormatting sqref="D469">
    <cfRule type="expression" dxfId="4369" priority="4366" stopIfTrue="1">
      <formula>OR(LEFT(D469,4)="KHTT",LEFT(D469,5)="10USD",RIGHT(D469,3)="TTC",LEFT(D469,3)="TNT")</formula>
    </cfRule>
    <cfRule type="expression" dxfId="4368" priority="4367" stopIfTrue="1">
      <formula>OR(LEFT(D469,3)="CTU",LEFT(D469,4)="HDON")</formula>
    </cfRule>
    <cfRule type="expression" dxfId="4367" priority="4368" stopIfTrue="1">
      <formula>OR(LEFT(D469,4)="HOLD",OR(A469="QTNP",A469="HOA THO",A469="YES VINA",A469="HUNG YEN",A469="TEX GIANG",A469="HUNG LONG"),LEFT(A469,5)="HANES",LEFT(A469,3)="ITG")</formula>
    </cfRule>
  </conditionalFormatting>
  <conditionalFormatting sqref="D470">
    <cfRule type="expression" dxfId="4366" priority="4363" stopIfTrue="1">
      <formula>OR(LEFT(D470,4)="KHTT",LEFT(D470,5)="10USD",RIGHT(D470,3)="TTC",LEFT(D470,3)="TNT")</formula>
    </cfRule>
    <cfRule type="expression" dxfId="4365" priority="4364" stopIfTrue="1">
      <formula>OR(LEFT(D470,3)="CTU",LEFT(D470,4)="HDON")</formula>
    </cfRule>
    <cfRule type="expression" dxfId="4364" priority="4365" stopIfTrue="1">
      <formula>OR(LEFT(D470,4)="HOLD",OR(A470="QTNP",A470="HOA THO",A470="YES VINA",A470="HUNG YEN",A470="TEX GIANG",A470="HUNG LONG"),LEFT(A470,5)="HANES",LEFT(A470,3)="ITG")</formula>
    </cfRule>
  </conditionalFormatting>
  <conditionalFormatting sqref="D470">
    <cfRule type="expression" dxfId="4363" priority="4360" stopIfTrue="1">
      <formula>OR(LEFT(D470,4)="KHTT",LEFT(D470,5)="10USD",RIGHT(D470,3)="TTC",LEFT(D470,3)="TNT")</formula>
    </cfRule>
    <cfRule type="expression" dxfId="4362" priority="4361" stopIfTrue="1">
      <formula>OR(LEFT(D470,3)="CTU",LEFT(D470,4)="HDON")</formula>
    </cfRule>
    <cfRule type="expression" dxfId="4361" priority="4362" stopIfTrue="1">
      <formula>OR(LEFT(D470,4)="HOLD",OR(A470="QTNP",A470="HOA THO",A470="YES VINA",A470="HUNG YEN",A470="TEX GIANG",A470="HUNG LONG"),LEFT(A470,5)="HANES",LEFT(A470,3)="ITG")</formula>
    </cfRule>
  </conditionalFormatting>
  <conditionalFormatting sqref="D470">
    <cfRule type="expression" dxfId="4360" priority="4357" stopIfTrue="1">
      <formula>OR(LEFT(D470,4)="KHTT",LEFT(D470,5)="10USD",RIGHT(D470,3)="TTC",LEFT(D470,3)="TNT")</formula>
    </cfRule>
    <cfRule type="expression" dxfId="4359" priority="4358" stopIfTrue="1">
      <formula>OR(LEFT(D470,3)="CTU",LEFT(D470,4)="HDON")</formula>
    </cfRule>
    <cfRule type="expression" dxfId="4358" priority="4359" stopIfTrue="1">
      <formula>OR(LEFT(D470,4)="HOLD",OR(A470="QTNP",A470="HOA THO",A470="YES VINA",A470="HUNG YEN",A470="TEX GIANG",A470="HUNG LONG"),LEFT(A470,5)="HANES",LEFT(A470,3)="ITG")</formula>
    </cfRule>
  </conditionalFormatting>
  <conditionalFormatting sqref="D470">
    <cfRule type="expression" dxfId="4357" priority="4354" stopIfTrue="1">
      <formula>OR(LEFT(D470,4)="KHTT",LEFT(D470,5)="10USD",RIGHT(D470,3)="TTC",LEFT(D470,3)="TNT")</formula>
    </cfRule>
    <cfRule type="expression" dxfId="4356" priority="4355" stopIfTrue="1">
      <formula>OR(LEFT(D470,3)="CTU",LEFT(D470,4)="HDON")</formula>
    </cfRule>
    <cfRule type="expression" dxfId="4355" priority="4356" stopIfTrue="1">
      <formula>OR(LEFT(D470,4)="HOLD",OR(A470="QTNP",A470="HOA THO",A470="YES VINA",A470="HUNG YEN",A470="TEX GIANG",A470="HUNG LONG"),LEFT(A470,5)="HANES",LEFT(A470,3)="ITG")</formula>
    </cfRule>
  </conditionalFormatting>
  <conditionalFormatting sqref="D469">
    <cfRule type="expression" dxfId="4354" priority="4351" stopIfTrue="1">
      <formula>OR(LEFT(D469,4)="KHTT",LEFT(D469,5)="10USD",RIGHT(D469,3)="TTC",LEFT(D469,3)="TNT")</formula>
    </cfRule>
    <cfRule type="expression" dxfId="4353" priority="4352" stopIfTrue="1">
      <formula>OR(LEFT(D469,3)="CTU",LEFT(D469,4)="HDON")</formula>
    </cfRule>
    <cfRule type="expression" dxfId="4352" priority="4353" stopIfTrue="1">
      <formula>OR(LEFT(D469,4)="HOLD",OR(A469="QTNP",A469="HOA THO",A469="YES VINA",A469="HUNG YEN",A469="TEX GIANG",A469="HUNG LONG"),LEFT(A469,5)="HANES",LEFT(A469,3)="ITG")</formula>
    </cfRule>
  </conditionalFormatting>
  <conditionalFormatting sqref="D469">
    <cfRule type="expression" dxfId="4351" priority="4348" stopIfTrue="1">
      <formula>OR(LEFT(D469,4)="KHTT",LEFT(D469,5)="10USD",RIGHT(D469,3)="TTC",LEFT(D469,3)="TNT")</formula>
    </cfRule>
    <cfRule type="expression" dxfId="4350" priority="4349" stopIfTrue="1">
      <formula>OR(LEFT(D469,3)="CTU",LEFT(D469,4)="HDON")</formula>
    </cfRule>
    <cfRule type="expression" dxfId="4349" priority="4350" stopIfTrue="1">
      <formula>OR(LEFT(D469,4)="HOLD",OR(A469="QTNP",A469="HOA THO",A469="YES VINA",A469="HUNG YEN",A469="TEX GIANG",A469="HUNG LONG"),LEFT(A469,5)="HANES",LEFT(A469,3)="ITG")</formula>
    </cfRule>
  </conditionalFormatting>
  <conditionalFormatting sqref="D470">
    <cfRule type="expression" dxfId="4348" priority="4345" stopIfTrue="1">
      <formula>OR(LEFT(D470,4)="KHTT",LEFT(D470,5)="10USD",RIGHT(D470,3)="TTC",LEFT(D470,3)="TNT")</formula>
    </cfRule>
    <cfRule type="expression" dxfId="4347" priority="4346" stopIfTrue="1">
      <formula>OR(LEFT(D470,3)="CTU",LEFT(D470,4)="HDON")</formula>
    </cfRule>
    <cfRule type="expression" dxfId="4346" priority="4347" stopIfTrue="1">
      <formula>OR(LEFT(D470,4)="HOLD",OR(A470="QTNP",A470="HOA THO",A470="YES VINA",A470="HUNG YEN",A470="TEX GIANG",A470="HUNG LONG"),LEFT(A470,5)="HANES",LEFT(A470,3)="ITG")</formula>
    </cfRule>
  </conditionalFormatting>
  <conditionalFormatting sqref="D470">
    <cfRule type="expression" dxfId="4345" priority="4342" stopIfTrue="1">
      <formula>OR(LEFT(D470,4)="KHTT",LEFT(D470,5)="10USD",RIGHT(D470,3)="TTC",LEFT(D470,3)="TNT")</formula>
    </cfRule>
    <cfRule type="expression" dxfId="4344" priority="4343" stopIfTrue="1">
      <formula>OR(LEFT(D470,3)="CTU",LEFT(D470,4)="HDON")</formula>
    </cfRule>
    <cfRule type="expression" dxfId="4343" priority="4344" stopIfTrue="1">
      <formula>OR(LEFT(D470,4)="HOLD",OR(A470="QTNP",A470="HOA THO",A470="YES VINA",A470="HUNG YEN",A470="TEX GIANG",A470="HUNG LONG"),LEFT(A470,5)="HANES",LEFT(A470,3)="ITG")</formula>
    </cfRule>
  </conditionalFormatting>
  <conditionalFormatting sqref="D470">
    <cfRule type="expression" dxfId="4342" priority="4339" stopIfTrue="1">
      <formula>OR(LEFT(D470,4)="KHTT",LEFT(D470,5)="10USD",RIGHT(D470,3)="TTC",LEFT(D470,3)="TNT")</formula>
    </cfRule>
    <cfRule type="expression" dxfId="4341" priority="4340" stopIfTrue="1">
      <formula>OR(LEFT(D470,3)="CTU",LEFT(D470,4)="HDON")</formula>
    </cfRule>
    <cfRule type="expression" dxfId="4340" priority="4341" stopIfTrue="1">
      <formula>OR(LEFT(D470,4)="HOLD",OR(A470="QTNP",A470="HOA THO",A470="YES VINA",A470="HUNG YEN",A470="TEX GIANG",A470="HUNG LONG"),LEFT(A470,5)="HANES",LEFT(A470,3)="ITG")</formula>
    </cfRule>
  </conditionalFormatting>
  <conditionalFormatting sqref="D470">
    <cfRule type="expression" dxfId="4339" priority="4336" stopIfTrue="1">
      <formula>OR(LEFT(D470,4)="KHTT",LEFT(D470,5)="10USD",RIGHT(D470,3)="TTC",LEFT(D470,3)="TNT")</formula>
    </cfRule>
    <cfRule type="expression" dxfId="4338" priority="4337" stopIfTrue="1">
      <formula>OR(LEFT(D470,3)="CTU",LEFT(D470,4)="HDON")</formula>
    </cfRule>
    <cfRule type="expression" dxfId="4337" priority="4338" stopIfTrue="1">
      <formula>OR(LEFT(D470,4)="HOLD",OR(A470="QTNP",A470="HOA THO",A470="YES VINA",A470="HUNG YEN",A470="TEX GIANG",A470="HUNG LONG"),LEFT(A470,5)="HANES",LEFT(A470,3)="ITG")</formula>
    </cfRule>
  </conditionalFormatting>
  <conditionalFormatting sqref="D469">
    <cfRule type="expression" dxfId="4336" priority="4333" stopIfTrue="1">
      <formula>OR(LEFT(D469,4)="KHTT",LEFT(D469,5)="10USD",RIGHT(D469,3)="TTC",LEFT(D469,3)="TNT")</formula>
    </cfRule>
    <cfRule type="expression" dxfId="4335" priority="4334" stopIfTrue="1">
      <formula>OR(LEFT(D469,3)="CTU",LEFT(D469,4)="HDON")</formula>
    </cfRule>
    <cfRule type="expression" dxfId="4334" priority="4335" stopIfTrue="1">
      <formula>OR(LEFT(D469,4)="HOLD",OR(A469="QTNP",A469="HOA THO",A469="YES VINA",A469="HUNG YEN",A469="TEX GIANG",A469="HUNG LONG"),LEFT(A469,5)="HANES",LEFT(A469,3)="ITG")</formula>
    </cfRule>
  </conditionalFormatting>
  <conditionalFormatting sqref="D469">
    <cfRule type="expression" dxfId="4333" priority="4330" stopIfTrue="1">
      <formula>OR(LEFT(D469,4)="KHTT",LEFT(D469,5)="10USD",RIGHT(D469,3)="TTC",LEFT(D469,3)="TNT")</formula>
    </cfRule>
    <cfRule type="expression" dxfId="4332" priority="4331" stopIfTrue="1">
      <formula>OR(LEFT(D469,3)="CTU",LEFT(D469,4)="HDON")</formula>
    </cfRule>
    <cfRule type="expression" dxfId="4331" priority="4332" stopIfTrue="1">
      <formula>OR(LEFT(D469,4)="HOLD",OR(A469="QTNP",A469="HOA THO",A469="YES VINA",A469="HUNG YEN",A469="TEX GIANG",A469="HUNG LONG"),LEFT(A469,5)="HANES",LEFT(A469,3)="ITG")</formula>
    </cfRule>
  </conditionalFormatting>
  <conditionalFormatting sqref="D470">
    <cfRule type="expression" dxfId="4330" priority="4327" stopIfTrue="1">
      <formula>OR(LEFT(D470,4)="KHTT",LEFT(D470,5)="10USD",RIGHT(D470,3)="TTC",LEFT(D470,3)="TNT")</formula>
    </cfRule>
    <cfRule type="expression" dxfId="4329" priority="4328" stopIfTrue="1">
      <formula>OR(LEFT(D470,3)="CTU",LEFT(D470,4)="HDON")</formula>
    </cfRule>
    <cfRule type="expression" dxfId="4328" priority="4329" stopIfTrue="1">
      <formula>OR(LEFT(D470,4)="HOLD",OR(A470="QTNP",A470="HOA THO",A470="YES VINA",A470="HUNG YEN",A470="TEX GIANG",A470="HUNG LONG"),LEFT(A470,5)="HANES",LEFT(A470,3)="ITG")</formula>
    </cfRule>
  </conditionalFormatting>
  <conditionalFormatting sqref="D470">
    <cfRule type="expression" dxfId="4327" priority="4324" stopIfTrue="1">
      <formula>OR(LEFT(D470,4)="KHTT",LEFT(D470,5)="10USD",RIGHT(D470,3)="TTC",LEFT(D470,3)="TNT")</formula>
    </cfRule>
    <cfRule type="expression" dxfId="4326" priority="4325" stopIfTrue="1">
      <formula>OR(LEFT(D470,3)="CTU",LEFT(D470,4)="HDON")</formula>
    </cfRule>
    <cfRule type="expression" dxfId="4325" priority="4326" stopIfTrue="1">
      <formula>OR(LEFT(D470,4)="HOLD",OR(A470="QTNP",A470="HOA THO",A470="YES VINA",A470="HUNG YEN",A470="TEX GIANG",A470="HUNG LONG"),LEFT(A470,5)="HANES",LEFT(A470,3)="ITG")</formula>
    </cfRule>
  </conditionalFormatting>
  <conditionalFormatting sqref="D470">
    <cfRule type="expression" dxfId="4324" priority="4321" stopIfTrue="1">
      <formula>OR(LEFT(D470,4)="KHTT",LEFT(D470,5)="10USD",RIGHT(D470,3)="TTC",LEFT(D470,3)="TNT")</formula>
    </cfRule>
    <cfRule type="expression" dxfId="4323" priority="4322" stopIfTrue="1">
      <formula>OR(LEFT(D470,3)="CTU",LEFT(D470,4)="HDON")</formula>
    </cfRule>
    <cfRule type="expression" dxfId="4322" priority="4323" stopIfTrue="1">
      <formula>OR(LEFT(D470,4)="HOLD",OR(A470="QTNP",A470="HOA THO",A470="YES VINA",A470="HUNG YEN",A470="TEX GIANG",A470="HUNG LONG"),LEFT(A470,5)="HANES",LEFT(A470,3)="ITG")</formula>
    </cfRule>
  </conditionalFormatting>
  <conditionalFormatting sqref="D470">
    <cfRule type="expression" dxfId="4321" priority="4318" stopIfTrue="1">
      <formula>OR(LEFT(D470,4)="KHTT",LEFT(D470,5)="10USD",RIGHT(D470,3)="TTC",LEFT(D470,3)="TNT")</formula>
    </cfRule>
    <cfRule type="expression" dxfId="4320" priority="4319" stopIfTrue="1">
      <formula>OR(LEFT(D470,3)="CTU",LEFT(D470,4)="HDON")</formula>
    </cfRule>
    <cfRule type="expression" dxfId="4319" priority="4320" stopIfTrue="1">
      <formula>OR(LEFT(D470,4)="HOLD",OR(A470="QTNP",A470="HOA THO",A470="YES VINA",A470="HUNG YEN",A470="TEX GIANG",A470="HUNG LONG"),LEFT(A470,5)="HANES",LEFT(A470,3)="ITG")</formula>
    </cfRule>
  </conditionalFormatting>
  <conditionalFormatting sqref="D469">
    <cfRule type="expression" dxfId="4318" priority="4315" stopIfTrue="1">
      <formula>OR(LEFT(D469,4)="KHTT",LEFT(D469,5)="10USD",RIGHT(D469,3)="TTC",LEFT(D469,3)="TNT")</formula>
    </cfRule>
    <cfRule type="expression" dxfId="4317" priority="4316" stopIfTrue="1">
      <formula>OR(LEFT(D469,3)="CTU",LEFT(D469,4)="HDON")</formula>
    </cfRule>
    <cfRule type="expression" dxfId="4316" priority="4317" stopIfTrue="1">
      <formula>OR(LEFT(D469,4)="HOLD",OR(A469="QTNP",A469="HOA THO",A469="YES VINA",A469="HUNG YEN",A469="TEX GIANG",A469="HUNG LONG"),LEFT(A469,5)="HANES",LEFT(A469,3)="ITG")</formula>
    </cfRule>
  </conditionalFormatting>
  <conditionalFormatting sqref="D469">
    <cfRule type="expression" dxfId="4315" priority="4312" stopIfTrue="1">
      <formula>OR(LEFT(D469,4)="KHTT",LEFT(D469,5)="10USD",RIGHT(D469,3)="TTC",LEFT(D469,3)="TNT")</formula>
    </cfRule>
    <cfRule type="expression" dxfId="4314" priority="4313" stopIfTrue="1">
      <formula>OR(LEFT(D469,3)="CTU",LEFT(D469,4)="HDON")</formula>
    </cfRule>
    <cfRule type="expression" dxfId="4313" priority="4314" stopIfTrue="1">
      <formula>OR(LEFT(D469,4)="HOLD",OR(A469="QTNP",A469="HOA THO",A469="YES VINA",A469="HUNG YEN",A469="TEX GIANG",A469="HUNG LONG"),LEFT(A469,5)="HANES",LEFT(A469,3)="ITG")</formula>
    </cfRule>
  </conditionalFormatting>
  <conditionalFormatting sqref="D470">
    <cfRule type="expression" dxfId="4312" priority="4309" stopIfTrue="1">
      <formula>OR(LEFT(D470,4)="KHTT",LEFT(D470,5)="10USD",RIGHT(D470,3)="TTC",LEFT(D470,3)="TNT")</formula>
    </cfRule>
    <cfRule type="expression" dxfId="4311" priority="4310" stopIfTrue="1">
      <formula>OR(LEFT(D470,3)="CTU",LEFT(D470,4)="HDON")</formula>
    </cfRule>
    <cfRule type="expression" dxfId="4310" priority="4311" stopIfTrue="1">
      <formula>OR(LEFT(D470,4)="HOLD",OR(A470="QTNP",A470="HOA THO",A470="YES VINA",A470="HUNG YEN",A470="TEX GIANG",A470="HUNG LONG"),LEFT(A470,5)="HANES",LEFT(A470,3)="ITG")</formula>
    </cfRule>
  </conditionalFormatting>
  <conditionalFormatting sqref="D470">
    <cfRule type="expression" dxfId="4309" priority="4306" stopIfTrue="1">
      <formula>OR(LEFT(D470,4)="KHTT",LEFT(D470,5)="10USD",RIGHT(D470,3)="TTC",LEFT(D470,3)="TNT")</formula>
    </cfRule>
    <cfRule type="expression" dxfId="4308" priority="4307" stopIfTrue="1">
      <formula>OR(LEFT(D470,3)="CTU",LEFT(D470,4)="HDON")</formula>
    </cfRule>
    <cfRule type="expression" dxfId="4307" priority="4308" stopIfTrue="1">
      <formula>OR(LEFT(D470,4)="HOLD",OR(A470="QTNP",A470="HOA THO",A470="YES VINA",A470="HUNG YEN",A470="TEX GIANG",A470="HUNG LONG"),LEFT(A470,5)="HANES",LEFT(A470,3)="ITG")</formula>
    </cfRule>
  </conditionalFormatting>
  <conditionalFormatting sqref="D470">
    <cfRule type="expression" dxfId="4306" priority="4303" stopIfTrue="1">
      <formula>OR(LEFT(D470,4)="KHTT",LEFT(D470,5)="10USD",RIGHT(D470,3)="TTC",LEFT(D470,3)="TNT")</formula>
    </cfRule>
    <cfRule type="expression" dxfId="4305" priority="4304" stopIfTrue="1">
      <formula>OR(LEFT(D470,3)="CTU",LEFT(D470,4)="HDON")</formula>
    </cfRule>
    <cfRule type="expression" dxfId="4304" priority="4305" stopIfTrue="1">
      <formula>OR(LEFT(D470,4)="HOLD",OR(A470="QTNP",A470="HOA THO",A470="YES VINA",A470="HUNG YEN",A470="TEX GIANG",A470="HUNG LONG"),LEFT(A470,5)="HANES",LEFT(A470,3)="ITG")</formula>
    </cfRule>
  </conditionalFormatting>
  <conditionalFormatting sqref="D470">
    <cfRule type="expression" dxfId="4303" priority="4300" stopIfTrue="1">
      <formula>OR(LEFT(D470,4)="KHTT",LEFT(D470,5)="10USD",RIGHT(D470,3)="TTC",LEFT(D470,3)="TNT")</formula>
    </cfRule>
    <cfRule type="expression" dxfId="4302" priority="4301" stopIfTrue="1">
      <formula>OR(LEFT(D470,3)="CTU",LEFT(D470,4)="HDON")</formula>
    </cfRule>
    <cfRule type="expression" dxfId="4301" priority="4302" stopIfTrue="1">
      <formula>OR(LEFT(D470,4)="HOLD",OR(A470="QTNP",A470="HOA THO",A470="YES VINA",A470="HUNG YEN",A470="TEX GIANG",A470="HUNG LONG"),LEFT(A470,5)="HANES",LEFT(A470,3)="ITG")</formula>
    </cfRule>
  </conditionalFormatting>
  <conditionalFormatting sqref="D469">
    <cfRule type="expression" dxfId="4300" priority="4297" stopIfTrue="1">
      <formula>OR(LEFT(D469,4)="KHTT",LEFT(D469,5)="10USD",RIGHT(D469,3)="TTC",LEFT(D469,3)="TNT")</formula>
    </cfRule>
    <cfRule type="expression" dxfId="4299" priority="4298" stopIfTrue="1">
      <formula>OR(LEFT(D469,3)="CTU",LEFT(D469,4)="HDON")</formula>
    </cfRule>
    <cfRule type="expression" dxfId="4298" priority="4299" stopIfTrue="1">
      <formula>OR(LEFT(D469,4)="HOLD",OR(A469="QTNP",A469="HOA THO",A469="YES VINA",A469="HUNG YEN",A469="TEX GIANG",A469="HUNG LONG"),LEFT(A469,5)="HANES",LEFT(A469,3)="ITG")</formula>
    </cfRule>
  </conditionalFormatting>
  <conditionalFormatting sqref="D469">
    <cfRule type="expression" dxfId="4297" priority="4294" stopIfTrue="1">
      <formula>OR(LEFT(D469,4)="KHTT",LEFT(D469,5)="10USD",RIGHT(D469,3)="TTC",LEFT(D469,3)="TNT")</formula>
    </cfRule>
    <cfRule type="expression" dxfId="4296" priority="4295" stopIfTrue="1">
      <formula>OR(LEFT(D469,3)="CTU",LEFT(D469,4)="HDON")</formula>
    </cfRule>
    <cfRule type="expression" dxfId="4295" priority="4296" stopIfTrue="1">
      <formula>OR(LEFT(D469,4)="HOLD",OR(A469="QTNP",A469="HOA THO",A469="YES VINA",A469="HUNG YEN",A469="TEX GIANG",A469="HUNG LONG"),LEFT(A469,5)="HANES",LEFT(A469,3)="ITG")</formula>
    </cfRule>
  </conditionalFormatting>
  <conditionalFormatting sqref="D470">
    <cfRule type="expression" dxfId="4294" priority="4291" stopIfTrue="1">
      <formula>OR(LEFT(D470,4)="KHTT",LEFT(D470,5)="10USD",RIGHT(D470,3)="TTC",LEFT(D470,3)="TNT")</formula>
    </cfRule>
    <cfRule type="expression" dxfId="4293" priority="4292" stopIfTrue="1">
      <formula>OR(LEFT(D470,3)="CTU",LEFT(D470,4)="HDON")</formula>
    </cfRule>
    <cfRule type="expression" dxfId="4292" priority="4293" stopIfTrue="1">
      <formula>OR(LEFT(D470,4)="HOLD",OR(A470="QTNP",A470="HOA THO",A470="YES VINA",A470="HUNG YEN",A470="TEX GIANG",A470="HUNG LONG"),LEFT(A470,5)="HANES",LEFT(A470,3)="ITG")</formula>
    </cfRule>
  </conditionalFormatting>
  <conditionalFormatting sqref="D470">
    <cfRule type="expression" dxfId="4291" priority="4288" stopIfTrue="1">
      <formula>OR(LEFT(D470,4)="KHTT",LEFT(D470,5)="10USD",RIGHT(D470,3)="TTC",LEFT(D470,3)="TNT")</formula>
    </cfRule>
    <cfRule type="expression" dxfId="4290" priority="4289" stopIfTrue="1">
      <formula>OR(LEFT(D470,3)="CTU",LEFT(D470,4)="HDON")</formula>
    </cfRule>
    <cfRule type="expression" dxfId="4289" priority="4290" stopIfTrue="1">
      <formula>OR(LEFT(D470,4)="HOLD",OR(A470="QTNP",A470="HOA THO",A470="YES VINA",A470="HUNG YEN",A470="TEX GIANG",A470="HUNG LONG"),LEFT(A470,5)="HANES",LEFT(A470,3)="ITG")</formula>
    </cfRule>
  </conditionalFormatting>
  <conditionalFormatting sqref="D470">
    <cfRule type="expression" dxfId="4288" priority="4285" stopIfTrue="1">
      <formula>OR(LEFT(D470,4)="KHTT",LEFT(D470,5)="10USD",RIGHT(D470,3)="TTC",LEFT(D470,3)="TNT")</formula>
    </cfRule>
    <cfRule type="expression" dxfId="4287" priority="4286" stopIfTrue="1">
      <formula>OR(LEFT(D470,3)="CTU",LEFT(D470,4)="HDON")</formula>
    </cfRule>
    <cfRule type="expression" dxfId="4286" priority="4287" stopIfTrue="1">
      <formula>OR(LEFT(D470,4)="HOLD",OR(A470="QTNP",A470="HOA THO",A470="YES VINA",A470="HUNG YEN",A470="TEX GIANG",A470="HUNG LONG"),LEFT(A470,5)="HANES",LEFT(A470,3)="ITG")</formula>
    </cfRule>
  </conditionalFormatting>
  <conditionalFormatting sqref="D470">
    <cfRule type="expression" dxfId="4285" priority="4282" stopIfTrue="1">
      <formula>OR(LEFT(D470,4)="KHTT",LEFT(D470,5)="10USD",RIGHT(D470,3)="TTC",LEFT(D470,3)="TNT")</formula>
    </cfRule>
    <cfRule type="expression" dxfId="4284" priority="4283" stopIfTrue="1">
      <formula>OR(LEFT(D470,3)="CTU",LEFT(D470,4)="HDON")</formula>
    </cfRule>
    <cfRule type="expression" dxfId="4283" priority="4284" stopIfTrue="1">
      <formula>OR(LEFT(D470,4)="HOLD",OR(A470="QTNP",A470="HOA THO",A470="YES VINA",A470="HUNG YEN",A470="TEX GIANG",A470="HUNG LONG"),LEFT(A470,5)="HANES",LEFT(A470,3)="ITG")</formula>
    </cfRule>
  </conditionalFormatting>
  <conditionalFormatting sqref="D469">
    <cfRule type="expression" dxfId="4282" priority="4279" stopIfTrue="1">
      <formula>OR(LEFT(D469,4)="KHTT",LEFT(D469,5)="10USD",RIGHT(D469,3)="TTC",LEFT(D469,3)="TNT")</formula>
    </cfRule>
    <cfRule type="expression" dxfId="4281" priority="4280" stopIfTrue="1">
      <formula>OR(LEFT(D469,3)="CTU",LEFT(D469,4)="HDON")</formula>
    </cfRule>
    <cfRule type="expression" dxfId="4280" priority="4281" stopIfTrue="1">
      <formula>OR(LEFT(D469,4)="HOLD",OR(A469="QTNP",A469="HOA THO",A469="YES VINA",A469="HUNG YEN",A469="TEX GIANG",A469="HUNG LONG"),LEFT(A469,5)="HANES",LEFT(A469,3)="ITG")</formula>
    </cfRule>
  </conditionalFormatting>
  <conditionalFormatting sqref="D469">
    <cfRule type="expression" dxfId="4279" priority="4276" stopIfTrue="1">
      <formula>OR(LEFT(D469,4)="KHTT",LEFT(D469,5)="10USD",RIGHT(D469,3)="TTC",LEFT(D469,3)="TNT")</formula>
    </cfRule>
    <cfRule type="expression" dxfId="4278" priority="4277" stopIfTrue="1">
      <formula>OR(LEFT(D469,3)="CTU",LEFT(D469,4)="HDON")</formula>
    </cfRule>
    <cfRule type="expression" dxfId="4277" priority="4278" stopIfTrue="1">
      <formula>OR(LEFT(D469,4)="HOLD",OR(A469="QTNP",A469="HOA THO",A469="YES VINA",A469="HUNG YEN",A469="TEX GIANG",A469="HUNG LONG"),LEFT(A469,5)="HANES",LEFT(A469,3)="ITG")</formula>
    </cfRule>
  </conditionalFormatting>
  <conditionalFormatting sqref="D470">
    <cfRule type="expression" dxfId="4276" priority="4273" stopIfTrue="1">
      <formula>OR(LEFT(D470,4)="KHTT",LEFT(D470,5)="10USD",RIGHT(D470,3)="TTC",LEFT(D470,3)="TNT")</formula>
    </cfRule>
    <cfRule type="expression" dxfId="4275" priority="4274" stopIfTrue="1">
      <formula>OR(LEFT(D470,3)="CTU",LEFT(D470,4)="HDON")</formula>
    </cfRule>
    <cfRule type="expression" dxfId="4274" priority="4275" stopIfTrue="1">
      <formula>OR(LEFT(D470,4)="HOLD",OR(A470="QTNP",A470="HOA THO",A470="YES VINA",A470="HUNG YEN",A470="TEX GIANG",A470="HUNG LONG"),LEFT(A470,5)="HANES",LEFT(A470,3)="ITG")</formula>
    </cfRule>
  </conditionalFormatting>
  <conditionalFormatting sqref="D470">
    <cfRule type="expression" dxfId="4273" priority="4270" stopIfTrue="1">
      <formula>OR(LEFT(D470,4)="KHTT",LEFT(D470,5)="10USD",RIGHT(D470,3)="TTC",LEFT(D470,3)="TNT")</formula>
    </cfRule>
    <cfRule type="expression" dxfId="4272" priority="4271" stopIfTrue="1">
      <formula>OR(LEFT(D470,3)="CTU",LEFT(D470,4)="HDON")</formula>
    </cfRule>
    <cfRule type="expression" dxfId="4271" priority="4272" stopIfTrue="1">
      <formula>OR(LEFT(D470,4)="HOLD",OR(A470="QTNP",A470="HOA THO",A470="YES VINA",A470="HUNG YEN",A470="TEX GIANG",A470="HUNG LONG"),LEFT(A470,5)="HANES",LEFT(A470,3)="ITG")</formula>
    </cfRule>
  </conditionalFormatting>
  <conditionalFormatting sqref="D470">
    <cfRule type="expression" dxfId="4270" priority="4267" stopIfTrue="1">
      <formula>OR(LEFT(D470,4)="KHTT",LEFT(D470,5)="10USD",RIGHT(D470,3)="TTC",LEFT(D470,3)="TNT")</formula>
    </cfRule>
    <cfRule type="expression" dxfId="4269" priority="4268" stopIfTrue="1">
      <formula>OR(LEFT(D470,3)="CTU",LEFT(D470,4)="HDON")</formula>
    </cfRule>
    <cfRule type="expression" dxfId="4268" priority="4269" stopIfTrue="1">
      <formula>OR(LEFT(D470,4)="HOLD",OR(A470="QTNP",A470="HOA THO",A470="YES VINA",A470="HUNG YEN",A470="TEX GIANG",A470="HUNG LONG"),LEFT(A470,5)="HANES",LEFT(A470,3)="ITG")</formula>
    </cfRule>
  </conditionalFormatting>
  <conditionalFormatting sqref="D470">
    <cfRule type="expression" dxfId="4267" priority="4264" stopIfTrue="1">
      <formula>OR(LEFT(D470,4)="KHTT",LEFT(D470,5)="10USD",RIGHT(D470,3)="TTC",LEFT(D470,3)="TNT")</formula>
    </cfRule>
    <cfRule type="expression" dxfId="4266" priority="4265" stopIfTrue="1">
      <formula>OR(LEFT(D470,3)="CTU",LEFT(D470,4)="HDON")</formula>
    </cfRule>
    <cfRule type="expression" dxfId="4265" priority="4266" stopIfTrue="1">
      <formula>OR(LEFT(D470,4)="HOLD",OR(A470="QTNP",A470="HOA THO",A470="YES VINA",A470="HUNG YEN",A470="TEX GIANG",A470="HUNG LONG"),LEFT(A470,5)="HANES",LEFT(A470,3)="ITG")</formula>
    </cfRule>
  </conditionalFormatting>
  <conditionalFormatting sqref="D469">
    <cfRule type="expression" dxfId="4264" priority="4261" stopIfTrue="1">
      <formula>OR(LEFT(D469,4)="KHTT",LEFT(D469,5)="10USD",RIGHT(D469,3)="TTC",LEFT(D469,3)="TNT")</formula>
    </cfRule>
    <cfRule type="expression" dxfId="4263" priority="4262" stopIfTrue="1">
      <formula>OR(LEFT(D469,3)="CTU",LEFT(D469,4)="HDON")</formula>
    </cfRule>
    <cfRule type="expression" dxfId="4262" priority="4263" stopIfTrue="1">
      <formula>OR(LEFT(D469,4)="HOLD",OR(A469="QTNP",A469="HOA THO",A469="YES VINA",A469="HUNG YEN",A469="TEX GIANG",A469="HUNG LONG"),LEFT(A469,5)="HANES",LEFT(A469,3)="ITG")</formula>
    </cfRule>
  </conditionalFormatting>
  <conditionalFormatting sqref="D469">
    <cfRule type="expression" dxfId="4261" priority="4258" stopIfTrue="1">
      <formula>OR(LEFT(D469,4)="KHTT",LEFT(D469,5)="10USD",RIGHT(D469,3)="TTC",LEFT(D469,3)="TNT")</formula>
    </cfRule>
    <cfRule type="expression" dxfId="4260" priority="4259" stopIfTrue="1">
      <formula>OR(LEFT(D469,3)="CTU",LEFT(D469,4)="HDON")</formula>
    </cfRule>
    <cfRule type="expression" dxfId="4259" priority="4260" stopIfTrue="1">
      <formula>OR(LEFT(D469,4)="HOLD",OR(A469="QTNP",A469="HOA THO",A469="YES VINA",A469="HUNG YEN",A469="TEX GIANG",A469="HUNG LONG"),LEFT(A469,5)="HANES",LEFT(A469,3)="ITG")</formula>
    </cfRule>
  </conditionalFormatting>
  <conditionalFormatting sqref="D470">
    <cfRule type="expression" dxfId="4258" priority="4255" stopIfTrue="1">
      <formula>OR(LEFT(D470,4)="KHTT",LEFT(D470,5)="10USD",RIGHT(D470,3)="TTC",LEFT(D470,3)="TNT")</formula>
    </cfRule>
    <cfRule type="expression" dxfId="4257" priority="4256" stopIfTrue="1">
      <formula>OR(LEFT(D470,3)="CTU",LEFT(D470,4)="HDON")</formula>
    </cfRule>
    <cfRule type="expression" dxfId="4256" priority="4257" stopIfTrue="1">
      <formula>OR(LEFT(D470,4)="HOLD",OR(A470="QTNP",A470="HOA THO",A470="YES VINA",A470="HUNG YEN",A470="TEX GIANG",A470="HUNG LONG"),LEFT(A470,5)="HANES",LEFT(A470,3)="ITG")</formula>
    </cfRule>
  </conditionalFormatting>
  <conditionalFormatting sqref="D470">
    <cfRule type="expression" dxfId="4255" priority="4252" stopIfTrue="1">
      <formula>OR(LEFT(D470,4)="KHTT",LEFT(D470,5)="10USD",RIGHT(D470,3)="TTC",LEFT(D470,3)="TNT")</formula>
    </cfRule>
    <cfRule type="expression" dxfId="4254" priority="4253" stopIfTrue="1">
      <formula>OR(LEFT(D470,3)="CTU",LEFT(D470,4)="HDON")</formula>
    </cfRule>
    <cfRule type="expression" dxfId="4253" priority="4254" stopIfTrue="1">
      <formula>OR(LEFT(D470,4)="HOLD",OR(A470="QTNP",A470="HOA THO",A470="YES VINA",A470="HUNG YEN",A470="TEX GIANG",A470="HUNG LONG"),LEFT(A470,5)="HANES",LEFT(A470,3)="ITG")</formula>
    </cfRule>
  </conditionalFormatting>
  <conditionalFormatting sqref="D470">
    <cfRule type="expression" dxfId="4252" priority="4249" stopIfTrue="1">
      <formula>OR(LEFT(D470,4)="KHTT",LEFT(D470,5)="10USD",RIGHT(D470,3)="TTC",LEFT(D470,3)="TNT")</formula>
    </cfRule>
    <cfRule type="expression" dxfId="4251" priority="4250" stopIfTrue="1">
      <formula>OR(LEFT(D470,3)="CTU",LEFT(D470,4)="HDON")</formula>
    </cfRule>
    <cfRule type="expression" dxfId="4250" priority="4251" stopIfTrue="1">
      <formula>OR(LEFT(D470,4)="HOLD",OR(A470="QTNP",A470="HOA THO",A470="YES VINA",A470="HUNG YEN",A470="TEX GIANG",A470="HUNG LONG"),LEFT(A470,5)="HANES",LEFT(A470,3)="ITG")</formula>
    </cfRule>
  </conditionalFormatting>
  <conditionalFormatting sqref="D470">
    <cfRule type="expression" dxfId="4249" priority="4246" stopIfTrue="1">
      <formula>OR(LEFT(D470,4)="KHTT",LEFT(D470,5)="10USD",RIGHT(D470,3)="TTC",LEFT(D470,3)="TNT")</formula>
    </cfRule>
    <cfRule type="expression" dxfId="4248" priority="4247" stopIfTrue="1">
      <formula>OR(LEFT(D470,3)="CTU",LEFT(D470,4)="HDON")</formula>
    </cfRule>
    <cfRule type="expression" dxfId="4247" priority="4248" stopIfTrue="1">
      <formula>OR(LEFT(D470,4)="HOLD",OR(A470="QTNP",A470="HOA THO",A470="YES VINA",A470="HUNG YEN",A470="TEX GIANG",A470="HUNG LONG"),LEFT(A470,5)="HANES",LEFT(A470,3)="ITG")</formula>
    </cfRule>
  </conditionalFormatting>
  <conditionalFormatting sqref="D469">
    <cfRule type="expression" dxfId="4246" priority="4243" stopIfTrue="1">
      <formula>OR(LEFT(D469,4)="KHTT",LEFT(D469,5)="10USD",RIGHT(D469,3)="TTC",LEFT(D469,3)="TNT")</formula>
    </cfRule>
    <cfRule type="expression" dxfId="4245" priority="4244" stopIfTrue="1">
      <formula>OR(LEFT(D469,3)="CTU",LEFT(D469,4)="HDON")</formula>
    </cfRule>
    <cfRule type="expression" dxfId="4244" priority="4245" stopIfTrue="1">
      <formula>OR(LEFT(D469,4)="HOLD",OR(A469="QTNP",A469="HOA THO",A469="YES VINA",A469="HUNG YEN",A469="TEX GIANG",A469="HUNG LONG"),LEFT(A469,5)="HANES",LEFT(A469,3)="ITG")</formula>
    </cfRule>
  </conditionalFormatting>
  <conditionalFormatting sqref="D469">
    <cfRule type="expression" dxfId="4243" priority="4240" stopIfTrue="1">
      <formula>OR(LEFT(D469,4)="KHTT",LEFT(D469,5)="10USD",RIGHT(D469,3)="TTC",LEFT(D469,3)="TNT")</formula>
    </cfRule>
    <cfRule type="expression" dxfId="4242" priority="4241" stopIfTrue="1">
      <formula>OR(LEFT(D469,3)="CTU",LEFT(D469,4)="HDON")</formula>
    </cfRule>
    <cfRule type="expression" dxfId="4241" priority="4242" stopIfTrue="1">
      <formula>OR(LEFT(D469,4)="HOLD",OR(A469="QTNP",A469="HOA THO",A469="YES VINA",A469="HUNG YEN",A469="TEX GIANG",A469="HUNG LONG"),LEFT(A469,5)="HANES",LEFT(A469,3)="ITG")</formula>
    </cfRule>
  </conditionalFormatting>
  <conditionalFormatting sqref="D470">
    <cfRule type="expression" dxfId="4240" priority="4237" stopIfTrue="1">
      <formula>OR(LEFT(D470,4)="KHTT",LEFT(D470,5)="10USD",RIGHT(D470,3)="TTC",LEFT(D470,3)="TNT")</formula>
    </cfRule>
    <cfRule type="expression" dxfId="4239" priority="4238" stopIfTrue="1">
      <formula>OR(LEFT(D470,3)="CTU",LEFT(D470,4)="HDON")</formula>
    </cfRule>
    <cfRule type="expression" dxfId="4238" priority="4239" stopIfTrue="1">
      <formula>OR(LEFT(D470,4)="HOLD",OR(A470="QTNP",A470="HOA THO",A470="YES VINA",A470="HUNG YEN",A470="TEX GIANG",A470="HUNG LONG"),LEFT(A470,5)="HANES",LEFT(A470,3)="ITG")</formula>
    </cfRule>
  </conditionalFormatting>
  <conditionalFormatting sqref="D470">
    <cfRule type="expression" dxfId="4237" priority="4234" stopIfTrue="1">
      <formula>OR(LEFT(D470,4)="KHTT",LEFT(D470,5)="10USD",RIGHT(D470,3)="TTC",LEFT(D470,3)="TNT")</formula>
    </cfRule>
    <cfRule type="expression" dxfId="4236" priority="4235" stopIfTrue="1">
      <formula>OR(LEFT(D470,3)="CTU",LEFT(D470,4)="HDON")</formula>
    </cfRule>
    <cfRule type="expression" dxfId="4235" priority="4236" stopIfTrue="1">
      <formula>OR(LEFT(D470,4)="HOLD",OR(A470="QTNP",A470="HOA THO",A470="YES VINA",A470="HUNG YEN",A470="TEX GIANG",A470="HUNG LONG"),LEFT(A470,5)="HANES",LEFT(A470,3)="ITG")</formula>
    </cfRule>
  </conditionalFormatting>
  <conditionalFormatting sqref="D470">
    <cfRule type="expression" dxfId="4234" priority="4231" stopIfTrue="1">
      <formula>OR(LEFT(D470,4)="KHTT",LEFT(D470,5)="10USD",RIGHT(D470,3)="TTC",LEFT(D470,3)="TNT")</formula>
    </cfRule>
    <cfRule type="expression" dxfId="4233" priority="4232" stopIfTrue="1">
      <formula>OR(LEFT(D470,3)="CTU",LEFT(D470,4)="HDON")</formula>
    </cfRule>
    <cfRule type="expression" dxfId="4232" priority="4233" stopIfTrue="1">
      <formula>OR(LEFT(D470,4)="HOLD",OR(A470="QTNP",A470="HOA THO",A470="YES VINA",A470="HUNG YEN",A470="TEX GIANG",A470="HUNG LONG"),LEFT(A470,5)="HANES",LEFT(A470,3)="ITG")</formula>
    </cfRule>
  </conditionalFormatting>
  <conditionalFormatting sqref="D470">
    <cfRule type="expression" dxfId="4231" priority="4228" stopIfTrue="1">
      <formula>OR(LEFT(D470,4)="KHTT",LEFT(D470,5)="10USD",RIGHT(D470,3)="TTC",LEFT(D470,3)="TNT")</formula>
    </cfRule>
    <cfRule type="expression" dxfId="4230" priority="4229" stopIfTrue="1">
      <formula>OR(LEFT(D470,3)="CTU",LEFT(D470,4)="HDON")</formula>
    </cfRule>
    <cfRule type="expression" dxfId="4229" priority="4230" stopIfTrue="1">
      <formula>OR(LEFT(D470,4)="HOLD",OR(A470="QTNP",A470="HOA THO",A470="YES VINA",A470="HUNG YEN",A470="TEX GIANG",A470="HUNG LONG"),LEFT(A470,5)="HANES",LEFT(A470,3)="ITG")</formula>
    </cfRule>
  </conditionalFormatting>
  <conditionalFormatting sqref="D469">
    <cfRule type="expression" dxfId="4228" priority="4225" stopIfTrue="1">
      <formula>OR(LEFT(D469,4)="KHTT",LEFT(D469,5)="10USD",RIGHT(D469,3)="TTC",LEFT(D469,3)="TNT")</formula>
    </cfRule>
    <cfRule type="expression" dxfId="4227" priority="4226" stopIfTrue="1">
      <formula>OR(LEFT(D469,3)="CTU",LEFT(D469,4)="HDON")</formula>
    </cfRule>
    <cfRule type="expression" dxfId="4226" priority="4227" stopIfTrue="1">
      <formula>OR(LEFT(D469,4)="HOLD",OR(A469="QTNP",A469="HOA THO",A469="YES VINA",A469="HUNG YEN",A469="TEX GIANG",A469="HUNG LONG"),LEFT(A469,5)="HANES",LEFT(A469,3)="ITG")</formula>
    </cfRule>
  </conditionalFormatting>
  <conditionalFormatting sqref="D469">
    <cfRule type="expression" dxfId="4225" priority="4222" stopIfTrue="1">
      <formula>OR(LEFT(D469,4)="KHTT",LEFT(D469,5)="10USD",RIGHT(D469,3)="TTC",LEFT(D469,3)="TNT")</formula>
    </cfRule>
    <cfRule type="expression" dxfId="4224" priority="4223" stopIfTrue="1">
      <formula>OR(LEFT(D469,3)="CTU",LEFT(D469,4)="HDON")</formula>
    </cfRule>
    <cfRule type="expression" dxfId="4223" priority="4224" stopIfTrue="1">
      <formula>OR(LEFT(D469,4)="HOLD",OR(A469="QTNP",A469="HOA THO",A469="YES VINA",A469="HUNG YEN",A469="TEX GIANG",A469="HUNG LONG"),LEFT(A469,5)="HANES",LEFT(A469,3)="ITG")</formula>
    </cfRule>
  </conditionalFormatting>
  <conditionalFormatting sqref="D470">
    <cfRule type="expression" dxfId="4222" priority="4219" stopIfTrue="1">
      <formula>OR(LEFT(D470,4)="KHTT",LEFT(D470,5)="10USD",RIGHT(D470,3)="TTC",LEFT(D470,3)="TNT")</formula>
    </cfRule>
    <cfRule type="expression" dxfId="4221" priority="4220" stopIfTrue="1">
      <formula>OR(LEFT(D470,3)="CTU",LEFT(D470,4)="HDON")</formula>
    </cfRule>
    <cfRule type="expression" dxfId="4220" priority="4221" stopIfTrue="1">
      <formula>OR(LEFT(D470,4)="HOLD",OR(A470="QTNP",A470="HOA THO",A470="YES VINA",A470="HUNG YEN",A470="TEX GIANG",A470="HUNG LONG"),LEFT(A470,5)="HANES",LEFT(A470,3)="ITG")</formula>
    </cfRule>
  </conditionalFormatting>
  <conditionalFormatting sqref="D470">
    <cfRule type="expression" dxfId="4219" priority="4216" stopIfTrue="1">
      <formula>OR(LEFT(D470,4)="KHTT",LEFT(D470,5)="10USD",RIGHT(D470,3)="TTC",LEFT(D470,3)="TNT")</formula>
    </cfRule>
    <cfRule type="expression" dxfId="4218" priority="4217" stopIfTrue="1">
      <formula>OR(LEFT(D470,3)="CTU",LEFT(D470,4)="HDON")</formula>
    </cfRule>
    <cfRule type="expression" dxfId="4217" priority="4218" stopIfTrue="1">
      <formula>OR(LEFT(D470,4)="HOLD",OR(A470="QTNP",A470="HOA THO",A470="YES VINA",A470="HUNG YEN",A470="TEX GIANG",A470="HUNG LONG"),LEFT(A470,5)="HANES",LEFT(A470,3)="ITG")</formula>
    </cfRule>
  </conditionalFormatting>
  <conditionalFormatting sqref="D470">
    <cfRule type="expression" dxfId="4216" priority="4213" stopIfTrue="1">
      <formula>OR(LEFT(D470,4)="KHTT",LEFT(D470,5)="10USD",RIGHT(D470,3)="TTC",LEFT(D470,3)="TNT")</formula>
    </cfRule>
    <cfRule type="expression" dxfId="4215" priority="4214" stopIfTrue="1">
      <formula>OR(LEFT(D470,3)="CTU",LEFT(D470,4)="HDON")</formula>
    </cfRule>
    <cfRule type="expression" dxfId="4214" priority="4215" stopIfTrue="1">
      <formula>OR(LEFT(D470,4)="HOLD",OR(A470="QTNP",A470="HOA THO",A470="YES VINA",A470="HUNG YEN",A470="TEX GIANG",A470="HUNG LONG"),LEFT(A470,5)="HANES",LEFT(A470,3)="ITG")</formula>
    </cfRule>
  </conditionalFormatting>
  <conditionalFormatting sqref="D470">
    <cfRule type="expression" dxfId="4213" priority="4210" stopIfTrue="1">
      <formula>OR(LEFT(D470,4)="KHTT",LEFT(D470,5)="10USD",RIGHT(D470,3)="TTC",LEFT(D470,3)="TNT")</formula>
    </cfRule>
    <cfRule type="expression" dxfId="4212" priority="4211" stopIfTrue="1">
      <formula>OR(LEFT(D470,3)="CTU",LEFT(D470,4)="HDON")</formula>
    </cfRule>
    <cfRule type="expression" dxfId="4211" priority="4212" stopIfTrue="1">
      <formula>OR(LEFT(D470,4)="HOLD",OR(A470="QTNP",A470="HOA THO",A470="YES VINA",A470="HUNG YEN",A470="TEX GIANG",A470="HUNG LONG"),LEFT(A470,5)="HANES",LEFT(A470,3)="ITG")</formula>
    </cfRule>
  </conditionalFormatting>
  <conditionalFormatting sqref="D469">
    <cfRule type="expression" dxfId="4210" priority="4207" stopIfTrue="1">
      <formula>OR(LEFT(D469,4)="KHTT",LEFT(D469,5)="10USD",RIGHT(D469,3)="TTC",LEFT(D469,3)="TNT")</formula>
    </cfRule>
    <cfRule type="expression" dxfId="4209" priority="4208" stopIfTrue="1">
      <formula>OR(LEFT(D469,3)="CTU",LEFT(D469,4)="HDON")</formula>
    </cfRule>
    <cfRule type="expression" dxfId="4208" priority="4209" stopIfTrue="1">
      <formula>OR(LEFT(D469,4)="HOLD",OR(A469="QTNP",A469="HOA THO",A469="YES VINA",A469="HUNG YEN",A469="TEX GIANG",A469="HUNG LONG"),LEFT(A469,5)="HANES",LEFT(A469,3)="ITG")</formula>
    </cfRule>
  </conditionalFormatting>
  <conditionalFormatting sqref="D469">
    <cfRule type="expression" dxfId="4207" priority="4204" stopIfTrue="1">
      <formula>OR(LEFT(D469,4)="KHTT",LEFT(D469,5)="10USD",RIGHT(D469,3)="TTC",LEFT(D469,3)="TNT")</formula>
    </cfRule>
    <cfRule type="expression" dxfId="4206" priority="4205" stopIfTrue="1">
      <formula>OR(LEFT(D469,3)="CTU",LEFT(D469,4)="HDON")</formula>
    </cfRule>
    <cfRule type="expression" dxfId="4205" priority="4206" stopIfTrue="1">
      <formula>OR(LEFT(D469,4)="HOLD",OR(A469="QTNP",A469="HOA THO",A469="YES VINA",A469="HUNG YEN",A469="TEX GIANG",A469="HUNG LONG"),LEFT(A469,5)="HANES",LEFT(A469,3)="ITG")</formula>
    </cfRule>
  </conditionalFormatting>
  <conditionalFormatting sqref="D470">
    <cfRule type="expression" dxfId="4204" priority="4201" stopIfTrue="1">
      <formula>OR(LEFT(D470,4)="KHTT",LEFT(D470,5)="10USD",RIGHT(D470,3)="TTC",LEFT(D470,3)="TNT")</formula>
    </cfRule>
    <cfRule type="expression" dxfId="4203" priority="4202" stopIfTrue="1">
      <formula>OR(LEFT(D470,3)="CTU",LEFT(D470,4)="HDON")</formula>
    </cfRule>
    <cfRule type="expression" dxfId="4202" priority="4203" stopIfTrue="1">
      <formula>OR(LEFT(D470,4)="HOLD",OR(A470="QTNP",A470="HOA THO",A470="YES VINA",A470="HUNG YEN",A470="TEX GIANG",A470="HUNG LONG"),LEFT(A470,5)="HANES",LEFT(A470,3)="ITG")</formula>
    </cfRule>
  </conditionalFormatting>
  <conditionalFormatting sqref="D470">
    <cfRule type="expression" dxfId="4201" priority="4198" stopIfTrue="1">
      <formula>OR(LEFT(D470,4)="KHTT",LEFT(D470,5)="10USD",RIGHT(D470,3)="TTC",LEFT(D470,3)="TNT")</formula>
    </cfRule>
    <cfRule type="expression" dxfId="4200" priority="4199" stopIfTrue="1">
      <formula>OR(LEFT(D470,3)="CTU",LEFT(D470,4)="HDON")</formula>
    </cfRule>
    <cfRule type="expression" dxfId="4199" priority="4200" stopIfTrue="1">
      <formula>OR(LEFT(D470,4)="HOLD",OR(A470="QTNP",A470="HOA THO",A470="YES VINA",A470="HUNG YEN",A470="TEX GIANG",A470="HUNG LONG"),LEFT(A470,5)="HANES",LEFT(A470,3)="ITG")</formula>
    </cfRule>
  </conditionalFormatting>
  <conditionalFormatting sqref="D470">
    <cfRule type="expression" dxfId="4198" priority="4195" stopIfTrue="1">
      <formula>OR(LEFT(D470,4)="KHTT",LEFT(D470,5)="10USD",RIGHT(D470,3)="TTC",LEFT(D470,3)="TNT")</formula>
    </cfRule>
    <cfRule type="expression" dxfId="4197" priority="4196" stopIfTrue="1">
      <formula>OR(LEFT(D470,3)="CTU",LEFT(D470,4)="HDON")</formula>
    </cfRule>
    <cfRule type="expression" dxfId="4196" priority="4197" stopIfTrue="1">
      <formula>OR(LEFT(D470,4)="HOLD",OR(A470="QTNP",A470="HOA THO",A470="YES VINA",A470="HUNG YEN",A470="TEX GIANG",A470="HUNG LONG"),LEFT(A470,5)="HANES",LEFT(A470,3)="ITG")</formula>
    </cfRule>
  </conditionalFormatting>
  <conditionalFormatting sqref="D470">
    <cfRule type="expression" dxfId="4195" priority="4192" stopIfTrue="1">
      <formula>OR(LEFT(D470,4)="KHTT",LEFT(D470,5)="10USD",RIGHT(D470,3)="TTC",LEFT(D470,3)="TNT")</formula>
    </cfRule>
    <cfRule type="expression" dxfId="4194" priority="4193" stopIfTrue="1">
      <formula>OR(LEFT(D470,3)="CTU",LEFT(D470,4)="HDON")</formula>
    </cfRule>
    <cfRule type="expression" dxfId="4193" priority="4194" stopIfTrue="1">
      <formula>OR(LEFT(D470,4)="HOLD",OR(A470="QTNP",A470="HOA THO",A470="YES VINA",A470="HUNG YEN",A470="TEX GIANG",A470="HUNG LONG"),LEFT(A470,5)="HANES",LEFT(A470,3)="ITG")</formula>
    </cfRule>
  </conditionalFormatting>
  <conditionalFormatting sqref="D469">
    <cfRule type="expression" dxfId="4192" priority="4189" stopIfTrue="1">
      <formula>OR(LEFT(D469,4)="KHTT",LEFT(D469,5)="10USD",RIGHT(D469,3)="TTC",LEFT(D469,3)="TNT")</formula>
    </cfRule>
    <cfRule type="expression" dxfId="4191" priority="4190" stopIfTrue="1">
      <formula>OR(LEFT(D469,3)="CTU",LEFT(D469,4)="HDON")</formula>
    </cfRule>
    <cfRule type="expression" dxfId="4190" priority="4191" stopIfTrue="1">
      <formula>OR(LEFT(D469,4)="HOLD",OR(A469="QTNP",A469="HOA THO",A469="YES VINA",A469="HUNG YEN",A469="TEX GIANG",A469="HUNG LONG"),LEFT(A469,5)="HANES",LEFT(A469,3)="ITG")</formula>
    </cfRule>
  </conditionalFormatting>
  <conditionalFormatting sqref="D469">
    <cfRule type="expression" dxfId="4189" priority="4186" stopIfTrue="1">
      <formula>OR(LEFT(D469,4)="KHTT",LEFT(D469,5)="10USD",RIGHT(D469,3)="TTC",LEFT(D469,3)="TNT")</formula>
    </cfRule>
    <cfRule type="expression" dxfId="4188" priority="4187" stopIfTrue="1">
      <formula>OR(LEFT(D469,3)="CTU",LEFT(D469,4)="HDON")</formula>
    </cfRule>
    <cfRule type="expression" dxfId="4187" priority="4188" stopIfTrue="1">
      <formula>OR(LEFT(D469,4)="HOLD",OR(A469="QTNP",A469="HOA THO",A469="YES VINA",A469="HUNG YEN",A469="TEX GIANG",A469="HUNG LONG"),LEFT(A469,5)="HANES",LEFT(A469,3)="ITG")</formula>
    </cfRule>
  </conditionalFormatting>
  <conditionalFormatting sqref="D470">
    <cfRule type="expression" dxfId="4186" priority="4183" stopIfTrue="1">
      <formula>OR(LEFT(D470,4)="KHTT",LEFT(D470,5)="10USD",RIGHT(D470,3)="TTC",LEFT(D470,3)="TNT")</formula>
    </cfRule>
    <cfRule type="expression" dxfId="4185" priority="4184" stopIfTrue="1">
      <formula>OR(LEFT(D470,3)="CTU",LEFT(D470,4)="HDON")</formula>
    </cfRule>
    <cfRule type="expression" dxfId="4184" priority="4185" stopIfTrue="1">
      <formula>OR(LEFT(D470,4)="HOLD",OR(A470="QTNP",A470="HOA THO",A470="YES VINA",A470="HUNG YEN",A470="TEX GIANG",A470="HUNG LONG"),LEFT(A470,5)="HANES",LEFT(A470,3)="ITG")</formula>
    </cfRule>
  </conditionalFormatting>
  <conditionalFormatting sqref="D470">
    <cfRule type="expression" dxfId="4183" priority="4180" stopIfTrue="1">
      <formula>OR(LEFT(D470,4)="KHTT",LEFT(D470,5)="10USD",RIGHT(D470,3)="TTC",LEFT(D470,3)="TNT")</formula>
    </cfRule>
    <cfRule type="expression" dxfId="4182" priority="4181" stopIfTrue="1">
      <formula>OR(LEFT(D470,3)="CTU",LEFT(D470,4)="HDON")</formula>
    </cfRule>
    <cfRule type="expression" dxfId="4181" priority="4182" stopIfTrue="1">
      <formula>OR(LEFT(D470,4)="HOLD",OR(A470="QTNP",A470="HOA THO",A470="YES VINA",A470="HUNG YEN",A470="TEX GIANG",A470="HUNG LONG"),LEFT(A470,5)="HANES",LEFT(A470,3)="ITG")</formula>
    </cfRule>
  </conditionalFormatting>
  <conditionalFormatting sqref="D470">
    <cfRule type="expression" dxfId="4180" priority="4177" stopIfTrue="1">
      <formula>OR(LEFT(D470,4)="KHTT",LEFT(D470,5)="10USD",RIGHT(D470,3)="TTC",LEFT(D470,3)="TNT")</formula>
    </cfRule>
    <cfRule type="expression" dxfId="4179" priority="4178" stopIfTrue="1">
      <formula>OR(LEFT(D470,3)="CTU",LEFT(D470,4)="HDON")</formula>
    </cfRule>
    <cfRule type="expression" dxfId="4178" priority="4179" stopIfTrue="1">
      <formula>OR(LEFT(D470,4)="HOLD",OR(A470="QTNP",A470="HOA THO",A470="YES VINA",A470="HUNG YEN",A470="TEX GIANG",A470="HUNG LONG"),LEFT(A470,5)="HANES",LEFT(A470,3)="ITG")</formula>
    </cfRule>
  </conditionalFormatting>
  <conditionalFormatting sqref="D470">
    <cfRule type="expression" dxfId="4177" priority="4174" stopIfTrue="1">
      <formula>OR(LEFT(D470,4)="KHTT",LEFT(D470,5)="10USD",RIGHT(D470,3)="TTC",LEFT(D470,3)="TNT")</formula>
    </cfRule>
    <cfRule type="expression" dxfId="4176" priority="4175" stopIfTrue="1">
      <formula>OR(LEFT(D470,3)="CTU",LEFT(D470,4)="HDON")</formula>
    </cfRule>
    <cfRule type="expression" dxfId="4175" priority="4176" stopIfTrue="1">
      <formula>OR(LEFT(D470,4)="HOLD",OR(A470="QTNP",A470="HOA THO",A470="YES VINA",A470="HUNG YEN",A470="TEX GIANG",A470="HUNG LONG"),LEFT(A470,5)="HANES",LEFT(A470,3)="ITG")</formula>
    </cfRule>
  </conditionalFormatting>
  <conditionalFormatting sqref="D469">
    <cfRule type="expression" dxfId="4174" priority="4171" stopIfTrue="1">
      <formula>OR(LEFT(D469,4)="KHTT",LEFT(D469,5)="10USD",RIGHT(D469,3)="TTC",LEFT(D469,3)="TNT")</formula>
    </cfRule>
    <cfRule type="expression" dxfId="4173" priority="4172" stopIfTrue="1">
      <formula>OR(LEFT(D469,3)="CTU",LEFT(D469,4)="HDON")</formula>
    </cfRule>
    <cfRule type="expression" dxfId="4172" priority="4173" stopIfTrue="1">
      <formula>OR(LEFT(D469,4)="HOLD",OR(A469="QTNP",A469="HOA THO",A469="YES VINA",A469="HUNG YEN",A469="TEX GIANG",A469="HUNG LONG"),LEFT(A469,5)="HANES",LEFT(A469,3)="ITG")</formula>
    </cfRule>
  </conditionalFormatting>
  <conditionalFormatting sqref="D469">
    <cfRule type="expression" dxfId="4171" priority="4168" stopIfTrue="1">
      <formula>OR(LEFT(D469,4)="KHTT",LEFT(D469,5)="10USD",RIGHT(D469,3)="TTC",LEFT(D469,3)="TNT")</formula>
    </cfRule>
    <cfRule type="expression" dxfId="4170" priority="4169" stopIfTrue="1">
      <formula>OR(LEFT(D469,3)="CTU",LEFT(D469,4)="HDON")</formula>
    </cfRule>
    <cfRule type="expression" dxfId="4169" priority="4170" stopIfTrue="1">
      <formula>OR(LEFT(D469,4)="HOLD",OR(A469="QTNP",A469="HOA THO",A469="YES VINA",A469="HUNG YEN",A469="TEX GIANG",A469="HUNG LONG"),LEFT(A469,5)="HANES",LEFT(A469,3)="ITG")</formula>
    </cfRule>
  </conditionalFormatting>
  <conditionalFormatting sqref="D470">
    <cfRule type="expression" dxfId="4168" priority="4165" stopIfTrue="1">
      <formula>OR(LEFT(D470,4)="KHTT",LEFT(D470,5)="10USD",RIGHT(D470,3)="TTC",LEFT(D470,3)="TNT")</formula>
    </cfRule>
    <cfRule type="expression" dxfId="4167" priority="4166" stopIfTrue="1">
      <formula>OR(LEFT(D470,3)="CTU",LEFT(D470,4)="HDON")</formula>
    </cfRule>
    <cfRule type="expression" dxfId="4166" priority="4167" stopIfTrue="1">
      <formula>OR(LEFT(D470,4)="HOLD",OR(A470="QTNP",A470="HOA THO",A470="YES VINA",A470="HUNG YEN",A470="TEX GIANG",A470="HUNG LONG"),LEFT(A470,5)="HANES",LEFT(A470,3)="ITG")</formula>
    </cfRule>
  </conditionalFormatting>
  <conditionalFormatting sqref="D470">
    <cfRule type="expression" dxfId="4165" priority="4162" stopIfTrue="1">
      <formula>OR(LEFT(D470,4)="KHTT",LEFT(D470,5)="10USD",RIGHT(D470,3)="TTC",LEFT(D470,3)="TNT")</formula>
    </cfRule>
    <cfRule type="expression" dxfId="4164" priority="4163" stopIfTrue="1">
      <formula>OR(LEFT(D470,3)="CTU",LEFT(D470,4)="HDON")</formula>
    </cfRule>
    <cfRule type="expression" dxfId="4163" priority="4164" stopIfTrue="1">
      <formula>OR(LEFT(D470,4)="HOLD",OR(A470="QTNP",A470="HOA THO",A470="YES VINA",A470="HUNG YEN",A470="TEX GIANG",A470="HUNG LONG"),LEFT(A470,5)="HANES",LEFT(A470,3)="ITG")</formula>
    </cfRule>
  </conditionalFormatting>
  <conditionalFormatting sqref="D470">
    <cfRule type="expression" dxfId="4162" priority="4159" stopIfTrue="1">
      <formula>OR(LEFT(D470,4)="KHTT",LEFT(D470,5)="10USD",RIGHT(D470,3)="TTC",LEFT(D470,3)="TNT")</formula>
    </cfRule>
    <cfRule type="expression" dxfId="4161" priority="4160" stopIfTrue="1">
      <formula>OR(LEFT(D470,3)="CTU",LEFT(D470,4)="HDON")</formula>
    </cfRule>
    <cfRule type="expression" dxfId="4160" priority="4161" stopIfTrue="1">
      <formula>OR(LEFT(D470,4)="HOLD",OR(A470="QTNP",A470="HOA THO",A470="YES VINA",A470="HUNG YEN",A470="TEX GIANG",A470="HUNG LONG"),LEFT(A470,5)="HANES",LEFT(A470,3)="ITG")</formula>
    </cfRule>
  </conditionalFormatting>
  <conditionalFormatting sqref="D470">
    <cfRule type="expression" dxfId="4159" priority="4156" stopIfTrue="1">
      <formula>OR(LEFT(D470,4)="KHTT",LEFT(D470,5)="10USD",RIGHT(D470,3)="TTC",LEFT(D470,3)="TNT")</formula>
    </cfRule>
    <cfRule type="expression" dxfId="4158" priority="4157" stopIfTrue="1">
      <formula>OR(LEFT(D470,3)="CTU",LEFT(D470,4)="HDON")</formula>
    </cfRule>
    <cfRule type="expression" dxfId="4157" priority="4158" stopIfTrue="1">
      <formula>OR(LEFT(D470,4)="HOLD",OR(A470="QTNP",A470="HOA THO",A470="YES VINA",A470="HUNG YEN",A470="TEX GIANG",A470="HUNG LONG"),LEFT(A470,5)="HANES",LEFT(A470,3)="ITG")</formula>
    </cfRule>
  </conditionalFormatting>
  <conditionalFormatting sqref="D469">
    <cfRule type="expression" dxfId="4156" priority="4153" stopIfTrue="1">
      <formula>OR(LEFT(D469,4)="KHTT",LEFT(D469,5)="10USD",RIGHT(D469,3)="TTC",LEFT(D469,3)="TNT")</formula>
    </cfRule>
    <cfRule type="expression" dxfId="4155" priority="4154" stopIfTrue="1">
      <formula>OR(LEFT(D469,3)="CTU",LEFT(D469,4)="HDON")</formula>
    </cfRule>
    <cfRule type="expression" dxfId="4154" priority="4155" stopIfTrue="1">
      <formula>OR(LEFT(D469,4)="HOLD",OR(A469="QTNP",A469="HOA THO",A469="YES VINA",A469="HUNG YEN",A469="TEX GIANG",A469="HUNG LONG"),LEFT(A469,5)="HANES",LEFT(A469,3)="ITG")</formula>
    </cfRule>
  </conditionalFormatting>
  <conditionalFormatting sqref="D469">
    <cfRule type="expression" dxfId="4153" priority="4150" stopIfTrue="1">
      <formula>OR(LEFT(D469,4)="KHTT",LEFT(D469,5)="10USD",RIGHT(D469,3)="TTC",LEFT(D469,3)="TNT")</formula>
    </cfRule>
    <cfRule type="expression" dxfId="4152" priority="4151" stopIfTrue="1">
      <formula>OR(LEFT(D469,3)="CTU",LEFT(D469,4)="HDON")</formula>
    </cfRule>
    <cfRule type="expression" dxfId="4151" priority="4152" stopIfTrue="1">
      <formula>OR(LEFT(D469,4)="HOLD",OR(A469="QTNP",A469="HOA THO",A469="YES VINA",A469="HUNG YEN",A469="TEX GIANG",A469="HUNG LONG"),LEFT(A469,5)="HANES",LEFT(A469,3)="ITG")</formula>
    </cfRule>
  </conditionalFormatting>
  <conditionalFormatting sqref="D470">
    <cfRule type="expression" dxfId="4150" priority="4147" stopIfTrue="1">
      <formula>OR(LEFT(D470,4)="KHTT",LEFT(D470,5)="10USD",RIGHT(D470,3)="TTC",LEFT(D470,3)="TNT")</formula>
    </cfRule>
    <cfRule type="expression" dxfId="4149" priority="4148" stopIfTrue="1">
      <formula>OR(LEFT(D470,3)="CTU",LEFT(D470,4)="HDON")</formula>
    </cfRule>
    <cfRule type="expression" dxfId="4148" priority="4149" stopIfTrue="1">
      <formula>OR(LEFT(D470,4)="HOLD",OR(A470="QTNP",A470="HOA THO",A470="YES VINA",A470="HUNG YEN",A470="TEX GIANG",A470="HUNG LONG"),LEFT(A470,5)="HANES",LEFT(A470,3)="ITG")</formula>
    </cfRule>
  </conditionalFormatting>
  <conditionalFormatting sqref="D470">
    <cfRule type="expression" dxfId="4147" priority="4144" stopIfTrue="1">
      <formula>OR(LEFT(D470,4)="KHTT",LEFT(D470,5)="10USD",RIGHT(D470,3)="TTC",LEFT(D470,3)="TNT")</formula>
    </cfRule>
    <cfRule type="expression" dxfId="4146" priority="4145" stopIfTrue="1">
      <formula>OR(LEFT(D470,3)="CTU",LEFT(D470,4)="HDON")</formula>
    </cfRule>
    <cfRule type="expression" dxfId="4145" priority="4146" stopIfTrue="1">
      <formula>OR(LEFT(D470,4)="HOLD",OR(A470="QTNP",A470="HOA THO",A470="YES VINA",A470="HUNG YEN",A470="TEX GIANG",A470="HUNG LONG"),LEFT(A470,5)="HANES",LEFT(A470,3)="ITG")</formula>
    </cfRule>
  </conditionalFormatting>
  <conditionalFormatting sqref="D470">
    <cfRule type="expression" dxfId="4144" priority="4141" stopIfTrue="1">
      <formula>OR(LEFT(D470,4)="KHTT",LEFT(D470,5)="10USD",RIGHT(D470,3)="TTC",LEFT(D470,3)="TNT")</formula>
    </cfRule>
    <cfRule type="expression" dxfId="4143" priority="4142" stopIfTrue="1">
      <formula>OR(LEFT(D470,3)="CTU",LEFT(D470,4)="HDON")</formula>
    </cfRule>
    <cfRule type="expression" dxfId="4142" priority="4143" stopIfTrue="1">
      <formula>OR(LEFT(D470,4)="HOLD",OR(A470="QTNP",A470="HOA THO",A470="YES VINA",A470="HUNG YEN",A470="TEX GIANG",A470="HUNG LONG"),LEFT(A470,5)="HANES",LEFT(A470,3)="ITG")</formula>
    </cfRule>
  </conditionalFormatting>
  <conditionalFormatting sqref="D470">
    <cfRule type="expression" dxfId="4141" priority="4138" stopIfTrue="1">
      <formula>OR(LEFT(D470,4)="KHTT",LEFT(D470,5)="10USD",RIGHT(D470,3)="TTC",LEFT(D470,3)="TNT")</formula>
    </cfRule>
    <cfRule type="expression" dxfId="4140" priority="4139" stopIfTrue="1">
      <formula>OR(LEFT(D470,3)="CTU",LEFT(D470,4)="HDON")</formula>
    </cfRule>
    <cfRule type="expression" dxfId="4139" priority="4140" stopIfTrue="1">
      <formula>OR(LEFT(D470,4)="HOLD",OR(A470="QTNP",A470="HOA THO",A470="YES VINA",A470="HUNG YEN",A470="TEX GIANG",A470="HUNG LONG"),LEFT(A470,5)="HANES",LEFT(A470,3)="ITG")</formula>
    </cfRule>
  </conditionalFormatting>
  <conditionalFormatting sqref="D469">
    <cfRule type="expression" dxfId="4138" priority="4135" stopIfTrue="1">
      <formula>OR(LEFT(D469,4)="KHTT",LEFT(D469,5)="10USD",RIGHT(D469,3)="TTC",LEFT(D469,3)="TNT")</formula>
    </cfRule>
    <cfRule type="expression" dxfId="4137" priority="4136" stopIfTrue="1">
      <formula>OR(LEFT(D469,3)="CTU",LEFT(D469,4)="HDON")</formula>
    </cfRule>
    <cfRule type="expression" dxfId="4136" priority="4137" stopIfTrue="1">
      <formula>OR(LEFT(D469,4)="HOLD",OR(A469="QTNP",A469="HOA THO",A469="YES VINA",A469="HUNG YEN",A469="TEX GIANG",A469="HUNG LONG"),LEFT(A469,5)="HANES",LEFT(A469,3)="ITG")</formula>
    </cfRule>
  </conditionalFormatting>
  <conditionalFormatting sqref="D469">
    <cfRule type="expression" dxfId="4135" priority="4132" stopIfTrue="1">
      <formula>OR(LEFT(D469,4)="KHTT",LEFT(D469,5)="10USD",RIGHT(D469,3)="TTC",LEFT(D469,3)="TNT")</formula>
    </cfRule>
    <cfRule type="expression" dxfId="4134" priority="4133" stopIfTrue="1">
      <formula>OR(LEFT(D469,3)="CTU",LEFT(D469,4)="HDON")</formula>
    </cfRule>
    <cfRule type="expression" dxfId="4133" priority="4134" stopIfTrue="1">
      <formula>OR(LEFT(D469,4)="HOLD",OR(A469="QTNP",A469="HOA THO",A469="YES VINA",A469="HUNG YEN",A469="TEX GIANG",A469="HUNG LONG"),LEFT(A469,5)="HANES",LEFT(A469,3)="ITG")</formula>
    </cfRule>
  </conditionalFormatting>
  <conditionalFormatting sqref="D470">
    <cfRule type="expression" dxfId="4132" priority="4129" stopIfTrue="1">
      <formula>OR(LEFT(D470,4)="KHTT",LEFT(D470,5)="10USD",RIGHT(D470,3)="TTC",LEFT(D470,3)="TNT")</formula>
    </cfRule>
    <cfRule type="expression" dxfId="4131" priority="4130" stopIfTrue="1">
      <formula>OR(LEFT(D470,3)="CTU",LEFT(D470,4)="HDON")</formula>
    </cfRule>
    <cfRule type="expression" dxfId="4130" priority="4131" stopIfTrue="1">
      <formula>OR(LEFT(D470,4)="HOLD",OR(A470="QTNP",A470="HOA THO",A470="YES VINA",A470="HUNG YEN",A470="TEX GIANG",A470="HUNG LONG"),LEFT(A470,5)="HANES",LEFT(A470,3)="ITG")</formula>
    </cfRule>
  </conditionalFormatting>
  <conditionalFormatting sqref="D470">
    <cfRule type="expression" dxfId="4129" priority="4126" stopIfTrue="1">
      <formula>OR(LEFT(D470,4)="KHTT",LEFT(D470,5)="10USD",RIGHT(D470,3)="TTC",LEFT(D470,3)="TNT")</formula>
    </cfRule>
    <cfRule type="expression" dxfId="4128" priority="4127" stopIfTrue="1">
      <formula>OR(LEFT(D470,3)="CTU",LEFT(D470,4)="HDON")</formula>
    </cfRule>
    <cfRule type="expression" dxfId="4127" priority="4128" stopIfTrue="1">
      <formula>OR(LEFT(D470,4)="HOLD",OR(A470="QTNP",A470="HOA THO",A470="YES VINA",A470="HUNG YEN",A470="TEX GIANG",A470="HUNG LONG"),LEFT(A470,5)="HANES",LEFT(A470,3)="ITG")</formula>
    </cfRule>
  </conditionalFormatting>
  <conditionalFormatting sqref="D470">
    <cfRule type="expression" dxfId="4126" priority="4123" stopIfTrue="1">
      <formula>OR(LEFT(D470,4)="KHTT",LEFT(D470,5)="10USD",RIGHT(D470,3)="TTC",LEFT(D470,3)="TNT")</formula>
    </cfRule>
    <cfRule type="expression" dxfId="4125" priority="4124" stopIfTrue="1">
      <formula>OR(LEFT(D470,3)="CTU",LEFT(D470,4)="HDON")</formula>
    </cfRule>
    <cfRule type="expression" dxfId="4124" priority="4125" stopIfTrue="1">
      <formula>OR(LEFT(D470,4)="HOLD",OR(A470="QTNP",A470="HOA THO",A470="YES VINA",A470="HUNG YEN",A470="TEX GIANG",A470="HUNG LONG"),LEFT(A470,5)="HANES",LEFT(A470,3)="ITG")</formula>
    </cfRule>
  </conditionalFormatting>
  <conditionalFormatting sqref="D470">
    <cfRule type="expression" dxfId="4123" priority="4120" stopIfTrue="1">
      <formula>OR(LEFT(D470,4)="KHTT",LEFT(D470,5)="10USD",RIGHT(D470,3)="TTC",LEFT(D470,3)="TNT")</formula>
    </cfRule>
    <cfRule type="expression" dxfId="4122" priority="4121" stopIfTrue="1">
      <formula>OR(LEFT(D470,3)="CTU",LEFT(D470,4)="HDON")</formula>
    </cfRule>
    <cfRule type="expression" dxfId="4121" priority="4122" stopIfTrue="1">
      <formula>OR(LEFT(D470,4)="HOLD",OR(A470="QTNP",A470="HOA THO",A470="YES VINA",A470="HUNG YEN",A470="TEX GIANG",A470="HUNG LONG"),LEFT(A470,5)="HANES",LEFT(A470,3)="ITG")</formula>
    </cfRule>
  </conditionalFormatting>
  <conditionalFormatting sqref="D469">
    <cfRule type="expression" dxfId="4120" priority="4117" stopIfTrue="1">
      <formula>OR(LEFT(D469,4)="KHTT",LEFT(D469,5)="10USD",RIGHT(D469,3)="TTC",LEFT(D469,3)="TNT")</formula>
    </cfRule>
    <cfRule type="expression" dxfId="4119" priority="4118" stopIfTrue="1">
      <formula>OR(LEFT(D469,3)="CTU",LEFT(D469,4)="HDON")</formula>
    </cfRule>
    <cfRule type="expression" dxfId="4118" priority="4119" stopIfTrue="1">
      <formula>OR(LEFT(D469,4)="HOLD",OR(A469="QTNP",A469="HOA THO",A469="YES VINA",A469="HUNG YEN",A469="TEX GIANG",A469="HUNG LONG"),LEFT(A469,5)="HANES",LEFT(A469,3)="ITG")</formula>
    </cfRule>
  </conditionalFormatting>
  <conditionalFormatting sqref="D469">
    <cfRule type="expression" dxfId="4117" priority="4114" stopIfTrue="1">
      <formula>OR(LEFT(D469,4)="KHTT",LEFT(D469,5)="10USD",RIGHT(D469,3)="TTC",LEFT(D469,3)="TNT")</formula>
    </cfRule>
    <cfRule type="expression" dxfId="4116" priority="4115" stopIfTrue="1">
      <formula>OR(LEFT(D469,3)="CTU",LEFT(D469,4)="HDON")</formula>
    </cfRule>
    <cfRule type="expression" dxfId="4115" priority="4116" stopIfTrue="1">
      <formula>OR(LEFT(D469,4)="HOLD",OR(A469="QTNP",A469="HOA THO",A469="YES VINA",A469="HUNG YEN",A469="TEX GIANG",A469="HUNG LONG"),LEFT(A469,5)="HANES",LEFT(A469,3)="ITG")</formula>
    </cfRule>
  </conditionalFormatting>
  <conditionalFormatting sqref="D470">
    <cfRule type="expression" dxfId="4114" priority="4111" stopIfTrue="1">
      <formula>OR(LEFT(D470,4)="KHTT",LEFT(D470,5)="10USD",RIGHT(D470,3)="TTC",LEFT(D470,3)="TNT")</formula>
    </cfRule>
    <cfRule type="expression" dxfId="4113" priority="4112" stopIfTrue="1">
      <formula>OR(LEFT(D470,3)="CTU",LEFT(D470,4)="HDON")</formula>
    </cfRule>
    <cfRule type="expression" dxfId="4112" priority="4113" stopIfTrue="1">
      <formula>OR(LEFT(D470,4)="HOLD",OR(A470="QTNP",A470="HOA THO",A470="YES VINA",A470="HUNG YEN",A470="TEX GIANG",A470="HUNG LONG"),LEFT(A470,5)="HANES",LEFT(A470,3)="ITG")</formula>
    </cfRule>
  </conditionalFormatting>
  <conditionalFormatting sqref="D470">
    <cfRule type="expression" dxfId="4111" priority="4108" stopIfTrue="1">
      <formula>OR(LEFT(D470,4)="KHTT",LEFT(D470,5)="10USD",RIGHT(D470,3)="TTC",LEFT(D470,3)="TNT")</formula>
    </cfRule>
    <cfRule type="expression" dxfId="4110" priority="4109" stopIfTrue="1">
      <formula>OR(LEFT(D470,3)="CTU",LEFT(D470,4)="HDON")</formula>
    </cfRule>
    <cfRule type="expression" dxfId="4109" priority="4110" stopIfTrue="1">
      <formula>OR(LEFT(D470,4)="HOLD",OR(A470="QTNP",A470="HOA THO",A470="YES VINA",A470="HUNG YEN",A470="TEX GIANG",A470="HUNG LONG"),LEFT(A470,5)="HANES",LEFT(A470,3)="ITG")</formula>
    </cfRule>
  </conditionalFormatting>
  <conditionalFormatting sqref="D470">
    <cfRule type="expression" dxfId="4108" priority="4105" stopIfTrue="1">
      <formula>OR(LEFT(D470,4)="KHTT",LEFT(D470,5)="10USD",RIGHT(D470,3)="TTC",LEFT(D470,3)="TNT")</formula>
    </cfRule>
    <cfRule type="expression" dxfId="4107" priority="4106" stopIfTrue="1">
      <formula>OR(LEFT(D470,3)="CTU",LEFT(D470,4)="HDON")</formula>
    </cfRule>
    <cfRule type="expression" dxfId="4106" priority="4107" stopIfTrue="1">
      <formula>OR(LEFT(D470,4)="HOLD",OR(A470="QTNP",A470="HOA THO",A470="YES VINA",A470="HUNG YEN",A470="TEX GIANG",A470="HUNG LONG"),LEFT(A470,5)="HANES",LEFT(A470,3)="ITG")</formula>
    </cfRule>
  </conditionalFormatting>
  <conditionalFormatting sqref="D470">
    <cfRule type="expression" dxfId="4105" priority="4102" stopIfTrue="1">
      <formula>OR(LEFT(D470,4)="KHTT",LEFT(D470,5)="10USD",RIGHT(D470,3)="TTC",LEFT(D470,3)="TNT")</formula>
    </cfRule>
    <cfRule type="expression" dxfId="4104" priority="4103" stopIfTrue="1">
      <formula>OR(LEFT(D470,3)="CTU",LEFT(D470,4)="HDON")</formula>
    </cfRule>
    <cfRule type="expression" dxfId="4103" priority="4104" stopIfTrue="1">
      <formula>OR(LEFT(D470,4)="HOLD",OR(A470="QTNP",A470="HOA THO",A470="YES VINA",A470="HUNG YEN",A470="TEX GIANG",A470="HUNG LONG"),LEFT(A470,5)="HANES",LEFT(A470,3)="ITG")</formula>
    </cfRule>
  </conditionalFormatting>
  <conditionalFormatting sqref="D469">
    <cfRule type="expression" dxfId="4102" priority="4099" stopIfTrue="1">
      <formula>OR(LEFT(D469,4)="KHTT",LEFT(D469,5)="10USD",RIGHT(D469,3)="TTC",LEFT(D469,3)="TNT")</formula>
    </cfRule>
    <cfRule type="expression" dxfId="4101" priority="4100" stopIfTrue="1">
      <formula>OR(LEFT(D469,3)="CTU",LEFT(D469,4)="HDON")</formula>
    </cfRule>
    <cfRule type="expression" dxfId="4100" priority="4101" stopIfTrue="1">
      <formula>OR(LEFT(D469,4)="HOLD",OR(A469="QTNP",A469="HOA THO",A469="YES VINA",A469="HUNG YEN",A469="TEX GIANG",A469="HUNG LONG"),LEFT(A469,5)="HANES",LEFT(A469,3)="ITG")</formula>
    </cfRule>
  </conditionalFormatting>
  <conditionalFormatting sqref="D469">
    <cfRule type="expression" dxfId="4099" priority="4096" stopIfTrue="1">
      <formula>OR(LEFT(D469,4)="KHTT",LEFT(D469,5)="10USD",RIGHT(D469,3)="TTC",LEFT(D469,3)="TNT")</formula>
    </cfRule>
    <cfRule type="expression" dxfId="4098" priority="4097" stopIfTrue="1">
      <formula>OR(LEFT(D469,3)="CTU",LEFT(D469,4)="HDON")</formula>
    </cfRule>
    <cfRule type="expression" dxfId="4097" priority="4098" stopIfTrue="1">
      <formula>OR(LEFT(D469,4)="HOLD",OR(A469="QTNP",A469="HOA THO",A469="YES VINA",A469="HUNG YEN",A469="TEX GIANG",A469="HUNG LONG"),LEFT(A469,5)="HANES",LEFT(A469,3)="ITG")</formula>
    </cfRule>
  </conditionalFormatting>
  <conditionalFormatting sqref="D470">
    <cfRule type="expression" dxfId="4096" priority="4093" stopIfTrue="1">
      <formula>OR(LEFT(D470,4)="KHTT",LEFT(D470,5)="10USD",RIGHT(D470,3)="TTC",LEFT(D470,3)="TNT")</formula>
    </cfRule>
    <cfRule type="expression" dxfId="4095" priority="4094" stopIfTrue="1">
      <formula>OR(LEFT(D470,3)="CTU",LEFT(D470,4)="HDON")</formula>
    </cfRule>
    <cfRule type="expression" dxfId="4094" priority="4095" stopIfTrue="1">
      <formula>OR(LEFT(D470,4)="HOLD",OR(A470="QTNP",A470="HOA THO",A470="YES VINA",A470="HUNG YEN",A470="TEX GIANG",A470="HUNG LONG"),LEFT(A470,5)="HANES",LEFT(A470,3)="ITG")</formula>
    </cfRule>
  </conditionalFormatting>
  <conditionalFormatting sqref="D470">
    <cfRule type="expression" dxfId="4093" priority="4090" stopIfTrue="1">
      <formula>OR(LEFT(D470,4)="KHTT",LEFT(D470,5)="10USD",RIGHT(D470,3)="TTC",LEFT(D470,3)="TNT")</formula>
    </cfRule>
    <cfRule type="expression" dxfId="4092" priority="4091" stopIfTrue="1">
      <formula>OR(LEFT(D470,3)="CTU",LEFT(D470,4)="HDON")</formula>
    </cfRule>
    <cfRule type="expression" dxfId="4091" priority="4092" stopIfTrue="1">
      <formula>OR(LEFT(D470,4)="HOLD",OR(A470="QTNP",A470="HOA THO",A470="YES VINA",A470="HUNG YEN",A470="TEX GIANG",A470="HUNG LONG"),LEFT(A470,5)="HANES",LEFT(A470,3)="ITG")</formula>
    </cfRule>
  </conditionalFormatting>
  <conditionalFormatting sqref="D470">
    <cfRule type="expression" dxfId="4090" priority="4087" stopIfTrue="1">
      <formula>OR(LEFT(D470,4)="KHTT",LEFT(D470,5)="10USD",RIGHT(D470,3)="TTC",LEFT(D470,3)="TNT")</formula>
    </cfRule>
    <cfRule type="expression" dxfId="4089" priority="4088" stopIfTrue="1">
      <formula>OR(LEFT(D470,3)="CTU",LEFT(D470,4)="HDON")</formula>
    </cfRule>
    <cfRule type="expression" dxfId="4088" priority="4089" stopIfTrue="1">
      <formula>OR(LEFT(D470,4)="HOLD",OR(A470="QTNP",A470="HOA THO",A470="YES VINA",A470="HUNG YEN",A470="TEX GIANG",A470="HUNG LONG"),LEFT(A470,5)="HANES",LEFT(A470,3)="ITG")</formula>
    </cfRule>
  </conditionalFormatting>
  <conditionalFormatting sqref="D470">
    <cfRule type="expression" dxfId="4087" priority="4084" stopIfTrue="1">
      <formula>OR(LEFT(D470,4)="KHTT",LEFT(D470,5)="10USD",RIGHT(D470,3)="TTC",LEFT(D470,3)="TNT")</formula>
    </cfRule>
    <cfRule type="expression" dxfId="4086" priority="4085" stopIfTrue="1">
      <formula>OR(LEFT(D470,3)="CTU",LEFT(D470,4)="HDON")</formula>
    </cfRule>
    <cfRule type="expression" dxfId="4085" priority="4086" stopIfTrue="1">
      <formula>OR(LEFT(D470,4)="HOLD",OR(A470="QTNP",A470="HOA THO",A470="YES VINA",A470="HUNG YEN",A470="TEX GIANG",A470="HUNG LONG"),LEFT(A470,5)="HANES",LEFT(A470,3)="ITG")</formula>
    </cfRule>
  </conditionalFormatting>
  <conditionalFormatting sqref="D469">
    <cfRule type="expression" dxfId="4084" priority="4081" stopIfTrue="1">
      <formula>OR(LEFT(D469,4)="KHTT",LEFT(D469,5)="10USD",RIGHT(D469,3)="TTC",LEFT(D469,3)="TNT")</formula>
    </cfRule>
    <cfRule type="expression" dxfId="4083" priority="4082" stopIfTrue="1">
      <formula>OR(LEFT(D469,3)="CTU",LEFT(D469,4)="HDON")</formula>
    </cfRule>
    <cfRule type="expression" dxfId="4082" priority="4083" stopIfTrue="1">
      <formula>OR(LEFT(D469,4)="HOLD",OR(A469="QTNP",A469="HOA THO",A469="YES VINA",A469="HUNG YEN",A469="TEX GIANG",A469="HUNG LONG"),LEFT(A469,5)="HANES",LEFT(A469,3)="ITG")</formula>
    </cfRule>
  </conditionalFormatting>
  <conditionalFormatting sqref="D469">
    <cfRule type="expression" dxfId="4081" priority="4078" stopIfTrue="1">
      <formula>OR(LEFT(D469,4)="KHTT",LEFT(D469,5)="10USD",RIGHT(D469,3)="TTC",LEFT(D469,3)="TNT")</formula>
    </cfRule>
    <cfRule type="expression" dxfId="4080" priority="4079" stopIfTrue="1">
      <formula>OR(LEFT(D469,3)="CTU",LEFT(D469,4)="HDON")</formula>
    </cfRule>
    <cfRule type="expression" dxfId="4079" priority="4080" stopIfTrue="1">
      <formula>OR(LEFT(D469,4)="HOLD",OR(A469="QTNP",A469="HOA THO",A469="YES VINA",A469="HUNG YEN",A469="TEX GIANG",A469="HUNG LONG"),LEFT(A469,5)="HANES",LEFT(A469,3)="ITG")</formula>
    </cfRule>
  </conditionalFormatting>
  <conditionalFormatting sqref="D470">
    <cfRule type="expression" dxfId="4078" priority="4075" stopIfTrue="1">
      <formula>OR(LEFT(D470,4)="KHTT",LEFT(D470,5)="10USD",RIGHT(D470,3)="TTC",LEFT(D470,3)="TNT")</formula>
    </cfRule>
    <cfRule type="expression" dxfId="4077" priority="4076" stopIfTrue="1">
      <formula>OR(LEFT(D470,3)="CTU",LEFT(D470,4)="HDON")</formula>
    </cfRule>
    <cfRule type="expression" dxfId="4076" priority="4077" stopIfTrue="1">
      <formula>OR(LEFT(D470,4)="HOLD",OR(A470="QTNP",A470="HOA THO",A470="YES VINA",A470="HUNG YEN",A470="TEX GIANG",A470="HUNG LONG"),LEFT(A470,5)="HANES",LEFT(A470,3)="ITG")</formula>
    </cfRule>
  </conditionalFormatting>
  <conditionalFormatting sqref="D470">
    <cfRule type="expression" dxfId="4075" priority="4072" stopIfTrue="1">
      <formula>OR(LEFT(D470,4)="KHTT",LEFT(D470,5)="10USD",RIGHT(D470,3)="TTC",LEFT(D470,3)="TNT")</formula>
    </cfRule>
    <cfRule type="expression" dxfId="4074" priority="4073" stopIfTrue="1">
      <formula>OR(LEFT(D470,3)="CTU",LEFT(D470,4)="HDON")</formula>
    </cfRule>
    <cfRule type="expression" dxfId="4073" priority="4074" stopIfTrue="1">
      <formula>OR(LEFT(D470,4)="HOLD",OR(A470="QTNP",A470="HOA THO",A470="YES VINA",A470="HUNG YEN",A470="TEX GIANG",A470="HUNG LONG"),LEFT(A470,5)="HANES",LEFT(A470,3)="ITG")</formula>
    </cfRule>
  </conditionalFormatting>
  <conditionalFormatting sqref="D470">
    <cfRule type="expression" dxfId="4072" priority="4069" stopIfTrue="1">
      <formula>OR(LEFT(D470,4)="KHTT",LEFT(D470,5)="10USD",RIGHT(D470,3)="TTC",LEFT(D470,3)="TNT")</formula>
    </cfRule>
    <cfRule type="expression" dxfId="4071" priority="4070" stopIfTrue="1">
      <formula>OR(LEFT(D470,3)="CTU",LEFT(D470,4)="HDON")</formula>
    </cfRule>
    <cfRule type="expression" dxfId="4070" priority="4071" stopIfTrue="1">
      <formula>OR(LEFT(D470,4)="HOLD",OR(A470="QTNP",A470="HOA THO",A470="YES VINA",A470="HUNG YEN",A470="TEX GIANG",A470="HUNG LONG"),LEFT(A470,5)="HANES",LEFT(A470,3)="ITG")</formula>
    </cfRule>
  </conditionalFormatting>
  <conditionalFormatting sqref="D470">
    <cfRule type="expression" dxfId="4069" priority="4066" stopIfTrue="1">
      <formula>OR(LEFT(D470,4)="KHTT",LEFT(D470,5)="10USD",RIGHT(D470,3)="TTC",LEFT(D470,3)="TNT")</formula>
    </cfRule>
    <cfRule type="expression" dxfId="4068" priority="4067" stopIfTrue="1">
      <formula>OR(LEFT(D470,3)="CTU",LEFT(D470,4)="HDON")</formula>
    </cfRule>
    <cfRule type="expression" dxfId="4067" priority="4068" stopIfTrue="1">
      <formula>OR(LEFT(D470,4)="HOLD",OR(A470="QTNP",A470="HOA THO",A470="YES VINA",A470="HUNG YEN",A470="TEX GIANG",A470="HUNG LONG"),LEFT(A470,5)="HANES",LEFT(A470,3)="ITG")</formula>
    </cfRule>
  </conditionalFormatting>
  <conditionalFormatting sqref="D469">
    <cfRule type="expression" dxfId="4066" priority="4063" stopIfTrue="1">
      <formula>OR(LEFT(D469,4)="KHTT",LEFT(D469,5)="10USD",RIGHT(D469,3)="TTC",LEFT(D469,3)="TNT")</formula>
    </cfRule>
    <cfRule type="expression" dxfId="4065" priority="4064" stopIfTrue="1">
      <formula>OR(LEFT(D469,3)="CTU",LEFT(D469,4)="HDON")</formula>
    </cfRule>
    <cfRule type="expression" dxfId="4064" priority="4065" stopIfTrue="1">
      <formula>OR(LEFT(D469,4)="HOLD",OR(A469="QTNP",A469="HOA THO",A469="YES VINA",A469="HUNG YEN",A469="TEX GIANG",A469="HUNG LONG"),LEFT(A469,5)="HANES",LEFT(A469,3)="ITG")</formula>
    </cfRule>
  </conditionalFormatting>
  <conditionalFormatting sqref="D469">
    <cfRule type="expression" dxfId="4063" priority="4060" stopIfTrue="1">
      <formula>OR(LEFT(D469,4)="KHTT",LEFT(D469,5)="10USD",RIGHT(D469,3)="TTC",LEFT(D469,3)="TNT")</formula>
    </cfRule>
    <cfRule type="expression" dxfId="4062" priority="4061" stopIfTrue="1">
      <formula>OR(LEFT(D469,3)="CTU",LEFT(D469,4)="HDON")</formula>
    </cfRule>
    <cfRule type="expression" dxfId="4061" priority="4062" stopIfTrue="1">
      <formula>OR(LEFT(D469,4)="HOLD",OR(A469="QTNP",A469="HOA THO",A469="YES VINA",A469="HUNG YEN",A469="TEX GIANG",A469="HUNG LONG"),LEFT(A469,5)="HANES",LEFT(A469,3)="ITG")</formula>
    </cfRule>
  </conditionalFormatting>
  <conditionalFormatting sqref="D470">
    <cfRule type="expression" dxfId="4060" priority="4057" stopIfTrue="1">
      <formula>OR(LEFT(D470,4)="KHTT",LEFT(D470,5)="10USD",RIGHT(D470,3)="TTC",LEFT(D470,3)="TNT")</formula>
    </cfRule>
    <cfRule type="expression" dxfId="4059" priority="4058" stopIfTrue="1">
      <formula>OR(LEFT(D470,3)="CTU",LEFT(D470,4)="HDON")</formula>
    </cfRule>
    <cfRule type="expression" dxfId="4058" priority="4059" stopIfTrue="1">
      <formula>OR(LEFT(D470,4)="HOLD",OR(A470="QTNP",A470="HOA THO",A470="YES VINA",A470="HUNG YEN",A470="TEX GIANG",A470="HUNG LONG"),LEFT(A470,5)="HANES",LEFT(A470,3)="ITG")</formula>
    </cfRule>
  </conditionalFormatting>
  <conditionalFormatting sqref="D470">
    <cfRule type="expression" dxfId="4057" priority="4054" stopIfTrue="1">
      <formula>OR(LEFT(D470,4)="KHTT",LEFT(D470,5)="10USD",RIGHT(D470,3)="TTC",LEFT(D470,3)="TNT")</formula>
    </cfRule>
    <cfRule type="expression" dxfId="4056" priority="4055" stopIfTrue="1">
      <formula>OR(LEFT(D470,3)="CTU",LEFT(D470,4)="HDON")</formula>
    </cfRule>
    <cfRule type="expression" dxfId="4055" priority="4056" stopIfTrue="1">
      <formula>OR(LEFT(D470,4)="HOLD",OR(A470="QTNP",A470="HOA THO",A470="YES VINA",A470="HUNG YEN",A470="TEX GIANG",A470="HUNG LONG"),LEFT(A470,5)="HANES",LEFT(A470,3)="ITG")</formula>
    </cfRule>
  </conditionalFormatting>
  <conditionalFormatting sqref="D470">
    <cfRule type="expression" dxfId="4054" priority="4051" stopIfTrue="1">
      <formula>OR(LEFT(D470,4)="KHTT",LEFT(D470,5)="10USD",RIGHT(D470,3)="TTC",LEFT(D470,3)="TNT")</formula>
    </cfRule>
    <cfRule type="expression" dxfId="4053" priority="4052" stopIfTrue="1">
      <formula>OR(LEFT(D470,3)="CTU",LEFT(D470,4)="HDON")</formula>
    </cfRule>
    <cfRule type="expression" dxfId="4052" priority="4053" stopIfTrue="1">
      <formula>OR(LEFT(D470,4)="HOLD",OR(A470="QTNP",A470="HOA THO",A470="YES VINA",A470="HUNG YEN",A470="TEX GIANG",A470="HUNG LONG"),LEFT(A470,5)="HANES",LEFT(A470,3)="ITG")</formula>
    </cfRule>
  </conditionalFormatting>
  <conditionalFormatting sqref="D470">
    <cfRule type="expression" dxfId="4051" priority="4048" stopIfTrue="1">
      <formula>OR(LEFT(D470,4)="KHTT",LEFT(D470,5)="10USD",RIGHT(D470,3)="TTC",LEFT(D470,3)="TNT")</formula>
    </cfRule>
    <cfRule type="expression" dxfId="4050" priority="4049" stopIfTrue="1">
      <formula>OR(LEFT(D470,3)="CTU",LEFT(D470,4)="HDON")</formula>
    </cfRule>
    <cfRule type="expression" dxfId="4049" priority="4050" stopIfTrue="1">
      <formula>OR(LEFT(D470,4)="HOLD",OR(A470="QTNP",A470="HOA THO",A470="YES VINA",A470="HUNG YEN",A470="TEX GIANG",A470="HUNG LONG"),LEFT(A470,5)="HANES",LEFT(A470,3)="ITG")</formula>
    </cfRule>
  </conditionalFormatting>
  <conditionalFormatting sqref="D469">
    <cfRule type="expression" dxfId="4048" priority="4045" stopIfTrue="1">
      <formula>OR(LEFT(D469,4)="KHTT",LEFT(D469,5)="10USD",RIGHT(D469,3)="TTC",LEFT(D469,3)="TNT")</formula>
    </cfRule>
    <cfRule type="expression" dxfId="4047" priority="4046" stopIfTrue="1">
      <formula>OR(LEFT(D469,3)="CTU",LEFT(D469,4)="HDON")</formula>
    </cfRule>
    <cfRule type="expression" dxfId="4046" priority="4047" stopIfTrue="1">
      <formula>OR(LEFT(D469,4)="HOLD",OR(A469="QTNP",A469="HOA THO",A469="YES VINA",A469="HUNG YEN",A469="TEX GIANG",A469="HUNG LONG"),LEFT(A469,5)="HANES",LEFT(A469,3)="ITG")</formula>
    </cfRule>
  </conditionalFormatting>
  <conditionalFormatting sqref="D469">
    <cfRule type="expression" dxfId="4045" priority="4042" stopIfTrue="1">
      <formula>OR(LEFT(D469,4)="KHTT",LEFT(D469,5)="10USD",RIGHT(D469,3)="TTC",LEFT(D469,3)="TNT")</formula>
    </cfRule>
    <cfRule type="expression" dxfId="4044" priority="4043" stopIfTrue="1">
      <formula>OR(LEFT(D469,3)="CTU",LEFT(D469,4)="HDON")</formula>
    </cfRule>
    <cfRule type="expression" dxfId="4043" priority="4044" stopIfTrue="1">
      <formula>OR(LEFT(D469,4)="HOLD",OR(A469="QTNP",A469="HOA THO",A469="YES VINA",A469="HUNG YEN",A469="TEX GIANG",A469="HUNG LONG"),LEFT(A469,5)="HANES",LEFT(A469,3)="ITG")</formula>
    </cfRule>
  </conditionalFormatting>
  <conditionalFormatting sqref="D470">
    <cfRule type="expression" dxfId="4042" priority="4039" stopIfTrue="1">
      <formula>OR(LEFT(D470,4)="KHTT",LEFT(D470,5)="10USD",RIGHT(D470,3)="TTC",LEFT(D470,3)="TNT")</formula>
    </cfRule>
    <cfRule type="expression" dxfId="4041" priority="4040" stopIfTrue="1">
      <formula>OR(LEFT(D470,3)="CTU",LEFT(D470,4)="HDON")</formula>
    </cfRule>
    <cfRule type="expression" dxfId="4040" priority="4041" stopIfTrue="1">
      <formula>OR(LEFT(D470,4)="HOLD",OR(A470="QTNP",A470="HOA THO",A470="YES VINA",A470="HUNG YEN",A470="TEX GIANG",A470="HUNG LONG"),LEFT(A470,5)="HANES",LEFT(A470,3)="ITG")</formula>
    </cfRule>
  </conditionalFormatting>
  <conditionalFormatting sqref="D470">
    <cfRule type="expression" dxfId="4039" priority="4036" stopIfTrue="1">
      <formula>OR(LEFT(D470,4)="KHTT",LEFT(D470,5)="10USD",RIGHT(D470,3)="TTC",LEFT(D470,3)="TNT")</formula>
    </cfRule>
    <cfRule type="expression" dxfId="4038" priority="4037" stopIfTrue="1">
      <formula>OR(LEFT(D470,3)="CTU",LEFT(D470,4)="HDON")</formula>
    </cfRule>
    <cfRule type="expression" dxfId="4037" priority="4038" stopIfTrue="1">
      <formula>OR(LEFT(D470,4)="HOLD",OR(A470="QTNP",A470="HOA THO",A470="YES VINA",A470="HUNG YEN",A470="TEX GIANG",A470="HUNG LONG"),LEFT(A470,5)="HANES",LEFT(A470,3)="ITG")</formula>
    </cfRule>
  </conditionalFormatting>
  <conditionalFormatting sqref="D470">
    <cfRule type="expression" dxfId="4036" priority="4033" stopIfTrue="1">
      <formula>OR(LEFT(D470,4)="KHTT",LEFT(D470,5)="10USD",RIGHT(D470,3)="TTC",LEFT(D470,3)="TNT")</formula>
    </cfRule>
    <cfRule type="expression" dxfId="4035" priority="4034" stopIfTrue="1">
      <formula>OR(LEFT(D470,3)="CTU",LEFT(D470,4)="HDON")</formula>
    </cfRule>
    <cfRule type="expression" dxfId="4034" priority="4035" stopIfTrue="1">
      <formula>OR(LEFT(D470,4)="HOLD",OR(A470="QTNP",A470="HOA THO",A470="YES VINA",A470="HUNG YEN",A470="TEX GIANG",A470="HUNG LONG"),LEFT(A470,5)="HANES",LEFT(A470,3)="ITG")</formula>
    </cfRule>
  </conditionalFormatting>
  <conditionalFormatting sqref="D470">
    <cfRule type="expression" dxfId="4033" priority="4030" stopIfTrue="1">
      <formula>OR(LEFT(D470,4)="KHTT",LEFT(D470,5)="10USD",RIGHT(D470,3)="TTC",LEFT(D470,3)="TNT")</formula>
    </cfRule>
    <cfRule type="expression" dxfId="4032" priority="4031" stopIfTrue="1">
      <formula>OR(LEFT(D470,3)="CTU",LEFT(D470,4)="HDON")</formula>
    </cfRule>
    <cfRule type="expression" dxfId="4031" priority="4032" stopIfTrue="1">
      <formula>OR(LEFT(D470,4)="HOLD",OR(A470="QTNP",A470="HOA THO",A470="YES VINA",A470="HUNG YEN",A470="TEX GIANG",A470="HUNG LONG"),LEFT(A470,5)="HANES",LEFT(A470,3)="ITG")</formula>
    </cfRule>
  </conditionalFormatting>
  <conditionalFormatting sqref="D469">
    <cfRule type="expression" dxfId="4030" priority="4027" stopIfTrue="1">
      <formula>OR(LEFT(D469,4)="KHTT",LEFT(D469,5)="10USD",RIGHT(D469,3)="TTC",LEFT(D469,3)="TNT")</formula>
    </cfRule>
    <cfRule type="expression" dxfId="4029" priority="4028" stopIfTrue="1">
      <formula>OR(LEFT(D469,3)="CTU",LEFT(D469,4)="HDON")</formula>
    </cfRule>
    <cfRule type="expression" dxfId="4028" priority="4029" stopIfTrue="1">
      <formula>OR(LEFT(D469,4)="HOLD",OR(A469="QTNP",A469="HOA THO",A469="YES VINA",A469="HUNG YEN",A469="TEX GIANG",A469="HUNG LONG"),LEFT(A469,5)="HANES",LEFT(A469,3)="ITG")</formula>
    </cfRule>
  </conditionalFormatting>
  <conditionalFormatting sqref="D469">
    <cfRule type="expression" dxfId="4027" priority="4024" stopIfTrue="1">
      <formula>OR(LEFT(D469,4)="KHTT",LEFT(D469,5)="10USD",RIGHT(D469,3)="TTC",LEFT(D469,3)="TNT")</formula>
    </cfRule>
    <cfRule type="expression" dxfId="4026" priority="4025" stopIfTrue="1">
      <formula>OR(LEFT(D469,3)="CTU",LEFT(D469,4)="HDON")</formula>
    </cfRule>
    <cfRule type="expression" dxfId="4025" priority="4026" stopIfTrue="1">
      <formula>OR(LEFT(D469,4)="HOLD",OR(A469="QTNP",A469="HOA THO",A469="YES VINA",A469="HUNG YEN",A469="TEX GIANG",A469="HUNG LONG"),LEFT(A469,5)="HANES",LEFT(A469,3)="ITG")</formula>
    </cfRule>
  </conditionalFormatting>
  <conditionalFormatting sqref="D470">
    <cfRule type="expression" dxfId="4024" priority="4021" stopIfTrue="1">
      <formula>OR(LEFT(D470,4)="KHTT",LEFT(D470,5)="10USD",RIGHT(D470,3)="TTC",LEFT(D470,3)="TNT")</formula>
    </cfRule>
    <cfRule type="expression" dxfId="4023" priority="4022" stopIfTrue="1">
      <formula>OR(LEFT(D470,3)="CTU",LEFT(D470,4)="HDON")</formula>
    </cfRule>
    <cfRule type="expression" dxfId="4022" priority="4023" stopIfTrue="1">
      <formula>OR(LEFT(D470,4)="HOLD",OR(A470="QTNP",A470="HOA THO",A470="YES VINA",A470="HUNG YEN",A470="TEX GIANG",A470="HUNG LONG"),LEFT(A470,5)="HANES",LEFT(A470,3)="ITG")</formula>
    </cfRule>
  </conditionalFormatting>
  <conditionalFormatting sqref="D470">
    <cfRule type="expression" dxfId="4021" priority="4018" stopIfTrue="1">
      <formula>OR(LEFT(D470,4)="KHTT",LEFT(D470,5)="10USD",RIGHT(D470,3)="TTC",LEFT(D470,3)="TNT")</formula>
    </cfRule>
    <cfRule type="expression" dxfId="4020" priority="4019" stopIfTrue="1">
      <formula>OR(LEFT(D470,3)="CTU",LEFT(D470,4)="HDON")</formula>
    </cfRule>
    <cfRule type="expression" dxfId="4019" priority="4020" stopIfTrue="1">
      <formula>OR(LEFT(D470,4)="HOLD",OR(A470="QTNP",A470="HOA THO",A470="YES VINA",A470="HUNG YEN",A470="TEX GIANG",A470="HUNG LONG"),LEFT(A470,5)="HANES",LEFT(A470,3)="ITG")</formula>
    </cfRule>
  </conditionalFormatting>
  <conditionalFormatting sqref="D470">
    <cfRule type="expression" dxfId="4018" priority="4015" stopIfTrue="1">
      <formula>OR(LEFT(D470,4)="KHTT",LEFT(D470,5)="10USD",RIGHT(D470,3)="TTC",LEFT(D470,3)="TNT")</formula>
    </cfRule>
    <cfRule type="expression" dxfId="4017" priority="4016" stopIfTrue="1">
      <formula>OR(LEFT(D470,3)="CTU",LEFT(D470,4)="HDON")</formula>
    </cfRule>
    <cfRule type="expression" dxfId="4016" priority="4017" stopIfTrue="1">
      <formula>OR(LEFT(D470,4)="HOLD",OR(A470="QTNP",A470="HOA THO",A470="YES VINA",A470="HUNG YEN",A470="TEX GIANG",A470="HUNG LONG"),LEFT(A470,5)="HANES",LEFT(A470,3)="ITG")</formula>
    </cfRule>
  </conditionalFormatting>
  <conditionalFormatting sqref="D470">
    <cfRule type="expression" dxfId="4015" priority="4012" stopIfTrue="1">
      <formula>OR(LEFT(D470,4)="KHTT",LEFT(D470,5)="10USD",RIGHT(D470,3)="TTC",LEFT(D470,3)="TNT")</formula>
    </cfRule>
    <cfRule type="expression" dxfId="4014" priority="4013" stopIfTrue="1">
      <formula>OR(LEFT(D470,3)="CTU",LEFT(D470,4)="HDON")</formula>
    </cfRule>
    <cfRule type="expression" dxfId="4013" priority="4014" stopIfTrue="1">
      <formula>OR(LEFT(D470,4)="HOLD",OR(A470="QTNP",A470="HOA THO",A470="YES VINA",A470="HUNG YEN",A470="TEX GIANG",A470="HUNG LONG"),LEFT(A470,5)="HANES",LEFT(A470,3)="ITG")</formula>
    </cfRule>
  </conditionalFormatting>
  <conditionalFormatting sqref="D469">
    <cfRule type="expression" dxfId="4012" priority="4009" stopIfTrue="1">
      <formula>OR(LEFT(D469,4)="KHTT",LEFT(D469,5)="10USD",RIGHT(D469,3)="TTC",LEFT(D469,3)="TNT")</formula>
    </cfRule>
    <cfRule type="expression" dxfId="4011" priority="4010" stopIfTrue="1">
      <formula>OR(LEFT(D469,3)="CTU",LEFT(D469,4)="HDON")</formula>
    </cfRule>
    <cfRule type="expression" dxfId="4010" priority="4011" stopIfTrue="1">
      <formula>OR(LEFT(D469,4)="HOLD",OR(A469="QTNP",A469="HOA THO",A469="YES VINA",A469="HUNG YEN",A469="TEX GIANG",A469="HUNG LONG"),LEFT(A469,5)="HANES",LEFT(A469,3)="ITG")</formula>
    </cfRule>
  </conditionalFormatting>
  <conditionalFormatting sqref="D469">
    <cfRule type="expression" dxfId="4009" priority="4006" stopIfTrue="1">
      <formula>OR(LEFT(D469,4)="KHTT",LEFT(D469,5)="10USD",RIGHT(D469,3)="TTC",LEFT(D469,3)="TNT")</formula>
    </cfRule>
    <cfRule type="expression" dxfId="4008" priority="4007" stopIfTrue="1">
      <formula>OR(LEFT(D469,3)="CTU",LEFT(D469,4)="HDON")</formula>
    </cfRule>
    <cfRule type="expression" dxfId="4007" priority="4008" stopIfTrue="1">
      <formula>OR(LEFT(D469,4)="HOLD",OR(A469="QTNP",A469="HOA THO",A469="YES VINA",A469="HUNG YEN",A469="TEX GIANG",A469="HUNG LONG"),LEFT(A469,5)="HANES",LEFT(A469,3)="ITG")</formula>
    </cfRule>
  </conditionalFormatting>
  <conditionalFormatting sqref="D470">
    <cfRule type="expression" dxfId="4006" priority="4003" stopIfTrue="1">
      <formula>OR(LEFT(D470,4)="KHTT",LEFT(D470,5)="10USD",RIGHT(D470,3)="TTC",LEFT(D470,3)="TNT")</formula>
    </cfRule>
    <cfRule type="expression" dxfId="4005" priority="4004" stopIfTrue="1">
      <formula>OR(LEFT(D470,3)="CTU",LEFT(D470,4)="HDON")</formula>
    </cfRule>
    <cfRule type="expression" dxfId="4004" priority="4005" stopIfTrue="1">
      <formula>OR(LEFT(D470,4)="HOLD",OR(A470="QTNP",A470="HOA THO",A470="YES VINA",A470="HUNG YEN",A470="TEX GIANG",A470="HUNG LONG"),LEFT(A470,5)="HANES",LEFT(A470,3)="ITG")</formula>
    </cfRule>
  </conditionalFormatting>
  <conditionalFormatting sqref="D470">
    <cfRule type="expression" dxfId="4003" priority="4000" stopIfTrue="1">
      <formula>OR(LEFT(D470,4)="KHTT",LEFT(D470,5)="10USD",RIGHT(D470,3)="TTC",LEFT(D470,3)="TNT")</formula>
    </cfRule>
    <cfRule type="expression" dxfId="4002" priority="4001" stopIfTrue="1">
      <formula>OR(LEFT(D470,3)="CTU",LEFT(D470,4)="HDON")</formula>
    </cfRule>
    <cfRule type="expression" dxfId="4001" priority="4002" stopIfTrue="1">
      <formula>OR(LEFT(D470,4)="HOLD",OR(A470="QTNP",A470="HOA THO",A470="YES VINA",A470="HUNG YEN",A470="TEX GIANG",A470="HUNG LONG"),LEFT(A470,5)="HANES",LEFT(A470,3)="ITG")</formula>
    </cfRule>
  </conditionalFormatting>
  <conditionalFormatting sqref="D470">
    <cfRule type="expression" dxfId="4000" priority="3997" stopIfTrue="1">
      <formula>OR(LEFT(D470,4)="KHTT",LEFT(D470,5)="10USD",RIGHT(D470,3)="TTC",LEFT(D470,3)="TNT")</formula>
    </cfRule>
    <cfRule type="expression" dxfId="3999" priority="3998" stopIfTrue="1">
      <formula>OR(LEFT(D470,3)="CTU",LEFT(D470,4)="HDON")</formula>
    </cfRule>
    <cfRule type="expression" dxfId="3998" priority="3999" stopIfTrue="1">
      <formula>OR(LEFT(D470,4)="HOLD",OR(A470="QTNP",A470="HOA THO",A470="YES VINA",A470="HUNG YEN",A470="TEX GIANG",A470="HUNG LONG"),LEFT(A470,5)="HANES",LEFT(A470,3)="ITG")</formula>
    </cfRule>
  </conditionalFormatting>
  <conditionalFormatting sqref="D470">
    <cfRule type="expression" dxfId="3997" priority="3994" stopIfTrue="1">
      <formula>OR(LEFT(D470,4)="KHTT",LEFT(D470,5)="10USD",RIGHT(D470,3)="TTC",LEFT(D470,3)="TNT")</formula>
    </cfRule>
    <cfRule type="expression" dxfId="3996" priority="3995" stopIfTrue="1">
      <formula>OR(LEFT(D470,3)="CTU",LEFT(D470,4)="HDON")</formula>
    </cfRule>
    <cfRule type="expression" dxfId="3995" priority="3996" stopIfTrue="1">
      <formula>OR(LEFT(D470,4)="HOLD",OR(A470="QTNP",A470="HOA THO",A470="YES VINA",A470="HUNG YEN",A470="TEX GIANG",A470="HUNG LONG"),LEFT(A470,5)="HANES",LEFT(A470,3)="ITG")</formula>
    </cfRule>
  </conditionalFormatting>
  <conditionalFormatting sqref="D469">
    <cfRule type="expression" dxfId="3994" priority="3991" stopIfTrue="1">
      <formula>OR(LEFT(D469,4)="KHTT",LEFT(D469,5)="10USD",RIGHT(D469,3)="TTC",LEFT(D469,3)="TNT")</formula>
    </cfRule>
    <cfRule type="expression" dxfId="3993" priority="3992" stopIfTrue="1">
      <formula>OR(LEFT(D469,3)="CTU",LEFT(D469,4)="HDON")</formula>
    </cfRule>
    <cfRule type="expression" dxfId="3992" priority="3993" stopIfTrue="1">
      <formula>OR(LEFT(D469,4)="HOLD",OR(A469="QTNP",A469="HOA THO",A469="YES VINA",A469="HUNG YEN",A469="TEX GIANG",A469="HUNG LONG"),LEFT(A469,5)="HANES",LEFT(A469,3)="ITG")</formula>
    </cfRule>
  </conditionalFormatting>
  <conditionalFormatting sqref="D469">
    <cfRule type="expression" dxfId="3991" priority="3988" stopIfTrue="1">
      <formula>OR(LEFT(D469,4)="KHTT",LEFT(D469,5)="10USD",RIGHT(D469,3)="TTC",LEFT(D469,3)="TNT")</formula>
    </cfRule>
    <cfRule type="expression" dxfId="3990" priority="3989" stopIfTrue="1">
      <formula>OR(LEFT(D469,3)="CTU",LEFT(D469,4)="HDON")</formula>
    </cfRule>
    <cfRule type="expression" dxfId="3989" priority="3990" stopIfTrue="1">
      <formula>OR(LEFT(D469,4)="HOLD",OR(A469="QTNP",A469="HOA THO",A469="YES VINA",A469="HUNG YEN",A469="TEX GIANG",A469="HUNG LONG"),LEFT(A469,5)="HANES",LEFT(A469,3)="ITG")</formula>
    </cfRule>
  </conditionalFormatting>
  <conditionalFormatting sqref="D470">
    <cfRule type="expression" dxfId="3988" priority="3985" stopIfTrue="1">
      <formula>OR(LEFT(D470,4)="KHTT",LEFT(D470,5)="10USD",RIGHT(D470,3)="TTC",LEFT(D470,3)="TNT")</formula>
    </cfRule>
    <cfRule type="expression" dxfId="3987" priority="3986" stopIfTrue="1">
      <formula>OR(LEFT(D470,3)="CTU",LEFT(D470,4)="HDON")</formula>
    </cfRule>
    <cfRule type="expression" dxfId="3986" priority="3987" stopIfTrue="1">
      <formula>OR(LEFT(D470,4)="HOLD",OR(A470="QTNP",A470="HOA THO",A470="YES VINA",A470="HUNG YEN",A470="TEX GIANG",A470="HUNG LONG"),LEFT(A470,5)="HANES",LEFT(A470,3)="ITG")</formula>
    </cfRule>
  </conditionalFormatting>
  <conditionalFormatting sqref="D470">
    <cfRule type="expression" dxfId="3985" priority="3982" stopIfTrue="1">
      <formula>OR(LEFT(D470,4)="KHTT",LEFT(D470,5)="10USD",RIGHT(D470,3)="TTC",LEFT(D470,3)="TNT")</formula>
    </cfRule>
    <cfRule type="expression" dxfId="3984" priority="3983" stopIfTrue="1">
      <formula>OR(LEFT(D470,3)="CTU",LEFT(D470,4)="HDON")</formula>
    </cfRule>
    <cfRule type="expression" dxfId="3983" priority="3984" stopIfTrue="1">
      <formula>OR(LEFT(D470,4)="HOLD",OR(A470="QTNP",A470="HOA THO",A470="YES VINA",A470="HUNG YEN",A470="TEX GIANG",A470="HUNG LONG"),LEFT(A470,5)="HANES",LEFT(A470,3)="ITG")</formula>
    </cfRule>
  </conditionalFormatting>
  <conditionalFormatting sqref="D470">
    <cfRule type="expression" dxfId="3982" priority="3979" stopIfTrue="1">
      <formula>OR(LEFT(D470,4)="KHTT",LEFT(D470,5)="10USD",RIGHT(D470,3)="TTC",LEFT(D470,3)="TNT")</formula>
    </cfRule>
    <cfRule type="expression" dxfId="3981" priority="3980" stopIfTrue="1">
      <formula>OR(LEFT(D470,3)="CTU",LEFT(D470,4)="HDON")</formula>
    </cfRule>
    <cfRule type="expression" dxfId="3980" priority="3981" stopIfTrue="1">
      <formula>OR(LEFT(D470,4)="HOLD",OR(A470="QTNP",A470="HOA THO",A470="YES VINA",A470="HUNG YEN",A470="TEX GIANG",A470="HUNG LONG"),LEFT(A470,5)="HANES",LEFT(A470,3)="ITG")</formula>
    </cfRule>
  </conditionalFormatting>
  <conditionalFormatting sqref="D470">
    <cfRule type="expression" dxfId="3979" priority="3976" stopIfTrue="1">
      <formula>OR(LEFT(D470,4)="KHTT",LEFT(D470,5)="10USD",RIGHT(D470,3)="TTC",LEFT(D470,3)="TNT")</formula>
    </cfRule>
    <cfRule type="expression" dxfId="3978" priority="3977" stopIfTrue="1">
      <formula>OR(LEFT(D470,3)="CTU",LEFT(D470,4)="HDON")</formula>
    </cfRule>
    <cfRule type="expression" dxfId="3977" priority="3978" stopIfTrue="1">
      <formula>OR(LEFT(D470,4)="HOLD",OR(A470="QTNP",A470="HOA THO",A470="YES VINA",A470="HUNG YEN",A470="TEX GIANG",A470="HUNG LONG"),LEFT(A470,5)="HANES",LEFT(A470,3)="ITG")</formula>
    </cfRule>
  </conditionalFormatting>
  <conditionalFormatting sqref="D469">
    <cfRule type="expression" dxfId="3976" priority="3973" stopIfTrue="1">
      <formula>OR(LEFT(D469,4)="KHTT",LEFT(D469,5)="10USD",RIGHT(D469,3)="TTC",LEFT(D469,3)="TNT")</formula>
    </cfRule>
    <cfRule type="expression" dxfId="3975" priority="3974" stopIfTrue="1">
      <formula>OR(LEFT(D469,3)="CTU",LEFT(D469,4)="HDON")</formula>
    </cfRule>
    <cfRule type="expression" dxfId="3974" priority="3975" stopIfTrue="1">
      <formula>OR(LEFT(D469,4)="HOLD",OR(A469="QTNP",A469="HOA THO",A469="YES VINA",A469="HUNG YEN",A469="TEX GIANG",A469="HUNG LONG"),LEFT(A469,5)="HANES",LEFT(A469,3)="ITG")</formula>
    </cfRule>
  </conditionalFormatting>
  <conditionalFormatting sqref="D469">
    <cfRule type="expression" dxfId="3973" priority="3970" stopIfTrue="1">
      <formula>OR(LEFT(D469,4)="KHTT",LEFT(D469,5)="10USD",RIGHT(D469,3)="TTC",LEFT(D469,3)="TNT")</formula>
    </cfRule>
    <cfRule type="expression" dxfId="3972" priority="3971" stopIfTrue="1">
      <formula>OR(LEFT(D469,3)="CTU",LEFT(D469,4)="HDON")</formula>
    </cfRule>
    <cfRule type="expression" dxfId="3971" priority="3972" stopIfTrue="1">
      <formula>OR(LEFT(D469,4)="HOLD",OR(A469="QTNP",A469="HOA THO",A469="YES VINA",A469="HUNG YEN",A469="TEX GIANG",A469="HUNG LONG"),LEFT(A469,5)="HANES",LEFT(A469,3)="ITG")</formula>
    </cfRule>
  </conditionalFormatting>
  <conditionalFormatting sqref="D470">
    <cfRule type="expression" dxfId="3970" priority="3967" stopIfTrue="1">
      <formula>OR(LEFT(D470,4)="KHTT",LEFT(D470,5)="10USD",RIGHT(D470,3)="TTC",LEFT(D470,3)="TNT")</formula>
    </cfRule>
    <cfRule type="expression" dxfId="3969" priority="3968" stopIfTrue="1">
      <formula>OR(LEFT(D470,3)="CTU",LEFT(D470,4)="HDON")</formula>
    </cfRule>
    <cfRule type="expression" dxfId="3968" priority="3969" stopIfTrue="1">
      <formula>OR(LEFT(D470,4)="HOLD",OR(A470="QTNP",A470="HOA THO",A470="YES VINA",A470="HUNG YEN",A470="TEX GIANG",A470="HUNG LONG"),LEFT(A470,5)="HANES",LEFT(A470,3)="ITG")</formula>
    </cfRule>
  </conditionalFormatting>
  <conditionalFormatting sqref="D470">
    <cfRule type="expression" dxfId="3967" priority="3964" stopIfTrue="1">
      <formula>OR(LEFT(D470,4)="KHTT",LEFT(D470,5)="10USD",RIGHT(D470,3)="TTC",LEFT(D470,3)="TNT")</formula>
    </cfRule>
    <cfRule type="expression" dxfId="3966" priority="3965" stopIfTrue="1">
      <formula>OR(LEFT(D470,3)="CTU",LEFT(D470,4)="HDON")</formula>
    </cfRule>
    <cfRule type="expression" dxfId="3965" priority="3966" stopIfTrue="1">
      <formula>OR(LEFT(D470,4)="HOLD",OR(A470="QTNP",A470="HOA THO",A470="YES VINA",A470="HUNG YEN",A470="TEX GIANG",A470="HUNG LONG"),LEFT(A470,5)="HANES",LEFT(A470,3)="ITG")</formula>
    </cfRule>
  </conditionalFormatting>
  <conditionalFormatting sqref="D470">
    <cfRule type="expression" dxfId="3964" priority="3961" stopIfTrue="1">
      <formula>OR(LEFT(D470,4)="KHTT",LEFT(D470,5)="10USD",RIGHT(D470,3)="TTC",LEFT(D470,3)="TNT")</formula>
    </cfRule>
    <cfRule type="expression" dxfId="3963" priority="3962" stopIfTrue="1">
      <formula>OR(LEFT(D470,3)="CTU",LEFT(D470,4)="HDON")</formula>
    </cfRule>
    <cfRule type="expression" dxfId="3962" priority="3963" stopIfTrue="1">
      <formula>OR(LEFT(D470,4)="HOLD",OR(A470="QTNP",A470="HOA THO",A470="YES VINA",A470="HUNG YEN",A470="TEX GIANG",A470="HUNG LONG"),LEFT(A470,5)="HANES",LEFT(A470,3)="ITG")</formula>
    </cfRule>
  </conditionalFormatting>
  <conditionalFormatting sqref="D470">
    <cfRule type="expression" dxfId="3961" priority="3958" stopIfTrue="1">
      <formula>OR(LEFT(D470,4)="KHTT",LEFT(D470,5)="10USD",RIGHT(D470,3)="TTC",LEFT(D470,3)="TNT")</formula>
    </cfRule>
    <cfRule type="expression" dxfId="3960" priority="3959" stopIfTrue="1">
      <formula>OR(LEFT(D470,3)="CTU",LEFT(D470,4)="HDON")</formula>
    </cfRule>
    <cfRule type="expression" dxfId="3959" priority="3960" stopIfTrue="1">
      <formula>OR(LEFT(D470,4)="HOLD",OR(A470="QTNP",A470="HOA THO",A470="YES VINA",A470="HUNG YEN",A470="TEX GIANG",A470="HUNG LONG"),LEFT(A470,5)="HANES",LEFT(A470,3)="ITG")</formula>
    </cfRule>
  </conditionalFormatting>
  <conditionalFormatting sqref="D469">
    <cfRule type="expression" dxfId="3958" priority="3955" stopIfTrue="1">
      <formula>OR(LEFT(D469,4)="KHTT",LEFT(D469,5)="10USD",RIGHT(D469,3)="TTC",LEFT(D469,3)="TNT")</formula>
    </cfRule>
    <cfRule type="expression" dxfId="3957" priority="3956" stopIfTrue="1">
      <formula>OR(LEFT(D469,3)="CTU",LEFT(D469,4)="HDON")</formula>
    </cfRule>
    <cfRule type="expression" dxfId="3956" priority="3957" stopIfTrue="1">
      <formula>OR(LEFT(D469,4)="HOLD",OR(A469="QTNP",A469="HOA THO",A469="YES VINA",A469="HUNG YEN",A469="TEX GIANG",A469="HUNG LONG"),LEFT(A469,5)="HANES",LEFT(A469,3)="ITG")</formula>
    </cfRule>
  </conditionalFormatting>
  <conditionalFormatting sqref="D469">
    <cfRule type="expression" dxfId="3955" priority="3952" stopIfTrue="1">
      <formula>OR(LEFT(D469,4)="KHTT",LEFT(D469,5)="10USD",RIGHT(D469,3)="TTC",LEFT(D469,3)="TNT")</formula>
    </cfRule>
    <cfRule type="expression" dxfId="3954" priority="3953" stopIfTrue="1">
      <formula>OR(LEFT(D469,3)="CTU",LEFT(D469,4)="HDON")</formula>
    </cfRule>
    <cfRule type="expression" dxfId="3953" priority="3954" stopIfTrue="1">
      <formula>OR(LEFT(D469,4)="HOLD",OR(A469="QTNP",A469="HOA THO",A469="YES VINA",A469="HUNG YEN",A469="TEX GIANG",A469="HUNG LONG"),LEFT(A469,5)="HANES",LEFT(A469,3)="ITG")</formula>
    </cfRule>
  </conditionalFormatting>
  <conditionalFormatting sqref="D470">
    <cfRule type="expression" dxfId="3952" priority="3949" stopIfTrue="1">
      <formula>OR(LEFT(D470,4)="KHTT",LEFT(D470,5)="10USD",RIGHT(D470,3)="TTC",LEFT(D470,3)="TNT")</formula>
    </cfRule>
    <cfRule type="expression" dxfId="3951" priority="3950" stopIfTrue="1">
      <formula>OR(LEFT(D470,3)="CTU",LEFT(D470,4)="HDON")</formula>
    </cfRule>
    <cfRule type="expression" dxfId="3950" priority="3951" stopIfTrue="1">
      <formula>OR(LEFT(D470,4)="HOLD",OR(A470="QTNP",A470="HOA THO",A470="YES VINA",A470="HUNG YEN",A470="TEX GIANG",A470="HUNG LONG"),LEFT(A470,5)="HANES",LEFT(A470,3)="ITG")</formula>
    </cfRule>
  </conditionalFormatting>
  <conditionalFormatting sqref="D470">
    <cfRule type="expression" dxfId="3949" priority="3946" stopIfTrue="1">
      <formula>OR(LEFT(D470,4)="KHTT",LEFT(D470,5)="10USD",RIGHT(D470,3)="TTC",LEFT(D470,3)="TNT")</formula>
    </cfRule>
    <cfRule type="expression" dxfId="3948" priority="3947" stopIfTrue="1">
      <formula>OR(LEFT(D470,3)="CTU",LEFT(D470,4)="HDON")</formula>
    </cfRule>
    <cfRule type="expression" dxfId="3947" priority="3948" stopIfTrue="1">
      <formula>OR(LEFT(D470,4)="HOLD",OR(A470="QTNP",A470="HOA THO",A470="YES VINA",A470="HUNG YEN",A470="TEX GIANG",A470="HUNG LONG"),LEFT(A470,5)="HANES",LEFT(A470,3)="ITG")</formula>
    </cfRule>
  </conditionalFormatting>
  <conditionalFormatting sqref="D470">
    <cfRule type="expression" dxfId="3946" priority="3943" stopIfTrue="1">
      <formula>OR(LEFT(D470,4)="KHTT",LEFT(D470,5)="10USD",RIGHT(D470,3)="TTC",LEFT(D470,3)="TNT")</formula>
    </cfRule>
    <cfRule type="expression" dxfId="3945" priority="3944" stopIfTrue="1">
      <formula>OR(LEFT(D470,3)="CTU",LEFT(D470,4)="HDON")</formula>
    </cfRule>
    <cfRule type="expression" dxfId="3944" priority="3945" stopIfTrue="1">
      <formula>OR(LEFT(D470,4)="HOLD",OR(A470="QTNP",A470="HOA THO",A470="YES VINA",A470="HUNG YEN",A470="TEX GIANG",A470="HUNG LONG"),LEFT(A470,5)="HANES",LEFT(A470,3)="ITG")</formula>
    </cfRule>
  </conditionalFormatting>
  <conditionalFormatting sqref="D470">
    <cfRule type="expression" dxfId="3943" priority="3940" stopIfTrue="1">
      <formula>OR(LEFT(D470,4)="KHTT",LEFT(D470,5)="10USD",RIGHT(D470,3)="TTC",LEFT(D470,3)="TNT")</formula>
    </cfRule>
    <cfRule type="expression" dxfId="3942" priority="3941" stopIfTrue="1">
      <formula>OR(LEFT(D470,3)="CTU",LEFT(D470,4)="HDON")</formula>
    </cfRule>
    <cfRule type="expression" dxfId="3941" priority="3942" stopIfTrue="1">
      <formula>OR(LEFT(D470,4)="HOLD",OR(A470="QTNP",A470="HOA THO",A470="YES VINA",A470="HUNG YEN",A470="TEX GIANG",A470="HUNG LONG"),LEFT(A470,5)="HANES",LEFT(A470,3)="ITG")</formula>
    </cfRule>
  </conditionalFormatting>
  <conditionalFormatting sqref="D469">
    <cfRule type="expression" dxfId="3940" priority="3937" stopIfTrue="1">
      <formula>OR(LEFT(D469,4)="KHTT",LEFT(D469,5)="10USD",RIGHT(D469,3)="TTC",LEFT(D469,3)="TNT")</formula>
    </cfRule>
    <cfRule type="expression" dxfId="3939" priority="3938" stopIfTrue="1">
      <formula>OR(LEFT(D469,3)="CTU",LEFT(D469,4)="HDON")</formula>
    </cfRule>
    <cfRule type="expression" dxfId="3938" priority="3939" stopIfTrue="1">
      <formula>OR(LEFT(D469,4)="HOLD",OR(A469="QTNP",A469="HOA THO",A469="YES VINA",A469="HUNG YEN",A469="TEX GIANG",A469="HUNG LONG"),LEFT(A469,5)="HANES",LEFT(A469,3)="ITG")</formula>
    </cfRule>
  </conditionalFormatting>
  <conditionalFormatting sqref="D469">
    <cfRule type="expression" dxfId="3937" priority="3934" stopIfTrue="1">
      <formula>OR(LEFT(D469,4)="KHTT",LEFT(D469,5)="10USD",RIGHT(D469,3)="TTC",LEFT(D469,3)="TNT")</formula>
    </cfRule>
    <cfRule type="expression" dxfId="3936" priority="3935" stopIfTrue="1">
      <formula>OR(LEFT(D469,3)="CTU",LEFT(D469,4)="HDON")</formula>
    </cfRule>
    <cfRule type="expression" dxfId="3935" priority="3936" stopIfTrue="1">
      <formula>OR(LEFT(D469,4)="HOLD",OR(A469="QTNP",A469="HOA THO",A469="YES VINA",A469="HUNG YEN",A469="TEX GIANG",A469="HUNG LONG"),LEFT(A469,5)="HANES",LEFT(A469,3)="ITG")</formula>
    </cfRule>
  </conditionalFormatting>
  <conditionalFormatting sqref="D470">
    <cfRule type="expression" dxfId="3934" priority="3931" stopIfTrue="1">
      <formula>OR(LEFT(D470,4)="KHTT",LEFT(D470,5)="10USD",RIGHT(D470,3)="TTC",LEFT(D470,3)="TNT")</formula>
    </cfRule>
    <cfRule type="expression" dxfId="3933" priority="3932" stopIfTrue="1">
      <formula>OR(LEFT(D470,3)="CTU",LEFT(D470,4)="HDON")</formula>
    </cfRule>
    <cfRule type="expression" dxfId="3932" priority="3933" stopIfTrue="1">
      <formula>OR(LEFT(D470,4)="HOLD",OR(A470="QTNP",A470="HOA THO",A470="YES VINA",A470="HUNG YEN",A470="TEX GIANG",A470="HUNG LONG"),LEFT(A470,5)="HANES",LEFT(A470,3)="ITG")</formula>
    </cfRule>
  </conditionalFormatting>
  <conditionalFormatting sqref="D470">
    <cfRule type="expression" dxfId="3931" priority="3928" stopIfTrue="1">
      <formula>OR(LEFT(D470,4)="KHTT",LEFT(D470,5)="10USD",RIGHT(D470,3)="TTC",LEFT(D470,3)="TNT")</formula>
    </cfRule>
    <cfRule type="expression" dxfId="3930" priority="3929" stopIfTrue="1">
      <formula>OR(LEFT(D470,3)="CTU",LEFT(D470,4)="HDON")</formula>
    </cfRule>
    <cfRule type="expression" dxfId="3929" priority="3930" stopIfTrue="1">
      <formula>OR(LEFT(D470,4)="HOLD",OR(A470="QTNP",A470="HOA THO",A470="YES VINA",A470="HUNG YEN",A470="TEX GIANG",A470="HUNG LONG"),LEFT(A470,5)="HANES",LEFT(A470,3)="ITG")</formula>
    </cfRule>
  </conditionalFormatting>
  <conditionalFormatting sqref="D470">
    <cfRule type="expression" dxfId="3928" priority="3925" stopIfTrue="1">
      <formula>OR(LEFT(D470,4)="KHTT",LEFT(D470,5)="10USD",RIGHT(D470,3)="TTC",LEFT(D470,3)="TNT")</formula>
    </cfRule>
    <cfRule type="expression" dxfId="3927" priority="3926" stopIfTrue="1">
      <formula>OR(LEFT(D470,3)="CTU",LEFT(D470,4)="HDON")</formula>
    </cfRule>
    <cfRule type="expression" dxfId="3926" priority="3927" stopIfTrue="1">
      <formula>OR(LEFT(D470,4)="HOLD",OR(A470="QTNP",A470="HOA THO",A470="YES VINA",A470="HUNG YEN",A470="TEX GIANG",A470="HUNG LONG"),LEFT(A470,5)="HANES",LEFT(A470,3)="ITG")</formula>
    </cfRule>
  </conditionalFormatting>
  <conditionalFormatting sqref="D470">
    <cfRule type="expression" dxfId="3925" priority="3922" stopIfTrue="1">
      <formula>OR(LEFT(D470,4)="KHTT",LEFT(D470,5)="10USD",RIGHT(D470,3)="TTC",LEFT(D470,3)="TNT")</formula>
    </cfRule>
    <cfRule type="expression" dxfId="3924" priority="3923" stopIfTrue="1">
      <formula>OR(LEFT(D470,3)="CTU",LEFT(D470,4)="HDON")</formula>
    </cfRule>
    <cfRule type="expression" dxfId="3923" priority="3924" stopIfTrue="1">
      <formula>OR(LEFT(D470,4)="HOLD",OR(A470="QTNP",A470="HOA THO",A470="YES VINA",A470="HUNG YEN",A470="TEX GIANG",A470="HUNG LONG"),LEFT(A470,5)="HANES",LEFT(A470,3)="ITG")</formula>
    </cfRule>
  </conditionalFormatting>
  <conditionalFormatting sqref="D469">
    <cfRule type="expression" dxfId="3922" priority="3919" stopIfTrue="1">
      <formula>OR(LEFT(D469,4)="KHTT",LEFT(D469,5)="10USD",RIGHT(D469,3)="TTC",LEFT(D469,3)="TNT")</formula>
    </cfRule>
    <cfRule type="expression" dxfId="3921" priority="3920" stopIfTrue="1">
      <formula>OR(LEFT(D469,3)="CTU",LEFT(D469,4)="HDON")</formula>
    </cfRule>
    <cfRule type="expression" dxfId="3920" priority="3921" stopIfTrue="1">
      <formula>OR(LEFT(D469,4)="HOLD",OR(A469="QTNP",A469="HOA THO",A469="YES VINA",A469="HUNG YEN",A469="TEX GIANG",A469="HUNG LONG"),LEFT(A469,5)="HANES",LEFT(A469,3)="ITG")</formula>
    </cfRule>
  </conditionalFormatting>
  <conditionalFormatting sqref="D469">
    <cfRule type="expression" dxfId="3919" priority="3916" stopIfTrue="1">
      <formula>OR(LEFT(D469,4)="KHTT",LEFT(D469,5)="10USD",RIGHT(D469,3)="TTC",LEFT(D469,3)="TNT")</formula>
    </cfRule>
    <cfRule type="expression" dxfId="3918" priority="3917" stopIfTrue="1">
      <formula>OR(LEFT(D469,3)="CTU",LEFT(D469,4)="HDON")</formula>
    </cfRule>
    <cfRule type="expression" dxfId="3917" priority="3918" stopIfTrue="1">
      <formula>OR(LEFT(D469,4)="HOLD",OR(A469="QTNP",A469="HOA THO",A469="YES VINA",A469="HUNG YEN",A469="TEX GIANG",A469="HUNG LONG"),LEFT(A469,5)="HANES",LEFT(A469,3)="ITG")</formula>
    </cfRule>
  </conditionalFormatting>
  <conditionalFormatting sqref="D470">
    <cfRule type="expression" dxfId="3916" priority="3913" stopIfTrue="1">
      <formula>OR(LEFT(D470,4)="KHTT",LEFT(D470,5)="10USD",RIGHT(D470,3)="TTC",LEFT(D470,3)="TNT")</formula>
    </cfRule>
    <cfRule type="expression" dxfId="3915" priority="3914" stopIfTrue="1">
      <formula>OR(LEFT(D470,3)="CTU",LEFT(D470,4)="HDON")</formula>
    </cfRule>
    <cfRule type="expression" dxfId="3914" priority="3915" stopIfTrue="1">
      <formula>OR(LEFT(D470,4)="HOLD",OR(A470="QTNP",A470="HOA THO",A470="YES VINA",A470="HUNG YEN",A470="TEX GIANG",A470="HUNG LONG"),LEFT(A470,5)="HANES",LEFT(A470,3)="ITG")</formula>
    </cfRule>
  </conditionalFormatting>
  <conditionalFormatting sqref="D470">
    <cfRule type="expression" dxfId="3913" priority="3910" stopIfTrue="1">
      <formula>OR(LEFT(D470,4)="KHTT",LEFT(D470,5)="10USD",RIGHT(D470,3)="TTC",LEFT(D470,3)="TNT")</formula>
    </cfRule>
    <cfRule type="expression" dxfId="3912" priority="3911" stopIfTrue="1">
      <formula>OR(LEFT(D470,3)="CTU",LEFT(D470,4)="HDON")</formula>
    </cfRule>
    <cfRule type="expression" dxfId="3911" priority="3912" stopIfTrue="1">
      <formula>OR(LEFT(D470,4)="HOLD",OR(A470="QTNP",A470="HOA THO",A470="YES VINA",A470="HUNG YEN",A470="TEX GIANG",A470="HUNG LONG"),LEFT(A470,5)="HANES",LEFT(A470,3)="ITG")</formula>
    </cfRule>
  </conditionalFormatting>
  <conditionalFormatting sqref="D470">
    <cfRule type="expression" dxfId="3910" priority="3907" stopIfTrue="1">
      <formula>OR(LEFT(D470,4)="KHTT",LEFT(D470,5)="10USD",RIGHT(D470,3)="TTC",LEFT(D470,3)="TNT")</formula>
    </cfRule>
    <cfRule type="expression" dxfId="3909" priority="3908" stopIfTrue="1">
      <formula>OR(LEFT(D470,3)="CTU",LEFT(D470,4)="HDON")</formula>
    </cfRule>
    <cfRule type="expression" dxfId="3908" priority="3909" stopIfTrue="1">
      <formula>OR(LEFT(D470,4)="HOLD",OR(A470="QTNP",A470="HOA THO",A470="YES VINA",A470="HUNG YEN",A470="TEX GIANG",A470="HUNG LONG"),LEFT(A470,5)="HANES",LEFT(A470,3)="ITG")</formula>
    </cfRule>
  </conditionalFormatting>
  <conditionalFormatting sqref="D470">
    <cfRule type="expression" dxfId="3907" priority="3904" stopIfTrue="1">
      <formula>OR(LEFT(D470,4)="KHTT",LEFT(D470,5)="10USD",RIGHT(D470,3)="TTC",LEFT(D470,3)="TNT")</formula>
    </cfRule>
    <cfRule type="expression" dxfId="3906" priority="3905" stopIfTrue="1">
      <formula>OR(LEFT(D470,3)="CTU",LEFT(D470,4)="HDON")</formula>
    </cfRule>
    <cfRule type="expression" dxfId="3905" priority="3906" stopIfTrue="1">
      <formula>OR(LEFT(D470,4)="HOLD",OR(A470="QTNP",A470="HOA THO",A470="YES VINA",A470="HUNG YEN",A470="TEX GIANG",A470="HUNG LONG"),LEFT(A470,5)="HANES",LEFT(A470,3)="ITG")</formula>
    </cfRule>
  </conditionalFormatting>
  <conditionalFormatting sqref="D469">
    <cfRule type="expression" dxfId="3904" priority="3901" stopIfTrue="1">
      <formula>OR(LEFT(D469,4)="KHTT",LEFT(D469,5)="10USD",RIGHT(D469,3)="TTC",LEFT(D469,3)="TNT")</formula>
    </cfRule>
    <cfRule type="expression" dxfId="3903" priority="3902" stopIfTrue="1">
      <formula>OR(LEFT(D469,3)="CTU",LEFT(D469,4)="HDON")</formula>
    </cfRule>
    <cfRule type="expression" dxfId="3902" priority="3903" stopIfTrue="1">
      <formula>OR(LEFT(D469,4)="HOLD",OR(A469="QTNP",A469="HOA THO",A469="YES VINA",A469="HUNG YEN",A469="TEX GIANG",A469="HUNG LONG"),LEFT(A469,5)="HANES",LEFT(A469,3)="ITG")</formula>
    </cfRule>
  </conditionalFormatting>
  <conditionalFormatting sqref="D469">
    <cfRule type="expression" dxfId="3901" priority="3898" stopIfTrue="1">
      <formula>OR(LEFT(D469,4)="KHTT",LEFT(D469,5)="10USD",RIGHT(D469,3)="TTC",LEFT(D469,3)="TNT")</formula>
    </cfRule>
    <cfRule type="expression" dxfId="3900" priority="3899" stopIfTrue="1">
      <formula>OR(LEFT(D469,3)="CTU",LEFT(D469,4)="HDON")</formula>
    </cfRule>
    <cfRule type="expression" dxfId="3899" priority="3900" stopIfTrue="1">
      <formula>OR(LEFT(D469,4)="HOLD",OR(A469="QTNP",A469="HOA THO",A469="YES VINA",A469="HUNG YEN",A469="TEX GIANG",A469="HUNG LONG"),LEFT(A469,5)="HANES",LEFT(A469,3)="ITG")</formula>
    </cfRule>
  </conditionalFormatting>
  <conditionalFormatting sqref="D470">
    <cfRule type="expression" dxfId="3898" priority="3895" stopIfTrue="1">
      <formula>OR(LEFT(D470,4)="KHTT",LEFT(D470,5)="10USD",RIGHT(D470,3)="TTC",LEFT(D470,3)="TNT")</formula>
    </cfRule>
    <cfRule type="expression" dxfId="3897" priority="3896" stopIfTrue="1">
      <formula>OR(LEFT(D470,3)="CTU",LEFT(D470,4)="HDON")</formula>
    </cfRule>
    <cfRule type="expression" dxfId="3896" priority="3897" stopIfTrue="1">
      <formula>OR(LEFT(D470,4)="HOLD",OR(A470="QTNP",A470="HOA THO",A470="YES VINA",A470="HUNG YEN",A470="TEX GIANG",A470="HUNG LONG"),LEFT(A470,5)="HANES",LEFT(A470,3)="ITG")</formula>
    </cfRule>
  </conditionalFormatting>
  <conditionalFormatting sqref="D470">
    <cfRule type="expression" dxfId="3895" priority="3892" stopIfTrue="1">
      <formula>OR(LEFT(D470,4)="KHTT",LEFT(D470,5)="10USD",RIGHT(D470,3)="TTC",LEFT(D470,3)="TNT")</formula>
    </cfRule>
    <cfRule type="expression" dxfId="3894" priority="3893" stopIfTrue="1">
      <formula>OR(LEFT(D470,3)="CTU",LEFT(D470,4)="HDON")</formula>
    </cfRule>
    <cfRule type="expression" dxfId="3893" priority="3894" stopIfTrue="1">
      <formula>OR(LEFT(D470,4)="HOLD",OR(A470="QTNP",A470="HOA THO",A470="YES VINA",A470="HUNG YEN",A470="TEX GIANG",A470="HUNG LONG"),LEFT(A470,5)="HANES",LEFT(A470,3)="ITG")</formula>
    </cfRule>
  </conditionalFormatting>
  <conditionalFormatting sqref="D470">
    <cfRule type="expression" dxfId="3892" priority="3889" stopIfTrue="1">
      <formula>OR(LEFT(D470,4)="KHTT",LEFT(D470,5)="10USD",RIGHT(D470,3)="TTC",LEFT(D470,3)="TNT")</formula>
    </cfRule>
    <cfRule type="expression" dxfId="3891" priority="3890" stopIfTrue="1">
      <formula>OR(LEFT(D470,3)="CTU",LEFT(D470,4)="HDON")</formula>
    </cfRule>
    <cfRule type="expression" dxfId="3890" priority="3891" stopIfTrue="1">
      <formula>OR(LEFT(D470,4)="HOLD",OR(A470="QTNP",A470="HOA THO",A470="YES VINA",A470="HUNG YEN",A470="TEX GIANG",A470="HUNG LONG"),LEFT(A470,5)="HANES",LEFT(A470,3)="ITG")</formula>
    </cfRule>
  </conditionalFormatting>
  <conditionalFormatting sqref="D470">
    <cfRule type="expression" dxfId="3889" priority="3886" stopIfTrue="1">
      <formula>OR(LEFT(D470,4)="KHTT",LEFT(D470,5)="10USD",RIGHT(D470,3)="TTC",LEFT(D470,3)="TNT")</formula>
    </cfRule>
    <cfRule type="expression" dxfId="3888" priority="3887" stopIfTrue="1">
      <formula>OR(LEFT(D470,3)="CTU",LEFT(D470,4)="HDON")</formula>
    </cfRule>
    <cfRule type="expression" dxfId="3887" priority="3888" stopIfTrue="1">
      <formula>OR(LEFT(D470,4)="HOLD",OR(A470="QTNP",A470="HOA THO",A470="YES VINA",A470="HUNG YEN",A470="TEX GIANG",A470="HUNG LONG"),LEFT(A470,5)="HANES",LEFT(A470,3)="ITG")</formula>
    </cfRule>
  </conditionalFormatting>
  <conditionalFormatting sqref="D469">
    <cfRule type="expression" dxfId="3886" priority="3883" stopIfTrue="1">
      <formula>OR(LEFT(D469,4)="KHTT",LEFT(D469,5)="10USD",RIGHT(D469,3)="TTC",LEFT(D469,3)="TNT")</formula>
    </cfRule>
    <cfRule type="expression" dxfId="3885" priority="3884" stopIfTrue="1">
      <formula>OR(LEFT(D469,3)="CTU",LEFT(D469,4)="HDON")</formula>
    </cfRule>
    <cfRule type="expression" dxfId="3884" priority="3885" stopIfTrue="1">
      <formula>OR(LEFT(D469,4)="HOLD",OR(A469="QTNP",A469="HOA THO",A469="YES VINA",A469="HUNG YEN",A469="TEX GIANG",A469="HUNG LONG"),LEFT(A469,5)="HANES",LEFT(A469,3)="ITG")</formula>
    </cfRule>
  </conditionalFormatting>
  <conditionalFormatting sqref="D469">
    <cfRule type="expression" dxfId="3883" priority="3880" stopIfTrue="1">
      <formula>OR(LEFT(D469,4)="KHTT",LEFT(D469,5)="10USD",RIGHT(D469,3)="TTC",LEFT(D469,3)="TNT")</formula>
    </cfRule>
    <cfRule type="expression" dxfId="3882" priority="3881" stopIfTrue="1">
      <formula>OR(LEFT(D469,3)="CTU",LEFT(D469,4)="HDON")</formula>
    </cfRule>
    <cfRule type="expression" dxfId="3881" priority="3882" stopIfTrue="1">
      <formula>OR(LEFT(D469,4)="HOLD",OR(A469="QTNP",A469="HOA THO",A469="YES VINA",A469="HUNG YEN",A469="TEX GIANG",A469="HUNG LONG"),LEFT(A469,5)="HANES",LEFT(A469,3)="ITG")</formula>
    </cfRule>
  </conditionalFormatting>
  <conditionalFormatting sqref="D470">
    <cfRule type="expression" dxfId="3880" priority="3877" stopIfTrue="1">
      <formula>OR(LEFT(D470,4)="KHTT",LEFT(D470,5)="10USD",RIGHT(D470,3)="TTC",LEFT(D470,3)="TNT")</formula>
    </cfRule>
    <cfRule type="expression" dxfId="3879" priority="3878" stopIfTrue="1">
      <formula>OR(LEFT(D470,3)="CTU",LEFT(D470,4)="HDON")</formula>
    </cfRule>
    <cfRule type="expression" dxfId="3878" priority="3879" stopIfTrue="1">
      <formula>OR(LEFT(D470,4)="HOLD",OR(A470="QTNP",A470="HOA THO",A470="YES VINA",A470="HUNG YEN",A470="TEX GIANG",A470="HUNG LONG"),LEFT(A470,5)="HANES",LEFT(A470,3)="ITG")</formula>
    </cfRule>
  </conditionalFormatting>
  <conditionalFormatting sqref="D470">
    <cfRule type="expression" dxfId="3877" priority="3874" stopIfTrue="1">
      <formula>OR(LEFT(D470,4)="KHTT",LEFT(D470,5)="10USD",RIGHT(D470,3)="TTC",LEFT(D470,3)="TNT")</formula>
    </cfRule>
    <cfRule type="expression" dxfId="3876" priority="3875" stopIfTrue="1">
      <formula>OR(LEFT(D470,3)="CTU",LEFT(D470,4)="HDON")</formula>
    </cfRule>
    <cfRule type="expression" dxfId="3875" priority="3876" stopIfTrue="1">
      <formula>OR(LEFT(D470,4)="HOLD",OR(A470="QTNP",A470="HOA THO",A470="YES VINA",A470="HUNG YEN",A470="TEX GIANG",A470="HUNG LONG"),LEFT(A470,5)="HANES",LEFT(A470,3)="ITG")</formula>
    </cfRule>
  </conditionalFormatting>
  <conditionalFormatting sqref="D470">
    <cfRule type="expression" dxfId="3874" priority="3871" stopIfTrue="1">
      <formula>OR(LEFT(D470,4)="KHTT",LEFT(D470,5)="10USD",RIGHT(D470,3)="TTC",LEFT(D470,3)="TNT")</formula>
    </cfRule>
    <cfRule type="expression" dxfId="3873" priority="3872" stopIfTrue="1">
      <formula>OR(LEFT(D470,3)="CTU",LEFT(D470,4)="HDON")</formula>
    </cfRule>
    <cfRule type="expression" dxfId="3872" priority="3873" stopIfTrue="1">
      <formula>OR(LEFT(D470,4)="HOLD",OR(A470="QTNP",A470="HOA THO",A470="YES VINA",A470="HUNG YEN",A470="TEX GIANG",A470="HUNG LONG"),LEFT(A470,5)="HANES",LEFT(A470,3)="ITG")</formula>
    </cfRule>
  </conditionalFormatting>
  <conditionalFormatting sqref="D470">
    <cfRule type="expression" dxfId="3871" priority="3868" stopIfTrue="1">
      <formula>OR(LEFT(D470,4)="KHTT",LEFT(D470,5)="10USD",RIGHT(D470,3)="TTC",LEFT(D470,3)="TNT")</formula>
    </cfRule>
    <cfRule type="expression" dxfId="3870" priority="3869" stopIfTrue="1">
      <formula>OR(LEFT(D470,3)="CTU",LEFT(D470,4)="HDON")</formula>
    </cfRule>
    <cfRule type="expression" dxfId="3869" priority="3870" stopIfTrue="1">
      <formula>OR(LEFT(D470,4)="HOLD",OR(A470="QTNP",A470="HOA THO",A470="YES VINA",A470="HUNG YEN",A470="TEX GIANG",A470="HUNG LONG"),LEFT(A470,5)="HANES",LEFT(A470,3)="ITG")</formula>
    </cfRule>
  </conditionalFormatting>
  <conditionalFormatting sqref="D469">
    <cfRule type="expression" dxfId="3868" priority="3865" stopIfTrue="1">
      <formula>OR(LEFT(D469,4)="KHTT",LEFT(D469,5)="10USD",RIGHT(D469,3)="TTC",LEFT(D469,3)="TNT")</formula>
    </cfRule>
    <cfRule type="expression" dxfId="3867" priority="3866" stopIfTrue="1">
      <formula>OR(LEFT(D469,3)="CTU",LEFT(D469,4)="HDON")</formula>
    </cfRule>
    <cfRule type="expression" dxfId="3866" priority="3867" stopIfTrue="1">
      <formula>OR(LEFT(D469,4)="HOLD",OR(A469="QTNP",A469="HOA THO",A469="YES VINA",A469="HUNG YEN",A469="TEX GIANG",A469="HUNG LONG"),LEFT(A469,5)="HANES",LEFT(A469,3)="ITG")</formula>
    </cfRule>
  </conditionalFormatting>
  <conditionalFormatting sqref="D469">
    <cfRule type="expression" dxfId="3865" priority="3862" stopIfTrue="1">
      <formula>OR(LEFT(D469,4)="KHTT",LEFT(D469,5)="10USD",RIGHT(D469,3)="TTC",LEFT(D469,3)="TNT")</formula>
    </cfRule>
    <cfRule type="expression" dxfId="3864" priority="3863" stopIfTrue="1">
      <formula>OR(LEFT(D469,3)="CTU",LEFT(D469,4)="HDON")</formula>
    </cfRule>
    <cfRule type="expression" dxfId="3863" priority="3864" stopIfTrue="1">
      <formula>OR(LEFT(D469,4)="HOLD",OR(A469="QTNP",A469="HOA THO",A469="YES VINA",A469="HUNG YEN",A469="TEX GIANG",A469="HUNG LONG"),LEFT(A469,5)="HANES",LEFT(A469,3)="ITG")</formula>
    </cfRule>
  </conditionalFormatting>
  <conditionalFormatting sqref="D470">
    <cfRule type="expression" dxfId="3862" priority="3859" stopIfTrue="1">
      <formula>OR(LEFT(D470,4)="KHTT",LEFT(D470,5)="10USD",RIGHT(D470,3)="TTC",LEFT(D470,3)="TNT")</formula>
    </cfRule>
    <cfRule type="expression" dxfId="3861" priority="3860" stopIfTrue="1">
      <formula>OR(LEFT(D470,3)="CTU",LEFT(D470,4)="HDON")</formula>
    </cfRule>
    <cfRule type="expression" dxfId="3860" priority="3861" stopIfTrue="1">
      <formula>OR(LEFT(D470,4)="HOLD",OR(A470="QTNP",A470="HOA THO",A470="YES VINA",A470="HUNG YEN",A470="TEX GIANG",A470="HUNG LONG"),LEFT(A470,5)="HANES",LEFT(A470,3)="ITG")</formula>
    </cfRule>
  </conditionalFormatting>
  <conditionalFormatting sqref="D470">
    <cfRule type="expression" dxfId="3859" priority="3856" stopIfTrue="1">
      <formula>OR(LEFT(D470,4)="KHTT",LEFT(D470,5)="10USD",RIGHT(D470,3)="TTC",LEFT(D470,3)="TNT")</formula>
    </cfRule>
    <cfRule type="expression" dxfId="3858" priority="3857" stopIfTrue="1">
      <formula>OR(LEFT(D470,3)="CTU",LEFT(D470,4)="HDON")</formula>
    </cfRule>
    <cfRule type="expression" dxfId="3857" priority="3858" stopIfTrue="1">
      <formula>OR(LEFT(D470,4)="HOLD",OR(A470="QTNP",A470="HOA THO",A470="YES VINA",A470="HUNG YEN",A470="TEX GIANG",A470="HUNG LONG"),LEFT(A470,5)="HANES",LEFT(A470,3)="ITG")</formula>
    </cfRule>
  </conditionalFormatting>
  <conditionalFormatting sqref="D470">
    <cfRule type="expression" dxfId="3856" priority="3853" stopIfTrue="1">
      <formula>OR(LEFT(D470,4)="KHTT",LEFT(D470,5)="10USD",RIGHT(D470,3)="TTC",LEFT(D470,3)="TNT")</formula>
    </cfRule>
    <cfRule type="expression" dxfId="3855" priority="3854" stopIfTrue="1">
      <formula>OR(LEFT(D470,3)="CTU",LEFT(D470,4)="HDON")</formula>
    </cfRule>
    <cfRule type="expression" dxfId="3854" priority="3855" stopIfTrue="1">
      <formula>OR(LEFT(D470,4)="HOLD",OR(A470="QTNP",A470="HOA THO",A470="YES VINA",A470="HUNG YEN",A470="TEX GIANG",A470="HUNG LONG"),LEFT(A470,5)="HANES",LEFT(A470,3)="ITG")</formula>
    </cfRule>
  </conditionalFormatting>
  <conditionalFormatting sqref="D470">
    <cfRule type="expression" dxfId="3853" priority="3850" stopIfTrue="1">
      <formula>OR(LEFT(D470,4)="KHTT",LEFT(D470,5)="10USD",RIGHT(D470,3)="TTC",LEFT(D470,3)="TNT")</formula>
    </cfRule>
    <cfRule type="expression" dxfId="3852" priority="3851" stopIfTrue="1">
      <formula>OR(LEFT(D470,3)="CTU",LEFT(D470,4)="HDON")</formula>
    </cfRule>
    <cfRule type="expression" dxfId="3851" priority="3852" stopIfTrue="1">
      <formula>OR(LEFT(D470,4)="HOLD",OR(A470="QTNP",A470="HOA THO",A470="YES VINA",A470="HUNG YEN",A470="TEX GIANG",A470="HUNG LONG"),LEFT(A470,5)="HANES",LEFT(A470,3)="ITG")</formula>
    </cfRule>
  </conditionalFormatting>
  <conditionalFormatting sqref="D469">
    <cfRule type="expression" dxfId="3850" priority="3847" stopIfTrue="1">
      <formula>OR(LEFT(D469,4)="KHTT",LEFT(D469,5)="10USD",RIGHT(D469,3)="TTC",LEFT(D469,3)="TNT")</formula>
    </cfRule>
    <cfRule type="expression" dxfId="3849" priority="3848" stopIfTrue="1">
      <formula>OR(LEFT(D469,3)="CTU",LEFT(D469,4)="HDON")</formula>
    </cfRule>
    <cfRule type="expression" dxfId="3848" priority="3849" stopIfTrue="1">
      <formula>OR(LEFT(D469,4)="HOLD",OR(A469="QTNP",A469="HOA THO",A469="YES VINA",A469="HUNG YEN",A469="TEX GIANG",A469="HUNG LONG"),LEFT(A469,5)="HANES",LEFT(A469,3)="ITG")</formula>
    </cfRule>
  </conditionalFormatting>
  <conditionalFormatting sqref="D469">
    <cfRule type="expression" dxfId="3847" priority="3844" stopIfTrue="1">
      <formula>OR(LEFT(D469,4)="KHTT",LEFT(D469,5)="10USD",RIGHT(D469,3)="TTC",LEFT(D469,3)="TNT")</formula>
    </cfRule>
    <cfRule type="expression" dxfId="3846" priority="3845" stopIfTrue="1">
      <formula>OR(LEFT(D469,3)="CTU",LEFT(D469,4)="HDON")</formula>
    </cfRule>
    <cfRule type="expression" dxfId="3845" priority="3846" stopIfTrue="1">
      <formula>OR(LEFT(D469,4)="HOLD",OR(A469="QTNP",A469="HOA THO",A469="YES VINA",A469="HUNG YEN",A469="TEX GIANG",A469="HUNG LONG"),LEFT(A469,5)="HANES",LEFT(A469,3)="ITG")</formula>
    </cfRule>
  </conditionalFormatting>
  <conditionalFormatting sqref="D470">
    <cfRule type="expression" dxfId="3844" priority="3841" stopIfTrue="1">
      <formula>OR(LEFT(D470,4)="KHTT",LEFT(D470,5)="10USD",RIGHT(D470,3)="TTC",LEFT(D470,3)="TNT")</formula>
    </cfRule>
    <cfRule type="expression" dxfId="3843" priority="3842" stopIfTrue="1">
      <formula>OR(LEFT(D470,3)="CTU",LEFT(D470,4)="HDON")</formula>
    </cfRule>
    <cfRule type="expression" dxfId="3842" priority="3843" stopIfTrue="1">
      <formula>OR(LEFT(D470,4)="HOLD",OR(A470="QTNP",A470="HOA THO",A470="YES VINA",A470="HUNG YEN",A470="TEX GIANG",A470="HUNG LONG"),LEFT(A470,5)="HANES",LEFT(A470,3)="ITG")</formula>
    </cfRule>
  </conditionalFormatting>
  <conditionalFormatting sqref="D470">
    <cfRule type="expression" dxfId="3841" priority="3838" stopIfTrue="1">
      <formula>OR(LEFT(D470,4)="KHTT",LEFT(D470,5)="10USD",RIGHT(D470,3)="TTC",LEFT(D470,3)="TNT")</formula>
    </cfRule>
    <cfRule type="expression" dxfId="3840" priority="3839" stopIfTrue="1">
      <formula>OR(LEFT(D470,3)="CTU",LEFT(D470,4)="HDON")</formula>
    </cfRule>
    <cfRule type="expression" dxfId="3839" priority="3840" stopIfTrue="1">
      <formula>OR(LEFT(D470,4)="HOLD",OR(A470="QTNP",A470="HOA THO",A470="YES VINA",A470="HUNG YEN",A470="TEX GIANG",A470="HUNG LONG"),LEFT(A470,5)="HANES",LEFT(A470,3)="ITG")</formula>
    </cfRule>
  </conditionalFormatting>
  <conditionalFormatting sqref="D470">
    <cfRule type="expression" dxfId="3838" priority="3835" stopIfTrue="1">
      <formula>OR(LEFT(D470,4)="KHTT",LEFT(D470,5)="10USD",RIGHT(D470,3)="TTC",LEFT(D470,3)="TNT")</formula>
    </cfRule>
    <cfRule type="expression" dxfId="3837" priority="3836" stopIfTrue="1">
      <formula>OR(LEFT(D470,3)="CTU",LEFT(D470,4)="HDON")</formula>
    </cfRule>
    <cfRule type="expression" dxfId="3836" priority="3837" stopIfTrue="1">
      <formula>OR(LEFT(D470,4)="HOLD",OR(A470="QTNP",A470="HOA THO",A470="YES VINA",A470="HUNG YEN",A470="TEX GIANG",A470="HUNG LONG"),LEFT(A470,5)="HANES",LEFT(A470,3)="ITG")</formula>
    </cfRule>
  </conditionalFormatting>
  <conditionalFormatting sqref="D470">
    <cfRule type="expression" dxfId="3835" priority="3832" stopIfTrue="1">
      <formula>OR(LEFT(D470,4)="KHTT",LEFT(D470,5)="10USD",RIGHT(D470,3)="TTC",LEFT(D470,3)="TNT")</formula>
    </cfRule>
    <cfRule type="expression" dxfId="3834" priority="3833" stopIfTrue="1">
      <formula>OR(LEFT(D470,3)="CTU",LEFT(D470,4)="HDON")</formula>
    </cfRule>
    <cfRule type="expression" dxfId="3833" priority="3834" stopIfTrue="1">
      <formula>OR(LEFT(D470,4)="HOLD",OR(A470="QTNP",A470="HOA THO",A470="YES VINA",A470="HUNG YEN",A470="TEX GIANG",A470="HUNG LONG"),LEFT(A470,5)="HANES",LEFT(A470,3)="ITG")</formula>
    </cfRule>
  </conditionalFormatting>
  <conditionalFormatting sqref="D469">
    <cfRule type="expression" dxfId="3832" priority="3829" stopIfTrue="1">
      <formula>OR(LEFT(D469,4)="KHTT",LEFT(D469,5)="10USD",RIGHT(D469,3)="TTC",LEFT(D469,3)="TNT")</formula>
    </cfRule>
    <cfRule type="expression" dxfId="3831" priority="3830" stopIfTrue="1">
      <formula>OR(LEFT(D469,3)="CTU",LEFT(D469,4)="HDON")</formula>
    </cfRule>
    <cfRule type="expression" dxfId="3830" priority="3831" stopIfTrue="1">
      <formula>OR(LEFT(D469,4)="HOLD",OR(A469="QTNP",A469="HOA THO",A469="YES VINA",A469="HUNG YEN",A469="TEX GIANG",A469="HUNG LONG"),LEFT(A469,5)="HANES",LEFT(A469,3)="ITG")</formula>
    </cfRule>
  </conditionalFormatting>
  <conditionalFormatting sqref="D469">
    <cfRule type="expression" dxfId="3829" priority="3826" stopIfTrue="1">
      <formula>OR(LEFT(D469,4)="KHTT",LEFT(D469,5)="10USD",RIGHT(D469,3)="TTC",LEFT(D469,3)="TNT")</formula>
    </cfRule>
    <cfRule type="expression" dxfId="3828" priority="3827" stopIfTrue="1">
      <formula>OR(LEFT(D469,3)="CTU",LEFT(D469,4)="HDON")</formula>
    </cfRule>
    <cfRule type="expression" dxfId="3827" priority="3828" stopIfTrue="1">
      <formula>OR(LEFT(D469,4)="HOLD",OR(A469="QTNP",A469="HOA THO",A469="YES VINA",A469="HUNG YEN",A469="TEX GIANG",A469="HUNG LONG"),LEFT(A469,5)="HANES",LEFT(A469,3)="ITG")</formula>
    </cfRule>
  </conditionalFormatting>
  <conditionalFormatting sqref="D470">
    <cfRule type="expression" dxfId="3826" priority="3823" stopIfTrue="1">
      <formula>OR(LEFT(D470,4)="KHTT",LEFT(D470,5)="10USD",RIGHT(D470,3)="TTC",LEFT(D470,3)="TNT")</formula>
    </cfRule>
    <cfRule type="expression" dxfId="3825" priority="3824" stopIfTrue="1">
      <formula>OR(LEFT(D470,3)="CTU",LEFT(D470,4)="HDON")</formula>
    </cfRule>
    <cfRule type="expression" dxfId="3824" priority="3825" stopIfTrue="1">
      <formula>OR(LEFT(D470,4)="HOLD",OR(A470="QTNP",A470="HOA THO",A470="YES VINA",A470="HUNG YEN",A470="TEX GIANG",A470="HUNG LONG"),LEFT(A470,5)="HANES",LEFT(A470,3)="ITG")</formula>
    </cfRule>
  </conditionalFormatting>
  <conditionalFormatting sqref="D470">
    <cfRule type="expression" dxfId="3823" priority="3820" stopIfTrue="1">
      <formula>OR(LEFT(D470,4)="KHTT",LEFT(D470,5)="10USD",RIGHT(D470,3)="TTC",LEFT(D470,3)="TNT")</formula>
    </cfRule>
    <cfRule type="expression" dxfId="3822" priority="3821" stopIfTrue="1">
      <formula>OR(LEFT(D470,3)="CTU",LEFT(D470,4)="HDON")</formula>
    </cfRule>
    <cfRule type="expression" dxfId="3821" priority="3822" stopIfTrue="1">
      <formula>OR(LEFT(D470,4)="HOLD",OR(A470="QTNP",A470="HOA THO",A470="YES VINA",A470="HUNG YEN",A470="TEX GIANG",A470="HUNG LONG"),LEFT(A470,5)="HANES",LEFT(A470,3)="ITG")</formula>
    </cfRule>
  </conditionalFormatting>
  <conditionalFormatting sqref="D470">
    <cfRule type="expression" dxfId="3820" priority="3817" stopIfTrue="1">
      <formula>OR(LEFT(D470,4)="KHTT",LEFT(D470,5)="10USD",RIGHT(D470,3)="TTC",LEFT(D470,3)="TNT")</formula>
    </cfRule>
    <cfRule type="expression" dxfId="3819" priority="3818" stopIfTrue="1">
      <formula>OR(LEFT(D470,3)="CTU",LEFT(D470,4)="HDON")</formula>
    </cfRule>
    <cfRule type="expression" dxfId="3818" priority="3819" stopIfTrue="1">
      <formula>OR(LEFT(D470,4)="HOLD",OR(A470="QTNP",A470="HOA THO",A470="YES VINA",A470="HUNG YEN",A470="TEX GIANG",A470="HUNG LONG"),LEFT(A470,5)="HANES",LEFT(A470,3)="ITG")</formula>
    </cfRule>
  </conditionalFormatting>
  <conditionalFormatting sqref="D470">
    <cfRule type="expression" dxfId="3817" priority="3814" stopIfTrue="1">
      <formula>OR(LEFT(D470,4)="KHTT",LEFT(D470,5)="10USD",RIGHT(D470,3)="TTC",LEFT(D470,3)="TNT")</formula>
    </cfRule>
    <cfRule type="expression" dxfId="3816" priority="3815" stopIfTrue="1">
      <formula>OR(LEFT(D470,3)="CTU",LEFT(D470,4)="HDON")</formula>
    </cfRule>
    <cfRule type="expression" dxfId="3815" priority="3816" stopIfTrue="1">
      <formula>OR(LEFT(D470,4)="HOLD",OR(A470="QTNP",A470="HOA THO",A470="YES VINA",A470="HUNG YEN",A470="TEX GIANG",A470="HUNG LONG"),LEFT(A470,5)="HANES",LEFT(A470,3)="ITG")</formula>
    </cfRule>
  </conditionalFormatting>
  <conditionalFormatting sqref="D469">
    <cfRule type="expression" dxfId="3814" priority="3811" stopIfTrue="1">
      <formula>OR(LEFT(D469,4)="KHTT",LEFT(D469,5)="10USD",RIGHT(D469,3)="TTC",LEFT(D469,3)="TNT")</formula>
    </cfRule>
    <cfRule type="expression" dxfId="3813" priority="3812" stopIfTrue="1">
      <formula>OR(LEFT(D469,3)="CTU",LEFT(D469,4)="HDON")</formula>
    </cfRule>
    <cfRule type="expression" dxfId="3812" priority="3813" stopIfTrue="1">
      <formula>OR(LEFT(D469,4)="HOLD",OR(A469="QTNP",A469="HOA THO",A469="YES VINA",A469="HUNG YEN",A469="TEX GIANG",A469="HUNG LONG"),LEFT(A469,5)="HANES",LEFT(A469,3)="ITG")</formula>
    </cfRule>
  </conditionalFormatting>
  <conditionalFormatting sqref="D469">
    <cfRule type="expression" dxfId="3811" priority="3808" stopIfTrue="1">
      <formula>OR(LEFT(D469,4)="KHTT",LEFT(D469,5)="10USD",RIGHT(D469,3)="TTC",LEFT(D469,3)="TNT")</formula>
    </cfRule>
    <cfRule type="expression" dxfId="3810" priority="3809" stopIfTrue="1">
      <formula>OR(LEFT(D469,3)="CTU",LEFT(D469,4)="HDON")</formula>
    </cfRule>
    <cfRule type="expression" dxfId="3809" priority="3810" stopIfTrue="1">
      <formula>OR(LEFT(D469,4)="HOLD",OR(A469="QTNP",A469="HOA THO",A469="YES VINA",A469="HUNG YEN",A469="TEX GIANG",A469="HUNG LONG"),LEFT(A469,5)="HANES",LEFT(A469,3)="ITG")</formula>
    </cfRule>
  </conditionalFormatting>
  <conditionalFormatting sqref="D470">
    <cfRule type="expression" dxfId="3808" priority="3805" stopIfTrue="1">
      <formula>OR(LEFT(D470,4)="KHTT",LEFT(D470,5)="10USD",RIGHT(D470,3)="TTC",LEFT(D470,3)="TNT")</formula>
    </cfRule>
    <cfRule type="expression" dxfId="3807" priority="3806" stopIfTrue="1">
      <formula>OR(LEFT(D470,3)="CTU",LEFT(D470,4)="HDON")</formula>
    </cfRule>
    <cfRule type="expression" dxfId="3806" priority="3807" stopIfTrue="1">
      <formula>OR(LEFT(D470,4)="HOLD",OR(A470="QTNP",A470="HOA THO",A470="YES VINA",A470="HUNG YEN",A470="TEX GIANG",A470="HUNG LONG"),LEFT(A470,5)="HANES",LEFT(A470,3)="ITG")</formula>
    </cfRule>
  </conditionalFormatting>
  <conditionalFormatting sqref="D470">
    <cfRule type="expression" dxfId="3805" priority="3802" stopIfTrue="1">
      <formula>OR(LEFT(D470,4)="KHTT",LEFT(D470,5)="10USD",RIGHT(D470,3)="TTC",LEFT(D470,3)="TNT")</formula>
    </cfRule>
    <cfRule type="expression" dxfId="3804" priority="3803" stopIfTrue="1">
      <formula>OR(LEFT(D470,3)="CTU",LEFT(D470,4)="HDON")</formula>
    </cfRule>
    <cfRule type="expression" dxfId="3803" priority="3804" stopIfTrue="1">
      <formula>OR(LEFT(D470,4)="HOLD",OR(A470="QTNP",A470="HOA THO",A470="YES VINA",A470="HUNG YEN",A470="TEX GIANG",A470="HUNG LONG"),LEFT(A470,5)="HANES",LEFT(A470,3)="ITG")</formula>
    </cfRule>
  </conditionalFormatting>
  <conditionalFormatting sqref="D470">
    <cfRule type="expression" dxfId="3802" priority="3799" stopIfTrue="1">
      <formula>OR(LEFT(D470,4)="KHTT",LEFT(D470,5)="10USD",RIGHT(D470,3)="TTC",LEFT(D470,3)="TNT")</formula>
    </cfRule>
    <cfRule type="expression" dxfId="3801" priority="3800" stopIfTrue="1">
      <formula>OR(LEFT(D470,3)="CTU",LEFT(D470,4)="HDON")</formula>
    </cfRule>
    <cfRule type="expression" dxfId="3800" priority="3801" stopIfTrue="1">
      <formula>OR(LEFT(D470,4)="HOLD",OR(A470="QTNP",A470="HOA THO",A470="YES VINA",A470="HUNG YEN",A470="TEX GIANG",A470="HUNG LONG"),LEFT(A470,5)="HANES",LEFT(A470,3)="ITG")</formula>
    </cfRule>
  </conditionalFormatting>
  <conditionalFormatting sqref="D470">
    <cfRule type="expression" dxfId="3799" priority="3796" stopIfTrue="1">
      <formula>OR(LEFT(D470,4)="KHTT",LEFT(D470,5)="10USD",RIGHT(D470,3)="TTC",LEFT(D470,3)="TNT")</formula>
    </cfRule>
    <cfRule type="expression" dxfId="3798" priority="3797" stopIfTrue="1">
      <formula>OR(LEFT(D470,3)="CTU",LEFT(D470,4)="HDON")</formula>
    </cfRule>
    <cfRule type="expression" dxfId="3797" priority="3798" stopIfTrue="1">
      <formula>OR(LEFT(D470,4)="HOLD",OR(A470="QTNP",A470="HOA THO",A470="YES VINA",A470="HUNG YEN",A470="TEX GIANG",A470="HUNG LONG"),LEFT(A470,5)="HANES",LEFT(A470,3)="ITG")</formula>
    </cfRule>
  </conditionalFormatting>
  <conditionalFormatting sqref="D469">
    <cfRule type="expression" dxfId="3796" priority="3793" stopIfTrue="1">
      <formula>OR(LEFT(D469,4)="KHTT",LEFT(D469,5)="10USD",RIGHT(D469,3)="TTC",LEFT(D469,3)="TNT")</formula>
    </cfRule>
    <cfRule type="expression" dxfId="3795" priority="3794" stopIfTrue="1">
      <formula>OR(LEFT(D469,3)="CTU",LEFT(D469,4)="HDON")</formula>
    </cfRule>
    <cfRule type="expression" dxfId="3794" priority="3795" stopIfTrue="1">
      <formula>OR(LEFT(D469,4)="HOLD",OR(A469="QTNP",A469="HOA THO",A469="YES VINA",A469="HUNG YEN",A469="TEX GIANG",A469="HUNG LONG"),LEFT(A469,5)="HANES",LEFT(A469,3)="ITG")</formula>
    </cfRule>
  </conditionalFormatting>
  <conditionalFormatting sqref="D469">
    <cfRule type="expression" dxfId="3793" priority="3790" stopIfTrue="1">
      <formula>OR(LEFT(D469,4)="KHTT",LEFT(D469,5)="10USD",RIGHT(D469,3)="TTC",LEFT(D469,3)="TNT")</formula>
    </cfRule>
    <cfRule type="expression" dxfId="3792" priority="3791" stopIfTrue="1">
      <formula>OR(LEFT(D469,3)="CTU",LEFT(D469,4)="HDON")</formula>
    </cfRule>
    <cfRule type="expression" dxfId="3791" priority="3792" stopIfTrue="1">
      <formula>OR(LEFT(D469,4)="HOLD",OR(A469="QTNP",A469="HOA THO",A469="YES VINA",A469="HUNG YEN",A469="TEX GIANG",A469="HUNG LONG"),LEFT(A469,5)="HANES",LEFT(A469,3)="ITG")</formula>
    </cfRule>
  </conditionalFormatting>
  <conditionalFormatting sqref="D470">
    <cfRule type="expression" dxfId="3790" priority="3787" stopIfTrue="1">
      <formula>OR(LEFT(D470,4)="KHTT",LEFT(D470,5)="10USD",RIGHT(D470,3)="TTC",LEFT(D470,3)="TNT")</formula>
    </cfRule>
    <cfRule type="expression" dxfId="3789" priority="3788" stopIfTrue="1">
      <formula>OR(LEFT(D470,3)="CTU",LEFT(D470,4)="HDON")</formula>
    </cfRule>
    <cfRule type="expression" dxfId="3788" priority="3789" stopIfTrue="1">
      <formula>OR(LEFT(D470,4)="HOLD",OR(A470="QTNP",A470="HOA THO",A470="YES VINA",A470="HUNG YEN",A470="TEX GIANG",A470="HUNG LONG"),LEFT(A470,5)="HANES",LEFT(A470,3)="ITG")</formula>
    </cfRule>
  </conditionalFormatting>
  <conditionalFormatting sqref="D470">
    <cfRule type="expression" dxfId="3787" priority="3784" stopIfTrue="1">
      <formula>OR(LEFT(D470,4)="KHTT",LEFT(D470,5)="10USD",RIGHT(D470,3)="TTC",LEFT(D470,3)="TNT")</formula>
    </cfRule>
    <cfRule type="expression" dxfId="3786" priority="3785" stopIfTrue="1">
      <formula>OR(LEFT(D470,3)="CTU",LEFT(D470,4)="HDON")</formula>
    </cfRule>
    <cfRule type="expression" dxfId="3785" priority="3786" stopIfTrue="1">
      <formula>OR(LEFT(D470,4)="HOLD",OR(A470="QTNP",A470="HOA THO",A470="YES VINA",A470="HUNG YEN",A470="TEX GIANG",A470="HUNG LONG"),LEFT(A470,5)="HANES",LEFT(A470,3)="ITG")</formula>
    </cfRule>
  </conditionalFormatting>
  <conditionalFormatting sqref="D470">
    <cfRule type="expression" dxfId="3784" priority="3781" stopIfTrue="1">
      <formula>OR(LEFT(D470,4)="KHTT",LEFT(D470,5)="10USD",RIGHT(D470,3)="TTC",LEFT(D470,3)="TNT")</formula>
    </cfRule>
    <cfRule type="expression" dxfId="3783" priority="3782" stopIfTrue="1">
      <formula>OR(LEFT(D470,3)="CTU",LEFT(D470,4)="HDON")</formula>
    </cfRule>
    <cfRule type="expression" dxfId="3782" priority="3783" stopIfTrue="1">
      <formula>OR(LEFT(D470,4)="HOLD",OR(A470="QTNP",A470="HOA THO",A470="YES VINA",A470="HUNG YEN",A470="TEX GIANG",A470="HUNG LONG"),LEFT(A470,5)="HANES",LEFT(A470,3)="ITG")</formula>
    </cfRule>
  </conditionalFormatting>
  <conditionalFormatting sqref="D470">
    <cfRule type="expression" dxfId="3781" priority="3778" stopIfTrue="1">
      <formula>OR(LEFT(D470,4)="KHTT",LEFT(D470,5)="10USD",RIGHT(D470,3)="TTC",LEFT(D470,3)="TNT")</formula>
    </cfRule>
    <cfRule type="expression" dxfId="3780" priority="3779" stopIfTrue="1">
      <formula>OR(LEFT(D470,3)="CTU",LEFT(D470,4)="HDON")</formula>
    </cfRule>
    <cfRule type="expression" dxfId="3779" priority="3780" stopIfTrue="1">
      <formula>OR(LEFT(D470,4)="HOLD",OR(A470="QTNP",A470="HOA THO",A470="YES VINA",A470="HUNG YEN",A470="TEX GIANG",A470="HUNG LONG"),LEFT(A470,5)="HANES",LEFT(A470,3)="ITG")</formula>
    </cfRule>
  </conditionalFormatting>
  <conditionalFormatting sqref="D469">
    <cfRule type="expression" dxfId="3778" priority="3775" stopIfTrue="1">
      <formula>OR(LEFT(D469,4)="KHTT",LEFT(D469,5)="10USD",RIGHT(D469,3)="TTC",LEFT(D469,3)="TNT")</formula>
    </cfRule>
    <cfRule type="expression" dxfId="3777" priority="3776" stopIfTrue="1">
      <formula>OR(LEFT(D469,3)="CTU",LEFT(D469,4)="HDON")</formula>
    </cfRule>
    <cfRule type="expression" dxfId="3776" priority="3777" stopIfTrue="1">
      <formula>OR(LEFT(D469,4)="HOLD",OR(A469="QTNP",A469="HOA THO",A469="YES VINA",A469="HUNG YEN",A469="TEX GIANG",A469="HUNG LONG"),LEFT(A469,5)="HANES",LEFT(A469,3)="ITG")</formula>
    </cfRule>
  </conditionalFormatting>
  <conditionalFormatting sqref="D469">
    <cfRule type="expression" dxfId="3775" priority="3772" stopIfTrue="1">
      <formula>OR(LEFT(D469,4)="KHTT",LEFT(D469,5)="10USD",RIGHT(D469,3)="TTC",LEFT(D469,3)="TNT")</formula>
    </cfRule>
    <cfRule type="expression" dxfId="3774" priority="3773" stopIfTrue="1">
      <formula>OR(LEFT(D469,3)="CTU",LEFT(D469,4)="HDON")</formula>
    </cfRule>
    <cfRule type="expression" dxfId="3773" priority="3774" stopIfTrue="1">
      <formula>OR(LEFT(D469,4)="HOLD",OR(A469="QTNP",A469="HOA THO",A469="YES VINA",A469="HUNG YEN",A469="TEX GIANG",A469="HUNG LONG"),LEFT(A469,5)="HANES",LEFT(A469,3)="ITG")</formula>
    </cfRule>
  </conditionalFormatting>
  <conditionalFormatting sqref="D470">
    <cfRule type="expression" dxfId="3772" priority="3769" stopIfTrue="1">
      <formula>OR(LEFT(D470,4)="KHTT",LEFT(D470,5)="10USD",RIGHT(D470,3)="TTC",LEFT(D470,3)="TNT")</formula>
    </cfRule>
    <cfRule type="expression" dxfId="3771" priority="3770" stopIfTrue="1">
      <formula>OR(LEFT(D470,3)="CTU",LEFT(D470,4)="HDON")</formula>
    </cfRule>
    <cfRule type="expression" dxfId="3770" priority="3771" stopIfTrue="1">
      <formula>OR(LEFT(D470,4)="HOLD",OR(A470="QTNP",A470="HOA THO",A470="YES VINA",A470="HUNG YEN",A470="TEX GIANG",A470="HUNG LONG"),LEFT(A470,5)="HANES",LEFT(A470,3)="ITG")</formula>
    </cfRule>
  </conditionalFormatting>
  <conditionalFormatting sqref="D470">
    <cfRule type="expression" dxfId="3769" priority="3766" stopIfTrue="1">
      <formula>OR(LEFT(D470,4)="KHTT",LEFT(D470,5)="10USD",RIGHT(D470,3)="TTC",LEFT(D470,3)="TNT")</formula>
    </cfRule>
    <cfRule type="expression" dxfId="3768" priority="3767" stopIfTrue="1">
      <formula>OR(LEFT(D470,3)="CTU",LEFT(D470,4)="HDON")</formula>
    </cfRule>
    <cfRule type="expression" dxfId="3767" priority="3768" stopIfTrue="1">
      <formula>OR(LEFT(D470,4)="HOLD",OR(A470="QTNP",A470="HOA THO",A470="YES VINA",A470="HUNG YEN",A470="TEX GIANG",A470="HUNG LONG"),LEFT(A470,5)="HANES",LEFT(A470,3)="ITG")</formula>
    </cfRule>
  </conditionalFormatting>
  <conditionalFormatting sqref="D470">
    <cfRule type="expression" dxfId="3766" priority="3763" stopIfTrue="1">
      <formula>OR(LEFT(D470,4)="KHTT",LEFT(D470,5)="10USD",RIGHT(D470,3)="TTC",LEFT(D470,3)="TNT")</formula>
    </cfRule>
    <cfRule type="expression" dxfId="3765" priority="3764" stopIfTrue="1">
      <formula>OR(LEFT(D470,3)="CTU",LEFT(D470,4)="HDON")</formula>
    </cfRule>
    <cfRule type="expression" dxfId="3764" priority="3765" stopIfTrue="1">
      <formula>OR(LEFT(D470,4)="HOLD",OR(A470="QTNP",A470="HOA THO",A470="YES VINA",A470="HUNG YEN",A470="TEX GIANG",A470="HUNG LONG"),LEFT(A470,5)="HANES",LEFT(A470,3)="ITG")</formula>
    </cfRule>
  </conditionalFormatting>
  <conditionalFormatting sqref="D470">
    <cfRule type="expression" dxfId="3763" priority="3760" stopIfTrue="1">
      <formula>OR(LEFT(D470,4)="KHTT",LEFT(D470,5)="10USD",RIGHT(D470,3)="TTC",LEFT(D470,3)="TNT")</formula>
    </cfRule>
    <cfRule type="expression" dxfId="3762" priority="3761" stopIfTrue="1">
      <formula>OR(LEFT(D470,3)="CTU",LEFT(D470,4)="HDON")</formula>
    </cfRule>
    <cfRule type="expression" dxfId="3761" priority="3762" stopIfTrue="1">
      <formula>OR(LEFT(D470,4)="HOLD",OR(A470="QTNP",A470="HOA THO",A470="YES VINA",A470="HUNG YEN",A470="TEX GIANG",A470="HUNG LONG"),LEFT(A470,5)="HANES",LEFT(A470,3)="ITG")</formula>
    </cfRule>
  </conditionalFormatting>
  <conditionalFormatting sqref="D469">
    <cfRule type="expression" dxfId="3760" priority="3757" stopIfTrue="1">
      <formula>OR(LEFT(D469,4)="KHTT",LEFT(D469,5)="10USD",RIGHT(D469,3)="TTC",LEFT(D469,3)="TNT")</formula>
    </cfRule>
    <cfRule type="expression" dxfId="3759" priority="3758" stopIfTrue="1">
      <formula>OR(LEFT(D469,3)="CTU",LEFT(D469,4)="HDON")</formula>
    </cfRule>
    <cfRule type="expression" dxfId="3758" priority="3759" stopIfTrue="1">
      <formula>OR(LEFT(D469,4)="HOLD",OR(A469="QTNP",A469="HOA THO",A469="YES VINA",A469="HUNG YEN",A469="TEX GIANG",A469="HUNG LONG"),LEFT(A469,5)="HANES",LEFT(A469,3)="ITG")</formula>
    </cfRule>
  </conditionalFormatting>
  <conditionalFormatting sqref="D469">
    <cfRule type="expression" dxfId="3757" priority="3754" stopIfTrue="1">
      <formula>OR(LEFT(D469,4)="KHTT",LEFT(D469,5)="10USD",RIGHT(D469,3)="TTC",LEFT(D469,3)="TNT")</formula>
    </cfRule>
    <cfRule type="expression" dxfId="3756" priority="3755" stopIfTrue="1">
      <formula>OR(LEFT(D469,3)="CTU",LEFT(D469,4)="HDON")</formula>
    </cfRule>
    <cfRule type="expression" dxfId="3755" priority="3756" stopIfTrue="1">
      <formula>OR(LEFT(D469,4)="HOLD",OR(A469="QTNP",A469="HOA THO",A469="YES VINA",A469="HUNG YEN",A469="TEX GIANG",A469="HUNG LONG"),LEFT(A469,5)="HANES",LEFT(A469,3)="ITG")</formula>
    </cfRule>
  </conditionalFormatting>
  <conditionalFormatting sqref="D470">
    <cfRule type="expression" dxfId="3754" priority="3751" stopIfTrue="1">
      <formula>OR(LEFT(D470,4)="KHTT",LEFT(D470,5)="10USD",RIGHT(D470,3)="TTC",LEFT(D470,3)="TNT")</formula>
    </cfRule>
    <cfRule type="expression" dxfId="3753" priority="3752" stopIfTrue="1">
      <formula>OR(LEFT(D470,3)="CTU",LEFT(D470,4)="HDON")</formula>
    </cfRule>
    <cfRule type="expression" dxfId="3752" priority="3753" stopIfTrue="1">
      <formula>OR(LEFT(D470,4)="HOLD",OR(A470="QTNP",A470="HOA THO",A470="YES VINA",A470="HUNG YEN",A470="TEX GIANG",A470="HUNG LONG"),LEFT(A470,5)="HANES",LEFT(A470,3)="ITG")</formula>
    </cfRule>
  </conditionalFormatting>
  <conditionalFormatting sqref="D470">
    <cfRule type="expression" dxfId="3751" priority="3748" stopIfTrue="1">
      <formula>OR(LEFT(D470,4)="KHTT",LEFT(D470,5)="10USD",RIGHT(D470,3)="TTC",LEFT(D470,3)="TNT")</formula>
    </cfRule>
    <cfRule type="expression" dxfId="3750" priority="3749" stopIfTrue="1">
      <formula>OR(LEFT(D470,3)="CTU",LEFT(D470,4)="HDON")</formula>
    </cfRule>
    <cfRule type="expression" dxfId="3749" priority="3750" stopIfTrue="1">
      <formula>OR(LEFT(D470,4)="HOLD",OR(A470="QTNP",A470="HOA THO",A470="YES VINA",A470="HUNG YEN",A470="TEX GIANG",A470="HUNG LONG"),LEFT(A470,5)="HANES",LEFT(A470,3)="ITG")</formula>
    </cfRule>
  </conditionalFormatting>
  <conditionalFormatting sqref="D470">
    <cfRule type="expression" dxfId="3748" priority="3745" stopIfTrue="1">
      <formula>OR(LEFT(D470,4)="KHTT",LEFT(D470,5)="10USD",RIGHT(D470,3)="TTC",LEFT(D470,3)="TNT")</formula>
    </cfRule>
    <cfRule type="expression" dxfId="3747" priority="3746" stopIfTrue="1">
      <formula>OR(LEFT(D470,3)="CTU",LEFT(D470,4)="HDON")</formula>
    </cfRule>
    <cfRule type="expression" dxfId="3746" priority="3747" stopIfTrue="1">
      <formula>OR(LEFT(D470,4)="HOLD",OR(A470="QTNP",A470="HOA THO",A470="YES VINA",A470="HUNG YEN",A470="TEX GIANG",A470="HUNG LONG"),LEFT(A470,5)="HANES",LEFT(A470,3)="ITG")</formula>
    </cfRule>
  </conditionalFormatting>
  <conditionalFormatting sqref="D470">
    <cfRule type="expression" dxfId="3745" priority="3742" stopIfTrue="1">
      <formula>OR(LEFT(D470,4)="KHTT",LEFT(D470,5)="10USD",RIGHT(D470,3)="TTC",LEFT(D470,3)="TNT")</formula>
    </cfRule>
    <cfRule type="expression" dxfId="3744" priority="3743" stopIfTrue="1">
      <formula>OR(LEFT(D470,3)="CTU",LEFT(D470,4)="HDON")</formula>
    </cfRule>
    <cfRule type="expression" dxfId="3743" priority="3744" stopIfTrue="1">
      <formula>OR(LEFT(D470,4)="HOLD",OR(A470="QTNP",A470="HOA THO",A470="YES VINA",A470="HUNG YEN",A470="TEX GIANG",A470="HUNG LONG"),LEFT(A470,5)="HANES",LEFT(A470,3)="ITG")</formula>
    </cfRule>
  </conditionalFormatting>
  <conditionalFormatting sqref="D469">
    <cfRule type="expression" dxfId="3742" priority="3739" stopIfTrue="1">
      <formula>OR(LEFT(D469,4)="KHTT",LEFT(D469,5)="10USD",RIGHT(D469,3)="TTC",LEFT(D469,3)="TNT")</formula>
    </cfRule>
    <cfRule type="expression" dxfId="3741" priority="3740" stopIfTrue="1">
      <formula>OR(LEFT(D469,3)="CTU",LEFT(D469,4)="HDON")</formula>
    </cfRule>
    <cfRule type="expression" dxfId="3740" priority="3741" stopIfTrue="1">
      <formula>OR(LEFT(D469,4)="HOLD",OR(A469="QTNP",A469="HOA THO",A469="YES VINA",A469="HUNG YEN",A469="TEX GIANG",A469="HUNG LONG"),LEFT(A469,5)="HANES",LEFT(A469,3)="ITG")</formula>
    </cfRule>
  </conditionalFormatting>
  <conditionalFormatting sqref="D469">
    <cfRule type="expression" dxfId="3739" priority="3736" stopIfTrue="1">
      <formula>OR(LEFT(D469,4)="KHTT",LEFT(D469,5)="10USD",RIGHT(D469,3)="TTC",LEFT(D469,3)="TNT")</formula>
    </cfRule>
    <cfRule type="expression" dxfId="3738" priority="3737" stopIfTrue="1">
      <formula>OR(LEFT(D469,3)="CTU",LEFT(D469,4)="HDON")</formula>
    </cfRule>
    <cfRule type="expression" dxfId="3737" priority="3738" stopIfTrue="1">
      <formula>OR(LEFT(D469,4)="HOLD",OR(A469="QTNP",A469="HOA THO",A469="YES VINA",A469="HUNG YEN",A469="TEX GIANG",A469="HUNG LONG"),LEFT(A469,5)="HANES",LEFT(A469,3)="ITG")</formula>
    </cfRule>
  </conditionalFormatting>
  <conditionalFormatting sqref="D470">
    <cfRule type="expression" dxfId="3736" priority="3733" stopIfTrue="1">
      <formula>OR(LEFT(D470,4)="KHTT",LEFT(D470,5)="10USD",RIGHT(D470,3)="TTC",LEFT(D470,3)="TNT")</formula>
    </cfRule>
    <cfRule type="expression" dxfId="3735" priority="3734" stopIfTrue="1">
      <formula>OR(LEFT(D470,3)="CTU",LEFT(D470,4)="HDON")</formula>
    </cfRule>
    <cfRule type="expression" dxfId="3734" priority="3735" stopIfTrue="1">
      <formula>OR(LEFT(D470,4)="HOLD",OR(A470="QTNP",A470="HOA THO",A470="YES VINA",A470="HUNG YEN",A470="TEX GIANG",A470="HUNG LONG"),LEFT(A470,5)="HANES",LEFT(A470,3)="ITG")</formula>
    </cfRule>
  </conditionalFormatting>
  <conditionalFormatting sqref="D470">
    <cfRule type="expression" dxfId="3733" priority="3730" stopIfTrue="1">
      <formula>OR(LEFT(D470,4)="KHTT",LEFT(D470,5)="10USD",RIGHT(D470,3)="TTC",LEFT(D470,3)="TNT")</formula>
    </cfRule>
    <cfRule type="expression" dxfId="3732" priority="3731" stopIfTrue="1">
      <formula>OR(LEFT(D470,3)="CTU",LEFT(D470,4)="HDON")</formula>
    </cfRule>
    <cfRule type="expression" dxfId="3731" priority="3732" stopIfTrue="1">
      <formula>OR(LEFT(D470,4)="HOLD",OR(A470="QTNP",A470="HOA THO",A470="YES VINA",A470="HUNG YEN",A470="TEX GIANG",A470="HUNG LONG"),LEFT(A470,5)="HANES",LEFT(A470,3)="ITG")</formula>
    </cfRule>
  </conditionalFormatting>
  <conditionalFormatting sqref="D470">
    <cfRule type="expression" dxfId="3730" priority="3727" stopIfTrue="1">
      <formula>OR(LEFT(D470,4)="KHTT",LEFT(D470,5)="10USD",RIGHT(D470,3)="TTC",LEFT(D470,3)="TNT")</formula>
    </cfRule>
    <cfRule type="expression" dxfId="3729" priority="3728" stopIfTrue="1">
      <formula>OR(LEFT(D470,3)="CTU",LEFT(D470,4)="HDON")</formula>
    </cfRule>
    <cfRule type="expression" dxfId="3728" priority="3729" stopIfTrue="1">
      <formula>OR(LEFT(D470,4)="HOLD",OR(A470="QTNP",A470="HOA THO",A470="YES VINA",A470="HUNG YEN",A470="TEX GIANG",A470="HUNG LONG"),LEFT(A470,5)="HANES",LEFT(A470,3)="ITG")</formula>
    </cfRule>
  </conditionalFormatting>
  <conditionalFormatting sqref="D470">
    <cfRule type="expression" dxfId="3727" priority="3724" stopIfTrue="1">
      <formula>OR(LEFT(D470,4)="KHTT",LEFT(D470,5)="10USD",RIGHT(D470,3)="TTC",LEFT(D470,3)="TNT")</formula>
    </cfRule>
    <cfRule type="expression" dxfId="3726" priority="3725" stopIfTrue="1">
      <formula>OR(LEFT(D470,3)="CTU",LEFT(D470,4)="HDON")</formula>
    </cfRule>
    <cfRule type="expression" dxfId="3725" priority="3726" stopIfTrue="1">
      <formula>OR(LEFT(D470,4)="HOLD",OR(A470="QTNP",A470="HOA THO",A470="YES VINA",A470="HUNG YEN",A470="TEX GIANG",A470="HUNG LONG"),LEFT(A470,5)="HANES",LEFT(A470,3)="ITG")</formula>
    </cfRule>
  </conditionalFormatting>
  <conditionalFormatting sqref="D469">
    <cfRule type="expression" dxfId="3724" priority="3721" stopIfTrue="1">
      <formula>OR(LEFT(D469,4)="KHTT",LEFT(D469,5)="10USD",RIGHT(D469,3)="TTC",LEFT(D469,3)="TNT")</formula>
    </cfRule>
    <cfRule type="expression" dxfId="3723" priority="3722" stopIfTrue="1">
      <formula>OR(LEFT(D469,3)="CTU",LEFT(D469,4)="HDON")</formula>
    </cfRule>
    <cfRule type="expression" dxfId="3722" priority="3723" stopIfTrue="1">
      <formula>OR(LEFT(D469,4)="HOLD",OR(A469="QTNP",A469="HOA THO",A469="YES VINA",A469="HUNG YEN",A469="TEX GIANG",A469="HUNG LONG"),LEFT(A469,5)="HANES",LEFT(A469,3)="ITG")</formula>
    </cfRule>
  </conditionalFormatting>
  <conditionalFormatting sqref="D469">
    <cfRule type="expression" dxfId="3721" priority="3718" stopIfTrue="1">
      <formula>OR(LEFT(D469,4)="KHTT",LEFT(D469,5)="10USD",RIGHT(D469,3)="TTC",LEFT(D469,3)="TNT")</formula>
    </cfRule>
    <cfRule type="expression" dxfId="3720" priority="3719" stopIfTrue="1">
      <formula>OR(LEFT(D469,3)="CTU",LEFT(D469,4)="HDON")</formula>
    </cfRule>
    <cfRule type="expression" dxfId="3719" priority="3720" stopIfTrue="1">
      <formula>OR(LEFT(D469,4)="HOLD",OR(A469="QTNP",A469="HOA THO",A469="YES VINA",A469="HUNG YEN",A469="TEX GIANG",A469="HUNG LONG"),LEFT(A469,5)="HANES",LEFT(A469,3)="ITG")</formula>
    </cfRule>
  </conditionalFormatting>
  <conditionalFormatting sqref="D470">
    <cfRule type="expression" dxfId="3718" priority="3715" stopIfTrue="1">
      <formula>OR(LEFT(D470,4)="KHTT",LEFT(D470,5)="10USD",RIGHT(D470,3)="TTC",LEFT(D470,3)="TNT")</formula>
    </cfRule>
    <cfRule type="expression" dxfId="3717" priority="3716" stopIfTrue="1">
      <formula>OR(LEFT(D470,3)="CTU",LEFT(D470,4)="HDON")</formula>
    </cfRule>
    <cfRule type="expression" dxfId="3716" priority="3717" stopIfTrue="1">
      <formula>OR(LEFT(D470,4)="HOLD",OR(A470="QTNP",A470="HOA THO",A470="YES VINA",A470="HUNG YEN",A470="TEX GIANG",A470="HUNG LONG"),LEFT(A470,5)="HANES",LEFT(A470,3)="ITG")</formula>
    </cfRule>
  </conditionalFormatting>
  <conditionalFormatting sqref="D470">
    <cfRule type="expression" dxfId="3715" priority="3712" stopIfTrue="1">
      <formula>OR(LEFT(D470,4)="KHTT",LEFT(D470,5)="10USD",RIGHT(D470,3)="TTC",LEFT(D470,3)="TNT")</formula>
    </cfRule>
    <cfRule type="expression" dxfId="3714" priority="3713" stopIfTrue="1">
      <formula>OR(LEFT(D470,3)="CTU",LEFT(D470,4)="HDON")</formula>
    </cfRule>
    <cfRule type="expression" dxfId="3713" priority="3714" stopIfTrue="1">
      <formula>OR(LEFT(D470,4)="HOLD",OR(A470="QTNP",A470="HOA THO",A470="YES VINA",A470="HUNG YEN",A470="TEX GIANG",A470="HUNG LONG"),LEFT(A470,5)="HANES",LEFT(A470,3)="ITG")</formula>
    </cfRule>
  </conditionalFormatting>
  <conditionalFormatting sqref="D470">
    <cfRule type="expression" dxfId="3712" priority="3709" stopIfTrue="1">
      <formula>OR(LEFT(D470,4)="KHTT",LEFT(D470,5)="10USD",RIGHT(D470,3)="TTC",LEFT(D470,3)="TNT")</formula>
    </cfRule>
    <cfRule type="expression" dxfId="3711" priority="3710" stopIfTrue="1">
      <formula>OR(LEFT(D470,3)="CTU",LEFT(D470,4)="HDON")</formula>
    </cfRule>
    <cfRule type="expression" dxfId="3710" priority="3711" stopIfTrue="1">
      <formula>OR(LEFT(D470,4)="HOLD",OR(A470="QTNP",A470="HOA THO",A470="YES VINA",A470="HUNG YEN",A470="TEX GIANG",A470="HUNG LONG"),LEFT(A470,5)="HANES",LEFT(A470,3)="ITG")</formula>
    </cfRule>
  </conditionalFormatting>
  <conditionalFormatting sqref="D470">
    <cfRule type="expression" dxfId="3709" priority="3706" stopIfTrue="1">
      <formula>OR(LEFT(D470,4)="KHTT",LEFT(D470,5)="10USD",RIGHT(D470,3)="TTC",LEFT(D470,3)="TNT")</formula>
    </cfRule>
    <cfRule type="expression" dxfId="3708" priority="3707" stopIfTrue="1">
      <formula>OR(LEFT(D470,3)="CTU",LEFT(D470,4)="HDON")</formula>
    </cfRule>
    <cfRule type="expression" dxfId="3707" priority="3708" stopIfTrue="1">
      <formula>OR(LEFT(D470,4)="HOLD",OR(A470="QTNP",A470="HOA THO",A470="YES VINA",A470="HUNG YEN",A470="TEX GIANG",A470="HUNG LONG"),LEFT(A470,5)="HANES",LEFT(A470,3)="ITG")</formula>
    </cfRule>
  </conditionalFormatting>
  <conditionalFormatting sqref="D469">
    <cfRule type="expression" dxfId="3706" priority="3703" stopIfTrue="1">
      <formula>OR(LEFT(D469,4)="KHTT",LEFT(D469,5)="10USD",RIGHT(D469,3)="TTC",LEFT(D469,3)="TNT")</formula>
    </cfRule>
    <cfRule type="expression" dxfId="3705" priority="3704" stopIfTrue="1">
      <formula>OR(LEFT(D469,3)="CTU",LEFT(D469,4)="HDON")</formula>
    </cfRule>
    <cfRule type="expression" dxfId="3704" priority="3705" stopIfTrue="1">
      <formula>OR(LEFT(D469,4)="HOLD",OR(A469="QTNP",A469="HOA THO",A469="YES VINA",A469="HUNG YEN",A469="TEX GIANG",A469="HUNG LONG"),LEFT(A469,5)="HANES",LEFT(A469,3)="ITG")</formula>
    </cfRule>
  </conditionalFormatting>
  <conditionalFormatting sqref="D469">
    <cfRule type="expression" dxfId="3703" priority="3700" stopIfTrue="1">
      <formula>OR(LEFT(D469,4)="KHTT",LEFT(D469,5)="10USD",RIGHT(D469,3)="TTC",LEFT(D469,3)="TNT")</formula>
    </cfRule>
    <cfRule type="expression" dxfId="3702" priority="3701" stopIfTrue="1">
      <formula>OR(LEFT(D469,3)="CTU",LEFT(D469,4)="HDON")</formula>
    </cfRule>
    <cfRule type="expression" dxfId="3701" priority="3702" stopIfTrue="1">
      <formula>OR(LEFT(D469,4)="HOLD",OR(A469="QTNP",A469="HOA THO",A469="YES VINA",A469="HUNG YEN",A469="TEX GIANG",A469="HUNG LONG"),LEFT(A469,5)="HANES",LEFT(A469,3)="ITG")</formula>
    </cfRule>
  </conditionalFormatting>
  <conditionalFormatting sqref="D470">
    <cfRule type="expression" dxfId="3700" priority="3697" stopIfTrue="1">
      <formula>OR(LEFT(D470,4)="KHTT",LEFT(D470,5)="10USD",RIGHT(D470,3)="TTC",LEFT(D470,3)="TNT")</formula>
    </cfRule>
    <cfRule type="expression" dxfId="3699" priority="3698" stopIfTrue="1">
      <formula>OR(LEFT(D470,3)="CTU",LEFT(D470,4)="HDON")</formula>
    </cfRule>
    <cfRule type="expression" dxfId="3698" priority="3699" stopIfTrue="1">
      <formula>OR(LEFT(D470,4)="HOLD",OR(A470="QTNP",A470="HOA THO",A470="YES VINA",A470="HUNG YEN",A470="TEX GIANG",A470="HUNG LONG"),LEFT(A470,5)="HANES",LEFT(A470,3)="ITG")</formula>
    </cfRule>
  </conditionalFormatting>
  <conditionalFormatting sqref="D470">
    <cfRule type="expression" dxfId="3697" priority="3694" stopIfTrue="1">
      <formula>OR(LEFT(D470,4)="KHTT",LEFT(D470,5)="10USD",RIGHT(D470,3)="TTC",LEFT(D470,3)="TNT")</formula>
    </cfRule>
    <cfRule type="expression" dxfId="3696" priority="3695" stopIfTrue="1">
      <formula>OR(LEFT(D470,3)="CTU",LEFT(D470,4)="HDON")</formula>
    </cfRule>
    <cfRule type="expression" dxfId="3695" priority="3696" stopIfTrue="1">
      <formula>OR(LEFT(D470,4)="HOLD",OR(A470="QTNP",A470="HOA THO",A470="YES VINA",A470="HUNG YEN",A470="TEX GIANG",A470="HUNG LONG"),LEFT(A470,5)="HANES",LEFT(A470,3)="ITG")</formula>
    </cfRule>
  </conditionalFormatting>
  <conditionalFormatting sqref="D470">
    <cfRule type="expression" dxfId="3694" priority="3691" stopIfTrue="1">
      <formula>OR(LEFT(D470,4)="KHTT",LEFT(D470,5)="10USD",RIGHT(D470,3)="TTC",LEFT(D470,3)="TNT")</formula>
    </cfRule>
    <cfRule type="expression" dxfId="3693" priority="3692" stopIfTrue="1">
      <formula>OR(LEFT(D470,3)="CTU",LEFT(D470,4)="HDON")</formula>
    </cfRule>
    <cfRule type="expression" dxfId="3692" priority="3693" stopIfTrue="1">
      <formula>OR(LEFT(D470,4)="HOLD",OR(A470="QTNP",A470="HOA THO",A470="YES VINA",A470="HUNG YEN",A470="TEX GIANG",A470="HUNG LONG"),LEFT(A470,5)="HANES",LEFT(A470,3)="ITG")</formula>
    </cfRule>
  </conditionalFormatting>
  <conditionalFormatting sqref="D470">
    <cfRule type="expression" dxfId="3691" priority="3688" stopIfTrue="1">
      <formula>OR(LEFT(D470,4)="KHTT",LEFT(D470,5)="10USD",RIGHT(D470,3)="TTC",LEFT(D470,3)="TNT")</formula>
    </cfRule>
    <cfRule type="expression" dxfId="3690" priority="3689" stopIfTrue="1">
      <formula>OR(LEFT(D470,3)="CTU",LEFT(D470,4)="HDON")</formula>
    </cfRule>
    <cfRule type="expression" dxfId="3689" priority="3690" stopIfTrue="1">
      <formula>OR(LEFT(D470,4)="HOLD",OR(A470="QTNP",A470="HOA THO",A470="YES VINA",A470="HUNG YEN",A470="TEX GIANG",A470="HUNG LONG"),LEFT(A470,5)="HANES",LEFT(A470,3)="ITG")</formula>
    </cfRule>
  </conditionalFormatting>
  <conditionalFormatting sqref="D469">
    <cfRule type="expression" dxfId="3688" priority="3685" stopIfTrue="1">
      <formula>OR(LEFT(D469,4)="KHTT",LEFT(D469,5)="10USD",RIGHT(D469,3)="TTC",LEFT(D469,3)="TNT")</formula>
    </cfRule>
    <cfRule type="expression" dxfId="3687" priority="3686" stopIfTrue="1">
      <formula>OR(LEFT(D469,3)="CTU",LEFT(D469,4)="HDON")</formula>
    </cfRule>
    <cfRule type="expression" dxfId="3686" priority="3687" stopIfTrue="1">
      <formula>OR(LEFT(D469,4)="HOLD",OR(A469="QTNP",A469="HOA THO",A469="YES VINA",A469="HUNG YEN",A469="TEX GIANG",A469="HUNG LONG"),LEFT(A469,5)="HANES",LEFT(A469,3)="ITG")</formula>
    </cfRule>
  </conditionalFormatting>
  <conditionalFormatting sqref="D469">
    <cfRule type="expression" dxfId="3685" priority="3682" stopIfTrue="1">
      <formula>OR(LEFT(D469,4)="KHTT",LEFT(D469,5)="10USD",RIGHT(D469,3)="TTC",LEFT(D469,3)="TNT")</formula>
    </cfRule>
    <cfRule type="expression" dxfId="3684" priority="3683" stopIfTrue="1">
      <formula>OR(LEFT(D469,3)="CTU",LEFT(D469,4)="HDON")</formula>
    </cfRule>
    <cfRule type="expression" dxfId="3683" priority="3684" stopIfTrue="1">
      <formula>OR(LEFT(D469,4)="HOLD",OR(A469="QTNP",A469="HOA THO",A469="YES VINA",A469="HUNG YEN",A469="TEX GIANG",A469="HUNG LONG"),LEFT(A469,5)="HANES",LEFT(A469,3)="ITG")</formula>
    </cfRule>
  </conditionalFormatting>
  <conditionalFormatting sqref="D470">
    <cfRule type="expression" dxfId="3682" priority="3679" stopIfTrue="1">
      <formula>OR(LEFT(D470,4)="KHTT",LEFT(D470,5)="10USD",RIGHT(D470,3)="TTC",LEFT(D470,3)="TNT")</formula>
    </cfRule>
    <cfRule type="expression" dxfId="3681" priority="3680" stopIfTrue="1">
      <formula>OR(LEFT(D470,3)="CTU",LEFT(D470,4)="HDON")</formula>
    </cfRule>
    <cfRule type="expression" dxfId="3680" priority="3681" stopIfTrue="1">
      <formula>OR(LEFT(D470,4)="HOLD",OR(A470="QTNP",A470="HOA THO",A470="YES VINA",A470="HUNG YEN",A470="TEX GIANG",A470="HUNG LONG"),LEFT(A470,5)="HANES",LEFT(A470,3)="ITG")</formula>
    </cfRule>
  </conditionalFormatting>
  <conditionalFormatting sqref="D470">
    <cfRule type="expression" dxfId="3679" priority="3676" stopIfTrue="1">
      <formula>OR(LEFT(D470,4)="KHTT",LEFT(D470,5)="10USD",RIGHT(D470,3)="TTC",LEFT(D470,3)="TNT")</formula>
    </cfRule>
    <cfRule type="expression" dxfId="3678" priority="3677" stopIfTrue="1">
      <formula>OR(LEFT(D470,3)="CTU",LEFT(D470,4)="HDON")</formula>
    </cfRule>
    <cfRule type="expression" dxfId="3677" priority="3678" stopIfTrue="1">
      <formula>OR(LEFT(D470,4)="HOLD",OR(A470="QTNP",A470="HOA THO",A470="YES VINA",A470="HUNG YEN",A470="TEX GIANG",A470="HUNG LONG"),LEFT(A470,5)="HANES",LEFT(A470,3)="ITG")</formula>
    </cfRule>
  </conditionalFormatting>
  <conditionalFormatting sqref="D470">
    <cfRule type="expression" dxfId="3676" priority="3673" stopIfTrue="1">
      <formula>OR(LEFT(D470,4)="KHTT",LEFT(D470,5)="10USD",RIGHT(D470,3)="TTC",LEFT(D470,3)="TNT")</formula>
    </cfRule>
    <cfRule type="expression" dxfId="3675" priority="3674" stopIfTrue="1">
      <formula>OR(LEFT(D470,3)="CTU",LEFT(D470,4)="HDON")</formula>
    </cfRule>
    <cfRule type="expression" dxfId="3674" priority="3675" stopIfTrue="1">
      <formula>OR(LEFT(D470,4)="HOLD",OR(A470="QTNP",A470="HOA THO",A470="YES VINA",A470="HUNG YEN",A470="TEX GIANG",A470="HUNG LONG"),LEFT(A470,5)="HANES",LEFT(A470,3)="ITG")</formula>
    </cfRule>
  </conditionalFormatting>
  <conditionalFormatting sqref="D470">
    <cfRule type="expression" dxfId="3673" priority="3670" stopIfTrue="1">
      <formula>OR(LEFT(D470,4)="KHTT",LEFT(D470,5)="10USD",RIGHT(D470,3)="TTC",LEFT(D470,3)="TNT")</formula>
    </cfRule>
    <cfRule type="expression" dxfId="3672" priority="3671" stopIfTrue="1">
      <formula>OR(LEFT(D470,3)="CTU",LEFT(D470,4)="HDON")</formula>
    </cfRule>
    <cfRule type="expression" dxfId="3671" priority="3672" stopIfTrue="1">
      <formula>OR(LEFT(D470,4)="HOLD",OR(A470="QTNP",A470="HOA THO",A470="YES VINA",A470="HUNG YEN",A470="TEX GIANG",A470="HUNG LONG"),LEFT(A470,5)="HANES",LEFT(A470,3)="ITG")</formula>
    </cfRule>
  </conditionalFormatting>
  <conditionalFormatting sqref="D469">
    <cfRule type="expression" dxfId="3670" priority="3667" stopIfTrue="1">
      <formula>OR(LEFT(D469,4)="KHTT",LEFT(D469,5)="10USD",RIGHT(D469,3)="TTC",LEFT(D469,3)="TNT")</formula>
    </cfRule>
    <cfRule type="expression" dxfId="3669" priority="3668" stopIfTrue="1">
      <formula>OR(LEFT(D469,3)="CTU",LEFT(D469,4)="HDON")</formula>
    </cfRule>
    <cfRule type="expression" dxfId="3668" priority="3669" stopIfTrue="1">
      <formula>OR(LEFT(D469,4)="HOLD",OR(A469="QTNP",A469="HOA THO",A469="YES VINA",A469="HUNG YEN",A469="TEX GIANG",A469="HUNG LONG"),LEFT(A469,5)="HANES",LEFT(A469,3)="ITG")</formula>
    </cfRule>
  </conditionalFormatting>
  <conditionalFormatting sqref="D469">
    <cfRule type="expression" dxfId="3667" priority="3664" stopIfTrue="1">
      <formula>OR(LEFT(D469,4)="KHTT",LEFT(D469,5)="10USD",RIGHT(D469,3)="TTC",LEFT(D469,3)="TNT")</formula>
    </cfRule>
    <cfRule type="expression" dxfId="3666" priority="3665" stopIfTrue="1">
      <formula>OR(LEFT(D469,3)="CTU",LEFT(D469,4)="HDON")</formula>
    </cfRule>
    <cfRule type="expression" dxfId="3665" priority="3666" stopIfTrue="1">
      <formula>OR(LEFT(D469,4)="HOLD",OR(A469="QTNP",A469="HOA THO",A469="YES VINA",A469="HUNG YEN",A469="TEX GIANG",A469="HUNG LONG"),LEFT(A469,5)="HANES",LEFT(A469,3)="ITG")</formula>
    </cfRule>
  </conditionalFormatting>
  <conditionalFormatting sqref="D470">
    <cfRule type="expression" dxfId="3664" priority="3661" stopIfTrue="1">
      <formula>OR(LEFT(D470,4)="KHTT",LEFT(D470,5)="10USD",RIGHT(D470,3)="TTC",LEFT(D470,3)="TNT")</formula>
    </cfRule>
    <cfRule type="expression" dxfId="3663" priority="3662" stopIfTrue="1">
      <formula>OR(LEFT(D470,3)="CTU",LEFT(D470,4)="HDON")</formula>
    </cfRule>
    <cfRule type="expression" dxfId="3662" priority="3663" stopIfTrue="1">
      <formula>OR(LEFT(D470,4)="HOLD",OR(A470="QTNP",A470="HOA THO",A470="YES VINA",A470="HUNG YEN",A470="TEX GIANG",A470="HUNG LONG"),LEFT(A470,5)="HANES",LEFT(A470,3)="ITG")</formula>
    </cfRule>
  </conditionalFormatting>
  <conditionalFormatting sqref="D470">
    <cfRule type="expression" dxfId="3661" priority="3658" stopIfTrue="1">
      <formula>OR(LEFT(D470,4)="KHTT",LEFT(D470,5)="10USD",RIGHT(D470,3)="TTC",LEFT(D470,3)="TNT")</formula>
    </cfRule>
    <cfRule type="expression" dxfId="3660" priority="3659" stopIfTrue="1">
      <formula>OR(LEFT(D470,3)="CTU",LEFT(D470,4)="HDON")</formula>
    </cfRule>
    <cfRule type="expression" dxfId="3659" priority="3660" stopIfTrue="1">
      <formula>OR(LEFT(D470,4)="HOLD",OR(A470="QTNP",A470="HOA THO",A470="YES VINA",A470="HUNG YEN",A470="TEX GIANG",A470="HUNG LONG"),LEFT(A470,5)="HANES",LEFT(A470,3)="ITG")</formula>
    </cfRule>
  </conditionalFormatting>
  <conditionalFormatting sqref="D470">
    <cfRule type="expression" dxfId="3658" priority="3655" stopIfTrue="1">
      <formula>OR(LEFT(D470,4)="KHTT",LEFT(D470,5)="10USD",RIGHT(D470,3)="TTC",LEFT(D470,3)="TNT")</formula>
    </cfRule>
    <cfRule type="expression" dxfId="3657" priority="3656" stopIfTrue="1">
      <formula>OR(LEFT(D470,3)="CTU",LEFT(D470,4)="HDON")</formula>
    </cfRule>
    <cfRule type="expression" dxfId="3656" priority="3657" stopIfTrue="1">
      <formula>OR(LEFT(D470,4)="HOLD",OR(A470="QTNP",A470="HOA THO",A470="YES VINA",A470="HUNG YEN",A470="TEX GIANG",A470="HUNG LONG"),LEFT(A470,5)="HANES",LEFT(A470,3)="ITG")</formula>
    </cfRule>
  </conditionalFormatting>
  <conditionalFormatting sqref="D470">
    <cfRule type="expression" dxfId="3655" priority="3652" stopIfTrue="1">
      <formula>OR(LEFT(D470,4)="KHTT",LEFT(D470,5)="10USD",RIGHT(D470,3)="TTC",LEFT(D470,3)="TNT")</formula>
    </cfRule>
    <cfRule type="expression" dxfId="3654" priority="3653" stopIfTrue="1">
      <formula>OR(LEFT(D470,3)="CTU",LEFT(D470,4)="HDON")</formula>
    </cfRule>
    <cfRule type="expression" dxfId="3653" priority="3654" stopIfTrue="1">
      <formula>OR(LEFT(D470,4)="HOLD",OR(A470="QTNP",A470="HOA THO",A470="YES VINA",A470="HUNG YEN",A470="TEX GIANG",A470="HUNG LONG"),LEFT(A470,5)="HANES",LEFT(A470,3)="ITG")</formula>
    </cfRule>
  </conditionalFormatting>
  <conditionalFormatting sqref="D469">
    <cfRule type="expression" dxfId="3652" priority="3649" stopIfTrue="1">
      <formula>OR(LEFT(D469,4)="KHTT",LEFT(D469,5)="10USD",RIGHT(D469,3)="TTC",LEFT(D469,3)="TNT")</formula>
    </cfRule>
    <cfRule type="expression" dxfId="3651" priority="3650" stopIfTrue="1">
      <formula>OR(LEFT(D469,3)="CTU",LEFT(D469,4)="HDON")</formula>
    </cfRule>
    <cfRule type="expression" dxfId="3650" priority="3651" stopIfTrue="1">
      <formula>OR(LEFT(D469,4)="HOLD",OR(A469="QTNP",A469="HOA THO",A469="YES VINA",A469="HUNG YEN",A469="TEX GIANG",A469="HUNG LONG"),LEFT(A469,5)="HANES",LEFT(A469,3)="ITG")</formula>
    </cfRule>
  </conditionalFormatting>
  <conditionalFormatting sqref="D469">
    <cfRule type="expression" dxfId="3649" priority="3646" stopIfTrue="1">
      <formula>OR(LEFT(D469,4)="KHTT",LEFT(D469,5)="10USD",RIGHT(D469,3)="TTC",LEFT(D469,3)="TNT")</formula>
    </cfRule>
    <cfRule type="expression" dxfId="3648" priority="3647" stopIfTrue="1">
      <formula>OR(LEFT(D469,3)="CTU",LEFT(D469,4)="HDON")</formula>
    </cfRule>
    <cfRule type="expression" dxfId="3647" priority="3648" stopIfTrue="1">
      <formula>OR(LEFT(D469,4)="HOLD",OR(A469="QTNP",A469="HOA THO",A469="YES VINA",A469="HUNG YEN",A469="TEX GIANG",A469="HUNG LONG"),LEFT(A469,5)="HANES",LEFT(A469,3)="ITG")</formula>
    </cfRule>
  </conditionalFormatting>
  <conditionalFormatting sqref="D470">
    <cfRule type="expression" dxfId="3646" priority="3643" stopIfTrue="1">
      <formula>OR(LEFT(D470,4)="KHTT",LEFT(D470,5)="10USD",RIGHT(D470,3)="TTC",LEFT(D470,3)="TNT")</formula>
    </cfRule>
    <cfRule type="expression" dxfId="3645" priority="3644" stopIfTrue="1">
      <formula>OR(LEFT(D470,3)="CTU",LEFT(D470,4)="HDON")</formula>
    </cfRule>
    <cfRule type="expression" dxfId="3644" priority="3645" stopIfTrue="1">
      <formula>OR(LEFT(D470,4)="HOLD",OR(A470="QTNP",A470="HOA THO",A470="YES VINA",A470="HUNG YEN",A470="TEX GIANG",A470="HUNG LONG"),LEFT(A470,5)="HANES",LEFT(A470,3)="ITG")</formula>
    </cfRule>
  </conditionalFormatting>
  <conditionalFormatting sqref="D470">
    <cfRule type="expression" dxfId="3643" priority="3640" stopIfTrue="1">
      <formula>OR(LEFT(D470,4)="KHTT",LEFT(D470,5)="10USD",RIGHT(D470,3)="TTC",LEFT(D470,3)="TNT")</formula>
    </cfRule>
    <cfRule type="expression" dxfId="3642" priority="3641" stopIfTrue="1">
      <formula>OR(LEFT(D470,3)="CTU",LEFT(D470,4)="HDON")</formula>
    </cfRule>
    <cfRule type="expression" dxfId="3641" priority="3642" stopIfTrue="1">
      <formula>OR(LEFT(D470,4)="HOLD",OR(A470="QTNP",A470="HOA THO",A470="YES VINA",A470="HUNG YEN",A470="TEX GIANG",A470="HUNG LONG"),LEFT(A470,5)="HANES",LEFT(A470,3)="ITG")</formula>
    </cfRule>
  </conditionalFormatting>
  <conditionalFormatting sqref="D470">
    <cfRule type="expression" dxfId="3640" priority="3637" stopIfTrue="1">
      <formula>OR(LEFT(D470,4)="KHTT",LEFT(D470,5)="10USD",RIGHT(D470,3)="TTC",LEFT(D470,3)="TNT")</formula>
    </cfRule>
    <cfRule type="expression" dxfId="3639" priority="3638" stopIfTrue="1">
      <formula>OR(LEFT(D470,3)="CTU",LEFT(D470,4)="HDON")</formula>
    </cfRule>
    <cfRule type="expression" dxfId="3638" priority="3639" stopIfTrue="1">
      <formula>OR(LEFT(D470,4)="HOLD",OR(A470="QTNP",A470="HOA THO",A470="YES VINA",A470="HUNG YEN",A470="TEX GIANG",A470="HUNG LONG"),LEFT(A470,5)="HANES",LEFT(A470,3)="ITG")</formula>
    </cfRule>
  </conditionalFormatting>
  <conditionalFormatting sqref="D470">
    <cfRule type="expression" dxfId="3637" priority="3634" stopIfTrue="1">
      <formula>OR(LEFT(D470,4)="KHTT",LEFT(D470,5)="10USD",RIGHT(D470,3)="TTC",LEFT(D470,3)="TNT")</formula>
    </cfRule>
    <cfRule type="expression" dxfId="3636" priority="3635" stopIfTrue="1">
      <formula>OR(LEFT(D470,3)="CTU",LEFT(D470,4)="HDON")</formula>
    </cfRule>
    <cfRule type="expression" dxfId="3635" priority="3636" stopIfTrue="1">
      <formula>OR(LEFT(D470,4)="HOLD",OR(A470="QTNP",A470="HOA THO",A470="YES VINA",A470="HUNG YEN",A470="TEX GIANG",A470="HUNG LONG"),LEFT(A470,5)="HANES",LEFT(A470,3)="ITG")</formula>
    </cfRule>
  </conditionalFormatting>
  <conditionalFormatting sqref="D469">
    <cfRule type="expression" dxfId="3634" priority="3631" stopIfTrue="1">
      <formula>OR(LEFT(D469,4)="KHTT",LEFT(D469,5)="10USD",RIGHT(D469,3)="TTC",LEFT(D469,3)="TNT")</formula>
    </cfRule>
    <cfRule type="expression" dxfId="3633" priority="3632" stopIfTrue="1">
      <formula>OR(LEFT(D469,3)="CTU",LEFT(D469,4)="HDON")</formula>
    </cfRule>
    <cfRule type="expression" dxfId="3632" priority="3633" stopIfTrue="1">
      <formula>OR(LEFT(D469,4)="HOLD",OR(A469="QTNP",A469="HOA THO",A469="YES VINA",A469="HUNG YEN",A469="TEX GIANG",A469="HUNG LONG"),LEFT(A469,5)="HANES",LEFT(A469,3)="ITG")</formula>
    </cfRule>
  </conditionalFormatting>
  <conditionalFormatting sqref="D469">
    <cfRule type="expression" dxfId="3631" priority="3628" stopIfTrue="1">
      <formula>OR(LEFT(D469,4)="KHTT",LEFT(D469,5)="10USD",RIGHT(D469,3)="TTC",LEFT(D469,3)="TNT")</formula>
    </cfRule>
    <cfRule type="expression" dxfId="3630" priority="3629" stopIfTrue="1">
      <formula>OR(LEFT(D469,3)="CTU",LEFT(D469,4)="HDON")</formula>
    </cfRule>
    <cfRule type="expression" dxfId="3629" priority="3630" stopIfTrue="1">
      <formula>OR(LEFT(D469,4)="HOLD",OR(A469="QTNP",A469="HOA THO",A469="YES VINA",A469="HUNG YEN",A469="TEX GIANG",A469="HUNG LONG"),LEFT(A469,5)="HANES",LEFT(A469,3)="ITG")</formula>
    </cfRule>
  </conditionalFormatting>
  <conditionalFormatting sqref="D470">
    <cfRule type="expression" dxfId="3628" priority="3625" stopIfTrue="1">
      <formula>OR(LEFT(D470,4)="KHTT",LEFT(D470,5)="10USD",RIGHT(D470,3)="TTC",LEFT(D470,3)="TNT")</formula>
    </cfRule>
    <cfRule type="expression" dxfId="3627" priority="3626" stopIfTrue="1">
      <formula>OR(LEFT(D470,3)="CTU",LEFT(D470,4)="HDON")</formula>
    </cfRule>
    <cfRule type="expression" dxfId="3626" priority="3627" stopIfTrue="1">
      <formula>OR(LEFT(D470,4)="HOLD",OR(A470="QTNP",A470="HOA THO",A470="YES VINA",A470="HUNG YEN",A470="TEX GIANG",A470="HUNG LONG"),LEFT(A470,5)="HANES",LEFT(A470,3)="ITG")</formula>
    </cfRule>
  </conditionalFormatting>
  <conditionalFormatting sqref="D470">
    <cfRule type="expression" dxfId="3625" priority="3622" stopIfTrue="1">
      <formula>OR(LEFT(D470,4)="KHTT",LEFT(D470,5)="10USD",RIGHT(D470,3)="TTC",LEFT(D470,3)="TNT")</formula>
    </cfRule>
    <cfRule type="expression" dxfId="3624" priority="3623" stopIfTrue="1">
      <formula>OR(LEFT(D470,3)="CTU",LEFT(D470,4)="HDON")</formula>
    </cfRule>
    <cfRule type="expression" dxfId="3623" priority="3624" stopIfTrue="1">
      <formula>OR(LEFT(D470,4)="HOLD",OR(A470="QTNP",A470="HOA THO",A470="YES VINA",A470="HUNG YEN",A470="TEX GIANG",A470="HUNG LONG"),LEFT(A470,5)="HANES",LEFT(A470,3)="ITG")</formula>
    </cfRule>
  </conditionalFormatting>
  <conditionalFormatting sqref="D470">
    <cfRule type="expression" dxfId="3622" priority="3619" stopIfTrue="1">
      <formula>OR(LEFT(D470,4)="KHTT",LEFT(D470,5)="10USD",RIGHT(D470,3)="TTC",LEFT(D470,3)="TNT")</formula>
    </cfRule>
    <cfRule type="expression" dxfId="3621" priority="3620" stopIfTrue="1">
      <formula>OR(LEFT(D470,3)="CTU",LEFT(D470,4)="HDON")</formula>
    </cfRule>
    <cfRule type="expression" dxfId="3620" priority="3621" stopIfTrue="1">
      <formula>OR(LEFT(D470,4)="HOLD",OR(A470="QTNP",A470="HOA THO",A470="YES VINA",A470="HUNG YEN",A470="TEX GIANG",A470="HUNG LONG"),LEFT(A470,5)="HANES",LEFT(A470,3)="ITG")</formula>
    </cfRule>
  </conditionalFormatting>
  <conditionalFormatting sqref="D470">
    <cfRule type="expression" dxfId="3619" priority="3616" stopIfTrue="1">
      <formula>OR(LEFT(D470,4)="KHTT",LEFT(D470,5)="10USD",RIGHT(D470,3)="TTC",LEFT(D470,3)="TNT")</formula>
    </cfRule>
    <cfRule type="expression" dxfId="3618" priority="3617" stopIfTrue="1">
      <formula>OR(LEFT(D470,3)="CTU",LEFT(D470,4)="HDON")</formula>
    </cfRule>
    <cfRule type="expression" dxfId="3617" priority="3618" stopIfTrue="1">
      <formula>OR(LEFT(D470,4)="HOLD",OR(A470="QTNP",A470="HOA THO",A470="YES VINA",A470="HUNG YEN",A470="TEX GIANG",A470="HUNG LONG"),LEFT(A470,5)="HANES",LEFT(A470,3)="ITG")</formula>
    </cfRule>
  </conditionalFormatting>
  <conditionalFormatting sqref="D469">
    <cfRule type="expression" dxfId="3616" priority="3613" stopIfTrue="1">
      <formula>OR(LEFT(D469,4)="KHTT",LEFT(D469,5)="10USD",RIGHT(D469,3)="TTC",LEFT(D469,3)="TNT")</formula>
    </cfRule>
    <cfRule type="expression" dxfId="3615" priority="3614" stopIfTrue="1">
      <formula>OR(LEFT(D469,3)="CTU",LEFT(D469,4)="HDON")</formula>
    </cfRule>
    <cfRule type="expression" dxfId="3614" priority="3615" stopIfTrue="1">
      <formula>OR(LEFT(D469,4)="HOLD",OR(A469="QTNP",A469="HOA THO",A469="YES VINA",A469="HUNG YEN",A469="TEX GIANG",A469="HUNG LONG"),LEFT(A469,5)="HANES",LEFT(A469,3)="ITG")</formula>
    </cfRule>
  </conditionalFormatting>
  <conditionalFormatting sqref="D469">
    <cfRule type="expression" dxfId="3613" priority="3610" stopIfTrue="1">
      <formula>OR(LEFT(D469,4)="KHTT",LEFT(D469,5)="10USD",RIGHT(D469,3)="TTC",LEFT(D469,3)="TNT")</formula>
    </cfRule>
    <cfRule type="expression" dxfId="3612" priority="3611" stopIfTrue="1">
      <formula>OR(LEFT(D469,3)="CTU",LEFT(D469,4)="HDON")</formula>
    </cfRule>
    <cfRule type="expression" dxfId="3611" priority="3612" stopIfTrue="1">
      <formula>OR(LEFT(D469,4)="HOLD",OR(A469="QTNP",A469="HOA THO",A469="YES VINA",A469="HUNG YEN",A469="TEX GIANG",A469="HUNG LONG"),LEFT(A469,5)="HANES",LEFT(A469,3)="ITG")</formula>
    </cfRule>
  </conditionalFormatting>
  <conditionalFormatting sqref="D470">
    <cfRule type="expression" dxfId="3610" priority="3607" stopIfTrue="1">
      <formula>OR(LEFT(D470,4)="KHTT",LEFT(D470,5)="10USD",RIGHT(D470,3)="TTC",LEFT(D470,3)="TNT")</formula>
    </cfRule>
    <cfRule type="expression" dxfId="3609" priority="3608" stopIfTrue="1">
      <formula>OR(LEFT(D470,3)="CTU",LEFT(D470,4)="HDON")</formula>
    </cfRule>
    <cfRule type="expression" dxfId="3608" priority="3609" stopIfTrue="1">
      <formula>OR(LEFT(D470,4)="HOLD",OR(A470="QTNP",A470="HOA THO",A470="YES VINA",A470="HUNG YEN",A470="TEX GIANG",A470="HUNG LONG"),LEFT(A470,5)="HANES",LEFT(A470,3)="ITG")</formula>
    </cfRule>
  </conditionalFormatting>
  <conditionalFormatting sqref="D470">
    <cfRule type="expression" dxfId="3607" priority="3604" stopIfTrue="1">
      <formula>OR(LEFT(D470,4)="KHTT",LEFT(D470,5)="10USD",RIGHT(D470,3)="TTC",LEFT(D470,3)="TNT")</formula>
    </cfRule>
    <cfRule type="expression" dxfId="3606" priority="3605" stopIfTrue="1">
      <formula>OR(LEFT(D470,3)="CTU",LEFT(D470,4)="HDON")</formula>
    </cfRule>
    <cfRule type="expression" dxfId="3605" priority="3606" stopIfTrue="1">
      <formula>OR(LEFT(D470,4)="HOLD",OR(A470="QTNP",A470="HOA THO",A470="YES VINA",A470="HUNG YEN",A470="TEX GIANG",A470="HUNG LONG"),LEFT(A470,5)="HANES",LEFT(A470,3)="ITG")</formula>
    </cfRule>
  </conditionalFormatting>
  <conditionalFormatting sqref="D470">
    <cfRule type="expression" dxfId="3604" priority="3601" stopIfTrue="1">
      <formula>OR(LEFT(D470,4)="KHTT",LEFT(D470,5)="10USD",RIGHT(D470,3)="TTC",LEFT(D470,3)="TNT")</formula>
    </cfRule>
    <cfRule type="expression" dxfId="3603" priority="3602" stopIfTrue="1">
      <formula>OR(LEFT(D470,3)="CTU",LEFT(D470,4)="HDON")</formula>
    </cfRule>
    <cfRule type="expression" dxfId="3602" priority="3603" stopIfTrue="1">
      <formula>OR(LEFT(D470,4)="HOLD",OR(A470="QTNP",A470="HOA THO",A470="YES VINA",A470="HUNG YEN",A470="TEX GIANG",A470="HUNG LONG"),LEFT(A470,5)="HANES",LEFT(A470,3)="ITG")</formula>
    </cfRule>
  </conditionalFormatting>
  <conditionalFormatting sqref="D470">
    <cfRule type="expression" dxfId="3601" priority="3598" stopIfTrue="1">
      <formula>OR(LEFT(D470,4)="KHTT",LEFT(D470,5)="10USD",RIGHT(D470,3)="TTC",LEFT(D470,3)="TNT")</formula>
    </cfRule>
    <cfRule type="expression" dxfId="3600" priority="3599" stopIfTrue="1">
      <formula>OR(LEFT(D470,3)="CTU",LEFT(D470,4)="HDON")</formula>
    </cfRule>
    <cfRule type="expression" dxfId="3599" priority="3600" stopIfTrue="1">
      <formula>OR(LEFT(D470,4)="HOLD",OR(A470="QTNP",A470="HOA THO",A470="YES VINA",A470="HUNG YEN",A470="TEX GIANG",A470="HUNG LONG"),LEFT(A470,5)="HANES",LEFT(A470,3)="ITG")</formula>
    </cfRule>
  </conditionalFormatting>
  <conditionalFormatting sqref="D469">
    <cfRule type="expression" dxfId="3598" priority="3595" stopIfTrue="1">
      <formula>OR(LEFT(D469,4)="KHTT",LEFT(D469,5)="10USD",RIGHT(D469,3)="TTC",LEFT(D469,3)="TNT")</formula>
    </cfRule>
    <cfRule type="expression" dxfId="3597" priority="3596" stopIfTrue="1">
      <formula>OR(LEFT(D469,3)="CTU",LEFT(D469,4)="HDON")</formula>
    </cfRule>
    <cfRule type="expression" dxfId="3596" priority="3597" stopIfTrue="1">
      <formula>OR(LEFT(D469,4)="HOLD",OR(A469="QTNP",A469="HOA THO",A469="YES VINA",A469="HUNG YEN",A469="TEX GIANG",A469="HUNG LONG"),LEFT(A469,5)="HANES",LEFT(A469,3)="ITG")</formula>
    </cfRule>
  </conditionalFormatting>
  <conditionalFormatting sqref="D469">
    <cfRule type="expression" dxfId="3595" priority="3592" stopIfTrue="1">
      <formula>OR(LEFT(D469,4)="KHTT",LEFT(D469,5)="10USD",RIGHT(D469,3)="TTC",LEFT(D469,3)="TNT")</formula>
    </cfRule>
    <cfRule type="expression" dxfId="3594" priority="3593" stopIfTrue="1">
      <formula>OR(LEFT(D469,3)="CTU",LEFT(D469,4)="HDON")</formula>
    </cfRule>
    <cfRule type="expression" dxfId="3593" priority="3594" stopIfTrue="1">
      <formula>OR(LEFT(D469,4)="HOLD",OR(A469="QTNP",A469="HOA THO",A469="YES VINA",A469="HUNG YEN",A469="TEX GIANG",A469="HUNG LONG"),LEFT(A469,5)="HANES",LEFT(A469,3)="ITG")</formula>
    </cfRule>
  </conditionalFormatting>
  <conditionalFormatting sqref="D470">
    <cfRule type="expression" dxfId="3592" priority="3589" stopIfTrue="1">
      <formula>OR(LEFT(D470,4)="KHTT",LEFT(D470,5)="10USD",RIGHT(D470,3)="TTC",LEFT(D470,3)="TNT")</formula>
    </cfRule>
    <cfRule type="expression" dxfId="3591" priority="3590" stopIfTrue="1">
      <formula>OR(LEFT(D470,3)="CTU",LEFT(D470,4)="HDON")</formula>
    </cfRule>
    <cfRule type="expression" dxfId="3590" priority="3591" stopIfTrue="1">
      <formula>OR(LEFT(D470,4)="HOLD",OR(A470="QTNP",A470="HOA THO",A470="YES VINA",A470="HUNG YEN",A470="TEX GIANG",A470="HUNG LONG"),LEFT(A470,5)="HANES",LEFT(A470,3)="ITG")</formula>
    </cfRule>
  </conditionalFormatting>
  <conditionalFormatting sqref="D470">
    <cfRule type="expression" dxfId="3589" priority="3586" stopIfTrue="1">
      <formula>OR(LEFT(D470,4)="KHTT",LEFT(D470,5)="10USD",RIGHT(D470,3)="TTC",LEFT(D470,3)="TNT")</formula>
    </cfRule>
    <cfRule type="expression" dxfId="3588" priority="3587" stopIfTrue="1">
      <formula>OR(LEFT(D470,3)="CTU",LEFT(D470,4)="HDON")</formula>
    </cfRule>
    <cfRule type="expression" dxfId="3587" priority="3588" stopIfTrue="1">
      <formula>OR(LEFT(D470,4)="HOLD",OR(A470="QTNP",A470="HOA THO",A470="YES VINA",A470="HUNG YEN",A470="TEX GIANG",A470="HUNG LONG"),LEFT(A470,5)="HANES",LEFT(A470,3)="ITG")</formula>
    </cfRule>
  </conditionalFormatting>
  <conditionalFormatting sqref="D470">
    <cfRule type="expression" dxfId="3586" priority="3583" stopIfTrue="1">
      <formula>OR(LEFT(D470,4)="KHTT",LEFT(D470,5)="10USD",RIGHT(D470,3)="TTC",LEFT(D470,3)="TNT")</formula>
    </cfRule>
    <cfRule type="expression" dxfId="3585" priority="3584" stopIfTrue="1">
      <formula>OR(LEFT(D470,3)="CTU",LEFT(D470,4)="HDON")</formula>
    </cfRule>
    <cfRule type="expression" dxfId="3584" priority="3585" stopIfTrue="1">
      <formula>OR(LEFT(D470,4)="HOLD",OR(A470="QTNP",A470="HOA THO",A470="YES VINA",A470="HUNG YEN",A470="TEX GIANG",A470="HUNG LONG"),LEFT(A470,5)="HANES",LEFT(A470,3)="ITG")</formula>
    </cfRule>
  </conditionalFormatting>
  <conditionalFormatting sqref="D470">
    <cfRule type="expression" dxfId="3583" priority="3580" stopIfTrue="1">
      <formula>OR(LEFT(D470,4)="KHTT",LEFT(D470,5)="10USD",RIGHT(D470,3)="TTC",LEFT(D470,3)="TNT")</formula>
    </cfRule>
    <cfRule type="expression" dxfId="3582" priority="3581" stopIfTrue="1">
      <formula>OR(LEFT(D470,3)="CTU",LEFT(D470,4)="HDON")</formula>
    </cfRule>
    <cfRule type="expression" dxfId="3581" priority="3582" stopIfTrue="1">
      <formula>OR(LEFT(D470,4)="HOLD",OR(A470="QTNP",A470="HOA THO",A470="YES VINA",A470="HUNG YEN",A470="TEX GIANG",A470="HUNG LONG"),LEFT(A470,5)="HANES",LEFT(A470,3)="ITG")</formula>
    </cfRule>
  </conditionalFormatting>
  <conditionalFormatting sqref="D469">
    <cfRule type="expression" dxfId="3580" priority="3577" stopIfTrue="1">
      <formula>OR(LEFT(D469,4)="KHTT",LEFT(D469,5)="10USD",RIGHT(D469,3)="TTC",LEFT(D469,3)="TNT")</formula>
    </cfRule>
    <cfRule type="expression" dxfId="3579" priority="3578" stopIfTrue="1">
      <formula>OR(LEFT(D469,3)="CTU",LEFT(D469,4)="HDON")</formula>
    </cfRule>
    <cfRule type="expression" dxfId="3578" priority="3579" stopIfTrue="1">
      <formula>OR(LEFT(D469,4)="HOLD",OR(A469="QTNP",A469="HOA THO",A469="YES VINA",A469="HUNG YEN",A469="TEX GIANG",A469="HUNG LONG"),LEFT(A469,5)="HANES",LEFT(A469,3)="ITG")</formula>
    </cfRule>
  </conditionalFormatting>
  <conditionalFormatting sqref="D469">
    <cfRule type="expression" dxfId="3577" priority="3574" stopIfTrue="1">
      <formula>OR(LEFT(D469,4)="KHTT",LEFT(D469,5)="10USD",RIGHT(D469,3)="TTC",LEFT(D469,3)="TNT")</formula>
    </cfRule>
    <cfRule type="expression" dxfId="3576" priority="3575" stopIfTrue="1">
      <formula>OR(LEFT(D469,3)="CTU",LEFT(D469,4)="HDON")</formula>
    </cfRule>
    <cfRule type="expression" dxfId="3575" priority="3576" stopIfTrue="1">
      <formula>OR(LEFT(D469,4)="HOLD",OR(A469="QTNP",A469="HOA THO",A469="YES VINA",A469="HUNG YEN",A469="TEX GIANG",A469="HUNG LONG"),LEFT(A469,5)="HANES",LEFT(A469,3)="ITG")</formula>
    </cfRule>
  </conditionalFormatting>
  <conditionalFormatting sqref="D470">
    <cfRule type="expression" dxfId="3574" priority="3571" stopIfTrue="1">
      <formula>OR(LEFT(D470,4)="KHTT",LEFT(D470,5)="10USD",RIGHT(D470,3)="TTC",LEFT(D470,3)="TNT")</formula>
    </cfRule>
    <cfRule type="expression" dxfId="3573" priority="3572" stopIfTrue="1">
      <formula>OR(LEFT(D470,3)="CTU",LEFT(D470,4)="HDON")</formula>
    </cfRule>
    <cfRule type="expression" dxfId="3572" priority="3573" stopIfTrue="1">
      <formula>OR(LEFT(D470,4)="HOLD",OR(A470="QTNP",A470="HOA THO",A470="YES VINA",A470="HUNG YEN",A470="TEX GIANG",A470="HUNG LONG"),LEFT(A470,5)="HANES",LEFT(A470,3)="ITG")</formula>
    </cfRule>
  </conditionalFormatting>
  <conditionalFormatting sqref="D470">
    <cfRule type="expression" dxfId="3571" priority="3568" stopIfTrue="1">
      <formula>OR(LEFT(D470,4)="KHTT",LEFT(D470,5)="10USD",RIGHT(D470,3)="TTC",LEFT(D470,3)="TNT")</formula>
    </cfRule>
    <cfRule type="expression" dxfId="3570" priority="3569" stopIfTrue="1">
      <formula>OR(LEFT(D470,3)="CTU",LEFT(D470,4)="HDON")</formula>
    </cfRule>
    <cfRule type="expression" dxfId="3569" priority="3570" stopIfTrue="1">
      <formula>OR(LEFT(D470,4)="HOLD",OR(A470="QTNP",A470="HOA THO",A470="YES VINA",A470="HUNG YEN",A470="TEX GIANG",A470="HUNG LONG"),LEFT(A470,5)="HANES",LEFT(A470,3)="ITG")</formula>
    </cfRule>
  </conditionalFormatting>
  <conditionalFormatting sqref="D470">
    <cfRule type="expression" dxfId="3568" priority="3565" stopIfTrue="1">
      <formula>OR(LEFT(D470,4)="KHTT",LEFT(D470,5)="10USD",RIGHT(D470,3)="TTC",LEFT(D470,3)="TNT")</formula>
    </cfRule>
    <cfRule type="expression" dxfId="3567" priority="3566" stopIfTrue="1">
      <formula>OR(LEFT(D470,3)="CTU",LEFT(D470,4)="HDON")</formula>
    </cfRule>
    <cfRule type="expression" dxfId="3566" priority="3567" stopIfTrue="1">
      <formula>OR(LEFT(D470,4)="HOLD",OR(A470="QTNP",A470="HOA THO",A470="YES VINA",A470="HUNG YEN",A470="TEX GIANG",A470="HUNG LONG"),LEFT(A470,5)="HANES",LEFT(A470,3)="ITG")</formula>
    </cfRule>
  </conditionalFormatting>
  <conditionalFormatting sqref="D470">
    <cfRule type="expression" dxfId="3565" priority="3562" stopIfTrue="1">
      <formula>OR(LEFT(D470,4)="KHTT",LEFT(D470,5)="10USD",RIGHT(D470,3)="TTC",LEFT(D470,3)="TNT")</formula>
    </cfRule>
    <cfRule type="expression" dxfId="3564" priority="3563" stopIfTrue="1">
      <formula>OR(LEFT(D470,3)="CTU",LEFT(D470,4)="HDON")</formula>
    </cfRule>
    <cfRule type="expression" dxfId="3563" priority="3564" stopIfTrue="1">
      <formula>OR(LEFT(D470,4)="HOLD",OR(A470="QTNP",A470="HOA THO",A470="YES VINA",A470="HUNG YEN",A470="TEX GIANG",A470="HUNG LONG"),LEFT(A470,5)="HANES",LEFT(A470,3)="ITG")</formula>
    </cfRule>
  </conditionalFormatting>
  <conditionalFormatting sqref="D469">
    <cfRule type="expression" dxfId="3562" priority="3559" stopIfTrue="1">
      <formula>OR(LEFT(D469,4)="KHTT",LEFT(D469,5)="10USD",RIGHT(D469,3)="TTC",LEFT(D469,3)="TNT")</formula>
    </cfRule>
    <cfRule type="expression" dxfId="3561" priority="3560" stopIfTrue="1">
      <formula>OR(LEFT(D469,3)="CTU",LEFT(D469,4)="HDON")</formula>
    </cfRule>
    <cfRule type="expression" dxfId="3560" priority="3561" stopIfTrue="1">
      <formula>OR(LEFT(D469,4)="HOLD",OR(A469="QTNP",A469="HOA THO",A469="YES VINA",A469="HUNG YEN",A469="TEX GIANG",A469="HUNG LONG"),LEFT(A469,5)="HANES",LEFT(A469,3)="ITG")</formula>
    </cfRule>
  </conditionalFormatting>
  <conditionalFormatting sqref="D469">
    <cfRule type="expression" dxfId="3559" priority="3556" stopIfTrue="1">
      <formula>OR(LEFT(D469,4)="KHTT",LEFT(D469,5)="10USD",RIGHT(D469,3)="TTC",LEFT(D469,3)="TNT")</formula>
    </cfRule>
    <cfRule type="expression" dxfId="3558" priority="3557" stopIfTrue="1">
      <formula>OR(LEFT(D469,3)="CTU",LEFT(D469,4)="HDON")</formula>
    </cfRule>
    <cfRule type="expression" dxfId="3557" priority="3558" stopIfTrue="1">
      <formula>OR(LEFT(D469,4)="HOLD",OR(A469="QTNP",A469="HOA THO",A469="YES VINA",A469="HUNG YEN",A469="TEX GIANG",A469="HUNG LONG"),LEFT(A469,5)="HANES",LEFT(A469,3)="ITG")</formula>
    </cfRule>
  </conditionalFormatting>
  <conditionalFormatting sqref="D470">
    <cfRule type="expression" dxfId="3556" priority="3553" stopIfTrue="1">
      <formula>OR(LEFT(D470,4)="KHTT",LEFT(D470,5)="10USD",RIGHT(D470,3)="TTC",LEFT(D470,3)="TNT")</formula>
    </cfRule>
    <cfRule type="expression" dxfId="3555" priority="3554" stopIfTrue="1">
      <formula>OR(LEFT(D470,3)="CTU",LEFT(D470,4)="HDON")</formula>
    </cfRule>
    <cfRule type="expression" dxfId="3554" priority="3555" stopIfTrue="1">
      <formula>OR(LEFT(D470,4)="HOLD",OR(A470="QTNP",A470="HOA THO",A470="YES VINA",A470="HUNG YEN",A470="TEX GIANG",A470="HUNG LONG"),LEFT(A470,5)="HANES",LEFT(A470,3)="ITG")</formula>
    </cfRule>
  </conditionalFormatting>
  <conditionalFormatting sqref="D470">
    <cfRule type="expression" dxfId="3553" priority="3550" stopIfTrue="1">
      <formula>OR(LEFT(D470,4)="KHTT",LEFT(D470,5)="10USD",RIGHT(D470,3)="TTC",LEFT(D470,3)="TNT")</formula>
    </cfRule>
    <cfRule type="expression" dxfId="3552" priority="3551" stopIfTrue="1">
      <formula>OR(LEFT(D470,3)="CTU",LEFT(D470,4)="HDON")</formula>
    </cfRule>
    <cfRule type="expression" dxfId="3551" priority="3552" stopIfTrue="1">
      <formula>OR(LEFT(D470,4)="HOLD",OR(A470="QTNP",A470="HOA THO",A470="YES VINA",A470="HUNG YEN",A470="TEX GIANG",A470="HUNG LONG"),LEFT(A470,5)="HANES",LEFT(A470,3)="ITG")</formula>
    </cfRule>
  </conditionalFormatting>
  <conditionalFormatting sqref="D470">
    <cfRule type="expression" dxfId="3550" priority="3547" stopIfTrue="1">
      <formula>OR(LEFT(D470,4)="KHTT",LEFT(D470,5)="10USD",RIGHT(D470,3)="TTC",LEFT(D470,3)="TNT")</formula>
    </cfRule>
    <cfRule type="expression" dxfId="3549" priority="3548" stopIfTrue="1">
      <formula>OR(LEFT(D470,3)="CTU",LEFT(D470,4)="HDON")</formula>
    </cfRule>
    <cfRule type="expression" dxfId="3548" priority="3549" stopIfTrue="1">
      <formula>OR(LEFT(D470,4)="HOLD",OR(A470="QTNP",A470="HOA THO",A470="YES VINA",A470="HUNG YEN",A470="TEX GIANG",A470="HUNG LONG"),LEFT(A470,5)="HANES",LEFT(A470,3)="ITG")</formula>
    </cfRule>
  </conditionalFormatting>
  <conditionalFormatting sqref="D470">
    <cfRule type="expression" dxfId="3547" priority="3544" stopIfTrue="1">
      <formula>OR(LEFT(D470,4)="KHTT",LEFT(D470,5)="10USD",RIGHT(D470,3)="TTC",LEFT(D470,3)="TNT")</formula>
    </cfRule>
    <cfRule type="expression" dxfId="3546" priority="3545" stopIfTrue="1">
      <formula>OR(LEFT(D470,3)="CTU",LEFT(D470,4)="HDON")</formula>
    </cfRule>
    <cfRule type="expression" dxfId="3545" priority="3546" stopIfTrue="1">
      <formula>OR(LEFT(D470,4)="HOLD",OR(A470="QTNP",A470="HOA THO",A470="YES VINA",A470="HUNG YEN",A470="TEX GIANG",A470="HUNG LONG"),LEFT(A470,5)="HANES",LEFT(A470,3)="ITG")</formula>
    </cfRule>
  </conditionalFormatting>
  <conditionalFormatting sqref="D469">
    <cfRule type="expression" dxfId="3544" priority="3541" stopIfTrue="1">
      <formula>OR(LEFT(D469,4)="KHTT",LEFT(D469,5)="10USD",RIGHT(D469,3)="TTC",LEFT(D469,3)="TNT")</formula>
    </cfRule>
    <cfRule type="expression" dxfId="3543" priority="3542" stopIfTrue="1">
      <formula>OR(LEFT(D469,3)="CTU",LEFT(D469,4)="HDON")</formula>
    </cfRule>
    <cfRule type="expression" dxfId="3542" priority="3543" stopIfTrue="1">
      <formula>OR(LEFT(D469,4)="HOLD",OR(A469="QTNP",A469="HOA THO",A469="YES VINA",A469="HUNG YEN",A469="TEX GIANG",A469="HUNG LONG"),LEFT(A469,5)="HANES",LEFT(A469,3)="ITG")</formula>
    </cfRule>
  </conditionalFormatting>
  <conditionalFormatting sqref="D469">
    <cfRule type="expression" dxfId="3541" priority="3538" stopIfTrue="1">
      <formula>OR(LEFT(D469,4)="KHTT",LEFT(D469,5)="10USD",RIGHT(D469,3)="TTC",LEFT(D469,3)="TNT")</formula>
    </cfRule>
    <cfRule type="expression" dxfId="3540" priority="3539" stopIfTrue="1">
      <formula>OR(LEFT(D469,3)="CTU",LEFT(D469,4)="HDON")</formula>
    </cfRule>
    <cfRule type="expression" dxfId="3539" priority="3540" stopIfTrue="1">
      <formula>OR(LEFT(D469,4)="HOLD",OR(A469="QTNP",A469="HOA THO",A469="YES VINA",A469="HUNG YEN",A469="TEX GIANG",A469="HUNG LONG"),LEFT(A469,5)="HANES",LEFT(A469,3)="ITG")</formula>
    </cfRule>
  </conditionalFormatting>
  <conditionalFormatting sqref="D470">
    <cfRule type="expression" dxfId="3538" priority="3535" stopIfTrue="1">
      <formula>OR(LEFT(D470,4)="KHTT",LEFT(D470,5)="10USD",RIGHT(D470,3)="TTC",LEFT(D470,3)="TNT")</formula>
    </cfRule>
    <cfRule type="expression" dxfId="3537" priority="3536" stopIfTrue="1">
      <formula>OR(LEFT(D470,3)="CTU",LEFT(D470,4)="HDON")</formula>
    </cfRule>
    <cfRule type="expression" dxfId="3536" priority="3537" stopIfTrue="1">
      <formula>OR(LEFT(D470,4)="HOLD",OR(A470="QTNP",A470="HOA THO",A470="YES VINA",A470="HUNG YEN",A470="TEX GIANG",A470="HUNG LONG"),LEFT(A470,5)="HANES",LEFT(A470,3)="ITG")</formula>
    </cfRule>
  </conditionalFormatting>
  <conditionalFormatting sqref="D470">
    <cfRule type="expression" dxfId="3535" priority="3532" stopIfTrue="1">
      <formula>OR(LEFT(D470,4)="KHTT",LEFT(D470,5)="10USD",RIGHT(D470,3)="TTC",LEFT(D470,3)="TNT")</formula>
    </cfRule>
    <cfRule type="expression" dxfId="3534" priority="3533" stopIfTrue="1">
      <formula>OR(LEFT(D470,3)="CTU",LEFT(D470,4)="HDON")</formula>
    </cfRule>
    <cfRule type="expression" dxfId="3533" priority="3534" stopIfTrue="1">
      <formula>OR(LEFT(D470,4)="HOLD",OR(A470="QTNP",A470="HOA THO",A470="YES VINA",A470="HUNG YEN",A470="TEX GIANG",A470="HUNG LONG"),LEFT(A470,5)="HANES",LEFT(A470,3)="ITG")</formula>
    </cfRule>
  </conditionalFormatting>
  <conditionalFormatting sqref="D470">
    <cfRule type="expression" dxfId="3532" priority="3529" stopIfTrue="1">
      <formula>OR(LEFT(D470,4)="KHTT",LEFT(D470,5)="10USD",RIGHT(D470,3)="TTC",LEFT(D470,3)="TNT")</formula>
    </cfRule>
    <cfRule type="expression" dxfId="3531" priority="3530" stopIfTrue="1">
      <formula>OR(LEFT(D470,3)="CTU",LEFT(D470,4)="HDON")</formula>
    </cfRule>
    <cfRule type="expression" dxfId="3530" priority="3531" stopIfTrue="1">
      <formula>OR(LEFT(D470,4)="HOLD",OR(A470="QTNP",A470="HOA THO",A470="YES VINA",A470="HUNG YEN",A470="TEX GIANG",A470="HUNG LONG"),LEFT(A470,5)="HANES",LEFT(A470,3)="ITG")</formula>
    </cfRule>
  </conditionalFormatting>
  <conditionalFormatting sqref="D470">
    <cfRule type="expression" dxfId="3529" priority="3526" stopIfTrue="1">
      <formula>OR(LEFT(D470,4)="KHTT",LEFT(D470,5)="10USD",RIGHT(D470,3)="TTC",LEFT(D470,3)="TNT")</formula>
    </cfRule>
    <cfRule type="expression" dxfId="3528" priority="3527" stopIfTrue="1">
      <formula>OR(LEFT(D470,3)="CTU",LEFT(D470,4)="HDON")</formula>
    </cfRule>
    <cfRule type="expression" dxfId="3527" priority="3528" stopIfTrue="1">
      <formula>OR(LEFT(D470,4)="HOLD",OR(A470="QTNP",A470="HOA THO",A470="YES VINA",A470="HUNG YEN",A470="TEX GIANG",A470="HUNG LONG"),LEFT(A470,5)="HANES",LEFT(A470,3)="ITG")</formula>
    </cfRule>
  </conditionalFormatting>
  <conditionalFormatting sqref="D469">
    <cfRule type="expression" dxfId="3526" priority="3523" stopIfTrue="1">
      <formula>OR(LEFT(D469,4)="KHTT",LEFT(D469,5)="10USD",RIGHT(D469,3)="TTC",LEFT(D469,3)="TNT")</formula>
    </cfRule>
    <cfRule type="expression" dxfId="3525" priority="3524" stopIfTrue="1">
      <formula>OR(LEFT(D469,3)="CTU",LEFT(D469,4)="HDON")</formula>
    </cfRule>
    <cfRule type="expression" dxfId="3524" priority="3525" stopIfTrue="1">
      <formula>OR(LEFT(D469,4)="HOLD",OR(A469="QTNP",A469="HOA THO",A469="YES VINA",A469="HUNG YEN",A469="TEX GIANG",A469="HUNG LONG"),LEFT(A469,5)="HANES",LEFT(A469,3)="ITG")</formula>
    </cfRule>
  </conditionalFormatting>
  <conditionalFormatting sqref="D469">
    <cfRule type="expression" dxfId="3523" priority="3520" stopIfTrue="1">
      <formula>OR(LEFT(D469,4)="KHTT",LEFT(D469,5)="10USD",RIGHT(D469,3)="TTC",LEFT(D469,3)="TNT")</formula>
    </cfRule>
    <cfRule type="expression" dxfId="3522" priority="3521" stopIfTrue="1">
      <formula>OR(LEFT(D469,3)="CTU",LEFT(D469,4)="HDON")</formula>
    </cfRule>
    <cfRule type="expression" dxfId="3521" priority="3522" stopIfTrue="1">
      <formula>OR(LEFT(D469,4)="HOLD",OR(A469="QTNP",A469="HOA THO",A469="YES VINA",A469="HUNG YEN",A469="TEX GIANG",A469="HUNG LONG"),LEFT(A469,5)="HANES",LEFT(A469,3)="ITG")</formula>
    </cfRule>
  </conditionalFormatting>
  <conditionalFormatting sqref="D470">
    <cfRule type="expression" dxfId="3520" priority="3517" stopIfTrue="1">
      <formula>OR(LEFT(D470,4)="KHTT",LEFT(D470,5)="10USD",RIGHT(D470,3)="TTC",LEFT(D470,3)="TNT")</formula>
    </cfRule>
    <cfRule type="expression" dxfId="3519" priority="3518" stopIfTrue="1">
      <formula>OR(LEFT(D470,3)="CTU",LEFT(D470,4)="HDON")</formula>
    </cfRule>
    <cfRule type="expression" dxfId="3518" priority="3519" stopIfTrue="1">
      <formula>OR(LEFT(D470,4)="HOLD",OR(A470="QTNP",A470="HOA THO",A470="YES VINA",A470="HUNG YEN",A470="TEX GIANG",A470="HUNG LONG"),LEFT(A470,5)="HANES",LEFT(A470,3)="ITG")</formula>
    </cfRule>
  </conditionalFormatting>
  <conditionalFormatting sqref="D470">
    <cfRule type="expression" dxfId="3517" priority="3514" stopIfTrue="1">
      <formula>OR(LEFT(D470,4)="KHTT",LEFT(D470,5)="10USD",RIGHT(D470,3)="TTC",LEFT(D470,3)="TNT")</formula>
    </cfRule>
    <cfRule type="expression" dxfId="3516" priority="3515" stopIfTrue="1">
      <formula>OR(LEFT(D470,3)="CTU",LEFT(D470,4)="HDON")</formula>
    </cfRule>
    <cfRule type="expression" dxfId="3515" priority="3516" stopIfTrue="1">
      <formula>OR(LEFT(D470,4)="HOLD",OR(A470="QTNP",A470="HOA THO",A470="YES VINA",A470="HUNG YEN",A470="TEX GIANG",A470="HUNG LONG"),LEFT(A470,5)="HANES",LEFT(A470,3)="ITG")</formula>
    </cfRule>
  </conditionalFormatting>
  <conditionalFormatting sqref="D470">
    <cfRule type="expression" dxfId="3514" priority="3511" stopIfTrue="1">
      <formula>OR(LEFT(D470,4)="KHTT",LEFT(D470,5)="10USD",RIGHT(D470,3)="TTC",LEFT(D470,3)="TNT")</formula>
    </cfRule>
    <cfRule type="expression" dxfId="3513" priority="3512" stopIfTrue="1">
      <formula>OR(LEFT(D470,3)="CTU",LEFT(D470,4)="HDON")</formula>
    </cfRule>
    <cfRule type="expression" dxfId="3512" priority="3513" stopIfTrue="1">
      <formula>OR(LEFT(D470,4)="HOLD",OR(A470="QTNP",A470="HOA THO",A470="YES VINA",A470="HUNG YEN",A470="TEX GIANG",A470="HUNG LONG"),LEFT(A470,5)="HANES",LEFT(A470,3)="ITG")</formula>
    </cfRule>
  </conditionalFormatting>
  <conditionalFormatting sqref="D470">
    <cfRule type="expression" dxfId="3511" priority="3508" stopIfTrue="1">
      <formula>OR(LEFT(D470,4)="KHTT",LEFT(D470,5)="10USD",RIGHT(D470,3)="TTC",LEFT(D470,3)="TNT")</formula>
    </cfRule>
    <cfRule type="expression" dxfId="3510" priority="3509" stopIfTrue="1">
      <formula>OR(LEFT(D470,3)="CTU",LEFT(D470,4)="HDON")</formula>
    </cfRule>
    <cfRule type="expression" dxfId="3509" priority="3510" stopIfTrue="1">
      <formula>OR(LEFT(D470,4)="HOLD",OR(A470="QTNP",A470="HOA THO",A470="YES VINA",A470="HUNG YEN",A470="TEX GIANG",A470="HUNG LONG"),LEFT(A470,5)="HANES",LEFT(A470,3)="ITG")</formula>
    </cfRule>
  </conditionalFormatting>
  <conditionalFormatting sqref="D469">
    <cfRule type="expression" dxfId="3508" priority="3505" stopIfTrue="1">
      <formula>OR(LEFT(D469,4)="KHTT",LEFT(D469,5)="10USD",RIGHT(D469,3)="TTC",LEFT(D469,3)="TNT")</formula>
    </cfRule>
    <cfRule type="expression" dxfId="3507" priority="3506" stopIfTrue="1">
      <formula>OR(LEFT(D469,3)="CTU",LEFT(D469,4)="HDON")</formula>
    </cfRule>
    <cfRule type="expression" dxfId="3506" priority="3507" stopIfTrue="1">
      <formula>OR(LEFT(D469,4)="HOLD",OR(A469="QTNP",A469="HOA THO",A469="YES VINA",A469="HUNG YEN",A469="TEX GIANG",A469="HUNG LONG"),LEFT(A469,5)="HANES",LEFT(A469,3)="ITG")</formula>
    </cfRule>
  </conditionalFormatting>
  <conditionalFormatting sqref="D469">
    <cfRule type="expression" dxfId="3505" priority="3502" stopIfTrue="1">
      <formula>OR(LEFT(D469,4)="KHTT",LEFT(D469,5)="10USD",RIGHT(D469,3)="TTC",LEFT(D469,3)="TNT")</formula>
    </cfRule>
    <cfRule type="expression" dxfId="3504" priority="3503" stopIfTrue="1">
      <formula>OR(LEFT(D469,3)="CTU",LEFT(D469,4)="HDON")</formula>
    </cfRule>
    <cfRule type="expression" dxfId="3503" priority="3504" stopIfTrue="1">
      <formula>OR(LEFT(D469,4)="HOLD",OR(A469="QTNP",A469="HOA THO",A469="YES VINA",A469="HUNG YEN",A469="TEX GIANG",A469="HUNG LONG"),LEFT(A469,5)="HANES",LEFT(A469,3)="ITG")</formula>
    </cfRule>
  </conditionalFormatting>
  <conditionalFormatting sqref="D470">
    <cfRule type="expression" dxfId="3502" priority="3499" stopIfTrue="1">
      <formula>OR(LEFT(D470,4)="KHTT",LEFT(D470,5)="10USD",RIGHT(D470,3)="TTC",LEFT(D470,3)="TNT")</formula>
    </cfRule>
    <cfRule type="expression" dxfId="3501" priority="3500" stopIfTrue="1">
      <formula>OR(LEFT(D470,3)="CTU",LEFT(D470,4)="HDON")</formula>
    </cfRule>
    <cfRule type="expression" dxfId="3500" priority="3501" stopIfTrue="1">
      <formula>OR(LEFT(D470,4)="HOLD",OR(A470="QTNP",A470="HOA THO",A470="YES VINA",A470="HUNG YEN",A470="TEX GIANG",A470="HUNG LONG"),LEFT(A470,5)="HANES",LEFT(A470,3)="ITG")</formula>
    </cfRule>
  </conditionalFormatting>
  <conditionalFormatting sqref="D470">
    <cfRule type="expression" dxfId="3499" priority="3496" stopIfTrue="1">
      <formula>OR(LEFT(D470,4)="KHTT",LEFT(D470,5)="10USD",RIGHT(D470,3)="TTC",LEFT(D470,3)="TNT")</formula>
    </cfRule>
    <cfRule type="expression" dxfId="3498" priority="3497" stopIfTrue="1">
      <formula>OR(LEFT(D470,3)="CTU",LEFT(D470,4)="HDON")</formula>
    </cfRule>
    <cfRule type="expression" dxfId="3497" priority="3498" stopIfTrue="1">
      <formula>OR(LEFT(D470,4)="HOLD",OR(A470="QTNP",A470="HOA THO",A470="YES VINA",A470="HUNG YEN",A470="TEX GIANG",A470="HUNG LONG"),LEFT(A470,5)="HANES",LEFT(A470,3)="ITG")</formula>
    </cfRule>
  </conditionalFormatting>
  <conditionalFormatting sqref="D470">
    <cfRule type="expression" dxfId="3496" priority="3493" stopIfTrue="1">
      <formula>OR(LEFT(D470,4)="KHTT",LEFT(D470,5)="10USD",RIGHT(D470,3)="TTC",LEFT(D470,3)="TNT")</formula>
    </cfRule>
    <cfRule type="expression" dxfId="3495" priority="3494" stopIfTrue="1">
      <formula>OR(LEFT(D470,3)="CTU",LEFT(D470,4)="HDON")</formula>
    </cfRule>
    <cfRule type="expression" dxfId="3494" priority="3495" stopIfTrue="1">
      <formula>OR(LEFT(D470,4)="HOLD",OR(A470="QTNP",A470="HOA THO",A470="YES VINA",A470="HUNG YEN",A470="TEX GIANG",A470="HUNG LONG"),LEFT(A470,5)="HANES",LEFT(A470,3)="ITG")</formula>
    </cfRule>
  </conditionalFormatting>
  <conditionalFormatting sqref="D470">
    <cfRule type="expression" dxfId="3493" priority="3490" stopIfTrue="1">
      <formula>OR(LEFT(D470,4)="KHTT",LEFT(D470,5)="10USD",RIGHT(D470,3)="TTC",LEFT(D470,3)="TNT")</formula>
    </cfRule>
    <cfRule type="expression" dxfId="3492" priority="3491" stopIfTrue="1">
      <formula>OR(LEFT(D470,3)="CTU",LEFT(D470,4)="HDON")</formula>
    </cfRule>
    <cfRule type="expression" dxfId="3491" priority="3492" stopIfTrue="1">
      <formula>OR(LEFT(D470,4)="HOLD",OR(A470="QTNP",A470="HOA THO",A470="YES VINA",A470="HUNG YEN",A470="TEX GIANG",A470="HUNG LONG"),LEFT(A470,5)="HANES",LEFT(A470,3)="ITG")</formula>
    </cfRule>
  </conditionalFormatting>
  <conditionalFormatting sqref="D469">
    <cfRule type="expression" dxfId="3490" priority="3487" stopIfTrue="1">
      <formula>OR(LEFT(D469,4)="KHTT",LEFT(D469,5)="10USD",RIGHT(D469,3)="TTC",LEFT(D469,3)="TNT")</formula>
    </cfRule>
    <cfRule type="expression" dxfId="3489" priority="3488" stopIfTrue="1">
      <formula>OR(LEFT(D469,3)="CTU",LEFT(D469,4)="HDON")</formula>
    </cfRule>
    <cfRule type="expression" dxfId="3488" priority="3489" stopIfTrue="1">
      <formula>OR(LEFT(D469,4)="HOLD",OR(A469="QTNP",A469="HOA THO",A469="YES VINA",A469="HUNG YEN",A469="TEX GIANG",A469="HUNG LONG"),LEFT(A469,5)="HANES",LEFT(A469,3)="ITG")</formula>
    </cfRule>
  </conditionalFormatting>
  <conditionalFormatting sqref="D469">
    <cfRule type="expression" dxfId="3487" priority="3484" stopIfTrue="1">
      <formula>OR(LEFT(D469,4)="KHTT",LEFT(D469,5)="10USD",RIGHT(D469,3)="TTC",LEFT(D469,3)="TNT")</formula>
    </cfRule>
    <cfRule type="expression" dxfId="3486" priority="3485" stopIfTrue="1">
      <formula>OR(LEFT(D469,3)="CTU",LEFT(D469,4)="HDON")</formula>
    </cfRule>
    <cfRule type="expression" dxfId="3485" priority="3486" stopIfTrue="1">
      <formula>OR(LEFT(D469,4)="HOLD",OR(A469="QTNP",A469="HOA THO",A469="YES VINA",A469="HUNG YEN",A469="TEX GIANG",A469="HUNG LONG"),LEFT(A469,5)="HANES",LEFT(A469,3)="ITG")</formula>
    </cfRule>
  </conditionalFormatting>
  <conditionalFormatting sqref="D470">
    <cfRule type="expression" dxfId="3484" priority="3481" stopIfTrue="1">
      <formula>OR(LEFT(D470,4)="KHTT",LEFT(D470,5)="10USD",RIGHT(D470,3)="TTC",LEFT(D470,3)="TNT")</formula>
    </cfRule>
    <cfRule type="expression" dxfId="3483" priority="3482" stopIfTrue="1">
      <formula>OR(LEFT(D470,3)="CTU",LEFT(D470,4)="HDON")</formula>
    </cfRule>
    <cfRule type="expression" dxfId="3482" priority="3483" stopIfTrue="1">
      <formula>OR(LEFT(D470,4)="HOLD",OR(A470="QTNP",A470="HOA THO",A470="YES VINA",A470="HUNG YEN",A470="TEX GIANG",A470="HUNG LONG"),LEFT(A470,5)="HANES",LEFT(A470,3)="ITG")</formula>
    </cfRule>
  </conditionalFormatting>
  <conditionalFormatting sqref="D470">
    <cfRule type="expression" dxfId="3481" priority="3478" stopIfTrue="1">
      <formula>OR(LEFT(D470,4)="KHTT",LEFT(D470,5)="10USD",RIGHT(D470,3)="TTC",LEFT(D470,3)="TNT")</formula>
    </cfRule>
    <cfRule type="expression" dxfId="3480" priority="3479" stopIfTrue="1">
      <formula>OR(LEFT(D470,3)="CTU",LEFT(D470,4)="HDON")</formula>
    </cfRule>
    <cfRule type="expression" dxfId="3479" priority="3480" stopIfTrue="1">
      <formula>OR(LEFT(D470,4)="HOLD",OR(A470="QTNP",A470="HOA THO",A470="YES VINA",A470="HUNG YEN",A470="TEX GIANG",A470="HUNG LONG"),LEFT(A470,5)="HANES",LEFT(A470,3)="ITG")</formula>
    </cfRule>
  </conditionalFormatting>
  <conditionalFormatting sqref="D470">
    <cfRule type="expression" dxfId="3478" priority="3475" stopIfTrue="1">
      <formula>OR(LEFT(D470,4)="KHTT",LEFT(D470,5)="10USD",RIGHT(D470,3)="TTC",LEFT(D470,3)="TNT")</formula>
    </cfRule>
    <cfRule type="expression" dxfId="3477" priority="3476" stopIfTrue="1">
      <formula>OR(LEFT(D470,3)="CTU",LEFT(D470,4)="HDON")</formula>
    </cfRule>
    <cfRule type="expression" dxfId="3476" priority="3477" stopIfTrue="1">
      <formula>OR(LEFT(D470,4)="HOLD",OR(A470="QTNP",A470="HOA THO",A470="YES VINA",A470="HUNG YEN",A470="TEX GIANG",A470="HUNG LONG"),LEFT(A470,5)="HANES",LEFT(A470,3)="ITG")</formula>
    </cfRule>
  </conditionalFormatting>
  <conditionalFormatting sqref="D470">
    <cfRule type="expression" dxfId="3475" priority="3472" stopIfTrue="1">
      <formula>OR(LEFT(D470,4)="KHTT",LEFT(D470,5)="10USD",RIGHT(D470,3)="TTC",LEFT(D470,3)="TNT")</formula>
    </cfRule>
    <cfRule type="expression" dxfId="3474" priority="3473" stopIfTrue="1">
      <formula>OR(LEFT(D470,3)="CTU",LEFT(D470,4)="HDON")</formula>
    </cfRule>
    <cfRule type="expression" dxfId="3473" priority="3474" stopIfTrue="1">
      <formula>OR(LEFT(D470,4)="HOLD",OR(A470="QTNP",A470="HOA THO",A470="YES VINA",A470="HUNG YEN",A470="TEX GIANG",A470="HUNG LONG"),LEFT(A470,5)="HANES",LEFT(A470,3)="ITG")</formula>
    </cfRule>
  </conditionalFormatting>
  <conditionalFormatting sqref="D469">
    <cfRule type="expression" dxfId="3472" priority="3469" stopIfTrue="1">
      <formula>OR(LEFT(D469,4)="KHTT",LEFT(D469,5)="10USD",RIGHT(D469,3)="TTC",LEFT(D469,3)="TNT")</formula>
    </cfRule>
    <cfRule type="expression" dxfId="3471" priority="3470" stopIfTrue="1">
      <formula>OR(LEFT(D469,3)="CTU",LEFT(D469,4)="HDON")</formula>
    </cfRule>
    <cfRule type="expression" dxfId="3470" priority="3471" stopIfTrue="1">
      <formula>OR(LEFT(D469,4)="HOLD",OR(A469="QTNP",A469="HOA THO",A469="YES VINA",A469="HUNG YEN",A469="TEX GIANG",A469="HUNG LONG"),LEFT(A469,5)="HANES",LEFT(A469,3)="ITG")</formula>
    </cfRule>
  </conditionalFormatting>
  <conditionalFormatting sqref="D469">
    <cfRule type="expression" dxfId="3469" priority="3466" stopIfTrue="1">
      <formula>OR(LEFT(D469,4)="KHTT",LEFT(D469,5)="10USD",RIGHT(D469,3)="TTC",LEFT(D469,3)="TNT")</formula>
    </cfRule>
    <cfRule type="expression" dxfId="3468" priority="3467" stopIfTrue="1">
      <formula>OR(LEFT(D469,3)="CTU",LEFT(D469,4)="HDON")</formula>
    </cfRule>
    <cfRule type="expression" dxfId="3467" priority="3468" stopIfTrue="1">
      <formula>OR(LEFT(D469,4)="HOLD",OR(A469="QTNP",A469="HOA THO",A469="YES VINA",A469="HUNG YEN",A469="TEX GIANG",A469="HUNG LONG"),LEFT(A469,5)="HANES",LEFT(A469,3)="ITG")</formula>
    </cfRule>
  </conditionalFormatting>
  <conditionalFormatting sqref="D470">
    <cfRule type="expression" dxfId="3466" priority="3463" stopIfTrue="1">
      <formula>OR(LEFT(D470,4)="KHTT",LEFT(D470,5)="10USD",RIGHT(D470,3)="TTC",LEFT(D470,3)="TNT")</formula>
    </cfRule>
    <cfRule type="expression" dxfId="3465" priority="3464" stopIfTrue="1">
      <formula>OR(LEFT(D470,3)="CTU",LEFT(D470,4)="HDON")</formula>
    </cfRule>
    <cfRule type="expression" dxfId="3464" priority="3465" stopIfTrue="1">
      <formula>OR(LEFT(D470,4)="HOLD",OR(A470="QTNP",A470="HOA THO",A470="YES VINA",A470="HUNG YEN",A470="TEX GIANG",A470="HUNG LONG"),LEFT(A470,5)="HANES",LEFT(A470,3)="ITG")</formula>
    </cfRule>
  </conditionalFormatting>
  <conditionalFormatting sqref="D470">
    <cfRule type="expression" dxfId="3463" priority="3460" stopIfTrue="1">
      <formula>OR(LEFT(D470,4)="KHTT",LEFT(D470,5)="10USD",RIGHT(D470,3)="TTC",LEFT(D470,3)="TNT")</formula>
    </cfRule>
    <cfRule type="expression" dxfId="3462" priority="3461" stopIfTrue="1">
      <formula>OR(LEFT(D470,3)="CTU",LEFT(D470,4)="HDON")</formula>
    </cfRule>
    <cfRule type="expression" dxfId="3461" priority="3462" stopIfTrue="1">
      <formula>OR(LEFT(D470,4)="HOLD",OR(A470="QTNP",A470="HOA THO",A470="YES VINA",A470="HUNG YEN",A470="TEX GIANG",A470="HUNG LONG"),LEFT(A470,5)="HANES",LEFT(A470,3)="ITG")</formula>
    </cfRule>
  </conditionalFormatting>
  <conditionalFormatting sqref="D470">
    <cfRule type="expression" dxfId="3460" priority="3457" stopIfTrue="1">
      <formula>OR(LEFT(D470,4)="KHTT",LEFT(D470,5)="10USD",RIGHT(D470,3)="TTC",LEFT(D470,3)="TNT")</formula>
    </cfRule>
    <cfRule type="expression" dxfId="3459" priority="3458" stopIfTrue="1">
      <formula>OR(LEFT(D470,3)="CTU",LEFT(D470,4)="HDON")</formula>
    </cfRule>
    <cfRule type="expression" dxfId="3458" priority="3459" stopIfTrue="1">
      <formula>OR(LEFT(D470,4)="HOLD",OR(A470="QTNP",A470="HOA THO",A470="YES VINA",A470="HUNG YEN",A470="TEX GIANG",A470="HUNG LONG"),LEFT(A470,5)="HANES",LEFT(A470,3)="ITG")</formula>
    </cfRule>
  </conditionalFormatting>
  <conditionalFormatting sqref="D470">
    <cfRule type="expression" dxfId="3457" priority="3454" stopIfTrue="1">
      <formula>OR(LEFT(D470,4)="KHTT",LEFT(D470,5)="10USD",RIGHT(D470,3)="TTC",LEFT(D470,3)="TNT")</formula>
    </cfRule>
    <cfRule type="expression" dxfId="3456" priority="3455" stopIfTrue="1">
      <formula>OR(LEFT(D470,3)="CTU",LEFT(D470,4)="HDON")</formula>
    </cfRule>
    <cfRule type="expression" dxfId="3455" priority="3456" stopIfTrue="1">
      <formula>OR(LEFT(D470,4)="HOLD",OR(A470="QTNP",A470="HOA THO",A470="YES VINA",A470="HUNG YEN",A470="TEX GIANG",A470="HUNG LONG"),LEFT(A470,5)="HANES",LEFT(A470,3)="ITG")</formula>
    </cfRule>
  </conditionalFormatting>
  <conditionalFormatting sqref="D469">
    <cfRule type="expression" dxfId="3454" priority="3451" stopIfTrue="1">
      <formula>OR(LEFT(D469,4)="KHTT",LEFT(D469,5)="10USD",RIGHT(D469,3)="TTC",LEFT(D469,3)="TNT")</formula>
    </cfRule>
    <cfRule type="expression" dxfId="3453" priority="3452" stopIfTrue="1">
      <formula>OR(LEFT(D469,3)="CTU",LEFT(D469,4)="HDON")</formula>
    </cfRule>
    <cfRule type="expression" dxfId="3452" priority="3453" stopIfTrue="1">
      <formula>OR(LEFT(D469,4)="HOLD",OR(A469="QTNP",A469="HOA THO",A469="YES VINA",A469="HUNG YEN",A469="TEX GIANG",A469="HUNG LONG"),LEFT(A469,5)="HANES",LEFT(A469,3)="ITG")</formula>
    </cfRule>
  </conditionalFormatting>
  <conditionalFormatting sqref="D469">
    <cfRule type="expression" dxfId="3451" priority="3448" stopIfTrue="1">
      <formula>OR(LEFT(D469,4)="KHTT",LEFT(D469,5)="10USD",RIGHT(D469,3)="TTC",LEFT(D469,3)="TNT")</formula>
    </cfRule>
    <cfRule type="expression" dxfId="3450" priority="3449" stopIfTrue="1">
      <formula>OR(LEFT(D469,3)="CTU",LEFT(D469,4)="HDON")</formula>
    </cfRule>
    <cfRule type="expression" dxfId="3449" priority="3450" stopIfTrue="1">
      <formula>OR(LEFT(D469,4)="HOLD",OR(A469="QTNP",A469="HOA THO",A469="YES VINA",A469="HUNG YEN",A469="TEX GIANG",A469="HUNG LONG"),LEFT(A469,5)="HANES",LEFT(A469,3)="ITG")</formula>
    </cfRule>
  </conditionalFormatting>
  <conditionalFormatting sqref="D470">
    <cfRule type="expression" dxfId="3448" priority="3445" stopIfTrue="1">
      <formula>OR(LEFT(D470,4)="KHTT",LEFT(D470,5)="10USD",RIGHT(D470,3)="TTC",LEFT(D470,3)="TNT")</formula>
    </cfRule>
    <cfRule type="expression" dxfId="3447" priority="3446" stopIfTrue="1">
      <formula>OR(LEFT(D470,3)="CTU",LEFT(D470,4)="HDON")</formula>
    </cfRule>
    <cfRule type="expression" dxfId="3446" priority="3447" stopIfTrue="1">
      <formula>OR(LEFT(D470,4)="HOLD",OR(A470="QTNP",A470="HOA THO",A470="YES VINA",A470="HUNG YEN",A470="TEX GIANG",A470="HUNG LONG"),LEFT(A470,5)="HANES",LEFT(A470,3)="ITG")</formula>
    </cfRule>
  </conditionalFormatting>
  <conditionalFormatting sqref="D470">
    <cfRule type="expression" dxfId="3445" priority="3442" stopIfTrue="1">
      <formula>OR(LEFT(D470,4)="KHTT",LEFT(D470,5)="10USD",RIGHT(D470,3)="TTC",LEFT(D470,3)="TNT")</formula>
    </cfRule>
    <cfRule type="expression" dxfId="3444" priority="3443" stopIfTrue="1">
      <formula>OR(LEFT(D470,3)="CTU",LEFT(D470,4)="HDON")</formula>
    </cfRule>
    <cfRule type="expression" dxfId="3443" priority="3444" stopIfTrue="1">
      <formula>OR(LEFT(D470,4)="HOLD",OR(A470="QTNP",A470="HOA THO",A470="YES VINA",A470="HUNG YEN",A470="TEX GIANG",A470="HUNG LONG"),LEFT(A470,5)="HANES",LEFT(A470,3)="ITG")</formula>
    </cfRule>
  </conditionalFormatting>
  <conditionalFormatting sqref="D470">
    <cfRule type="expression" dxfId="3442" priority="3439" stopIfTrue="1">
      <formula>OR(LEFT(D470,4)="KHTT",LEFT(D470,5)="10USD",RIGHT(D470,3)="TTC",LEFT(D470,3)="TNT")</formula>
    </cfRule>
    <cfRule type="expression" dxfId="3441" priority="3440" stopIfTrue="1">
      <formula>OR(LEFT(D470,3)="CTU",LEFT(D470,4)="HDON")</formula>
    </cfRule>
    <cfRule type="expression" dxfId="3440" priority="3441" stopIfTrue="1">
      <formula>OR(LEFT(D470,4)="HOLD",OR(A470="QTNP",A470="HOA THO",A470="YES VINA",A470="HUNG YEN",A470="TEX GIANG",A470="HUNG LONG"),LEFT(A470,5)="HANES",LEFT(A470,3)="ITG")</formula>
    </cfRule>
  </conditionalFormatting>
  <conditionalFormatting sqref="D470">
    <cfRule type="expression" dxfId="3439" priority="3436" stopIfTrue="1">
      <formula>OR(LEFT(D470,4)="KHTT",LEFT(D470,5)="10USD",RIGHT(D470,3)="TTC",LEFT(D470,3)="TNT")</formula>
    </cfRule>
    <cfRule type="expression" dxfId="3438" priority="3437" stopIfTrue="1">
      <formula>OR(LEFT(D470,3)="CTU",LEFT(D470,4)="HDON")</formula>
    </cfRule>
    <cfRule type="expression" dxfId="3437" priority="3438" stopIfTrue="1">
      <formula>OR(LEFT(D470,4)="HOLD",OR(A470="QTNP",A470="HOA THO",A470="YES VINA",A470="HUNG YEN",A470="TEX GIANG",A470="HUNG LONG"),LEFT(A470,5)="HANES",LEFT(A470,3)="ITG")</formula>
    </cfRule>
  </conditionalFormatting>
  <conditionalFormatting sqref="D469">
    <cfRule type="expression" dxfId="3436" priority="3433" stopIfTrue="1">
      <formula>OR(LEFT(D469,4)="KHTT",LEFT(D469,5)="10USD",RIGHT(D469,3)="TTC",LEFT(D469,3)="TNT")</formula>
    </cfRule>
    <cfRule type="expression" dxfId="3435" priority="3434" stopIfTrue="1">
      <formula>OR(LEFT(D469,3)="CTU",LEFT(D469,4)="HDON")</formula>
    </cfRule>
    <cfRule type="expression" dxfId="3434" priority="3435" stopIfTrue="1">
      <formula>OR(LEFT(D469,4)="HOLD",OR(A469="QTNP",A469="HOA THO",A469="YES VINA",A469="HUNG YEN",A469="TEX GIANG",A469="HUNG LONG"),LEFT(A469,5)="HANES",LEFT(A469,3)="ITG")</formula>
    </cfRule>
  </conditionalFormatting>
  <conditionalFormatting sqref="D469">
    <cfRule type="expression" dxfId="3433" priority="3430" stopIfTrue="1">
      <formula>OR(LEFT(D469,4)="KHTT",LEFT(D469,5)="10USD",RIGHT(D469,3)="TTC",LEFT(D469,3)="TNT")</formula>
    </cfRule>
    <cfRule type="expression" dxfId="3432" priority="3431" stopIfTrue="1">
      <formula>OR(LEFT(D469,3)="CTU",LEFT(D469,4)="HDON")</formula>
    </cfRule>
    <cfRule type="expression" dxfId="3431" priority="3432" stopIfTrue="1">
      <formula>OR(LEFT(D469,4)="HOLD",OR(A469="QTNP",A469="HOA THO",A469="YES VINA",A469="HUNG YEN",A469="TEX GIANG",A469="HUNG LONG"),LEFT(A469,5)="HANES",LEFT(A469,3)="ITG")</formula>
    </cfRule>
  </conditionalFormatting>
  <conditionalFormatting sqref="D470">
    <cfRule type="expression" dxfId="3430" priority="3427" stopIfTrue="1">
      <formula>OR(LEFT(D470,4)="KHTT",LEFT(D470,5)="10USD",RIGHT(D470,3)="TTC",LEFT(D470,3)="TNT")</formula>
    </cfRule>
    <cfRule type="expression" dxfId="3429" priority="3428" stopIfTrue="1">
      <formula>OR(LEFT(D470,3)="CTU",LEFT(D470,4)="HDON")</formula>
    </cfRule>
    <cfRule type="expression" dxfId="3428" priority="3429" stopIfTrue="1">
      <formula>OR(LEFT(D470,4)="HOLD",OR(A470="QTNP",A470="HOA THO",A470="YES VINA",A470="HUNG YEN",A470="TEX GIANG",A470="HUNG LONG"),LEFT(A470,5)="HANES",LEFT(A470,3)="ITG")</formula>
    </cfRule>
  </conditionalFormatting>
  <conditionalFormatting sqref="D470">
    <cfRule type="expression" dxfId="3427" priority="3424" stopIfTrue="1">
      <formula>OR(LEFT(D470,4)="KHTT",LEFT(D470,5)="10USD",RIGHT(D470,3)="TTC",LEFT(D470,3)="TNT")</formula>
    </cfRule>
    <cfRule type="expression" dxfId="3426" priority="3425" stopIfTrue="1">
      <formula>OR(LEFT(D470,3)="CTU",LEFT(D470,4)="HDON")</formula>
    </cfRule>
    <cfRule type="expression" dxfId="3425" priority="3426" stopIfTrue="1">
      <formula>OR(LEFT(D470,4)="HOLD",OR(A470="QTNP",A470="HOA THO",A470="YES VINA",A470="HUNG YEN",A470="TEX GIANG",A470="HUNG LONG"),LEFT(A470,5)="HANES",LEFT(A470,3)="ITG")</formula>
    </cfRule>
  </conditionalFormatting>
  <conditionalFormatting sqref="D470">
    <cfRule type="expression" dxfId="3424" priority="3421" stopIfTrue="1">
      <formula>OR(LEFT(D470,4)="KHTT",LEFT(D470,5)="10USD",RIGHT(D470,3)="TTC",LEFT(D470,3)="TNT")</formula>
    </cfRule>
    <cfRule type="expression" dxfId="3423" priority="3422" stopIfTrue="1">
      <formula>OR(LEFT(D470,3)="CTU",LEFT(D470,4)="HDON")</formula>
    </cfRule>
    <cfRule type="expression" dxfId="3422" priority="3423" stopIfTrue="1">
      <formula>OR(LEFT(D470,4)="HOLD",OR(A470="QTNP",A470="HOA THO",A470="YES VINA",A470="HUNG YEN",A470="TEX GIANG",A470="HUNG LONG"),LEFT(A470,5)="HANES",LEFT(A470,3)="ITG")</formula>
    </cfRule>
  </conditionalFormatting>
  <conditionalFormatting sqref="D470">
    <cfRule type="expression" dxfId="3421" priority="3418" stopIfTrue="1">
      <formula>OR(LEFT(D470,4)="KHTT",LEFT(D470,5)="10USD",RIGHT(D470,3)="TTC",LEFT(D470,3)="TNT")</formula>
    </cfRule>
    <cfRule type="expression" dxfId="3420" priority="3419" stopIfTrue="1">
      <formula>OR(LEFT(D470,3)="CTU",LEFT(D470,4)="HDON")</formula>
    </cfRule>
    <cfRule type="expression" dxfId="3419" priority="3420" stopIfTrue="1">
      <formula>OR(LEFT(D470,4)="HOLD",OR(A470="QTNP",A470="HOA THO",A470="YES VINA",A470="HUNG YEN",A470="TEX GIANG",A470="HUNG LONG"),LEFT(A470,5)="HANES",LEFT(A470,3)="ITG")</formula>
    </cfRule>
  </conditionalFormatting>
  <conditionalFormatting sqref="D469">
    <cfRule type="expression" dxfId="3418" priority="3415" stopIfTrue="1">
      <formula>OR(LEFT(D469,4)="KHTT",LEFT(D469,5)="10USD",RIGHT(D469,3)="TTC",LEFT(D469,3)="TNT")</formula>
    </cfRule>
    <cfRule type="expression" dxfId="3417" priority="3416" stopIfTrue="1">
      <formula>OR(LEFT(D469,3)="CTU",LEFT(D469,4)="HDON")</formula>
    </cfRule>
    <cfRule type="expression" dxfId="3416" priority="3417" stopIfTrue="1">
      <formula>OR(LEFT(D469,4)="HOLD",OR(A469="QTNP",A469="HOA THO",A469="YES VINA",A469="HUNG YEN",A469="TEX GIANG",A469="HUNG LONG"),LEFT(A469,5)="HANES",LEFT(A469,3)="ITG")</formula>
    </cfRule>
  </conditionalFormatting>
  <conditionalFormatting sqref="D469">
    <cfRule type="expression" dxfId="3415" priority="3412" stopIfTrue="1">
      <formula>OR(LEFT(D469,4)="KHTT",LEFT(D469,5)="10USD",RIGHT(D469,3)="TTC",LEFT(D469,3)="TNT")</formula>
    </cfRule>
    <cfRule type="expression" dxfId="3414" priority="3413" stopIfTrue="1">
      <formula>OR(LEFT(D469,3)="CTU",LEFT(D469,4)="HDON")</formula>
    </cfRule>
    <cfRule type="expression" dxfId="3413" priority="3414" stopIfTrue="1">
      <formula>OR(LEFT(D469,4)="HOLD",OR(A469="QTNP",A469="HOA THO",A469="YES VINA",A469="HUNG YEN",A469="TEX GIANG",A469="HUNG LONG"),LEFT(A469,5)="HANES",LEFT(A469,3)="ITG")</formula>
    </cfRule>
  </conditionalFormatting>
  <conditionalFormatting sqref="D470">
    <cfRule type="expression" dxfId="3412" priority="3409" stopIfTrue="1">
      <formula>OR(LEFT(D470,4)="KHTT",LEFT(D470,5)="10USD",RIGHT(D470,3)="TTC",LEFT(D470,3)="TNT")</formula>
    </cfRule>
    <cfRule type="expression" dxfId="3411" priority="3410" stopIfTrue="1">
      <formula>OR(LEFT(D470,3)="CTU",LEFT(D470,4)="HDON")</formula>
    </cfRule>
    <cfRule type="expression" dxfId="3410" priority="3411" stopIfTrue="1">
      <formula>OR(LEFT(D470,4)="HOLD",OR(A470="QTNP",A470="HOA THO",A470="YES VINA",A470="HUNG YEN",A470="TEX GIANG",A470="HUNG LONG"),LEFT(A470,5)="HANES",LEFT(A470,3)="ITG")</formula>
    </cfRule>
  </conditionalFormatting>
  <conditionalFormatting sqref="D470">
    <cfRule type="expression" dxfId="3409" priority="3406" stopIfTrue="1">
      <formula>OR(LEFT(D470,4)="KHTT",LEFT(D470,5)="10USD",RIGHT(D470,3)="TTC",LEFT(D470,3)="TNT")</formula>
    </cfRule>
    <cfRule type="expression" dxfId="3408" priority="3407" stopIfTrue="1">
      <formula>OR(LEFT(D470,3)="CTU",LEFT(D470,4)="HDON")</formula>
    </cfRule>
    <cfRule type="expression" dxfId="3407" priority="3408" stopIfTrue="1">
      <formula>OR(LEFT(D470,4)="HOLD",OR(A470="QTNP",A470="HOA THO",A470="YES VINA",A470="HUNG YEN",A470="TEX GIANG",A470="HUNG LONG"),LEFT(A470,5)="HANES",LEFT(A470,3)="ITG")</formula>
    </cfRule>
  </conditionalFormatting>
  <conditionalFormatting sqref="D470">
    <cfRule type="expression" dxfId="3406" priority="3403" stopIfTrue="1">
      <formula>OR(LEFT(D470,4)="KHTT",LEFT(D470,5)="10USD",RIGHT(D470,3)="TTC",LEFT(D470,3)="TNT")</formula>
    </cfRule>
    <cfRule type="expression" dxfId="3405" priority="3404" stopIfTrue="1">
      <formula>OR(LEFT(D470,3)="CTU",LEFT(D470,4)="HDON")</formula>
    </cfRule>
    <cfRule type="expression" dxfId="3404" priority="3405" stopIfTrue="1">
      <formula>OR(LEFT(D470,4)="HOLD",OR(A470="QTNP",A470="HOA THO",A470="YES VINA",A470="HUNG YEN",A470="TEX GIANG",A470="HUNG LONG"),LEFT(A470,5)="HANES",LEFT(A470,3)="ITG")</formula>
    </cfRule>
  </conditionalFormatting>
  <conditionalFormatting sqref="D470">
    <cfRule type="expression" dxfId="3403" priority="3400" stopIfTrue="1">
      <formula>OR(LEFT(D470,4)="KHTT",LEFT(D470,5)="10USD",RIGHT(D470,3)="TTC",LEFT(D470,3)="TNT")</formula>
    </cfRule>
    <cfRule type="expression" dxfId="3402" priority="3401" stopIfTrue="1">
      <formula>OR(LEFT(D470,3)="CTU",LEFT(D470,4)="HDON")</formula>
    </cfRule>
    <cfRule type="expression" dxfId="3401" priority="3402" stopIfTrue="1">
      <formula>OR(LEFT(D470,4)="HOLD",OR(A470="QTNP",A470="HOA THO",A470="YES VINA",A470="HUNG YEN",A470="TEX GIANG",A470="HUNG LONG"),LEFT(A470,5)="HANES",LEFT(A470,3)="ITG")</formula>
    </cfRule>
  </conditionalFormatting>
  <conditionalFormatting sqref="D469">
    <cfRule type="expression" dxfId="3400" priority="3397" stopIfTrue="1">
      <formula>OR(LEFT(D469,4)="KHTT",LEFT(D469,5)="10USD",RIGHT(D469,3)="TTC",LEFT(D469,3)="TNT")</formula>
    </cfRule>
    <cfRule type="expression" dxfId="3399" priority="3398" stopIfTrue="1">
      <formula>OR(LEFT(D469,3)="CTU",LEFT(D469,4)="HDON")</formula>
    </cfRule>
    <cfRule type="expression" dxfId="3398" priority="3399" stopIfTrue="1">
      <formula>OR(LEFT(D469,4)="HOLD",OR(A469="QTNP",A469="HOA THO",A469="YES VINA",A469="HUNG YEN",A469="TEX GIANG",A469="HUNG LONG"),LEFT(A469,5)="HANES",LEFT(A469,3)="ITG")</formula>
    </cfRule>
  </conditionalFormatting>
  <conditionalFormatting sqref="D469">
    <cfRule type="expression" dxfId="3397" priority="3394" stopIfTrue="1">
      <formula>OR(LEFT(D469,4)="KHTT",LEFT(D469,5)="10USD",RIGHT(D469,3)="TTC",LEFT(D469,3)="TNT")</formula>
    </cfRule>
    <cfRule type="expression" dxfId="3396" priority="3395" stopIfTrue="1">
      <formula>OR(LEFT(D469,3)="CTU",LEFT(D469,4)="HDON")</formula>
    </cfRule>
    <cfRule type="expression" dxfId="3395" priority="3396" stopIfTrue="1">
      <formula>OR(LEFT(D469,4)="HOLD",OR(A469="QTNP",A469="HOA THO",A469="YES VINA",A469="HUNG YEN",A469="TEX GIANG",A469="HUNG LONG"),LEFT(A469,5)="HANES",LEFT(A469,3)="ITG")</formula>
    </cfRule>
  </conditionalFormatting>
  <conditionalFormatting sqref="D470">
    <cfRule type="expression" dxfId="3394" priority="3391" stopIfTrue="1">
      <formula>OR(LEFT(D470,4)="KHTT",LEFT(D470,5)="10USD",RIGHT(D470,3)="TTC",LEFT(D470,3)="TNT")</formula>
    </cfRule>
    <cfRule type="expression" dxfId="3393" priority="3392" stopIfTrue="1">
      <formula>OR(LEFT(D470,3)="CTU",LEFT(D470,4)="HDON")</formula>
    </cfRule>
    <cfRule type="expression" dxfId="3392" priority="3393" stopIfTrue="1">
      <formula>OR(LEFT(D470,4)="HOLD",OR(A470="QTNP",A470="HOA THO",A470="YES VINA",A470="HUNG YEN",A470="TEX GIANG",A470="HUNG LONG"),LEFT(A470,5)="HANES",LEFT(A470,3)="ITG")</formula>
    </cfRule>
  </conditionalFormatting>
  <conditionalFormatting sqref="D470">
    <cfRule type="expression" dxfId="3391" priority="3388" stopIfTrue="1">
      <formula>OR(LEFT(D470,4)="KHTT",LEFT(D470,5)="10USD",RIGHT(D470,3)="TTC",LEFT(D470,3)="TNT")</formula>
    </cfRule>
    <cfRule type="expression" dxfId="3390" priority="3389" stopIfTrue="1">
      <formula>OR(LEFT(D470,3)="CTU",LEFT(D470,4)="HDON")</formula>
    </cfRule>
    <cfRule type="expression" dxfId="3389" priority="3390" stopIfTrue="1">
      <formula>OR(LEFT(D470,4)="HOLD",OR(A470="QTNP",A470="HOA THO",A470="YES VINA",A470="HUNG YEN",A470="TEX GIANG",A470="HUNG LONG"),LEFT(A470,5)="HANES",LEFT(A470,3)="ITG")</formula>
    </cfRule>
  </conditionalFormatting>
  <conditionalFormatting sqref="D470">
    <cfRule type="expression" dxfId="3388" priority="3385" stopIfTrue="1">
      <formula>OR(LEFT(D470,4)="KHTT",LEFT(D470,5)="10USD",RIGHT(D470,3)="TTC",LEFT(D470,3)="TNT")</formula>
    </cfRule>
    <cfRule type="expression" dxfId="3387" priority="3386" stopIfTrue="1">
      <formula>OR(LEFT(D470,3)="CTU",LEFT(D470,4)="HDON")</formula>
    </cfRule>
    <cfRule type="expression" dxfId="3386" priority="3387" stopIfTrue="1">
      <formula>OR(LEFT(D470,4)="HOLD",OR(A470="QTNP",A470="HOA THO",A470="YES VINA",A470="HUNG YEN",A470="TEX GIANG",A470="HUNG LONG"),LEFT(A470,5)="HANES",LEFT(A470,3)="ITG")</formula>
    </cfRule>
  </conditionalFormatting>
  <conditionalFormatting sqref="D470">
    <cfRule type="expression" dxfId="3385" priority="3382" stopIfTrue="1">
      <formula>OR(LEFT(D470,4)="KHTT",LEFT(D470,5)="10USD",RIGHT(D470,3)="TTC",LEFT(D470,3)="TNT")</formula>
    </cfRule>
    <cfRule type="expression" dxfId="3384" priority="3383" stopIfTrue="1">
      <formula>OR(LEFT(D470,3)="CTU",LEFT(D470,4)="HDON")</formula>
    </cfRule>
    <cfRule type="expression" dxfId="3383" priority="3384" stopIfTrue="1">
      <formula>OR(LEFT(D470,4)="HOLD",OR(A470="QTNP",A470="HOA THO",A470="YES VINA",A470="HUNG YEN",A470="TEX GIANG",A470="HUNG LONG"),LEFT(A470,5)="HANES",LEFT(A470,3)="ITG")</formula>
    </cfRule>
  </conditionalFormatting>
  <conditionalFormatting sqref="D469">
    <cfRule type="expression" dxfId="3382" priority="3379" stopIfTrue="1">
      <formula>OR(LEFT(D469,4)="KHTT",LEFT(D469,5)="10USD",RIGHT(D469,3)="TTC",LEFT(D469,3)="TNT")</formula>
    </cfRule>
    <cfRule type="expression" dxfId="3381" priority="3380" stopIfTrue="1">
      <formula>OR(LEFT(D469,3)="CTU",LEFT(D469,4)="HDON")</formula>
    </cfRule>
    <cfRule type="expression" dxfId="3380" priority="3381" stopIfTrue="1">
      <formula>OR(LEFT(D469,4)="HOLD",OR(A469="QTNP",A469="HOA THO",A469="YES VINA",A469="HUNG YEN",A469="TEX GIANG",A469="HUNG LONG"),LEFT(A469,5)="HANES",LEFT(A469,3)="ITG")</formula>
    </cfRule>
  </conditionalFormatting>
  <conditionalFormatting sqref="D469">
    <cfRule type="expression" dxfId="3379" priority="3376" stopIfTrue="1">
      <formula>OR(LEFT(D469,4)="KHTT",LEFT(D469,5)="10USD",RIGHT(D469,3)="TTC",LEFT(D469,3)="TNT")</formula>
    </cfRule>
    <cfRule type="expression" dxfId="3378" priority="3377" stopIfTrue="1">
      <formula>OR(LEFT(D469,3)="CTU",LEFT(D469,4)="HDON")</formula>
    </cfRule>
    <cfRule type="expression" dxfId="3377" priority="3378" stopIfTrue="1">
      <formula>OR(LEFT(D469,4)="HOLD",OR(A469="QTNP",A469="HOA THO",A469="YES VINA",A469="HUNG YEN",A469="TEX GIANG",A469="HUNG LONG"),LEFT(A469,5)="HANES",LEFT(A469,3)="ITG")</formula>
    </cfRule>
  </conditionalFormatting>
  <conditionalFormatting sqref="D470">
    <cfRule type="expression" dxfId="3376" priority="3373" stopIfTrue="1">
      <formula>OR(LEFT(D470,4)="KHTT",LEFT(D470,5)="10USD",RIGHT(D470,3)="TTC",LEFT(D470,3)="TNT")</formula>
    </cfRule>
    <cfRule type="expression" dxfId="3375" priority="3374" stopIfTrue="1">
      <formula>OR(LEFT(D470,3)="CTU",LEFT(D470,4)="HDON")</formula>
    </cfRule>
    <cfRule type="expression" dxfId="3374" priority="3375" stopIfTrue="1">
      <formula>OR(LEFT(D470,4)="HOLD",OR(A470="QTNP",A470="HOA THO",A470="YES VINA",A470="HUNG YEN",A470="TEX GIANG",A470="HUNG LONG"),LEFT(A470,5)="HANES",LEFT(A470,3)="ITG")</formula>
    </cfRule>
  </conditionalFormatting>
  <conditionalFormatting sqref="D470">
    <cfRule type="expression" dxfId="3373" priority="3370" stopIfTrue="1">
      <formula>OR(LEFT(D470,4)="KHTT",LEFT(D470,5)="10USD",RIGHT(D470,3)="TTC",LEFT(D470,3)="TNT")</formula>
    </cfRule>
    <cfRule type="expression" dxfId="3372" priority="3371" stopIfTrue="1">
      <formula>OR(LEFT(D470,3)="CTU",LEFT(D470,4)="HDON")</formula>
    </cfRule>
    <cfRule type="expression" dxfId="3371" priority="3372" stopIfTrue="1">
      <formula>OR(LEFT(D470,4)="HOLD",OR(A470="QTNP",A470="HOA THO",A470="YES VINA",A470="HUNG YEN",A470="TEX GIANG",A470="HUNG LONG"),LEFT(A470,5)="HANES",LEFT(A470,3)="ITG")</formula>
    </cfRule>
  </conditionalFormatting>
  <conditionalFormatting sqref="D470">
    <cfRule type="expression" dxfId="3370" priority="3367" stopIfTrue="1">
      <formula>OR(LEFT(D470,4)="KHTT",LEFT(D470,5)="10USD",RIGHT(D470,3)="TTC",LEFT(D470,3)="TNT")</formula>
    </cfRule>
    <cfRule type="expression" dxfId="3369" priority="3368" stopIfTrue="1">
      <formula>OR(LEFT(D470,3)="CTU",LEFT(D470,4)="HDON")</formula>
    </cfRule>
    <cfRule type="expression" dxfId="3368" priority="3369" stopIfTrue="1">
      <formula>OR(LEFT(D470,4)="HOLD",OR(A470="QTNP",A470="HOA THO",A470="YES VINA",A470="HUNG YEN",A470="TEX GIANG",A470="HUNG LONG"),LEFT(A470,5)="HANES",LEFT(A470,3)="ITG")</formula>
    </cfRule>
  </conditionalFormatting>
  <conditionalFormatting sqref="D470">
    <cfRule type="expression" dxfId="3367" priority="3364" stopIfTrue="1">
      <formula>OR(LEFT(D470,4)="KHTT",LEFT(D470,5)="10USD",RIGHT(D470,3)="TTC",LEFT(D470,3)="TNT")</formula>
    </cfRule>
    <cfRule type="expression" dxfId="3366" priority="3365" stopIfTrue="1">
      <formula>OR(LEFT(D470,3)="CTU",LEFT(D470,4)="HDON")</formula>
    </cfRule>
    <cfRule type="expression" dxfId="3365" priority="3366" stopIfTrue="1">
      <formula>OR(LEFT(D470,4)="HOLD",OR(A470="QTNP",A470="HOA THO",A470="YES VINA",A470="HUNG YEN",A470="TEX GIANG",A470="HUNG LONG"),LEFT(A470,5)="HANES",LEFT(A470,3)="ITG")</formula>
    </cfRule>
  </conditionalFormatting>
  <conditionalFormatting sqref="D469">
    <cfRule type="expression" dxfId="3364" priority="3361" stopIfTrue="1">
      <formula>OR(LEFT(D469,4)="KHTT",LEFT(D469,5)="10USD",RIGHT(D469,3)="TTC",LEFT(D469,3)="TNT")</formula>
    </cfRule>
    <cfRule type="expression" dxfId="3363" priority="3362" stopIfTrue="1">
      <formula>OR(LEFT(D469,3)="CTU",LEFT(D469,4)="HDON")</formula>
    </cfRule>
    <cfRule type="expression" dxfId="3362" priority="3363" stopIfTrue="1">
      <formula>OR(LEFT(D469,4)="HOLD",OR(A469="QTNP",A469="HOA THO",A469="YES VINA",A469="HUNG YEN",A469="TEX GIANG",A469="HUNG LONG"),LEFT(A469,5)="HANES",LEFT(A469,3)="ITG")</formula>
    </cfRule>
  </conditionalFormatting>
  <conditionalFormatting sqref="D469">
    <cfRule type="expression" dxfId="3361" priority="3358" stopIfTrue="1">
      <formula>OR(LEFT(D469,4)="KHTT",LEFT(D469,5)="10USD",RIGHT(D469,3)="TTC",LEFT(D469,3)="TNT")</formula>
    </cfRule>
    <cfRule type="expression" dxfId="3360" priority="3359" stopIfTrue="1">
      <formula>OR(LEFT(D469,3)="CTU",LEFT(D469,4)="HDON")</formula>
    </cfRule>
    <cfRule type="expression" dxfId="3359" priority="3360" stopIfTrue="1">
      <formula>OR(LEFT(D469,4)="HOLD",OR(A469="QTNP",A469="HOA THO",A469="YES VINA",A469="HUNG YEN",A469="TEX GIANG",A469="HUNG LONG"),LEFT(A469,5)="HANES",LEFT(A469,3)="ITG")</formula>
    </cfRule>
  </conditionalFormatting>
  <conditionalFormatting sqref="D470">
    <cfRule type="expression" dxfId="3358" priority="3355" stopIfTrue="1">
      <formula>OR(LEFT(D470,4)="KHTT",LEFT(D470,5)="10USD",RIGHT(D470,3)="TTC",LEFT(D470,3)="TNT")</formula>
    </cfRule>
    <cfRule type="expression" dxfId="3357" priority="3356" stopIfTrue="1">
      <formula>OR(LEFT(D470,3)="CTU",LEFT(D470,4)="HDON")</formula>
    </cfRule>
    <cfRule type="expression" dxfId="3356" priority="3357" stopIfTrue="1">
      <formula>OR(LEFT(D470,4)="HOLD",OR(A470="QTNP",A470="HOA THO",A470="YES VINA",A470="HUNG YEN",A470="TEX GIANG",A470="HUNG LONG"),LEFT(A470,5)="HANES",LEFT(A470,3)="ITG")</formula>
    </cfRule>
  </conditionalFormatting>
  <conditionalFormatting sqref="D470">
    <cfRule type="expression" dxfId="3355" priority="3352" stopIfTrue="1">
      <formula>OR(LEFT(D470,4)="KHTT",LEFT(D470,5)="10USD",RIGHT(D470,3)="TTC",LEFT(D470,3)="TNT")</formula>
    </cfRule>
    <cfRule type="expression" dxfId="3354" priority="3353" stopIfTrue="1">
      <formula>OR(LEFT(D470,3)="CTU",LEFT(D470,4)="HDON")</formula>
    </cfRule>
    <cfRule type="expression" dxfId="3353" priority="3354" stopIfTrue="1">
      <formula>OR(LEFT(D470,4)="HOLD",OR(A470="QTNP",A470="HOA THO",A470="YES VINA",A470="HUNG YEN",A470="TEX GIANG",A470="HUNG LONG"),LEFT(A470,5)="HANES",LEFT(A470,3)="ITG")</formula>
    </cfRule>
  </conditionalFormatting>
  <conditionalFormatting sqref="D470">
    <cfRule type="expression" dxfId="3352" priority="3349" stopIfTrue="1">
      <formula>OR(LEFT(D470,4)="KHTT",LEFT(D470,5)="10USD",RIGHT(D470,3)="TTC",LEFT(D470,3)="TNT")</formula>
    </cfRule>
    <cfRule type="expression" dxfId="3351" priority="3350" stopIfTrue="1">
      <formula>OR(LEFT(D470,3)="CTU",LEFT(D470,4)="HDON")</formula>
    </cfRule>
    <cfRule type="expression" dxfId="3350" priority="3351" stopIfTrue="1">
      <formula>OR(LEFT(D470,4)="HOLD",OR(A470="QTNP",A470="HOA THO",A470="YES VINA",A470="HUNG YEN",A470="TEX GIANG",A470="HUNG LONG"),LEFT(A470,5)="HANES",LEFT(A470,3)="ITG")</formula>
    </cfRule>
  </conditionalFormatting>
  <conditionalFormatting sqref="D470">
    <cfRule type="expression" dxfId="3349" priority="3346" stopIfTrue="1">
      <formula>OR(LEFT(D470,4)="KHTT",LEFT(D470,5)="10USD",RIGHT(D470,3)="TTC",LEFT(D470,3)="TNT")</formula>
    </cfRule>
    <cfRule type="expression" dxfId="3348" priority="3347" stopIfTrue="1">
      <formula>OR(LEFT(D470,3)="CTU",LEFT(D470,4)="HDON")</formula>
    </cfRule>
    <cfRule type="expression" dxfId="3347" priority="3348" stopIfTrue="1">
      <formula>OR(LEFT(D470,4)="HOLD",OR(A470="QTNP",A470="HOA THO",A470="YES VINA",A470="HUNG YEN",A470="TEX GIANG",A470="HUNG LONG"),LEFT(A470,5)="HANES",LEFT(A470,3)="ITG")</formula>
    </cfRule>
  </conditionalFormatting>
  <conditionalFormatting sqref="D469">
    <cfRule type="expression" dxfId="3346" priority="3343" stopIfTrue="1">
      <formula>OR(LEFT(D469,4)="KHTT",LEFT(D469,5)="10USD",RIGHT(D469,3)="TTC",LEFT(D469,3)="TNT")</formula>
    </cfRule>
    <cfRule type="expression" dxfId="3345" priority="3344" stopIfTrue="1">
      <formula>OR(LEFT(D469,3)="CTU",LEFT(D469,4)="HDON")</formula>
    </cfRule>
    <cfRule type="expression" dxfId="3344" priority="3345" stopIfTrue="1">
      <formula>OR(LEFT(D469,4)="HOLD",OR(A469="QTNP",A469="HOA THO",A469="YES VINA",A469="HUNG YEN",A469="TEX GIANG",A469="HUNG LONG"),LEFT(A469,5)="HANES",LEFT(A469,3)="ITG")</formula>
    </cfRule>
  </conditionalFormatting>
  <conditionalFormatting sqref="D469">
    <cfRule type="expression" dxfId="3343" priority="3340" stopIfTrue="1">
      <formula>OR(LEFT(D469,4)="KHTT",LEFT(D469,5)="10USD",RIGHT(D469,3)="TTC",LEFT(D469,3)="TNT")</formula>
    </cfRule>
    <cfRule type="expression" dxfId="3342" priority="3341" stopIfTrue="1">
      <formula>OR(LEFT(D469,3)="CTU",LEFT(D469,4)="HDON")</formula>
    </cfRule>
    <cfRule type="expression" dxfId="3341" priority="3342" stopIfTrue="1">
      <formula>OR(LEFT(D469,4)="HOLD",OR(A469="QTNP",A469="HOA THO",A469="YES VINA",A469="HUNG YEN",A469="TEX GIANG",A469="HUNG LONG"),LEFT(A469,5)="HANES",LEFT(A469,3)="ITG")</formula>
    </cfRule>
  </conditionalFormatting>
  <conditionalFormatting sqref="D470">
    <cfRule type="expression" dxfId="3340" priority="3337" stopIfTrue="1">
      <formula>OR(LEFT(D470,4)="KHTT",LEFT(D470,5)="10USD",RIGHT(D470,3)="TTC",LEFT(D470,3)="TNT")</formula>
    </cfRule>
    <cfRule type="expression" dxfId="3339" priority="3338" stopIfTrue="1">
      <formula>OR(LEFT(D470,3)="CTU",LEFT(D470,4)="HDON")</formula>
    </cfRule>
    <cfRule type="expression" dxfId="3338" priority="3339" stopIfTrue="1">
      <formula>OR(LEFT(D470,4)="HOLD",OR(A470="QTNP",A470="HOA THO",A470="YES VINA",A470="HUNG YEN",A470="TEX GIANG",A470="HUNG LONG"),LEFT(A470,5)="HANES",LEFT(A470,3)="ITG")</formula>
    </cfRule>
  </conditionalFormatting>
  <conditionalFormatting sqref="D470">
    <cfRule type="expression" dxfId="3337" priority="3334" stopIfTrue="1">
      <formula>OR(LEFT(D470,4)="KHTT",LEFT(D470,5)="10USD",RIGHT(D470,3)="TTC",LEFT(D470,3)="TNT")</formula>
    </cfRule>
    <cfRule type="expression" dxfId="3336" priority="3335" stopIfTrue="1">
      <formula>OR(LEFT(D470,3)="CTU",LEFT(D470,4)="HDON")</formula>
    </cfRule>
    <cfRule type="expression" dxfId="3335" priority="3336" stopIfTrue="1">
      <formula>OR(LEFT(D470,4)="HOLD",OR(A470="QTNP",A470="HOA THO",A470="YES VINA",A470="HUNG YEN",A470="TEX GIANG",A470="HUNG LONG"),LEFT(A470,5)="HANES",LEFT(A470,3)="ITG")</formula>
    </cfRule>
  </conditionalFormatting>
  <conditionalFormatting sqref="D470">
    <cfRule type="expression" dxfId="3334" priority="3331" stopIfTrue="1">
      <formula>OR(LEFT(D470,4)="KHTT",LEFT(D470,5)="10USD",RIGHT(D470,3)="TTC",LEFT(D470,3)="TNT")</formula>
    </cfRule>
    <cfRule type="expression" dxfId="3333" priority="3332" stopIfTrue="1">
      <formula>OR(LEFT(D470,3)="CTU",LEFT(D470,4)="HDON")</formula>
    </cfRule>
    <cfRule type="expression" dxfId="3332" priority="3333" stopIfTrue="1">
      <formula>OR(LEFT(D470,4)="HOLD",OR(A470="QTNP",A470="HOA THO",A470="YES VINA",A470="HUNG YEN",A470="TEX GIANG",A470="HUNG LONG"),LEFT(A470,5)="HANES",LEFT(A470,3)="ITG")</formula>
    </cfRule>
  </conditionalFormatting>
  <conditionalFormatting sqref="D470">
    <cfRule type="expression" dxfId="3331" priority="3328" stopIfTrue="1">
      <formula>OR(LEFT(D470,4)="KHTT",LEFT(D470,5)="10USD",RIGHT(D470,3)="TTC",LEFT(D470,3)="TNT")</formula>
    </cfRule>
    <cfRule type="expression" dxfId="3330" priority="3329" stopIfTrue="1">
      <formula>OR(LEFT(D470,3)="CTU",LEFT(D470,4)="HDON")</formula>
    </cfRule>
    <cfRule type="expression" dxfId="3329" priority="3330" stopIfTrue="1">
      <formula>OR(LEFT(D470,4)="HOLD",OR(A470="QTNP",A470="HOA THO",A470="YES VINA",A470="HUNG YEN",A470="TEX GIANG",A470="HUNG LONG"),LEFT(A470,5)="HANES",LEFT(A470,3)="ITG")</formula>
    </cfRule>
  </conditionalFormatting>
  <conditionalFormatting sqref="D469">
    <cfRule type="expression" dxfId="3328" priority="3325" stopIfTrue="1">
      <formula>OR(LEFT(D469,4)="KHTT",LEFT(D469,5)="10USD",RIGHT(D469,3)="TTC",LEFT(D469,3)="TNT")</formula>
    </cfRule>
    <cfRule type="expression" dxfId="3327" priority="3326" stopIfTrue="1">
      <formula>OR(LEFT(D469,3)="CTU",LEFT(D469,4)="HDON")</formula>
    </cfRule>
    <cfRule type="expression" dxfId="3326" priority="3327" stopIfTrue="1">
      <formula>OR(LEFT(D469,4)="HOLD",OR(A469="QTNP",A469="HOA THO",A469="YES VINA",A469="HUNG YEN",A469="TEX GIANG",A469="HUNG LONG"),LEFT(A469,5)="HANES",LEFT(A469,3)="ITG")</formula>
    </cfRule>
  </conditionalFormatting>
  <conditionalFormatting sqref="D469">
    <cfRule type="expression" dxfId="3325" priority="3322" stopIfTrue="1">
      <formula>OR(LEFT(D469,4)="KHTT",LEFT(D469,5)="10USD",RIGHT(D469,3)="TTC",LEFT(D469,3)="TNT")</formula>
    </cfRule>
    <cfRule type="expression" dxfId="3324" priority="3323" stopIfTrue="1">
      <formula>OR(LEFT(D469,3)="CTU",LEFT(D469,4)="HDON")</formula>
    </cfRule>
    <cfRule type="expression" dxfId="3323" priority="3324" stopIfTrue="1">
      <formula>OR(LEFT(D469,4)="HOLD",OR(A469="QTNP",A469="HOA THO",A469="YES VINA",A469="HUNG YEN",A469="TEX GIANG",A469="HUNG LONG"),LEFT(A469,5)="HANES",LEFT(A469,3)="ITG")</formula>
    </cfRule>
  </conditionalFormatting>
  <conditionalFormatting sqref="D470">
    <cfRule type="expression" dxfId="3322" priority="3319" stopIfTrue="1">
      <formula>OR(LEFT(D470,4)="KHTT",LEFT(D470,5)="10USD",RIGHT(D470,3)="TTC",LEFT(D470,3)="TNT")</formula>
    </cfRule>
    <cfRule type="expression" dxfId="3321" priority="3320" stopIfTrue="1">
      <formula>OR(LEFT(D470,3)="CTU",LEFT(D470,4)="HDON")</formula>
    </cfRule>
    <cfRule type="expression" dxfId="3320" priority="3321" stopIfTrue="1">
      <formula>OR(LEFT(D470,4)="HOLD",OR(A470="QTNP",A470="HOA THO",A470="YES VINA",A470="HUNG YEN",A470="TEX GIANG",A470="HUNG LONG"),LEFT(A470,5)="HANES",LEFT(A470,3)="ITG")</formula>
    </cfRule>
  </conditionalFormatting>
  <conditionalFormatting sqref="D470">
    <cfRule type="expression" dxfId="3319" priority="3316" stopIfTrue="1">
      <formula>OR(LEFT(D470,4)="KHTT",LEFT(D470,5)="10USD",RIGHT(D470,3)="TTC",LEFT(D470,3)="TNT")</formula>
    </cfRule>
    <cfRule type="expression" dxfId="3318" priority="3317" stopIfTrue="1">
      <formula>OR(LEFT(D470,3)="CTU",LEFT(D470,4)="HDON")</formula>
    </cfRule>
    <cfRule type="expression" dxfId="3317" priority="3318" stopIfTrue="1">
      <formula>OR(LEFT(D470,4)="HOLD",OR(A470="QTNP",A470="HOA THO",A470="YES VINA",A470="HUNG YEN",A470="TEX GIANG",A470="HUNG LONG"),LEFT(A470,5)="HANES",LEFT(A470,3)="ITG")</formula>
    </cfRule>
  </conditionalFormatting>
  <conditionalFormatting sqref="D470">
    <cfRule type="expression" dxfId="3316" priority="3313" stopIfTrue="1">
      <formula>OR(LEFT(D470,4)="KHTT",LEFT(D470,5)="10USD",RIGHT(D470,3)="TTC",LEFT(D470,3)="TNT")</formula>
    </cfRule>
    <cfRule type="expression" dxfId="3315" priority="3314" stopIfTrue="1">
      <formula>OR(LEFT(D470,3)="CTU",LEFT(D470,4)="HDON")</formula>
    </cfRule>
    <cfRule type="expression" dxfId="3314" priority="3315" stopIfTrue="1">
      <formula>OR(LEFT(D470,4)="HOLD",OR(A470="QTNP",A470="HOA THO",A470="YES VINA",A470="HUNG YEN",A470="TEX GIANG",A470="HUNG LONG"),LEFT(A470,5)="HANES",LEFT(A470,3)="ITG")</formula>
    </cfRule>
  </conditionalFormatting>
  <conditionalFormatting sqref="D470">
    <cfRule type="expression" dxfId="3313" priority="3310" stopIfTrue="1">
      <formula>OR(LEFT(D470,4)="KHTT",LEFT(D470,5)="10USD",RIGHT(D470,3)="TTC",LEFT(D470,3)="TNT")</formula>
    </cfRule>
    <cfRule type="expression" dxfId="3312" priority="3311" stopIfTrue="1">
      <formula>OR(LEFT(D470,3)="CTU",LEFT(D470,4)="HDON")</formula>
    </cfRule>
    <cfRule type="expression" dxfId="3311" priority="3312" stopIfTrue="1">
      <formula>OR(LEFT(D470,4)="HOLD",OR(A470="QTNP",A470="HOA THO",A470="YES VINA",A470="HUNG YEN",A470="TEX GIANG",A470="HUNG LONG"),LEFT(A470,5)="HANES",LEFT(A470,3)="ITG")</formula>
    </cfRule>
  </conditionalFormatting>
  <conditionalFormatting sqref="D469">
    <cfRule type="expression" dxfId="3310" priority="3307" stopIfTrue="1">
      <formula>OR(LEFT(D469,4)="KHTT",LEFT(D469,5)="10USD",RIGHT(D469,3)="TTC",LEFT(D469,3)="TNT")</formula>
    </cfRule>
    <cfRule type="expression" dxfId="3309" priority="3308" stopIfTrue="1">
      <formula>OR(LEFT(D469,3)="CTU",LEFT(D469,4)="HDON")</formula>
    </cfRule>
    <cfRule type="expression" dxfId="3308" priority="3309" stopIfTrue="1">
      <formula>OR(LEFT(D469,4)="HOLD",OR(A469="QTNP",A469="HOA THO",A469="YES VINA",A469="HUNG YEN",A469="TEX GIANG",A469="HUNG LONG"),LEFT(A469,5)="HANES",LEFT(A469,3)="ITG")</formula>
    </cfRule>
  </conditionalFormatting>
  <conditionalFormatting sqref="D469">
    <cfRule type="expression" dxfId="3307" priority="3304" stopIfTrue="1">
      <formula>OR(LEFT(D469,4)="KHTT",LEFT(D469,5)="10USD",RIGHT(D469,3)="TTC",LEFT(D469,3)="TNT")</formula>
    </cfRule>
    <cfRule type="expression" dxfId="3306" priority="3305" stopIfTrue="1">
      <formula>OR(LEFT(D469,3)="CTU",LEFT(D469,4)="HDON")</formula>
    </cfRule>
    <cfRule type="expression" dxfId="3305" priority="3306" stopIfTrue="1">
      <formula>OR(LEFT(D469,4)="HOLD",OR(A469="QTNP",A469="HOA THO",A469="YES VINA",A469="HUNG YEN",A469="TEX GIANG",A469="HUNG LONG"),LEFT(A469,5)="HANES",LEFT(A469,3)="ITG")</formula>
    </cfRule>
  </conditionalFormatting>
  <conditionalFormatting sqref="D470">
    <cfRule type="expression" dxfId="3304" priority="3301" stopIfTrue="1">
      <formula>OR(LEFT(D470,4)="KHTT",LEFT(D470,5)="10USD",RIGHT(D470,3)="TTC",LEFT(D470,3)="TNT")</formula>
    </cfRule>
    <cfRule type="expression" dxfId="3303" priority="3302" stopIfTrue="1">
      <formula>OR(LEFT(D470,3)="CTU",LEFT(D470,4)="HDON")</formula>
    </cfRule>
    <cfRule type="expression" dxfId="3302" priority="3303" stopIfTrue="1">
      <formula>OR(LEFT(D470,4)="HOLD",OR(A470="QTNP",A470="HOA THO",A470="YES VINA",A470="HUNG YEN",A470="TEX GIANG",A470="HUNG LONG"),LEFT(A470,5)="HANES",LEFT(A470,3)="ITG")</formula>
    </cfRule>
  </conditionalFormatting>
  <conditionalFormatting sqref="D470">
    <cfRule type="expression" dxfId="3301" priority="3298" stopIfTrue="1">
      <formula>OR(LEFT(D470,4)="KHTT",LEFT(D470,5)="10USD",RIGHT(D470,3)="TTC",LEFT(D470,3)="TNT")</formula>
    </cfRule>
    <cfRule type="expression" dxfId="3300" priority="3299" stopIfTrue="1">
      <formula>OR(LEFT(D470,3)="CTU",LEFT(D470,4)="HDON")</formula>
    </cfRule>
    <cfRule type="expression" dxfId="3299" priority="3300" stopIfTrue="1">
      <formula>OR(LEFT(D470,4)="HOLD",OR(A470="QTNP",A470="HOA THO",A470="YES VINA",A470="HUNG YEN",A470="TEX GIANG",A470="HUNG LONG"),LEFT(A470,5)="HANES",LEFT(A470,3)="ITG")</formula>
    </cfRule>
  </conditionalFormatting>
  <conditionalFormatting sqref="D470">
    <cfRule type="expression" dxfId="3298" priority="3295" stopIfTrue="1">
      <formula>OR(LEFT(D470,4)="KHTT",LEFT(D470,5)="10USD",RIGHT(D470,3)="TTC",LEFT(D470,3)="TNT")</formula>
    </cfRule>
    <cfRule type="expression" dxfId="3297" priority="3296" stopIfTrue="1">
      <formula>OR(LEFT(D470,3)="CTU",LEFT(D470,4)="HDON")</formula>
    </cfRule>
    <cfRule type="expression" dxfId="3296" priority="3297" stopIfTrue="1">
      <formula>OR(LEFT(D470,4)="HOLD",OR(A470="QTNP",A470="HOA THO",A470="YES VINA",A470="HUNG YEN",A470="TEX GIANG",A470="HUNG LONG"),LEFT(A470,5)="HANES",LEFT(A470,3)="ITG")</formula>
    </cfRule>
  </conditionalFormatting>
  <conditionalFormatting sqref="D470">
    <cfRule type="expression" dxfId="3295" priority="3292" stopIfTrue="1">
      <formula>OR(LEFT(D470,4)="KHTT",LEFT(D470,5)="10USD",RIGHT(D470,3)="TTC",LEFT(D470,3)="TNT")</formula>
    </cfRule>
    <cfRule type="expression" dxfId="3294" priority="3293" stopIfTrue="1">
      <formula>OR(LEFT(D470,3)="CTU",LEFT(D470,4)="HDON")</formula>
    </cfRule>
    <cfRule type="expression" dxfId="3293" priority="3294" stopIfTrue="1">
      <formula>OR(LEFT(D470,4)="HOLD",OR(A470="QTNP",A470="HOA THO",A470="YES VINA",A470="HUNG YEN",A470="TEX GIANG",A470="HUNG LONG"),LEFT(A470,5)="HANES",LEFT(A470,3)="ITG")</formula>
    </cfRule>
  </conditionalFormatting>
  <conditionalFormatting sqref="D469">
    <cfRule type="expression" dxfId="3292" priority="3289" stopIfTrue="1">
      <formula>OR(LEFT(D469,4)="KHTT",LEFT(D469,5)="10USD",RIGHT(D469,3)="TTC",LEFT(D469,3)="TNT")</formula>
    </cfRule>
    <cfRule type="expression" dxfId="3291" priority="3290" stopIfTrue="1">
      <formula>OR(LEFT(D469,3)="CTU",LEFT(D469,4)="HDON")</formula>
    </cfRule>
    <cfRule type="expression" dxfId="3290" priority="3291" stopIfTrue="1">
      <formula>OR(LEFT(D469,4)="HOLD",OR(A469="QTNP",A469="HOA THO",A469="YES VINA",A469="HUNG YEN",A469="TEX GIANG",A469="HUNG LONG"),LEFT(A469,5)="HANES",LEFT(A469,3)="ITG")</formula>
    </cfRule>
  </conditionalFormatting>
  <conditionalFormatting sqref="D469">
    <cfRule type="expression" dxfId="3289" priority="3286" stopIfTrue="1">
      <formula>OR(LEFT(D469,4)="KHTT",LEFT(D469,5)="10USD",RIGHT(D469,3)="TTC",LEFT(D469,3)="TNT")</formula>
    </cfRule>
    <cfRule type="expression" dxfId="3288" priority="3287" stopIfTrue="1">
      <formula>OR(LEFT(D469,3)="CTU",LEFT(D469,4)="HDON")</formula>
    </cfRule>
    <cfRule type="expression" dxfId="3287" priority="3288" stopIfTrue="1">
      <formula>OR(LEFT(D469,4)="HOLD",OR(A469="QTNP",A469="HOA THO",A469="YES VINA",A469="HUNG YEN",A469="TEX GIANG",A469="HUNG LONG"),LEFT(A469,5)="HANES",LEFT(A469,3)="ITG")</formula>
    </cfRule>
  </conditionalFormatting>
  <conditionalFormatting sqref="D470">
    <cfRule type="expression" dxfId="3286" priority="3283" stopIfTrue="1">
      <formula>OR(LEFT(D470,4)="KHTT",LEFT(D470,5)="10USD",RIGHT(D470,3)="TTC",LEFT(D470,3)="TNT")</formula>
    </cfRule>
    <cfRule type="expression" dxfId="3285" priority="3284" stopIfTrue="1">
      <formula>OR(LEFT(D470,3)="CTU",LEFT(D470,4)="HDON")</formula>
    </cfRule>
    <cfRule type="expression" dxfId="3284" priority="3285" stopIfTrue="1">
      <formula>OR(LEFT(D470,4)="HOLD",OR(A470="QTNP",A470="HOA THO",A470="YES VINA",A470="HUNG YEN",A470="TEX GIANG",A470="HUNG LONG"),LEFT(A470,5)="HANES",LEFT(A470,3)="ITG")</formula>
    </cfRule>
  </conditionalFormatting>
  <conditionalFormatting sqref="D470">
    <cfRule type="expression" dxfId="3283" priority="3280" stopIfTrue="1">
      <formula>OR(LEFT(D470,4)="KHTT",LEFT(D470,5)="10USD",RIGHT(D470,3)="TTC",LEFT(D470,3)="TNT")</formula>
    </cfRule>
    <cfRule type="expression" dxfId="3282" priority="3281" stopIfTrue="1">
      <formula>OR(LEFT(D470,3)="CTU",LEFT(D470,4)="HDON")</formula>
    </cfRule>
    <cfRule type="expression" dxfId="3281" priority="3282" stopIfTrue="1">
      <formula>OR(LEFT(D470,4)="HOLD",OR(A470="QTNP",A470="HOA THO",A470="YES VINA",A470="HUNG YEN",A470="TEX GIANG",A470="HUNG LONG"),LEFT(A470,5)="HANES",LEFT(A470,3)="ITG")</formula>
    </cfRule>
  </conditionalFormatting>
  <conditionalFormatting sqref="D470">
    <cfRule type="expression" dxfId="3280" priority="3277" stopIfTrue="1">
      <formula>OR(LEFT(D470,4)="KHTT",LEFT(D470,5)="10USD",RIGHT(D470,3)="TTC",LEFT(D470,3)="TNT")</formula>
    </cfRule>
    <cfRule type="expression" dxfId="3279" priority="3278" stopIfTrue="1">
      <formula>OR(LEFT(D470,3)="CTU",LEFT(D470,4)="HDON")</formula>
    </cfRule>
    <cfRule type="expression" dxfId="3278" priority="3279" stopIfTrue="1">
      <formula>OR(LEFT(D470,4)="HOLD",OR(A470="QTNP",A470="HOA THO",A470="YES VINA",A470="HUNG YEN",A470="TEX GIANG",A470="HUNG LONG"),LEFT(A470,5)="HANES",LEFT(A470,3)="ITG")</formula>
    </cfRule>
  </conditionalFormatting>
  <conditionalFormatting sqref="D470">
    <cfRule type="expression" dxfId="3277" priority="3274" stopIfTrue="1">
      <formula>OR(LEFT(D470,4)="KHTT",LEFT(D470,5)="10USD",RIGHT(D470,3)="TTC",LEFT(D470,3)="TNT")</formula>
    </cfRule>
    <cfRule type="expression" dxfId="3276" priority="3275" stopIfTrue="1">
      <formula>OR(LEFT(D470,3)="CTU",LEFT(D470,4)="HDON")</formula>
    </cfRule>
    <cfRule type="expression" dxfId="3275" priority="3276" stopIfTrue="1">
      <formula>OR(LEFT(D470,4)="HOLD",OR(A470="QTNP",A470="HOA THO",A470="YES VINA",A470="HUNG YEN",A470="TEX GIANG",A470="HUNG LONG"),LEFT(A470,5)="HANES",LEFT(A470,3)="ITG")</formula>
    </cfRule>
  </conditionalFormatting>
  <conditionalFormatting sqref="D469">
    <cfRule type="expression" dxfId="3274" priority="3271" stopIfTrue="1">
      <formula>OR(LEFT(D469,4)="KHTT",LEFT(D469,5)="10USD",RIGHT(D469,3)="TTC",LEFT(D469,3)="TNT")</formula>
    </cfRule>
    <cfRule type="expression" dxfId="3273" priority="3272" stopIfTrue="1">
      <formula>OR(LEFT(D469,3)="CTU",LEFT(D469,4)="HDON")</formula>
    </cfRule>
    <cfRule type="expression" dxfId="3272" priority="3273" stopIfTrue="1">
      <formula>OR(LEFT(D469,4)="HOLD",OR(A469="QTNP",A469="HOA THO",A469="YES VINA",A469="HUNG YEN",A469="TEX GIANG",A469="HUNG LONG"),LEFT(A469,5)="HANES",LEFT(A469,3)="ITG")</formula>
    </cfRule>
  </conditionalFormatting>
  <conditionalFormatting sqref="D469">
    <cfRule type="expression" dxfId="3271" priority="3268" stopIfTrue="1">
      <formula>OR(LEFT(D469,4)="KHTT",LEFT(D469,5)="10USD",RIGHT(D469,3)="TTC",LEFT(D469,3)="TNT")</formula>
    </cfRule>
    <cfRule type="expression" dxfId="3270" priority="3269" stopIfTrue="1">
      <formula>OR(LEFT(D469,3)="CTU",LEFT(D469,4)="HDON")</formula>
    </cfRule>
    <cfRule type="expression" dxfId="3269" priority="3270" stopIfTrue="1">
      <formula>OR(LEFT(D469,4)="HOLD",OR(A469="QTNP",A469="HOA THO",A469="YES VINA",A469="HUNG YEN",A469="TEX GIANG",A469="HUNG LONG"),LEFT(A469,5)="HANES",LEFT(A469,3)="ITG")</formula>
    </cfRule>
  </conditionalFormatting>
  <conditionalFormatting sqref="D470">
    <cfRule type="expression" dxfId="3268" priority="3265" stopIfTrue="1">
      <formula>OR(LEFT(D470,4)="KHTT",LEFT(D470,5)="10USD",RIGHT(D470,3)="TTC",LEFT(D470,3)="TNT")</formula>
    </cfRule>
    <cfRule type="expression" dxfId="3267" priority="3266" stopIfTrue="1">
      <formula>OR(LEFT(D470,3)="CTU",LEFT(D470,4)="HDON")</formula>
    </cfRule>
    <cfRule type="expression" dxfId="3266" priority="3267" stopIfTrue="1">
      <formula>OR(LEFT(D470,4)="HOLD",OR(A470="QTNP",A470="HOA THO",A470="YES VINA",A470="HUNG YEN",A470="TEX GIANG",A470="HUNG LONG"),LEFT(A470,5)="HANES",LEFT(A470,3)="ITG")</formula>
    </cfRule>
  </conditionalFormatting>
  <conditionalFormatting sqref="D470">
    <cfRule type="expression" dxfId="3265" priority="3262" stopIfTrue="1">
      <formula>OR(LEFT(D470,4)="KHTT",LEFT(D470,5)="10USD",RIGHT(D470,3)="TTC",LEFT(D470,3)="TNT")</formula>
    </cfRule>
    <cfRule type="expression" dxfId="3264" priority="3263" stopIfTrue="1">
      <formula>OR(LEFT(D470,3)="CTU",LEFT(D470,4)="HDON")</formula>
    </cfRule>
    <cfRule type="expression" dxfId="3263" priority="3264" stopIfTrue="1">
      <formula>OR(LEFT(D470,4)="HOLD",OR(A470="QTNP",A470="HOA THO",A470="YES VINA",A470="HUNG YEN",A470="TEX GIANG",A470="HUNG LONG"),LEFT(A470,5)="HANES",LEFT(A470,3)="ITG")</formula>
    </cfRule>
  </conditionalFormatting>
  <conditionalFormatting sqref="D470">
    <cfRule type="expression" dxfId="3262" priority="3259" stopIfTrue="1">
      <formula>OR(LEFT(D470,4)="KHTT",LEFT(D470,5)="10USD",RIGHT(D470,3)="TTC",LEFT(D470,3)="TNT")</formula>
    </cfRule>
    <cfRule type="expression" dxfId="3261" priority="3260" stopIfTrue="1">
      <formula>OR(LEFT(D470,3)="CTU",LEFT(D470,4)="HDON")</formula>
    </cfRule>
    <cfRule type="expression" dxfId="3260" priority="3261" stopIfTrue="1">
      <formula>OR(LEFT(D470,4)="HOLD",OR(A470="QTNP",A470="HOA THO",A470="YES VINA",A470="HUNG YEN",A470="TEX GIANG",A470="HUNG LONG"),LEFT(A470,5)="HANES",LEFT(A470,3)="ITG")</formula>
    </cfRule>
  </conditionalFormatting>
  <conditionalFormatting sqref="D470">
    <cfRule type="expression" dxfId="3259" priority="3256" stopIfTrue="1">
      <formula>OR(LEFT(D470,4)="KHTT",LEFT(D470,5)="10USD",RIGHT(D470,3)="TTC",LEFT(D470,3)="TNT")</formula>
    </cfRule>
    <cfRule type="expression" dxfId="3258" priority="3257" stopIfTrue="1">
      <formula>OR(LEFT(D470,3)="CTU",LEFT(D470,4)="HDON")</formula>
    </cfRule>
    <cfRule type="expression" dxfId="3257" priority="3258" stopIfTrue="1">
      <formula>OR(LEFT(D470,4)="HOLD",OR(A470="QTNP",A470="HOA THO",A470="YES VINA",A470="HUNG YEN",A470="TEX GIANG",A470="HUNG LONG"),LEFT(A470,5)="HANES",LEFT(A470,3)="ITG")</formula>
    </cfRule>
  </conditionalFormatting>
  <conditionalFormatting sqref="D469">
    <cfRule type="expression" dxfId="3256" priority="3253" stopIfTrue="1">
      <formula>OR(LEFT(D469,4)="KHTT",LEFT(D469,5)="10USD",RIGHT(D469,3)="TTC",LEFT(D469,3)="TNT")</formula>
    </cfRule>
    <cfRule type="expression" dxfId="3255" priority="3254" stopIfTrue="1">
      <formula>OR(LEFT(D469,3)="CTU",LEFT(D469,4)="HDON")</formula>
    </cfRule>
    <cfRule type="expression" dxfId="3254" priority="3255" stopIfTrue="1">
      <formula>OR(LEFT(D469,4)="HOLD",OR(A469="QTNP",A469="HOA THO",A469="YES VINA",A469="HUNG YEN",A469="TEX GIANG",A469="HUNG LONG"),LEFT(A469,5)="HANES",LEFT(A469,3)="ITG")</formula>
    </cfRule>
  </conditionalFormatting>
  <conditionalFormatting sqref="D469">
    <cfRule type="expression" dxfId="3253" priority="3250" stopIfTrue="1">
      <formula>OR(LEFT(D469,4)="KHTT",LEFT(D469,5)="10USD",RIGHT(D469,3)="TTC",LEFT(D469,3)="TNT")</formula>
    </cfRule>
    <cfRule type="expression" dxfId="3252" priority="3251" stopIfTrue="1">
      <formula>OR(LEFT(D469,3)="CTU",LEFT(D469,4)="HDON")</formula>
    </cfRule>
    <cfRule type="expression" dxfId="3251" priority="3252" stopIfTrue="1">
      <formula>OR(LEFT(D469,4)="HOLD",OR(A469="QTNP",A469="HOA THO",A469="YES VINA",A469="HUNG YEN",A469="TEX GIANG",A469="HUNG LONG"),LEFT(A469,5)="HANES",LEFT(A469,3)="ITG")</formula>
    </cfRule>
  </conditionalFormatting>
  <conditionalFormatting sqref="D470">
    <cfRule type="expression" dxfId="3250" priority="3247" stopIfTrue="1">
      <formula>OR(LEFT(D470,4)="KHTT",LEFT(D470,5)="10USD",RIGHT(D470,3)="TTC",LEFT(D470,3)="TNT")</formula>
    </cfRule>
    <cfRule type="expression" dxfId="3249" priority="3248" stopIfTrue="1">
      <formula>OR(LEFT(D470,3)="CTU",LEFT(D470,4)="HDON")</formula>
    </cfRule>
    <cfRule type="expression" dxfId="3248" priority="3249" stopIfTrue="1">
      <formula>OR(LEFT(D470,4)="HOLD",OR(A470="QTNP",A470="HOA THO",A470="YES VINA",A470="HUNG YEN",A470="TEX GIANG",A470="HUNG LONG"),LEFT(A470,5)="HANES",LEFT(A470,3)="ITG")</formula>
    </cfRule>
  </conditionalFormatting>
  <conditionalFormatting sqref="D470">
    <cfRule type="expression" dxfId="3247" priority="3244" stopIfTrue="1">
      <formula>OR(LEFT(D470,4)="KHTT",LEFT(D470,5)="10USD",RIGHT(D470,3)="TTC",LEFT(D470,3)="TNT")</formula>
    </cfRule>
    <cfRule type="expression" dxfId="3246" priority="3245" stopIfTrue="1">
      <formula>OR(LEFT(D470,3)="CTU",LEFT(D470,4)="HDON")</formula>
    </cfRule>
    <cfRule type="expression" dxfId="3245" priority="3246" stopIfTrue="1">
      <formula>OR(LEFT(D470,4)="HOLD",OR(A470="QTNP",A470="HOA THO",A470="YES VINA",A470="HUNG YEN",A470="TEX GIANG",A470="HUNG LONG"),LEFT(A470,5)="HANES",LEFT(A470,3)="ITG")</formula>
    </cfRule>
  </conditionalFormatting>
  <conditionalFormatting sqref="D470">
    <cfRule type="expression" dxfId="3244" priority="3241" stopIfTrue="1">
      <formula>OR(LEFT(D470,4)="KHTT",LEFT(D470,5)="10USD",RIGHT(D470,3)="TTC",LEFT(D470,3)="TNT")</formula>
    </cfRule>
    <cfRule type="expression" dxfId="3243" priority="3242" stopIfTrue="1">
      <formula>OR(LEFT(D470,3)="CTU",LEFT(D470,4)="HDON")</formula>
    </cfRule>
    <cfRule type="expression" dxfId="3242" priority="3243" stopIfTrue="1">
      <formula>OR(LEFT(D470,4)="HOLD",OR(A470="QTNP",A470="HOA THO",A470="YES VINA",A470="HUNG YEN",A470="TEX GIANG",A470="HUNG LONG"),LEFT(A470,5)="HANES",LEFT(A470,3)="ITG")</formula>
    </cfRule>
  </conditionalFormatting>
  <conditionalFormatting sqref="D470">
    <cfRule type="expression" dxfId="3241" priority="3238" stopIfTrue="1">
      <formula>OR(LEFT(D470,4)="KHTT",LEFT(D470,5)="10USD",RIGHT(D470,3)="TTC",LEFT(D470,3)="TNT")</formula>
    </cfRule>
    <cfRule type="expression" dxfId="3240" priority="3239" stopIfTrue="1">
      <formula>OR(LEFT(D470,3)="CTU",LEFT(D470,4)="HDON")</formula>
    </cfRule>
    <cfRule type="expression" dxfId="3239" priority="3240" stopIfTrue="1">
      <formula>OR(LEFT(D470,4)="HOLD",OR(A470="QTNP",A470="HOA THO",A470="YES VINA",A470="HUNG YEN",A470="TEX GIANG",A470="HUNG LONG"),LEFT(A470,5)="HANES",LEFT(A470,3)="ITG")</formula>
    </cfRule>
  </conditionalFormatting>
  <conditionalFormatting sqref="D469">
    <cfRule type="expression" dxfId="3238" priority="3235" stopIfTrue="1">
      <formula>OR(LEFT(D469,4)="KHTT",LEFT(D469,5)="10USD",RIGHT(D469,3)="TTC",LEFT(D469,3)="TNT")</formula>
    </cfRule>
    <cfRule type="expression" dxfId="3237" priority="3236" stopIfTrue="1">
      <formula>OR(LEFT(D469,3)="CTU",LEFT(D469,4)="HDON")</formula>
    </cfRule>
    <cfRule type="expression" dxfId="3236" priority="3237" stopIfTrue="1">
      <formula>OR(LEFT(D469,4)="HOLD",OR(A469="QTNP",A469="HOA THO",A469="YES VINA",A469="HUNG YEN",A469="TEX GIANG",A469="HUNG LONG"),LEFT(A469,5)="HANES",LEFT(A469,3)="ITG")</formula>
    </cfRule>
  </conditionalFormatting>
  <conditionalFormatting sqref="D469">
    <cfRule type="expression" dxfId="3235" priority="3232" stopIfTrue="1">
      <formula>OR(LEFT(D469,4)="KHTT",LEFT(D469,5)="10USD",RIGHT(D469,3)="TTC",LEFT(D469,3)="TNT")</formula>
    </cfRule>
    <cfRule type="expression" dxfId="3234" priority="3233" stopIfTrue="1">
      <formula>OR(LEFT(D469,3)="CTU",LEFT(D469,4)="HDON")</formula>
    </cfRule>
    <cfRule type="expression" dxfId="3233" priority="3234" stopIfTrue="1">
      <formula>OR(LEFT(D469,4)="HOLD",OR(A469="QTNP",A469="HOA THO",A469="YES VINA",A469="HUNG YEN",A469="TEX GIANG",A469="HUNG LONG"),LEFT(A469,5)="HANES",LEFT(A469,3)="ITG")</formula>
    </cfRule>
  </conditionalFormatting>
  <conditionalFormatting sqref="D470">
    <cfRule type="expression" dxfId="3232" priority="3229" stopIfTrue="1">
      <formula>OR(LEFT(D470,4)="KHTT",LEFT(D470,5)="10USD",RIGHT(D470,3)="TTC",LEFT(D470,3)="TNT")</formula>
    </cfRule>
    <cfRule type="expression" dxfId="3231" priority="3230" stopIfTrue="1">
      <formula>OR(LEFT(D470,3)="CTU",LEFT(D470,4)="HDON")</formula>
    </cfRule>
    <cfRule type="expression" dxfId="3230" priority="3231" stopIfTrue="1">
      <formula>OR(LEFT(D470,4)="HOLD",OR(A470="QTNP",A470="HOA THO",A470="YES VINA",A470="HUNG YEN",A470="TEX GIANG",A470="HUNG LONG"),LEFT(A470,5)="HANES",LEFT(A470,3)="ITG")</formula>
    </cfRule>
  </conditionalFormatting>
  <conditionalFormatting sqref="D470">
    <cfRule type="expression" dxfId="3229" priority="3226" stopIfTrue="1">
      <formula>OR(LEFT(D470,4)="KHTT",LEFT(D470,5)="10USD",RIGHT(D470,3)="TTC",LEFT(D470,3)="TNT")</formula>
    </cfRule>
    <cfRule type="expression" dxfId="3228" priority="3227" stopIfTrue="1">
      <formula>OR(LEFT(D470,3)="CTU",LEFT(D470,4)="HDON")</formula>
    </cfRule>
    <cfRule type="expression" dxfId="3227" priority="3228" stopIfTrue="1">
      <formula>OR(LEFT(D470,4)="HOLD",OR(A470="QTNP",A470="HOA THO",A470="YES VINA",A470="HUNG YEN",A470="TEX GIANG",A470="HUNG LONG"),LEFT(A470,5)="HANES",LEFT(A470,3)="ITG")</formula>
    </cfRule>
  </conditionalFormatting>
  <conditionalFormatting sqref="D470">
    <cfRule type="expression" dxfId="3226" priority="3223" stopIfTrue="1">
      <formula>OR(LEFT(D470,4)="KHTT",LEFT(D470,5)="10USD",RIGHT(D470,3)="TTC",LEFT(D470,3)="TNT")</formula>
    </cfRule>
    <cfRule type="expression" dxfId="3225" priority="3224" stopIfTrue="1">
      <formula>OR(LEFT(D470,3)="CTU",LEFT(D470,4)="HDON")</formula>
    </cfRule>
    <cfRule type="expression" dxfId="3224" priority="3225" stopIfTrue="1">
      <formula>OR(LEFT(D470,4)="HOLD",OR(A470="QTNP",A470="HOA THO",A470="YES VINA",A470="HUNG YEN",A470="TEX GIANG",A470="HUNG LONG"),LEFT(A470,5)="HANES",LEFT(A470,3)="ITG")</formula>
    </cfRule>
  </conditionalFormatting>
  <conditionalFormatting sqref="D470">
    <cfRule type="expression" dxfId="3223" priority="3220" stopIfTrue="1">
      <formula>OR(LEFT(D470,4)="KHTT",LEFT(D470,5)="10USD",RIGHT(D470,3)="TTC",LEFT(D470,3)="TNT")</formula>
    </cfRule>
    <cfRule type="expression" dxfId="3222" priority="3221" stopIfTrue="1">
      <formula>OR(LEFT(D470,3)="CTU",LEFT(D470,4)="HDON")</formula>
    </cfRule>
    <cfRule type="expression" dxfId="3221" priority="3222" stopIfTrue="1">
      <formula>OR(LEFT(D470,4)="HOLD",OR(A470="QTNP",A470="HOA THO",A470="YES VINA",A470="HUNG YEN",A470="TEX GIANG",A470="HUNG LONG"),LEFT(A470,5)="HANES",LEFT(A470,3)="ITG")</formula>
    </cfRule>
  </conditionalFormatting>
  <conditionalFormatting sqref="D469">
    <cfRule type="expression" dxfId="3220" priority="3217" stopIfTrue="1">
      <formula>OR(LEFT(D469,4)="KHTT",LEFT(D469,5)="10USD",RIGHT(D469,3)="TTC",LEFT(D469,3)="TNT")</formula>
    </cfRule>
    <cfRule type="expression" dxfId="3219" priority="3218" stopIfTrue="1">
      <formula>OR(LEFT(D469,3)="CTU",LEFT(D469,4)="HDON")</formula>
    </cfRule>
    <cfRule type="expression" dxfId="3218" priority="3219" stopIfTrue="1">
      <formula>OR(LEFT(D469,4)="HOLD",OR(A469="QTNP",A469="HOA THO",A469="YES VINA",A469="HUNG YEN",A469="TEX GIANG",A469="HUNG LONG"),LEFT(A469,5)="HANES",LEFT(A469,3)="ITG")</formula>
    </cfRule>
  </conditionalFormatting>
  <conditionalFormatting sqref="D469">
    <cfRule type="expression" dxfId="3217" priority="3214" stopIfTrue="1">
      <formula>OR(LEFT(D469,4)="KHTT",LEFT(D469,5)="10USD",RIGHT(D469,3)="TTC",LEFT(D469,3)="TNT")</formula>
    </cfRule>
    <cfRule type="expression" dxfId="3216" priority="3215" stopIfTrue="1">
      <formula>OR(LEFT(D469,3)="CTU",LEFT(D469,4)="HDON")</formula>
    </cfRule>
    <cfRule type="expression" dxfId="3215" priority="3216" stopIfTrue="1">
      <formula>OR(LEFT(D469,4)="HOLD",OR(A469="QTNP",A469="HOA THO",A469="YES VINA",A469="HUNG YEN",A469="TEX GIANG",A469="HUNG LONG"),LEFT(A469,5)="HANES",LEFT(A469,3)="ITG")</formula>
    </cfRule>
  </conditionalFormatting>
  <conditionalFormatting sqref="D470">
    <cfRule type="expression" dxfId="3214" priority="3211" stopIfTrue="1">
      <formula>OR(LEFT(D470,4)="KHTT",LEFT(D470,5)="10USD",RIGHT(D470,3)="TTC",LEFT(D470,3)="TNT")</formula>
    </cfRule>
    <cfRule type="expression" dxfId="3213" priority="3212" stopIfTrue="1">
      <formula>OR(LEFT(D470,3)="CTU",LEFT(D470,4)="HDON")</formula>
    </cfRule>
    <cfRule type="expression" dxfId="3212" priority="3213" stopIfTrue="1">
      <formula>OR(LEFT(D470,4)="HOLD",OR(A470="QTNP",A470="HOA THO",A470="YES VINA",A470="HUNG YEN",A470="TEX GIANG",A470="HUNG LONG"),LEFT(A470,5)="HANES",LEFT(A470,3)="ITG")</formula>
    </cfRule>
  </conditionalFormatting>
  <conditionalFormatting sqref="D470">
    <cfRule type="expression" dxfId="3211" priority="3208" stopIfTrue="1">
      <formula>OR(LEFT(D470,4)="KHTT",LEFT(D470,5)="10USD",RIGHT(D470,3)="TTC",LEFT(D470,3)="TNT")</formula>
    </cfRule>
    <cfRule type="expression" dxfId="3210" priority="3209" stopIfTrue="1">
      <formula>OR(LEFT(D470,3)="CTU",LEFT(D470,4)="HDON")</formula>
    </cfRule>
    <cfRule type="expression" dxfId="3209" priority="3210" stopIfTrue="1">
      <formula>OR(LEFT(D470,4)="HOLD",OR(A470="QTNP",A470="HOA THO",A470="YES VINA",A470="HUNG YEN",A470="TEX GIANG",A470="HUNG LONG"),LEFT(A470,5)="HANES",LEFT(A470,3)="ITG")</formula>
    </cfRule>
  </conditionalFormatting>
  <conditionalFormatting sqref="D470">
    <cfRule type="expression" dxfId="3208" priority="3205" stopIfTrue="1">
      <formula>OR(LEFT(D470,4)="KHTT",LEFT(D470,5)="10USD",RIGHT(D470,3)="TTC",LEFT(D470,3)="TNT")</formula>
    </cfRule>
    <cfRule type="expression" dxfId="3207" priority="3206" stopIfTrue="1">
      <formula>OR(LEFT(D470,3)="CTU",LEFT(D470,4)="HDON")</formula>
    </cfRule>
    <cfRule type="expression" dxfId="3206" priority="3207" stopIfTrue="1">
      <formula>OR(LEFT(D470,4)="HOLD",OR(A470="QTNP",A470="HOA THO",A470="YES VINA",A470="HUNG YEN",A470="TEX GIANG",A470="HUNG LONG"),LEFT(A470,5)="HANES",LEFT(A470,3)="ITG")</formula>
    </cfRule>
  </conditionalFormatting>
  <conditionalFormatting sqref="D470">
    <cfRule type="expression" dxfId="3205" priority="3202" stopIfTrue="1">
      <formula>OR(LEFT(D470,4)="KHTT",LEFT(D470,5)="10USD",RIGHT(D470,3)="TTC",LEFT(D470,3)="TNT")</formula>
    </cfRule>
    <cfRule type="expression" dxfId="3204" priority="3203" stopIfTrue="1">
      <formula>OR(LEFT(D470,3)="CTU",LEFT(D470,4)="HDON")</formula>
    </cfRule>
    <cfRule type="expression" dxfId="3203" priority="3204" stopIfTrue="1">
      <formula>OR(LEFT(D470,4)="HOLD",OR(A470="QTNP",A470="HOA THO",A470="YES VINA",A470="HUNG YEN",A470="TEX GIANG",A470="HUNG LONG"),LEFT(A470,5)="HANES",LEFT(A470,3)="ITG")</formula>
    </cfRule>
  </conditionalFormatting>
  <conditionalFormatting sqref="D469">
    <cfRule type="expression" dxfId="3202" priority="3199" stopIfTrue="1">
      <formula>OR(LEFT(D469,4)="KHTT",LEFT(D469,5)="10USD",RIGHT(D469,3)="TTC",LEFT(D469,3)="TNT")</formula>
    </cfRule>
    <cfRule type="expression" dxfId="3201" priority="3200" stopIfTrue="1">
      <formula>OR(LEFT(D469,3)="CTU",LEFT(D469,4)="HDON")</formula>
    </cfRule>
    <cfRule type="expression" dxfId="3200" priority="3201" stopIfTrue="1">
      <formula>OR(LEFT(D469,4)="HOLD",OR(A469="QTNP",A469="HOA THO",A469="YES VINA",A469="HUNG YEN",A469="TEX GIANG",A469="HUNG LONG"),LEFT(A469,5)="HANES",LEFT(A469,3)="ITG")</formula>
    </cfRule>
  </conditionalFormatting>
  <conditionalFormatting sqref="D469">
    <cfRule type="expression" dxfId="3199" priority="3196" stopIfTrue="1">
      <formula>OR(LEFT(D469,4)="KHTT",LEFT(D469,5)="10USD",RIGHT(D469,3)="TTC",LEFT(D469,3)="TNT")</formula>
    </cfRule>
    <cfRule type="expression" dxfId="3198" priority="3197" stopIfTrue="1">
      <formula>OR(LEFT(D469,3)="CTU",LEFT(D469,4)="HDON")</formula>
    </cfRule>
    <cfRule type="expression" dxfId="3197" priority="3198" stopIfTrue="1">
      <formula>OR(LEFT(D469,4)="HOLD",OR(A469="QTNP",A469="HOA THO",A469="YES VINA",A469="HUNG YEN",A469="TEX GIANG",A469="HUNG LONG"),LEFT(A469,5)="HANES",LEFT(A469,3)="ITG")</formula>
    </cfRule>
  </conditionalFormatting>
  <conditionalFormatting sqref="D470">
    <cfRule type="expression" dxfId="3196" priority="3193" stopIfTrue="1">
      <formula>OR(LEFT(D470,4)="KHTT",LEFT(D470,5)="10USD",RIGHT(D470,3)="TTC",LEFT(D470,3)="TNT")</formula>
    </cfRule>
    <cfRule type="expression" dxfId="3195" priority="3194" stopIfTrue="1">
      <formula>OR(LEFT(D470,3)="CTU",LEFT(D470,4)="HDON")</formula>
    </cfRule>
    <cfRule type="expression" dxfId="3194" priority="3195" stopIfTrue="1">
      <formula>OR(LEFT(D470,4)="HOLD",OR(A470="QTNP",A470="HOA THO",A470="YES VINA",A470="HUNG YEN",A470="TEX GIANG",A470="HUNG LONG"),LEFT(A470,5)="HANES",LEFT(A470,3)="ITG")</formula>
    </cfRule>
  </conditionalFormatting>
  <conditionalFormatting sqref="D470">
    <cfRule type="expression" dxfId="3193" priority="3190" stopIfTrue="1">
      <formula>OR(LEFT(D470,4)="KHTT",LEFT(D470,5)="10USD",RIGHT(D470,3)="TTC",LEFT(D470,3)="TNT")</formula>
    </cfRule>
    <cfRule type="expression" dxfId="3192" priority="3191" stopIfTrue="1">
      <formula>OR(LEFT(D470,3)="CTU",LEFT(D470,4)="HDON")</formula>
    </cfRule>
    <cfRule type="expression" dxfId="3191" priority="3192" stopIfTrue="1">
      <formula>OR(LEFT(D470,4)="HOLD",OR(A470="QTNP",A470="HOA THO",A470="YES VINA",A470="HUNG YEN",A470="TEX GIANG",A470="HUNG LONG"),LEFT(A470,5)="HANES",LEFT(A470,3)="ITG")</formula>
    </cfRule>
  </conditionalFormatting>
  <conditionalFormatting sqref="D470">
    <cfRule type="expression" dxfId="3190" priority="3187" stopIfTrue="1">
      <formula>OR(LEFT(D470,4)="KHTT",LEFT(D470,5)="10USD",RIGHT(D470,3)="TTC",LEFT(D470,3)="TNT")</formula>
    </cfRule>
    <cfRule type="expression" dxfId="3189" priority="3188" stopIfTrue="1">
      <formula>OR(LEFT(D470,3)="CTU",LEFT(D470,4)="HDON")</formula>
    </cfRule>
    <cfRule type="expression" dxfId="3188" priority="3189" stopIfTrue="1">
      <formula>OR(LEFT(D470,4)="HOLD",OR(A470="QTNP",A470="HOA THO",A470="YES VINA",A470="HUNG YEN",A470="TEX GIANG",A470="HUNG LONG"),LEFT(A470,5)="HANES",LEFT(A470,3)="ITG")</formula>
    </cfRule>
  </conditionalFormatting>
  <conditionalFormatting sqref="D470">
    <cfRule type="expression" dxfId="3187" priority="3184" stopIfTrue="1">
      <formula>OR(LEFT(D470,4)="KHTT",LEFT(D470,5)="10USD",RIGHT(D470,3)="TTC",LEFT(D470,3)="TNT")</formula>
    </cfRule>
    <cfRule type="expression" dxfId="3186" priority="3185" stopIfTrue="1">
      <formula>OR(LEFT(D470,3)="CTU",LEFT(D470,4)="HDON")</formula>
    </cfRule>
    <cfRule type="expression" dxfId="3185" priority="3186" stopIfTrue="1">
      <formula>OR(LEFT(D470,4)="HOLD",OR(A470="QTNP",A470="HOA THO",A470="YES VINA",A470="HUNG YEN",A470="TEX GIANG",A470="HUNG LONG"),LEFT(A470,5)="HANES",LEFT(A470,3)="ITG")</formula>
    </cfRule>
  </conditionalFormatting>
  <conditionalFormatting sqref="D469">
    <cfRule type="expression" dxfId="3184" priority="3181" stopIfTrue="1">
      <formula>OR(LEFT(D469,4)="KHTT",LEFT(D469,5)="10USD",RIGHT(D469,3)="TTC",LEFT(D469,3)="TNT")</formula>
    </cfRule>
    <cfRule type="expression" dxfId="3183" priority="3182" stopIfTrue="1">
      <formula>OR(LEFT(D469,3)="CTU",LEFT(D469,4)="HDON")</formula>
    </cfRule>
    <cfRule type="expression" dxfId="3182" priority="3183" stopIfTrue="1">
      <formula>OR(LEFT(D469,4)="HOLD",OR(A469="QTNP",A469="HOA THO",A469="YES VINA",A469="HUNG YEN",A469="TEX GIANG",A469="HUNG LONG"),LEFT(A469,5)="HANES",LEFT(A469,3)="ITG")</formula>
    </cfRule>
  </conditionalFormatting>
  <conditionalFormatting sqref="D469">
    <cfRule type="expression" dxfId="3181" priority="3178" stopIfTrue="1">
      <formula>OR(LEFT(D469,4)="KHTT",LEFT(D469,5)="10USD",RIGHT(D469,3)="TTC",LEFT(D469,3)="TNT")</formula>
    </cfRule>
    <cfRule type="expression" dxfId="3180" priority="3179" stopIfTrue="1">
      <formula>OR(LEFT(D469,3)="CTU",LEFT(D469,4)="HDON")</formula>
    </cfRule>
    <cfRule type="expression" dxfId="3179" priority="3180" stopIfTrue="1">
      <formula>OR(LEFT(D469,4)="HOLD",OR(A469="QTNP",A469="HOA THO",A469="YES VINA",A469="HUNG YEN",A469="TEX GIANG",A469="HUNG LONG"),LEFT(A469,5)="HANES",LEFT(A469,3)="ITG")</formula>
    </cfRule>
  </conditionalFormatting>
  <conditionalFormatting sqref="D470">
    <cfRule type="expression" dxfId="3178" priority="3175" stopIfTrue="1">
      <formula>OR(LEFT(D470,4)="KHTT",LEFT(D470,5)="10USD",RIGHT(D470,3)="TTC",LEFT(D470,3)="TNT")</formula>
    </cfRule>
    <cfRule type="expression" dxfId="3177" priority="3176" stopIfTrue="1">
      <formula>OR(LEFT(D470,3)="CTU",LEFT(D470,4)="HDON")</formula>
    </cfRule>
    <cfRule type="expression" dxfId="3176" priority="3177" stopIfTrue="1">
      <formula>OR(LEFT(D470,4)="HOLD",OR(A470="QTNP",A470="HOA THO",A470="YES VINA",A470="HUNG YEN",A470="TEX GIANG",A470="HUNG LONG"),LEFT(A470,5)="HANES",LEFT(A470,3)="ITG")</formula>
    </cfRule>
  </conditionalFormatting>
  <conditionalFormatting sqref="D470">
    <cfRule type="expression" dxfId="3175" priority="3172" stopIfTrue="1">
      <formula>OR(LEFT(D470,4)="KHTT",LEFT(D470,5)="10USD",RIGHT(D470,3)="TTC",LEFT(D470,3)="TNT")</formula>
    </cfRule>
    <cfRule type="expression" dxfId="3174" priority="3173" stopIfTrue="1">
      <formula>OR(LEFT(D470,3)="CTU",LEFT(D470,4)="HDON")</formula>
    </cfRule>
    <cfRule type="expression" dxfId="3173" priority="3174" stopIfTrue="1">
      <formula>OR(LEFT(D470,4)="HOLD",OR(A470="QTNP",A470="HOA THO",A470="YES VINA",A470="HUNG YEN",A470="TEX GIANG",A470="HUNG LONG"),LEFT(A470,5)="HANES",LEFT(A470,3)="ITG")</formula>
    </cfRule>
  </conditionalFormatting>
  <conditionalFormatting sqref="D470">
    <cfRule type="expression" dxfId="3172" priority="3169" stopIfTrue="1">
      <formula>OR(LEFT(D470,4)="KHTT",LEFT(D470,5)="10USD",RIGHT(D470,3)="TTC",LEFT(D470,3)="TNT")</formula>
    </cfRule>
    <cfRule type="expression" dxfId="3171" priority="3170" stopIfTrue="1">
      <formula>OR(LEFT(D470,3)="CTU",LEFT(D470,4)="HDON")</formula>
    </cfRule>
    <cfRule type="expression" dxfId="3170" priority="3171" stopIfTrue="1">
      <formula>OR(LEFT(D470,4)="HOLD",OR(A470="QTNP",A470="HOA THO",A470="YES VINA",A470="HUNG YEN",A470="TEX GIANG",A470="HUNG LONG"),LEFT(A470,5)="HANES",LEFT(A470,3)="ITG")</formula>
    </cfRule>
  </conditionalFormatting>
  <conditionalFormatting sqref="D470">
    <cfRule type="expression" dxfId="3169" priority="3166" stopIfTrue="1">
      <formula>OR(LEFT(D470,4)="KHTT",LEFT(D470,5)="10USD",RIGHT(D470,3)="TTC",LEFT(D470,3)="TNT")</formula>
    </cfRule>
    <cfRule type="expression" dxfId="3168" priority="3167" stopIfTrue="1">
      <formula>OR(LEFT(D470,3)="CTU",LEFT(D470,4)="HDON")</formula>
    </cfRule>
    <cfRule type="expression" dxfId="3167" priority="3168" stopIfTrue="1">
      <formula>OR(LEFT(D470,4)="HOLD",OR(A470="QTNP",A470="HOA THO",A470="YES VINA",A470="HUNG YEN",A470="TEX GIANG",A470="HUNG LONG"),LEFT(A470,5)="HANES",LEFT(A470,3)="ITG")</formula>
    </cfRule>
  </conditionalFormatting>
  <conditionalFormatting sqref="D469">
    <cfRule type="expression" dxfId="3166" priority="3163" stopIfTrue="1">
      <formula>OR(LEFT(D469,4)="KHTT",LEFT(D469,5)="10USD",RIGHT(D469,3)="TTC",LEFT(D469,3)="TNT")</formula>
    </cfRule>
    <cfRule type="expression" dxfId="3165" priority="3164" stopIfTrue="1">
      <formula>OR(LEFT(D469,3)="CTU",LEFT(D469,4)="HDON")</formula>
    </cfRule>
    <cfRule type="expression" dxfId="3164" priority="3165" stopIfTrue="1">
      <formula>OR(LEFT(D469,4)="HOLD",OR(A469="QTNP",A469="HOA THO",A469="YES VINA",A469="HUNG YEN",A469="TEX GIANG",A469="HUNG LONG"),LEFT(A469,5)="HANES",LEFT(A469,3)="ITG")</formula>
    </cfRule>
  </conditionalFormatting>
  <conditionalFormatting sqref="D469">
    <cfRule type="expression" dxfId="3163" priority="3160" stopIfTrue="1">
      <formula>OR(LEFT(D469,4)="KHTT",LEFT(D469,5)="10USD",RIGHT(D469,3)="TTC",LEFT(D469,3)="TNT")</formula>
    </cfRule>
    <cfRule type="expression" dxfId="3162" priority="3161" stopIfTrue="1">
      <formula>OR(LEFT(D469,3)="CTU",LEFT(D469,4)="HDON")</formula>
    </cfRule>
    <cfRule type="expression" dxfId="3161" priority="3162" stopIfTrue="1">
      <formula>OR(LEFT(D469,4)="HOLD",OR(A469="QTNP",A469="HOA THO",A469="YES VINA",A469="HUNG YEN",A469="TEX GIANG",A469="HUNG LONG"),LEFT(A469,5)="HANES",LEFT(A469,3)="ITG")</formula>
    </cfRule>
  </conditionalFormatting>
  <conditionalFormatting sqref="D470">
    <cfRule type="expression" dxfId="3160" priority="3157" stopIfTrue="1">
      <formula>OR(LEFT(D470,4)="KHTT",LEFT(D470,5)="10USD",RIGHT(D470,3)="TTC",LEFT(D470,3)="TNT")</formula>
    </cfRule>
    <cfRule type="expression" dxfId="3159" priority="3158" stopIfTrue="1">
      <formula>OR(LEFT(D470,3)="CTU",LEFT(D470,4)="HDON")</formula>
    </cfRule>
    <cfRule type="expression" dxfId="3158" priority="3159" stopIfTrue="1">
      <formula>OR(LEFT(D470,4)="HOLD",OR(A470="QTNP",A470="HOA THO",A470="YES VINA",A470="HUNG YEN",A470="TEX GIANG",A470="HUNG LONG"),LEFT(A470,5)="HANES",LEFT(A470,3)="ITG")</formula>
    </cfRule>
  </conditionalFormatting>
  <conditionalFormatting sqref="D470">
    <cfRule type="expression" dxfId="3157" priority="3154" stopIfTrue="1">
      <formula>OR(LEFT(D470,4)="KHTT",LEFT(D470,5)="10USD",RIGHT(D470,3)="TTC",LEFT(D470,3)="TNT")</formula>
    </cfRule>
    <cfRule type="expression" dxfId="3156" priority="3155" stopIfTrue="1">
      <formula>OR(LEFT(D470,3)="CTU",LEFT(D470,4)="HDON")</formula>
    </cfRule>
    <cfRule type="expression" dxfId="3155" priority="3156" stopIfTrue="1">
      <formula>OR(LEFT(D470,4)="HOLD",OR(A470="QTNP",A470="HOA THO",A470="YES VINA",A470="HUNG YEN",A470="TEX GIANG",A470="HUNG LONG"),LEFT(A470,5)="HANES",LEFT(A470,3)="ITG")</formula>
    </cfRule>
  </conditionalFormatting>
  <conditionalFormatting sqref="D470">
    <cfRule type="expression" dxfId="3154" priority="3151" stopIfTrue="1">
      <formula>OR(LEFT(D470,4)="KHTT",LEFT(D470,5)="10USD",RIGHT(D470,3)="TTC",LEFT(D470,3)="TNT")</formula>
    </cfRule>
    <cfRule type="expression" dxfId="3153" priority="3152" stopIfTrue="1">
      <formula>OR(LEFT(D470,3)="CTU",LEFT(D470,4)="HDON")</formula>
    </cfRule>
    <cfRule type="expression" dxfId="3152" priority="3153" stopIfTrue="1">
      <formula>OR(LEFT(D470,4)="HOLD",OR(A470="QTNP",A470="HOA THO",A470="YES VINA",A470="HUNG YEN",A470="TEX GIANG",A470="HUNG LONG"),LEFT(A470,5)="HANES",LEFT(A470,3)="ITG")</formula>
    </cfRule>
  </conditionalFormatting>
  <conditionalFormatting sqref="D470">
    <cfRule type="expression" dxfId="3151" priority="3148" stopIfTrue="1">
      <formula>OR(LEFT(D470,4)="KHTT",LEFT(D470,5)="10USD",RIGHT(D470,3)="TTC",LEFT(D470,3)="TNT")</formula>
    </cfRule>
    <cfRule type="expression" dxfId="3150" priority="3149" stopIfTrue="1">
      <formula>OR(LEFT(D470,3)="CTU",LEFT(D470,4)="HDON")</formula>
    </cfRule>
    <cfRule type="expression" dxfId="3149" priority="3150" stopIfTrue="1">
      <formula>OR(LEFT(D470,4)="HOLD",OR(A470="QTNP",A470="HOA THO",A470="YES VINA",A470="HUNG YEN",A470="TEX GIANG",A470="HUNG LONG"),LEFT(A470,5)="HANES",LEFT(A470,3)="ITG")</formula>
    </cfRule>
  </conditionalFormatting>
  <conditionalFormatting sqref="D469">
    <cfRule type="expression" dxfId="3148" priority="3145" stopIfTrue="1">
      <formula>OR(LEFT(D469,4)="KHTT",LEFT(D469,5)="10USD",RIGHT(D469,3)="TTC",LEFT(D469,3)="TNT")</formula>
    </cfRule>
    <cfRule type="expression" dxfId="3147" priority="3146" stopIfTrue="1">
      <formula>OR(LEFT(D469,3)="CTU",LEFT(D469,4)="HDON")</formula>
    </cfRule>
    <cfRule type="expression" dxfId="3146" priority="3147" stopIfTrue="1">
      <formula>OR(LEFT(D469,4)="HOLD",OR(A469="QTNP",A469="HOA THO",A469="YES VINA",A469="HUNG YEN",A469="TEX GIANG",A469="HUNG LONG"),LEFT(A469,5)="HANES",LEFT(A469,3)="ITG")</formula>
    </cfRule>
  </conditionalFormatting>
  <conditionalFormatting sqref="D469">
    <cfRule type="expression" dxfId="3145" priority="3142" stopIfTrue="1">
      <formula>OR(LEFT(D469,4)="KHTT",LEFT(D469,5)="10USD",RIGHT(D469,3)="TTC",LEFT(D469,3)="TNT")</formula>
    </cfRule>
    <cfRule type="expression" dxfId="3144" priority="3143" stopIfTrue="1">
      <formula>OR(LEFT(D469,3)="CTU",LEFT(D469,4)="HDON")</formula>
    </cfRule>
    <cfRule type="expression" dxfId="3143" priority="3144" stopIfTrue="1">
      <formula>OR(LEFT(D469,4)="HOLD",OR(A469="QTNP",A469="HOA THO",A469="YES VINA",A469="HUNG YEN",A469="TEX GIANG",A469="HUNG LONG"),LEFT(A469,5)="HANES",LEFT(A469,3)="ITG")</formula>
    </cfRule>
  </conditionalFormatting>
  <conditionalFormatting sqref="D470">
    <cfRule type="expression" dxfId="3142" priority="3139" stopIfTrue="1">
      <formula>OR(LEFT(D470,4)="KHTT",LEFT(D470,5)="10USD",RIGHT(D470,3)="TTC",LEFT(D470,3)="TNT")</formula>
    </cfRule>
    <cfRule type="expression" dxfId="3141" priority="3140" stopIfTrue="1">
      <formula>OR(LEFT(D470,3)="CTU",LEFT(D470,4)="HDON")</formula>
    </cfRule>
    <cfRule type="expression" dxfId="3140" priority="3141" stopIfTrue="1">
      <formula>OR(LEFT(D470,4)="HOLD",OR(A470="QTNP",A470="HOA THO",A470="YES VINA",A470="HUNG YEN",A470="TEX GIANG",A470="HUNG LONG"),LEFT(A470,5)="HANES",LEFT(A470,3)="ITG")</formula>
    </cfRule>
  </conditionalFormatting>
  <conditionalFormatting sqref="D470">
    <cfRule type="expression" dxfId="3139" priority="3136" stopIfTrue="1">
      <formula>OR(LEFT(D470,4)="KHTT",LEFT(D470,5)="10USD",RIGHT(D470,3)="TTC",LEFT(D470,3)="TNT")</formula>
    </cfRule>
    <cfRule type="expression" dxfId="3138" priority="3137" stopIfTrue="1">
      <formula>OR(LEFT(D470,3)="CTU",LEFT(D470,4)="HDON")</formula>
    </cfRule>
    <cfRule type="expression" dxfId="3137" priority="3138" stopIfTrue="1">
      <formula>OR(LEFT(D470,4)="HOLD",OR(A470="QTNP",A470="HOA THO",A470="YES VINA",A470="HUNG YEN",A470="TEX GIANG",A470="HUNG LONG"),LEFT(A470,5)="HANES",LEFT(A470,3)="ITG")</formula>
    </cfRule>
  </conditionalFormatting>
  <conditionalFormatting sqref="D470">
    <cfRule type="expression" dxfId="3136" priority="3133" stopIfTrue="1">
      <formula>OR(LEFT(D470,4)="KHTT",LEFT(D470,5)="10USD",RIGHT(D470,3)="TTC",LEFT(D470,3)="TNT")</formula>
    </cfRule>
    <cfRule type="expression" dxfId="3135" priority="3134" stopIfTrue="1">
      <formula>OR(LEFT(D470,3)="CTU",LEFT(D470,4)="HDON")</formula>
    </cfRule>
    <cfRule type="expression" dxfId="3134" priority="3135" stopIfTrue="1">
      <formula>OR(LEFT(D470,4)="HOLD",OR(A470="QTNP",A470="HOA THO",A470="YES VINA",A470="HUNG YEN",A470="TEX GIANG",A470="HUNG LONG"),LEFT(A470,5)="HANES",LEFT(A470,3)="ITG")</formula>
    </cfRule>
  </conditionalFormatting>
  <conditionalFormatting sqref="D470">
    <cfRule type="expression" dxfId="3133" priority="3130" stopIfTrue="1">
      <formula>OR(LEFT(D470,4)="KHTT",LEFT(D470,5)="10USD",RIGHT(D470,3)="TTC",LEFT(D470,3)="TNT")</formula>
    </cfRule>
    <cfRule type="expression" dxfId="3132" priority="3131" stopIfTrue="1">
      <formula>OR(LEFT(D470,3)="CTU",LEFT(D470,4)="HDON")</formula>
    </cfRule>
    <cfRule type="expression" dxfId="3131" priority="3132" stopIfTrue="1">
      <formula>OR(LEFT(D470,4)="HOLD",OR(A470="QTNP",A470="HOA THO",A470="YES VINA",A470="HUNG YEN",A470="TEX GIANG",A470="HUNG LONG"),LEFT(A470,5)="HANES",LEFT(A470,3)="ITG")</formula>
    </cfRule>
  </conditionalFormatting>
  <conditionalFormatting sqref="D469">
    <cfRule type="expression" dxfId="3130" priority="3127" stopIfTrue="1">
      <formula>OR(LEFT(D469,4)="KHTT",LEFT(D469,5)="10USD",RIGHT(D469,3)="TTC",LEFT(D469,3)="TNT")</formula>
    </cfRule>
    <cfRule type="expression" dxfId="3129" priority="3128" stopIfTrue="1">
      <formula>OR(LEFT(D469,3)="CTU",LEFT(D469,4)="HDON")</formula>
    </cfRule>
    <cfRule type="expression" dxfId="3128" priority="3129" stopIfTrue="1">
      <formula>OR(LEFT(D469,4)="HOLD",OR(A469="QTNP",A469="HOA THO",A469="YES VINA",A469="HUNG YEN",A469="TEX GIANG",A469="HUNG LONG"),LEFT(A469,5)="HANES",LEFT(A469,3)="ITG")</formula>
    </cfRule>
  </conditionalFormatting>
  <conditionalFormatting sqref="D469">
    <cfRule type="expression" dxfId="3127" priority="3124" stopIfTrue="1">
      <formula>OR(LEFT(D469,4)="KHTT",LEFT(D469,5)="10USD",RIGHT(D469,3)="TTC",LEFT(D469,3)="TNT")</formula>
    </cfRule>
    <cfRule type="expression" dxfId="3126" priority="3125" stopIfTrue="1">
      <formula>OR(LEFT(D469,3)="CTU",LEFT(D469,4)="HDON")</formula>
    </cfRule>
    <cfRule type="expression" dxfId="3125" priority="3126" stopIfTrue="1">
      <formula>OR(LEFT(D469,4)="HOLD",OR(A469="QTNP",A469="HOA THO",A469="YES VINA",A469="HUNG YEN",A469="TEX GIANG",A469="HUNG LONG"),LEFT(A469,5)="HANES",LEFT(A469,3)="ITG")</formula>
    </cfRule>
  </conditionalFormatting>
  <conditionalFormatting sqref="D469">
    <cfRule type="expression" dxfId="3124" priority="3121" stopIfTrue="1">
      <formula>OR(LEFT(D469,4)="KHTT",LEFT(D469,5)="10USD",RIGHT(D469,3)="TTC",LEFT(D469,3)="TNT")</formula>
    </cfRule>
    <cfRule type="expression" dxfId="3123" priority="3122" stopIfTrue="1">
      <formula>OR(LEFT(D469,3)="CTU",LEFT(D469,4)="HDON")</formula>
    </cfRule>
    <cfRule type="expression" dxfId="3122" priority="3123" stopIfTrue="1">
      <formula>OR(LEFT(D469,4)="HOLD",OR(A469="QTNP",A469="HOA THO",A469="YES VINA",A469="HUNG YEN",A469="TEX GIANG",A469="HUNG LONG"),LEFT(A469,5)="HANES",LEFT(A469,3)="ITG")</formula>
    </cfRule>
  </conditionalFormatting>
  <conditionalFormatting sqref="D469">
    <cfRule type="expression" dxfId="3121" priority="3118" stopIfTrue="1">
      <formula>OR(LEFT(D469,4)="KHTT",LEFT(D469,5)="10USD",RIGHT(D469,3)="TTC",LEFT(D469,3)="TNT")</formula>
    </cfRule>
    <cfRule type="expression" dxfId="3120" priority="3119" stopIfTrue="1">
      <formula>OR(LEFT(D469,3)="CTU",LEFT(D469,4)="HDON")</formula>
    </cfRule>
    <cfRule type="expression" dxfId="3119" priority="3120" stopIfTrue="1">
      <formula>OR(LEFT(D469,4)="HOLD",OR(A469="QTNP",A469="HOA THO",A469="YES VINA",A469="HUNG YEN",A469="TEX GIANG",A469="HUNG LONG"),LEFT(A469,5)="HANES",LEFT(A469,3)="ITG")</formula>
    </cfRule>
  </conditionalFormatting>
  <conditionalFormatting sqref="D469">
    <cfRule type="expression" dxfId="3118" priority="3115" stopIfTrue="1">
      <formula>OR(LEFT(D469,4)="KHTT",LEFT(D469,5)="10USD",RIGHT(D469,3)="TTC",LEFT(D469,3)="TNT")</formula>
    </cfRule>
    <cfRule type="expression" dxfId="3117" priority="3116" stopIfTrue="1">
      <formula>OR(LEFT(D469,3)="CTU",LEFT(D469,4)="HDON")</formula>
    </cfRule>
    <cfRule type="expression" dxfId="3116" priority="3117" stopIfTrue="1">
      <formula>OR(LEFT(D469,4)="HOLD",OR(A469="QTNP",A469="HOA THO",A469="YES VINA",A469="HUNG YEN",A469="TEX GIANG",A469="HUNG LONG"),LEFT(A469,5)="HANES",LEFT(A469,3)="ITG")</formula>
    </cfRule>
  </conditionalFormatting>
  <conditionalFormatting sqref="D469">
    <cfRule type="expression" dxfId="3115" priority="3112" stopIfTrue="1">
      <formula>OR(LEFT(D469,4)="KHTT",LEFT(D469,5)="10USD",RIGHT(D469,3)="TTC",LEFT(D469,3)="TNT")</formula>
    </cfRule>
    <cfRule type="expression" dxfId="3114" priority="3113" stopIfTrue="1">
      <formula>OR(LEFT(D469,3)="CTU",LEFT(D469,4)="HDON")</formula>
    </cfRule>
    <cfRule type="expression" dxfId="3113" priority="3114" stopIfTrue="1">
      <formula>OR(LEFT(D469,4)="HOLD",OR(A469="QTNP",A469="HOA THO",A469="YES VINA",A469="HUNG YEN",A469="TEX GIANG",A469="HUNG LONG"),LEFT(A469,5)="HANES",LEFT(A469,3)="ITG")</formula>
    </cfRule>
  </conditionalFormatting>
  <conditionalFormatting sqref="D469">
    <cfRule type="expression" dxfId="3112" priority="3109" stopIfTrue="1">
      <formula>OR(LEFT(D469,4)="KHTT",LEFT(D469,5)="10USD",RIGHT(D469,3)="TTC",LEFT(D469,3)="TNT")</formula>
    </cfRule>
    <cfRule type="expression" dxfId="3111" priority="3110" stopIfTrue="1">
      <formula>OR(LEFT(D469,3)="CTU",LEFT(D469,4)="HDON")</formula>
    </cfRule>
    <cfRule type="expression" dxfId="3110" priority="3111" stopIfTrue="1">
      <formula>OR(LEFT(D469,4)="HOLD",OR(A469="QTNP",A469="HOA THO",A469="YES VINA",A469="HUNG YEN",A469="TEX GIANG",A469="HUNG LONG"),LEFT(A469,5)="HANES",LEFT(A469,3)="ITG")</formula>
    </cfRule>
  </conditionalFormatting>
  <conditionalFormatting sqref="D469">
    <cfRule type="expression" dxfId="3109" priority="3106" stopIfTrue="1">
      <formula>OR(LEFT(D469,4)="KHTT",LEFT(D469,5)="10USD",RIGHT(D469,3)="TTC",LEFT(D469,3)="TNT")</formula>
    </cfRule>
    <cfRule type="expression" dxfId="3108" priority="3107" stopIfTrue="1">
      <formula>OR(LEFT(D469,3)="CTU",LEFT(D469,4)="HDON")</formula>
    </cfRule>
    <cfRule type="expression" dxfId="3107" priority="3108" stopIfTrue="1">
      <formula>OR(LEFT(D469,4)="HOLD",OR(A469="QTNP",A469="HOA THO",A469="YES VINA",A469="HUNG YEN",A469="TEX GIANG",A469="HUNG LONG"),LEFT(A469,5)="HANES",LEFT(A469,3)="ITG")</formula>
    </cfRule>
  </conditionalFormatting>
  <conditionalFormatting sqref="D469">
    <cfRule type="expression" dxfId="3106" priority="3103" stopIfTrue="1">
      <formula>OR(LEFT(D469,4)="KHTT",LEFT(D469,5)="10USD",RIGHT(D469,3)="TTC",LEFT(D469,3)="TNT")</formula>
    </cfRule>
    <cfRule type="expression" dxfId="3105" priority="3104" stopIfTrue="1">
      <formula>OR(LEFT(D469,3)="CTU",LEFT(D469,4)="HDON")</formula>
    </cfRule>
    <cfRule type="expression" dxfId="3104" priority="3105" stopIfTrue="1">
      <formula>OR(LEFT(D469,4)="HOLD",OR(A469="QTNP",A469="HOA THO",A469="YES VINA",A469="HUNG YEN",A469="TEX GIANG",A469="HUNG LONG"),LEFT(A469,5)="HANES",LEFT(A469,3)="ITG")</formula>
    </cfRule>
  </conditionalFormatting>
  <conditionalFormatting sqref="D469">
    <cfRule type="expression" dxfId="3103" priority="3100" stopIfTrue="1">
      <formula>OR(LEFT(D469,4)="KHTT",LEFT(D469,5)="10USD",RIGHT(D469,3)="TTC",LEFT(D469,3)="TNT")</formula>
    </cfRule>
    <cfRule type="expression" dxfId="3102" priority="3101" stopIfTrue="1">
      <formula>OR(LEFT(D469,3)="CTU",LEFT(D469,4)="HDON")</formula>
    </cfRule>
    <cfRule type="expression" dxfId="3101" priority="3102" stopIfTrue="1">
      <formula>OR(LEFT(D469,4)="HOLD",OR(A469="QTNP",A469="HOA THO",A469="YES VINA",A469="HUNG YEN",A469="TEX GIANG",A469="HUNG LONG"),LEFT(A469,5)="HANES",LEFT(A469,3)="ITG")</formula>
    </cfRule>
  </conditionalFormatting>
  <conditionalFormatting sqref="D469">
    <cfRule type="expression" dxfId="3100" priority="3097" stopIfTrue="1">
      <formula>OR(LEFT(D469,4)="KHTT",LEFT(D469,5)="10USD",RIGHT(D469,3)="TTC",LEFT(D469,3)="TNT")</formula>
    </cfRule>
    <cfRule type="expression" dxfId="3099" priority="3098" stopIfTrue="1">
      <formula>OR(LEFT(D469,3)="CTU",LEFT(D469,4)="HDON")</formula>
    </cfRule>
    <cfRule type="expression" dxfId="3098" priority="3099" stopIfTrue="1">
      <formula>OR(LEFT(D469,4)="HOLD",OR(A469="QTNP",A469="HOA THO",A469="YES VINA",A469="HUNG YEN",A469="TEX GIANG",A469="HUNG LONG"),LEFT(A469,5)="HANES",LEFT(A469,3)="ITG")</formula>
    </cfRule>
  </conditionalFormatting>
  <conditionalFormatting sqref="D469">
    <cfRule type="expression" dxfId="3097" priority="3094" stopIfTrue="1">
      <formula>OR(LEFT(D469,4)="KHTT",LEFT(D469,5)="10USD",RIGHT(D469,3)="TTC",LEFT(D469,3)="TNT")</formula>
    </cfRule>
    <cfRule type="expression" dxfId="3096" priority="3095" stopIfTrue="1">
      <formula>OR(LEFT(D469,3)="CTU",LEFT(D469,4)="HDON")</formula>
    </cfRule>
    <cfRule type="expression" dxfId="3095" priority="3096" stopIfTrue="1">
      <formula>OR(LEFT(D469,4)="HOLD",OR(A469="QTNP",A469="HOA THO",A469="YES VINA",A469="HUNG YEN",A469="TEX GIANG",A469="HUNG LONG"),LEFT(A469,5)="HANES",LEFT(A469,3)="ITG")</formula>
    </cfRule>
  </conditionalFormatting>
  <conditionalFormatting sqref="D469">
    <cfRule type="expression" dxfId="3094" priority="3091" stopIfTrue="1">
      <formula>OR(LEFT(D469,4)="KHTT",LEFT(D469,5)="10USD",RIGHT(D469,3)="TTC",LEFT(D469,3)="TNT")</formula>
    </cfRule>
    <cfRule type="expression" dxfId="3093" priority="3092" stopIfTrue="1">
      <formula>OR(LEFT(D469,3)="CTU",LEFT(D469,4)="HDON")</formula>
    </cfRule>
    <cfRule type="expression" dxfId="3092" priority="3093" stopIfTrue="1">
      <formula>OR(LEFT(D469,4)="HOLD",OR(A469="QTNP",A469="HOA THO",A469="YES VINA",A469="HUNG YEN",A469="TEX GIANG",A469="HUNG LONG"),LEFT(A469,5)="HANES",LEFT(A469,3)="ITG")</formula>
    </cfRule>
  </conditionalFormatting>
  <conditionalFormatting sqref="D469">
    <cfRule type="expression" dxfId="3091" priority="3088" stopIfTrue="1">
      <formula>OR(LEFT(D469,4)="KHTT",LEFT(D469,5)="10USD",RIGHT(D469,3)="TTC",LEFT(D469,3)="TNT")</formula>
    </cfRule>
    <cfRule type="expression" dxfId="3090" priority="3089" stopIfTrue="1">
      <formula>OR(LEFT(D469,3)="CTU",LEFT(D469,4)="HDON")</formula>
    </cfRule>
    <cfRule type="expression" dxfId="3089" priority="3090" stopIfTrue="1">
      <formula>OR(LEFT(D469,4)="HOLD",OR(A469="QTNP",A469="HOA THO",A469="YES VINA",A469="HUNG YEN",A469="TEX GIANG",A469="HUNG LONG"),LEFT(A469,5)="HANES",LEFT(A469,3)="ITG")</formula>
    </cfRule>
  </conditionalFormatting>
  <conditionalFormatting sqref="D469">
    <cfRule type="expression" dxfId="3088" priority="3085" stopIfTrue="1">
      <formula>OR(LEFT(D469,4)="KHTT",LEFT(D469,5)="10USD",RIGHT(D469,3)="TTC",LEFT(D469,3)="TNT")</formula>
    </cfRule>
    <cfRule type="expression" dxfId="3087" priority="3086" stopIfTrue="1">
      <formula>OR(LEFT(D469,3)="CTU",LEFT(D469,4)="HDON")</formula>
    </cfRule>
    <cfRule type="expression" dxfId="3086" priority="3087" stopIfTrue="1">
      <formula>OR(LEFT(D469,4)="HOLD",OR(A469="QTNP",A469="HOA THO",A469="YES VINA",A469="HUNG YEN",A469="TEX GIANG",A469="HUNG LONG"),LEFT(A469,5)="HANES",LEFT(A469,3)="ITG")</formula>
    </cfRule>
  </conditionalFormatting>
  <conditionalFormatting sqref="D469">
    <cfRule type="expression" dxfId="3085" priority="3082" stopIfTrue="1">
      <formula>OR(LEFT(D469,4)="KHTT",LEFT(D469,5)="10USD",RIGHT(D469,3)="TTC",LEFT(D469,3)="TNT")</formula>
    </cfRule>
    <cfRule type="expression" dxfId="3084" priority="3083" stopIfTrue="1">
      <formula>OR(LEFT(D469,3)="CTU",LEFT(D469,4)="HDON")</formula>
    </cfRule>
    <cfRule type="expression" dxfId="3083" priority="3084" stopIfTrue="1">
      <formula>OR(LEFT(D469,4)="HOLD",OR(A469="QTNP",A469="HOA THO",A469="YES VINA",A469="HUNG YEN",A469="TEX GIANG",A469="HUNG LONG"),LEFT(A469,5)="HANES",LEFT(A469,3)="ITG")</formula>
    </cfRule>
  </conditionalFormatting>
  <conditionalFormatting sqref="D469">
    <cfRule type="expression" dxfId="3082" priority="3079" stopIfTrue="1">
      <formula>OR(LEFT(D469,4)="KHTT",LEFT(D469,5)="10USD",RIGHT(D469,3)="TTC",LEFT(D469,3)="TNT")</formula>
    </cfRule>
    <cfRule type="expression" dxfId="3081" priority="3080" stopIfTrue="1">
      <formula>OR(LEFT(D469,3)="CTU",LEFT(D469,4)="HDON")</formula>
    </cfRule>
    <cfRule type="expression" dxfId="3080" priority="3081" stopIfTrue="1">
      <formula>OR(LEFT(D469,4)="HOLD",OR(A469="QTNP",A469="HOA THO",A469="YES VINA",A469="HUNG YEN",A469="TEX GIANG",A469="HUNG LONG"),LEFT(A469,5)="HANES",LEFT(A469,3)="ITG")</formula>
    </cfRule>
  </conditionalFormatting>
  <conditionalFormatting sqref="D469">
    <cfRule type="expression" dxfId="3079" priority="3076" stopIfTrue="1">
      <formula>OR(LEFT(D469,4)="KHTT",LEFT(D469,5)="10USD",RIGHT(D469,3)="TTC",LEFT(D469,3)="TNT")</formula>
    </cfRule>
    <cfRule type="expression" dxfId="3078" priority="3077" stopIfTrue="1">
      <formula>OR(LEFT(D469,3)="CTU",LEFT(D469,4)="HDON")</formula>
    </cfRule>
    <cfRule type="expression" dxfId="3077" priority="3078" stopIfTrue="1">
      <formula>OR(LEFT(D469,4)="HOLD",OR(A469="QTNP",A469="HOA THO",A469="YES VINA",A469="HUNG YEN",A469="TEX GIANG",A469="HUNG LONG"),LEFT(A469,5)="HANES",LEFT(A469,3)="ITG")</formula>
    </cfRule>
  </conditionalFormatting>
  <conditionalFormatting sqref="D469">
    <cfRule type="expression" dxfId="3076" priority="3073" stopIfTrue="1">
      <formula>OR(LEFT(D469,4)="KHTT",LEFT(D469,5)="10USD",RIGHT(D469,3)="TTC",LEFT(D469,3)="TNT")</formula>
    </cfRule>
    <cfRule type="expression" dxfId="3075" priority="3074" stopIfTrue="1">
      <formula>OR(LEFT(D469,3)="CTU",LEFT(D469,4)="HDON")</formula>
    </cfRule>
    <cfRule type="expression" dxfId="3074" priority="3075" stopIfTrue="1">
      <formula>OR(LEFT(D469,4)="HOLD",OR(A469="QTNP",A469="HOA THO",A469="YES VINA",A469="HUNG YEN",A469="TEX GIANG",A469="HUNG LONG"),LEFT(A469,5)="HANES",LEFT(A469,3)="ITG")</formula>
    </cfRule>
  </conditionalFormatting>
  <conditionalFormatting sqref="D469">
    <cfRule type="expression" dxfId="3073" priority="3070" stopIfTrue="1">
      <formula>OR(LEFT(D469,4)="KHTT",LEFT(D469,5)="10USD",RIGHT(D469,3)="TTC",LEFT(D469,3)="TNT")</formula>
    </cfRule>
    <cfRule type="expression" dxfId="3072" priority="3071" stopIfTrue="1">
      <formula>OR(LEFT(D469,3)="CTU",LEFT(D469,4)="HDON")</formula>
    </cfRule>
    <cfRule type="expression" dxfId="3071" priority="3072" stopIfTrue="1">
      <formula>OR(LEFT(D469,4)="HOLD",OR(A469="QTNP",A469="HOA THO",A469="YES VINA",A469="HUNG YEN",A469="TEX GIANG",A469="HUNG LONG"),LEFT(A469,5)="HANES",LEFT(A469,3)="ITG")</formula>
    </cfRule>
  </conditionalFormatting>
  <conditionalFormatting sqref="D469">
    <cfRule type="expression" dxfId="3070" priority="3067" stopIfTrue="1">
      <formula>OR(LEFT(D469,4)="KHTT",LEFT(D469,5)="10USD",RIGHT(D469,3)="TTC",LEFT(D469,3)="TNT")</formula>
    </cfRule>
    <cfRule type="expression" dxfId="3069" priority="3068" stopIfTrue="1">
      <formula>OR(LEFT(D469,3)="CTU",LEFT(D469,4)="HDON")</formula>
    </cfRule>
    <cfRule type="expression" dxfId="3068" priority="3069" stopIfTrue="1">
      <formula>OR(LEFT(D469,4)="HOLD",OR(A469="QTNP",A469="HOA THO",A469="YES VINA",A469="HUNG YEN",A469="TEX GIANG",A469="HUNG LONG"),LEFT(A469,5)="HANES",LEFT(A469,3)="ITG")</formula>
    </cfRule>
  </conditionalFormatting>
  <conditionalFormatting sqref="D469">
    <cfRule type="expression" dxfId="3067" priority="3064" stopIfTrue="1">
      <formula>OR(LEFT(D469,4)="KHTT",LEFT(D469,5)="10USD",RIGHT(D469,3)="TTC",LEFT(D469,3)="TNT")</formula>
    </cfRule>
    <cfRule type="expression" dxfId="3066" priority="3065" stopIfTrue="1">
      <formula>OR(LEFT(D469,3)="CTU",LEFT(D469,4)="HDON")</formula>
    </cfRule>
    <cfRule type="expression" dxfId="3065" priority="3066" stopIfTrue="1">
      <formula>OR(LEFT(D469,4)="HOLD",OR(A469="QTNP",A469="HOA THO",A469="YES VINA",A469="HUNG YEN",A469="TEX GIANG",A469="HUNG LONG"),LEFT(A469,5)="HANES",LEFT(A469,3)="ITG")</formula>
    </cfRule>
  </conditionalFormatting>
  <conditionalFormatting sqref="D469">
    <cfRule type="expression" dxfId="3064" priority="3061" stopIfTrue="1">
      <formula>OR(LEFT(D469,4)="KHTT",LEFT(D469,5)="10USD",RIGHT(D469,3)="TTC",LEFT(D469,3)="TNT")</formula>
    </cfRule>
    <cfRule type="expression" dxfId="3063" priority="3062" stopIfTrue="1">
      <formula>OR(LEFT(D469,3)="CTU",LEFT(D469,4)="HDON")</formula>
    </cfRule>
    <cfRule type="expression" dxfId="3062" priority="3063" stopIfTrue="1">
      <formula>OR(LEFT(D469,4)="HOLD",OR(A469="QTNP",A469="HOA THO",A469="YES VINA",A469="HUNG YEN",A469="TEX GIANG",A469="HUNG LONG"),LEFT(A469,5)="HANES",LEFT(A469,3)="ITG")</formula>
    </cfRule>
  </conditionalFormatting>
  <conditionalFormatting sqref="D469">
    <cfRule type="expression" dxfId="3061" priority="3058" stopIfTrue="1">
      <formula>OR(LEFT(D469,4)="KHTT",LEFT(D469,5)="10USD",RIGHT(D469,3)="TTC",LEFT(D469,3)="TNT")</formula>
    </cfRule>
    <cfRule type="expression" dxfId="3060" priority="3059" stopIfTrue="1">
      <formula>OR(LEFT(D469,3)="CTU",LEFT(D469,4)="HDON")</formula>
    </cfRule>
    <cfRule type="expression" dxfId="3059" priority="3060" stopIfTrue="1">
      <formula>OR(LEFT(D469,4)="HOLD",OR(A469="QTNP",A469="HOA THO",A469="YES VINA",A469="HUNG YEN",A469="TEX GIANG",A469="HUNG LONG"),LEFT(A469,5)="HANES",LEFT(A469,3)="ITG")</formula>
    </cfRule>
  </conditionalFormatting>
  <conditionalFormatting sqref="D469">
    <cfRule type="expression" dxfId="3058" priority="3055" stopIfTrue="1">
      <formula>OR(LEFT(D469,4)="KHTT",LEFT(D469,5)="10USD",RIGHT(D469,3)="TTC",LEFT(D469,3)="TNT")</formula>
    </cfRule>
    <cfRule type="expression" dxfId="3057" priority="3056" stopIfTrue="1">
      <formula>OR(LEFT(D469,3)="CTU",LEFT(D469,4)="HDON")</formula>
    </cfRule>
    <cfRule type="expression" dxfId="3056" priority="3057" stopIfTrue="1">
      <formula>OR(LEFT(D469,4)="HOLD",OR(A469="QTNP",A469="HOA THO",A469="YES VINA",A469="HUNG YEN",A469="TEX GIANG",A469="HUNG LONG"),LEFT(A469,5)="HANES",LEFT(A469,3)="ITG")</formula>
    </cfRule>
  </conditionalFormatting>
  <conditionalFormatting sqref="D469">
    <cfRule type="expression" dxfId="3055" priority="3052" stopIfTrue="1">
      <formula>OR(LEFT(D469,4)="KHTT",LEFT(D469,5)="10USD",RIGHT(D469,3)="TTC",LEFT(D469,3)="TNT")</formula>
    </cfRule>
    <cfRule type="expression" dxfId="3054" priority="3053" stopIfTrue="1">
      <formula>OR(LEFT(D469,3)="CTU",LEFT(D469,4)="HDON")</formula>
    </cfRule>
    <cfRule type="expression" dxfId="3053" priority="3054" stopIfTrue="1">
      <formula>OR(LEFT(D469,4)="HOLD",OR(A469="QTNP",A469="HOA THO",A469="YES VINA",A469="HUNG YEN",A469="TEX GIANG",A469="HUNG LONG"),LEFT(A469,5)="HANES",LEFT(A469,3)="ITG")</formula>
    </cfRule>
  </conditionalFormatting>
  <conditionalFormatting sqref="D469">
    <cfRule type="expression" dxfId="3052" priority="3049" stopIfTrue="1">
      <formula>OR(LEFT(D469,4)="KHTT",LEFT(D469,5)="10USD",RIGHT(D469,3)="TTC",LEFT(D469,3)="TNT")</formula>
    </cfRule>
    <cfRule type="expression" dxfId="3051" priority="3050" stopIfTrue="1">
      <formula>OR(LEFT(D469,3)="CTU",LEFT(D469,4)="HDON")</formula>
    </cfRule>
    <cfRule type="expression" dxfId="3050" priority="3051" stopIfTrue="1">
      <formula>OR(LEFT(D469,4)="HOLD",OR(A469="QTNP",A469="HOA THO",A469="YES VINA",A469="HUNG YEN",A469="TEX GIANG",A469="HUNG LONG"),LEFT(A469,5)="HANES",LEFT(A469,3)="ITG")</formula>
    </cfRule>
  </conditionalFormatting>
  <conditionalFormatting sqref="D469">
    <cfRule type="expression" dxfId="3049" priority="3046" stopIfTrue="1">
      <formula>OR(LEFT(D469,4)="KHTT",LEFT(D469,5)="10USD",RIGHT(D469,3)="TTC",LEFT(D469,3)="TNT")</formula>
    </cfRule>
    <cfRule type="expression" dxfId="3048" priority="3047" stopIfTrue="1">
      <formula>OR(LEFT(D469,3)="CTU",LEFT(D469,4)="HDON")</formula>
    </cfRule>
    <cfRule type="expression" dxfId="3047" priority="3048" stopIfTrue="1">
      <formula>OR(LEFT(D469,4)="HOLD",OR(A469="QTNP",A469="HOA THO",A469="YES VINA",A469="HUNG YEN",A469="TEX GIANG",A469="HUNG LONG"),LEFT(A469,5)="HANES",LEFT(A469,3)="ITG")</formula>
    </cfRule>
  </conditionalFormatting>
  <conditionalFormatting sqref="D469">
    <cfRule type="expression" dxfId="3046" priority="3043" stopIfTrue="1">
      <formula>OR(LEFT(D469,4)="KHTT",LEFT(D469,5)="10USD",RIGHT(D469,3)="TTC",LEFT(D469,3)="TNT")</formula>
    </cfRule>
    <cfRule type="expression" dxfId="3045" priority="3044" stopIfTrue="1">
      <formula>OR(LEFT(D469,3)="CTU",LEFT(D469,4)="HDON")</formula>
    </cfRule>
    <cfRule type="expression" dxfId="3044" priority="3045" stopIfTrue="1">
      <formula>OR(LEFT(D469,4)="HOLD",OR(A469="QTNP",A469="HOA THO",A469="YES VINA",A469="HUNG YEN",A469="TEX GIANG",A469="HUNG LONG"),LEFT(A469,5)="HANES",LEFT(A469,3)="ITG")</formula>
    </cfRule>
  </conditionalFormatting>
  <conditionalFormatting sqref="D469">
    <cfRule type="expression" dxfId="3043" priority="3040" stopIfTrue="1">
      <formula>OR(LEFT(D469,4)="KHTT",LEFT(D469,5)="10USD",RIGHT(D469,3)="TTC",LEFT(D469,3)="TNT")</formula>
    </cfRule>
    <cfRule type="expression" dxfId="3042" priority="3041" stopIfTrue="1">
      <formula>OR(LEFT(D469,3)="CTU",LEFT(D469,4)="HDON")</formula>
    </cfRule>
    <cfRule type="expression" dxfId="3041" priority="3042" stopIfTrue="1">
      <formula>OR(LEFT(D469,4)="HOLD",OR(A469="QTNP",A469="HOA THO",A469="YES VINA",A469="HUNG YEN",A469="TEX GIANG",A469="HUNG LONG"),LEFT(A469,5)="HANES",LEFT(A469,3)="ITG")</formula>
    </cfRule>
  </conditionalFormatting>
  <conditionalFormatting sqref="D469">
    <cfRule type="expression" dxfId="3040" priority="3037" stopIfTrue="1">
      <formula>OR(LEFT(D469,4)="KHTT",LEFT(D469,5)="10USD",RIGHT(D469,3)="TTC",LEFT(D469,3)="TNT")</formula>
    </cfRule>
    <cfRule type="expression" dxfId="3039" priority="3038" stopIfTrue="1">
      <formula>OR(LEFT(D469,3)="CTU",LEFT(D469,4)="HDON")</formula>
    </cfRule>
    <cfRule type="expression" dxfId="3038" priority="3039" stopIfTrue="1">
      <formula>OR(LEFT(D469,4)="HOLD",OR(A469="QTNP",A469="HOA THO",A469="YES VINA",A469="HUNG YEN",A469="TEX GIANG",A469="HUNG LONG"),LEFT(A469,5)="HANES",LEFT(A469,3)="ITG")</formula>
    </cfRule>
  </conditionalFormatting>
  <conditionalFormatting sqref="D469">
    <cfRule type="expression" dxfId="3037" priority="3034" stopIfTrue="1">
      <formula>OR(LEFT(D469,4)="KHTT",LEFT(D469,5)="10USD",RIGHT(D469,3)="TTC",LEFT(D469,3)="TNT")</formula>
    </cfRule>
    <cfRule type="expression" dxfId="3036" priority="3035" stopIfTrue="1">
      <formula>OR(LEFT(D469,3)="CTU",LEFT(D469,4)="HDON")</formula>
    </cfRule>
    <cfRule type="expression" dxfId="3035" priority="3036" stopIfTrue="1">
      <formula>OR(LEFT(D469,4)="HOLD",OR(A469="QTNP",A469="HOA THO",A469="YES VINA",A469="HUNG YEN",A469="TEX GIANG",A469="HUNG LONG"),LEFT(A469,5)="HANES",LEFT(A469,3)="ITG")</formula>
    </cfRule>
  </conditionalFormatting>
  <conditionalFormatting sqref="D469">
    <cfRule type="expression" dxfId="3034" priority="3031" stopIfTrue="1">
      <formula>OR(LEFT(D469,4)="KHTT",LEFT(D469,5)="10USD",RIGHT(D469,3)="TTC",LEFT(D469,3)="TNT")</formula>
    </cfRule>
    <cfRule type="expression" dxfId="3033" priority="3032" stopIfTrue="1">
      <formula>OR(LEFT(D469,3)="CTU",LEFT(D469,4)="HDON")</formula>
    </cfRule>
    <cfRule type="expression" dxfId="3032" priority="3033" stopIfTrue="1">
      <formula>OR(LEFT(D469,4)="HOLD",OR(A469="QTNP",A469="HOA THO",A469="YES VINA",A469="HUNG YEN",A469="TEX GIANG",A469="HUNG LONG"),LEFT(A469,5)="HANES",LEFT(A469,3)="ITG")</formula>
    </cfRule>
  </conditionalFormatting>
  <conditionalFormatting sqref="D469">
    <cfRule type="expression" dxfId="3031" priority="3028" stopIfTrue="1">
      <formula>OR(LEFT(D469,4)="KHTT",LEFT(D469,5)="10USD",RIGHT(D469,3)="TTC",LEFT(D469,3)="TNT")</formula>
    </cfRule>
    <cfRule type="expression" dxfId="3030" priority="3029" stopIfTrue="1">
      <formula>OR(LEFT(D469,3)="CTU",LEFT(D469,4)="HDON")</formula>
    </cfRule>
    <cfRule type="expression" dxfId="3029" priority="3030" stopIfTrue="1">
      <formula>OR(LEFT(D469,4)="HOLD",OR(A469="QTNP",A469="HOA THO",A469="YES VINA",A469="HUNG YEN",A469="TEX GIANG",A469="HUNG LONG"),LEFT(A469,5)="HANES",LEFT(A469,3)="ITG")</formula>
    </cfRule>
  </conditionalFormatting>
  <conditionalFormatting sqref="D469">
    <cfRule type="expression" dxfId="3028" priority="3025" stopIfTrue="1">
      <formula>OR(LEFT(D469,4)="KHTT",LEFT(D469,5)="10USD",RIGHT(D469,3)="TTC",LEFT(D469,3)="TNT")</formula>
    </cfRule>
    <cfRule type="expression" dxfId="3027" priority="3026" stopIfTrue="1">
      <formula>OR(LEFT(D469,3)="CTU",LEFT(D469,4)="HDON")</formula>
    </cfRule>
    <cfRule type="expression" dxfId="3026" priority="3027" stopIfTrue="1">
      <formula>OR(LEFT(D469,4)="HOLD",OR(A469="QTNP",A469="HOA THO",A469="YES VINA",A469="HUNG YEN",A469="TEX GIANG",A469="HUNG LONG"),LEFT(A469,5)="HANES",LEFT(A469,3)="ITG")</formula>
    </cfRule>
  </conditionalFormatting>
  <conditionalFormatting sqref="D469">
    <cfRule type="expression" dxfId="3025" priority="3022" stopIfTrue="1">
      <formula>OR(LEFT(D469,4)="KHTT",LEFT(D469,5)="10USD",RIGHT(D469,3)="TTC",LEFT(D469,3)="TNT")</formula>
    </cfRule>
    <cfRule type="expression" dxfId="3024" priority="3023" stopIfTrue="1">
      <formula>OR(LEFT(D469,3)="CTU",LEFT(D469,4)="HDON")</formula>
    </cfRule>
    <cfRule type="expression" dxfId="3023" priority="3024" stopIfTrue="1">
      <formula>OR(LEFT(D469,4)="HOLD",OR(A469="QTNP",A469="HOA THO",A469="YES VINA",A469="HUNG YEN",A469="TEX GIANG",A469="HUNG LONG"),LEFT(A469,5)="HANES",LEFT(A469,3)="ITG")</formula>
    </cfRule>
  </conditionalFormatting>
  <conditionalFormatting sqref="D469">
    <cfRule type="expression" dxfId="3022" priority="3019" stopIfTrue="1">
      <formula>OR(LEFT(D469,4)="KHTT",LEFT(D469,5)="10USD",RIGHT(D469,3)="TTC",LEFT(D469,3)="TNT")</formula>
    </cfRule>
    <cfRule type="expression" dxfId="3021" priority="3020" stopIfTrue="1">
      <formula>OR(LEFT(D469,3)="CTU",LEFT(D469,4)="HDON")</formula>
    </cfRule>
    <cfRule type="expression" dxfId="3020" priority="3021" stopIfTrue="1">
      <formula>OR(LEFT(D469,4)="HOLD",OR(A469="QTNP",A469="HOA THO",A469="YES VINA",A469="HUNG YEN",A469="TEX GIANG",A469="HUNG LONG"),LEFT(A469,5)="HANES",LEFT(A469,3)="ITG")</formula>
    </cfRule>
  </conditionalFormatting>
  <conditionalFormatting sqref="D469">
    <cfRule type="expression" dxfId="3019" priority="3016" stopIfTrue="1">
      <formula>OR(LEFT(D469,4)="KHTT",LEFT(D469,5)="10USD",RIGHT(D469,3)="TTC",LEFT(D469,3)="TNT")</formula>
    </cfRule>
    <cfRule type="expression" dxfId="3018" priority="3017" stopIfTrue="1">
      <formula>OR(LEFT(D469,3)="CTU",LEFT(D469,4)="HDON")</formula>
    </cfRule>
    <cfRule type="expression" dxfId="3017" priority="3018" stopIfTrue="1">
      <formula>OR(LEFT(D469,4)="HOLD",OR(A469="QTNP",A469="HOA THO",A469="YES VINA",A469="HUNG YEN",A469="TEX GIANG",A469="HUNG LONG"),LEFT(A469,5)="HANES",LEFT(A469,3)="ITG")</formula>
    </cfRule>
  </conditionalFormatting>
  <conditionalFormatting sqref="D469">
    <cfRule type="expression" dxfId="3016" priority="3013" stopIfTrue="1">
      <formula>OR(LEFT(D469,4)="KHTT",LEFT(D469,5)="10USD",RIGHT(D469,3)="TTC",LEFT(D469,3)="TNT")</formula>
    </cfRule>
    <cfRule type="expression" dxfId="3015" priority="3014" stopIfTrue="1">
      <formula>OR(LEFT(D469,3)="CTU",LEFT(D469,4)="HDON")</formula>
    </cfRule>
    <cfRule type="expression" dxfId="3014" priority="3015" stopIfTrue="1">
      <formula>OR(LEFT(D469,4)="HOLD",OR(A469="QTNP",A469="HOA THO",A469="YES VINA",A469="HUNG YEN",A469="TEX GIANG",A469="HUNG LONG"),LEFT(A469,5)="HANES",LEFT(A469,3)="ITG")</formula>
    </cfRule>
  </conditionalFormatting>
  <conditionalFormatting sqref="D469">
    <cfRule type="expression" dxfId="3013" priority="3010" stopIfTrue="1">
      <formula>OR(LEFT(D469,4)="KHTT",LEFT(D469,5)="10USD",RIGHT(D469,3)="TTC",LEFT(D469,3)="TNT")</formula>
    </cfRule>
    <cfRule type="expression" dxfId="3012" priority="3011" stopIfTrue="1">
      <formula>OR(LEFT(D469,3)="CTU",LEFT(D469,4)="HDON")</formula>
    </cfRule>
    <cfRule type="expression" dxfId="3011" priority="3012" stopIfTrue="1">
      <formula>OR(LEFT(D469,4)="HOLD",OR(A469="QTNP",A469="HOA THO",A469="YES VINA",A469="HUNG YEN",A469="TEX GIANG",A469="HUNG LONG"),LEFT(A469,5)="HANES",LEFT(A469,3)="ITG")</formula>
    </cfRule>
  </conditionalFormatting>
  <conditionalFormatting sqref="D469">
    <cfRule type="expression" dxfId="3010" priority="3007" stopIfTrue="1">
      <formula>OR(LEFT(D469,4)="KHTT",LEFT(D469,5)="10USD",RIGHT(D469,3)="TTC",LEFT(D469,3)="TNT")</formula>
    </cfRule>
    <cfRule type="expression" dxfId="3009" priority="3008" stopIfTrue="1">
      <formula>OR(LEFT(D469,3)="CTU",LEFT(D469,4)="HDON")</formula>
    </cfRule>
    <cfRule type="expression" dxfId="3008" priority="3009" stopIfTrue="1">
      <formula>OR(LEFT(D469,4)="HOLD",OR(A469="QTNP",A469="HOA THO",A469="YES VINA",A469="HUNG YEN",A469="TEX GIANG",A469="HUNG LONG"),LEFT(A469,5)="HANES",LEFT(A469,3)="ITG")</formula>
    </cfRule>
  </conditionalFormatting>
  <conditionalFormatting sqref="D469">
    <cfRule type="expression" dxfId="3007" priority="3004" stopIfTrue="1">
      <formula>OR(LEFT(D469,4)="KHTT",LEFT(D469,5)="10USD",RIGHT(D469,3)="TTC",LEFT(D469,3)="TNT")</formula>
    </cfRule>
    <cfRule type="expression" dxfId="3006" priority="3005" stopIfTrue="1">
      <formula>OR(LEFT(D469,3)="CTU",LEFT(D469,4)="HDON")</formula>
    </cfRule>
    <cfRule type="expression" dxfId="3005" priority="3006" stopIfTrue="1">
      <formula>OR(LEFT(D469,4)="HOLD",OR(A469="QTNP",A469="HOA THO",A469="YES VINA",A469="HUNG YEN",A469="TEX GIANG",A469="HUNG LONG"),LEFT(A469,5)="HANES",LEFT(A469,3)="ITG")</formula>
    </cfRule>
  </conditionalFormatting>
  <conditionalFormatting sqref="D469">
    <cfRule type="expression" dxfId="3004" priority="3001" stopIfTrue="1">
      <formula>OR(LEFT(D469,4)="KHTT",LEFT(D469,5)="10USD",RIGHT(D469,3)="TTC",LEFT(D469,3)="TNT")</formula>
    </cfRule>
    <cfRule type="expression" dxfId="3003" priority="3002" stopIfTrue="1">
      <formula>OR(LEFT(D469,3)="CTU",LEFT(D469,4)="HDON")</formula>
    </cfRule>
    <cfRule type="expression" dxfId="3002" priority="3003" stopIfTrue="1">
      <formula>OR(LEFT(D469,4)="HOLD",OR(A469="QTNP",A469="HOA THO",A469="YES VINA",A469="HUNG YEN",A469="TEX GIANG",A469="HUNG LONG"),LEFT(A469,5)="HANES",LEFT(A469,3)="ITG")</formula>
    </cfRule>
  </conditionalFormatting>
  <conditionalFormatting sqref="D469">
    <cfRule type="expression" dxfId="3001" priority="2998" stopIfTrue="1">
      <formula>OR(LEFT(D469,4)="KHTT",LEFT(D469,5)="10USD",RIGHT(D469,3)="TTC",LEFT(D469,3)="TNT")</formula>
    </cfRule>
    <cfRule type="expression" dxfId="3000" priority="2999" stopIfTrue="1">
      <formula>OR(LEFT(D469,3)="CTU",LEFT(D469,4)="HDON")</formula>
    </cfRule>
    <cfRule type="expression" dxfId="2999" priority="3000" stopIfTrue="1">
      <formula>OR(LEFT(D469,4)="HOLD",OR(A469="QTNP",A469="HOA THO",A469="YES VINA",A469="HUNG YEN",A469="TEX GIANG",A469="HUNG LONG"),LEFT(A469,5)="HANES",LEFT(A469,3)="ITG")</formula>
    </cfRule>
  </conditionalFormatting>
  <conditionalFormatting sqref="D469">
    <cfRule type="expression" dxfId="2998" priority="2995" stopIfTrue="1">
      <formula>OR(LEFT(D469,4)="KHTT",LEFT(D469,5)="10USD",RIGHT(D469,3)="TTC",LEFT(D469,3)="TNT")</formula>
    </cfRule>
    <cfRule type="expression" dxfId="2997" priority="2996" stopIfTrue="1">
      <formula>OR(LEFT(D469,3)="CTU",LEFT(D469,4)="HDON")</formula>
    </cfRule>
    <cfRule type="expression" dxfId="2996" priority="2997" stopIfTrue="1">
      <formula>OR(LEFT(D469,4)="HOLD",OR(A469="QTNP",A469="HOA THO",A469="YES VINA",A469="HUNG YEN",A469="TEX GIANG",A469="HUNG LONG"),LEFT(A469,5)="HANES",LEFT(A469,3)="ITG")</formula>
    </cfRule>
  </conditionalFormatting>
  <conditionalFormatting sqref="D469">
    <cfRule type="expression" dxfId="2995" priority="2992" stopIfTrue="1">
      <formula>OR(LEFT(D469,4)="KHTT",LEFT(D469,5)="10USD",RIGHT(D469,3)="TTC",LEFT(D469,3)="TNT")</formula>
    </cfRule>
    <cfRule type="expression" dxfId="2994" priority="2993" stopIfTrue="1">
      <formula>OR(LEFT(D469,3)="CTU",LEFT(D469,4)="HDON")</formula>
    </cfRule>
    <cfRule type="expression" dxfId="2993" priority="2994" stopIfTrue="1">
      <formula>OR(LEFT(D469,4)="HOLD",OR(A469="QTNP",A469="HOA THO",A469="YES VINA",A469="HUNG YEN",A469="TEX GIANG",A469="HUNG LONG"),LEFT(A469,5)="HANES",LEFT(A469,3)="ITG")</formula>
    </cfRule>
  </conditionalFormatting>
  <conditionalFormatting sqref="D469">
    <cfRule type="expression" dxfId="2992" priority="2989" stopIfTrue="1">
      <formula>OR(LEFT(D469,4)="KHTT",LEFT(D469,5)="10USD",RIGHT(D469,3)="TTC",LEFT(D469,3)="TNT")</formula>
    </cfRule>
    <cfRule type="expression" dxfId="2991" priority="2990" stopIfTrue="1">
      <formula>OR(LEFT(D469,3)="CTU",LEFT(D469,4)="HDON")</formula>
    </cfRule>
    <cfRule type="expression" dxfId="2990" priority="2991" stopIfTrue="1">
      <formula>OR(LEFT(D469,4)="HOLD",OR(A469="QTNP",A469="HOA THO",A469="YES VINA",A469="HUNG YEN",A469="TEX GIANG",A469="HUNG LONG"),LEFT(A469,5)="HANES",LEFT(A469,3)="ITG")</formula>
    </cfRule>
  </conditionalFormatting>
  <conditionalFormatting sqref="D469">
    <cfRule type="expression" dxfId="2989" priority="2986" stopIfTrue="1">
      <formula>OR(LEFT(D469,4)="KHTT",LEFT(D469,5)="10USD",RIGHT(D469,3)="TTC",LEFT(D469,3)="TNT")</formula>
    </cfRule>
    <cfRule type="expression" dxfId="2988" priority="2987" stopIfTrue="1">
      <formula>OR(LEFT(D469,3)="CTU",LEFT(D469,4)="HDON")</formula>
    </cfRule>
    <cfRule type="expression" dxfId="2987" priority="2988" stopIfTrue="1">
      <formula>OR(LEFT(D469,4)="HOLD",OR(A469="QTNP",A469="HOA THO",A469="YES VINA",A469="HUNG YEN",A469="TEX GIANG",A469="HUNG LONG"),LEFT(A469,5)="HANES",LEFT(A469,3)="ITG")</formula>
    </cfRule>
  </conditionalFormatting>
  <conditionalFormatting sqref="D469">
    <cfRule type="expression" dxfId="2986" priority="2983" stopIfTrue="1">
      <formula>OR(LEFT(D469,4)="KHTT",LEFT(D469,5)="10USD",RIGHT(D469,3)="TTC",LEFT(D469,3)="TNT")</formula>
    </cfRule>
    <cfRule type="expression" dxfId="2985" priority="2984" stopIfTrue="1">
      <formula>OR(LEFT(D469,3)="CTU",LEFT(D469,4)="HDON")</formula>
    </cfRule>
    <cfRule type="expression" dxfId="2984" priority="2985" stopIfTrue="1">
      <formula>OR(LEFT(D469,4)="HOLD",OR(A469="QTNP",A469="HOA THO",A469="YES VINA",A469="HUNG YEN",A469="TEX GIANG",A469="HUNG LONG"),LEFT(A469,5)="HANES",LEFT(A469,3)="ITG")</formula>
    </cfRule>
  </conditionalFormatting>
  <conditionalFormatting sqref="D469">
    <cfRule type="expression" dxfId="2983" priority="2980" stopIfTrue="1">
      <formula>OR(LEFT(D469,4)="KHTT",LEFT(D469,5)="10USD",RIGHT(D469,3)="TTC",LEFT(D469,3)="TNT")</formula>
    </cfRule>
    <cfRule type="expression" dxfId="2982" priority="2981" stopIfTrue="1">
      <formula>OR(LEFT(D469,3)="CTU",LEFT(D469,4)="HDON")</formula>
    </cfRule>
    <cfRule type="expression" dxfId="2981" priority="2982" stopIfTrue="1">
      <formula>OR(LEFT(D469,4)="HOLD",OR(A469="QTNP",A469="HOA THO",A469="YES VINA",A469="HUNG YEN",A469="TEX GIANG",A469="HUNG LONG"),LEFT(A469,5)="HANES",LEFT(A469,3)="ITG")</formula>
    </cfRule>
  </conditionalFormatting>
  <conditionalFormatting sqref="D469">
    <cfRule type="expression" dxfId="2980" priority="2977" stopIfTrue="1">
      <formula>OR(LEFT(D469,4)="KHTT",LEFT(D469,5)="10USD",RIGHT(D469,3)="TTC",LEFT(D469,3)="TNT")</formula>
    </cfRule>
    <cfRule type="expression" dxfId="2979" priority="2978" stopIfTrue="1">
      <formula>OR(LEFT(D469,3)="CTU",LEFT(D469,4)="HDON")</formula>
    </cfRule>
    <cfRule type="expression" dxfId="2978" priority="2979" stopIfTrue="1">
      <formula>OR(LEFT(D469,4)="HOLD",OR(A469="QTNP",A469="HOA THO",A469="YES VINA",A469="HUNG YEN",A469="TEX GIANG",A469="HUNG LONG"),LEFT(A469,5)="HANES",LEFT(A469,3)="ITG")</formula>
    </cfRule>
  </conditionalFormatting>
  <conditionalFormatting sqref="D469">
    <cfRule type="expression" dxfId="2977" priority="2974" stopIfTrue="1">
      <formula>OR(LEFT(D469,4)="KHTT",LEFT(D469,5)="10USD",RIGHT(D469,3)="TTC",LEFT(D469,3)="TNT")</formula>
    </cfRule>
    <cfRule type="expression" dxfId="2976" priority="2975" stopIfTrue="1">
      <formula>OR(LEFT(D469,3)="CTU",LEFT(D469,4)="HDON")</formula>
    </cfRule>
    <cfRule type="expression" dxfId="2975" priority="2976" stopIfTrue="1">
      <formula>OR(LEFT(D469,4)="HOLD",OR(A469="QTNP",A469="HOA THO",A469="YES VINA",A469="HUNG YEN",A469="TEX GIANG",A469="HUNG LONG"),LEFT(A469,5)="HANES",LEFT(A469,3)="ITG")</formula>
    </cfRule>
  </conditionalFormatting>
  <conditionalFormatting sqref="D469">
    <cfRule type="expression" dxfId="2974" priority="2971" stopIfTrue="1">
      <formula>OR(LEFT(D469,4)="KHTT",LEFT(D469,5)="10USD",RIGHT(D469,3)="TTC",LEFT(D469,3)="TNT")</formula>
    </cfRule>
    <cfRule type="expression" dxfId="2973" priority="2972" stopIfTrue="1">
      <formula>OR(LEFT(D469,3)="CTU",LEFT(D469,4)="HDON")</formula>
    </cfRule>
    <cfRule type="expression" dxfId="2972" priority="2973" stopIfTrue="1">
      <formula>OR(LEFT(D469,4)="HOLD",OR(A469="QTNP",A469="HOA THO",A469="YES VINA",A469="HUNG YEN",A469="TEX GIANG",A469="HUNG LONG"),LEFT(A469,5)="HANES",LEFT(A469,3)="ITG")</formula>
    </cfRule>
  </conditionalFormatting>
  <conditionalFormatting sqref="D469">
    <cfRule type="expression" dxfId="2971" priority="2968" stopIfTrue="1">
      <formula>OR(LEFT(D469,4)="KHTT",LEFT(D469,5)="10USD",RIGHT(D469,3)="TTC",LEFT(D469,3)="TNT")</formula>
    </cfRule>
    <cfRule type="expression" dxfId="2970" priority="2969" stopIfTrue="1">
      <formula>OR(LEFT(D469,3)="CTU",LEFT(D469,4)="HDON")</formula>
    </cfRule>
    <cfRule type="expression" dxfId="2969" priority="2970" stopIfTrue="1">
      <formula>OR(LEFT(D469,4)="HOLD",OR(A469="QTNP",A469="HOA THO",A469="YES VINA",A469="HUNG YEN",A469="TEX GIANG",A469="HUNG LONG"),LEFT(A469,5)="HANES",LEFT(A469,3)="ITG")</formula>
    </cfRule>
  </conditionalFormatting>
  <conditionalFormatting sqref="D469">
    <cfRule type="expression" dxfId="2968" priority="2965" stopIfTrue="1">
      <formula>OR(LEFT(D469,4)="KHTT",LEFT(D469,5)="10USD",RIGHT(D469,3)="TTC",LEFT(D469,3)="TNT")</formula>
    </cfRule>
    <cfRule type="expression" dxfId="2967" priority="2966" stopIfTrue="1">
      <formula>OR(LEFT(D469,3)="CTU",LEFT(D469,4)="HDON")</formula>
    </cfRule>
    <cfRule type="expression" dxfId="2966" priority="2967" stopIfTrue="1">
      <formula>OR(LEFT(D469,4)="HOLD",OR(A469="QTNP",A469="HOA THO",A469="YES VINA",A469="HUNG YEN",A469="TEX GIANG",A469="HUNG LONG"),LEFT(A469,5)="HANES",LEFT(A469,3)="ITG")</formula>
    </cfRule>
  </conditionalFormatting>
  <conditionalFormatting sqref="D469">
    <cfRule type="expression" dxfId="2965" priority="2962" stopIfTrue="1">
      <formula>OR(LEFT(D469,4)="KHTT",LEFT(D469,5)="10USD",RIGHT(D469,3)="TTC",LEFT(D469,3)="TNT")</formula>
    </cfRule>
    <cfRule type="expression" dxfId="2964" priority="2963" stopIfTrue="1">
      <formula>OR(LEFT(D469,3)="CTU",LEFT(D469,4)="HDON")</formula>
    </cfRule>
    <cfRule type="expression" dxfId="2963" priority="2964" stopIfTrue="1">
      <formula>OR(LEFT(D469,4)="HOLD",OR(A469="QTNP",A469="HOA THO",A469="YES VINA",A469="HUNG YEN",A469="TEX GIANG",A469="HUNG LONG"),LEFT(A469,5)="HANES",LEFT(A469,3)="ITG")</formula>
    </cfRule>
  </conditionalFormatting>
  <conditionalFormatting sqref="D469">
    <cfRule type="expression" dxfId="2962" priority="2959" stopIfTrue="1">
      <formula>OR(LEFT(D469,4)="KHTT",LEFT(D469,5)="10USD",RIGHT(D469,3)="TTC",LEFT(D469,3)="TNT")</formula>
    </cfRule>
    <cfRule type="expression" dxfId="2961" priority="2960" stopIfTrue="1">
      <formula>OR(LEFT(D469,3)="CTU",LEFT(D469,4)="HDON")</formula>
    </cfRule>
    <cfRule type="expression" dxfId="2960" priority="2961" stopIfTrue="1">
      <formula>OR(LEFT(D469,4)="HOLD",OR(A469="QTNP",A469="HOA THO",A469="YES VINA",A469="HUNG YEN",A469="TEX GIANG",A469="HUNG LONG"),LEFT(A469,5)="HANES",LEFT(A469,3)="ITG")</formula>
    </cfRule>
  </conditionalFormatting>
  <conditionalFormatting sqref="D469">
    <cfRule type="expression" dxfId="2959" priority="2956" stopIfTrue="1">
      <formula>OR(LEFT(D469,4)="KHTT",LEFT(D469,5)="10USD",RIGHT(D469,3)="TTC",LEFT(D469,3)="TNT")</formula>
    </cfRule>
    <cfRule type="expression" dxfId="2958" priority="2957" stopIfTrue="1">
      <formula>OR(LEFT(D469,3)="CTU",LEFT(D469,4)="HDON")</formula>
    </cfRule>
    <cfRule type="expression" dxfId="2957" priority="2958" stopIfTrue="1">
      <formula>OR(LEFT(D469,4)="HOLD",OR(A469="QTNP",A469="HOA THO",A469="YES VINA",A469="HUNG YEN",A469="TEX GIANG",A469="HUNG LONG"),LEFT(A469,5)="HANES",LEFT(A469,3)="ITG")</formula>
    </cfRule>
  </conditionalFormatting>
  <conditionalFormatting sqref="D469">
    <cfRule type="expression" dxfId="2956" priority="2953" stopIfTrue="1">
      <formula>OR(LEFT(D469,4)="KHTT",LEFT(D469,5)="10USD",RIGHT(D469,3)="TTC",LEFT(D469,3)="TNT")</formula>
    </cfRule>
    <cfRule type="expression" dxfId="2955" priority="2954" stopIfTrue="1">
      <formula>OR(LEFT(D469,3)="CTU",LEFT(D469,4)="HDON")</formula>
    </cfRule>
    <cfRule type="expression" dxfId="2954" priority="2955" stopIfTrue="1">
      <formula>OR(LEFT(D469,4)="HOLD",OR(A469="QTNP",A469="HOA THO",A469="YES VINA",A469="HUNG YEN",A469="TEX GIANG",A469="HUNG LONG"),LEFT(A469,5)="HANES",LEFT(A469,3)="ITG")</formula>
    </cfRule>
  </conditionalFormatting>
  <conditionalFormatting sqref="D469">
    <cfRule type="expression" dxfId="2953" priority="2950" stopIfTrue="1">
      <formula>OR(LEFT(D469,4)="KHTT",LEFT(D469,5)="10USD",RIGHT(D469,3)="TTC",LEFT(D469,3)="TNT")</formula>
    </cfRule>
    <cfRule type="expression" dxfId="2952" priority="2951" stopIfTrue="1">
      <formula>OR(LEFT(D469,3)="CTU",LEFT(D469,4)="HDON")</formula>
    </cfRule>
    <cfRule type="expression" dxfId="2951" priority="2952" stopIfTrue="1">
      <formula>OR(LEFT(D469,4)="HOLD",OR(A469="QTNP",A469="HOA THO",A469="YES VINA",A469="HUNG YEN",A469="TEX GIANG",A469="HUNG LONG"),LEFT(A469,5)="HANES",LEFT(A469,3)="ITG")</formula>
    </cfRule>
  </conditionalFormatting>
  <conditionalFormatting sqref="D469">
    <cfRule type="expression" dxfId="2950" priority="2947" stopIfTrue="1">
      <formula>OR(LEFT(D469,4)="KHTT",LEFT(D469,5)="10USD",RIGHT(D469,3)="TTC",LEFT(D469,3)="TNT")</formula>
    </cfRule>
    <cfRule type="expression" dxfId="2949" priority="2948" stopIfTrue="1">
      <formula>OR(LEFT(D469,3)="CTU",LEFT(D469,4)="HDON")</formula>
    </cfRule>
    <cfRule type="expression" dxfId="2948" priority="2949" stopIfTrue="1">
      <formula>OR(LEFT(D469,4)="HOLD",OR(A469="QTNP",A469="HOA THO",A469="YES VINA",A469="HUNG YEN",A469="TEX GIANG",A469="HUNG LONG"),LEFT(A469,5)="HANES",LEFT(A469,3)="ITG")</formula>
    </cfRule>
  </conditionalFormatting>
  <conditionalFormatting sqref="D469">
    <cfRule type="expression" dxfId="2947" priority="2944" stopIfTrue="1">
      <formula>OR(LEFT(D469,4)="KHTT",LEFT(D469,5)="10USD",RIGHT(D469,3)="TTC",LEFT(D469,3)="TNT")</formula>
    </cfRule>
    <cfRule type="expression" dxfId="2946" priority="2945" stopIfTrue="1">
      <formula>OR(LEFT(D469,3)="CTU",LEFT(D469,4)="HDON")</formula>
    </cfRule>
    <cfRule type="expression" dxfId="2945" priority="2946" stopIfTrue="1">
      <formula>OR(LEFT(D469,4)="HOLD",OR(A469="QTNP",A469="HOA THO",A469="YES VINA",A469="HUNG YEN",A469="TEX GIANG",A469="HUNG LONG"),LEFT(A469,5)="HANES",LEFT(A469,3)="ITG")</formula>
    </cfRule>
  </conditionalFormatting>
  <conditionalFormatting sqref="D469">
    <cfRule type="expression" dxfId="2944" priority="2941" stopIfTrue="1">
      <formula>OR(LEFT(D469,4)="KHTT",LEFT(D469,5)="10USD",RIGHT(D469,3)="TTC",LEFT(D469,3)="TNT")</formula>
    </cfRule>
    <cfRule type="expression" dxfId="2943" priority="2942" stopIfTrue="1">
      <formula>OR(LEFT(D469,3)="CTU",LEFT(D469,4)="HDON")</formula>
    </cfRule>
    <cfRule type="expression" dxfId="2942" priority="2943" stopIfTrue="1">
      <formula>OR(LEFT(D469,4)="HOLD",OR(A469="QTNP",A469="HOA THO",A469="YES VINA",A469="HUNG YEN",A469="TEX GIANG",A469="HUNG LONG"),LEFT(A469,5)="HANES",LEFT(A469,3)="ITG")</formula>
    </cfRule>
  </conditionalFormatting>
  <conditionalFormatting sqref="D469">
    <cfRule type="expression" dxfId="2941" priority="2938" stopIfTrue="1">
      <formula>OR(LEFT(D469,4)="KHTT",LEFT(D469,5)="10USD",RIGHT(D469,3)="TTC",LEFT(D469,3)="TNT")</formula>
    </cfRule>
    <cfRule type="expression" dxfId="2940" priority="2939" stopIfTrue="1">
      <formula>OR(LEFT(D469,3)="CTU",LEFT(D469,4)="HDON")</formula>
    </cfRule>
    <cfRule type="expression" dxfId="2939" priority="2940" stopIfTrue="1">
      <formula>OR(LEFT(D469,4)="HOLD",OR(A469="QTNP",A469="HOA THO",A469="YES VINA",A469="HUNG YEN",A469="TEX GIANG",A469="HUNG LONG"),LEFT(A469,5)="HANES",LEFT(A469,3)="ITG")</formula>
    </cfRule>
  </conditionalFormatting>
  <conditionalFormatting sqref="D469">
    <cfRule type="expression" dxfId="2938" priority="2935" stopIfTrue="1">
      <formula>OR(LEFT(D469,4)="KHTT",LEFT(D469,5)="10USD",RIGHT(D469,3)="TTC",LEFT(D469,3)="TNT")</formula>
    </cfRule>
    <cfRule type="expression" dxfId="2937" priority="2936" stopIfTrue="1">
      <formula>OR(LEFT(D469,3)="CTU",LEFT(D469,4)="HDON")</formula>
    </cfRule>
    <cfRule type="expression" dxfId="2936" priority="2937" stopIfTrue="1">
      <formula>OR(LEFT(D469,4)="HOLD",OR(A469="QTNP",A469="HOA THO",A469="YES VINA",A469="HUNG YEN",A469="TEX GIANG",A469="HUNG LONG"),LEFT(A469,5)="HANES",LEFT(A469,3)="ITG")</formula>
    </cfRule>
  </conditionalFormatting>
  <conditionalFormatting sqref="D469">
    <cfRule type="expression" dxfId="2935" priority="2932" stopIfTrue="1">
      <formula>OR(LEFT(D469,4)="KHTT",LEFT(D469,5)="10USD",RIGHT(D469,3)="TTC",LEFT(D469,3)="TNT")</formula>
    </cfRule>
    <cfRule type="expression" dxfId="2934" priority="2933" stopIfTrue="1">
      <formula>OR(LEFT(D469,3)="CTU",LEFT(D469,4)="HDON")</formula>
    </cfRule>
    <cfRule type="expression" dxfId="2933" priority="2934" stopIfTrue="1">
      <formula>OR(LEFT(D469,4)="HOLD",OR(A469="QTNP",A469="HOA THO",A469="YES VINA",A469="HUNG YEN",A469="TEX GIANG",A469="HUNG LONG"),LEFT(A469,5)="HANES",LEFT(A469,3)="ITG")</formula>
    </cfRule>
  </conditionalFormatting>
  <conditionalFormatting sqref="D469">
    <cfRule type="expression" dxfId="2932" priority="2929" stopIfTrue="1">
      <formula>OR(LEFT(D469,4)="KHTT",LEFT(D469,5)="10USD",RIGHT(D469,3)="TTC",LEFT(D469,3)="TNT")</formula>
    </cfRule>
    <cfRule type="expression" dxfId="2931" priority="2930" stopIfTrue="1">
      <formula>OR(LEFT(D469,3)="CTU",LEFT(D469,4)="HDON")</formula>
    </cfRule>
    <cfRule type="expression" dxfId="2930" priority="2931" stopIfTrue="1">
      <formula>OR(LEFT(D469,4)="HOLD",OR(A469="QTNP",A469="HOA THO",A469="YES VINA",A469="HUNG YEN",A469="TEX GIANG",A469="HUNG LONG"),LEFT(A469,5)="HANES",LEFT(A469,3)="ITG")</formula>
    </cfRule>
  </conditionalFormatting>
  <conditionalFormatting sqref="D469">
    <cfRule type="expression" dxfId="2929" priority="2926" stopIfTrue="1">
      <formula>OR(LEFT(D469,4)="KHTT",LEFT(D469,5)="10USD",RIGHT(D469,3)="TTC",LEFT(D469,3)="TNT")</formula>
    </cfRule>
    <cfRule type="expression" dxfId="2928" priority="2927" stopIfTrue="1">
      <formula>OR(LEFT(D469,3)="CTU",LEFT(D469,4)="HDON")</formula>
    </cfRule>
    <cfRule type="expression" dxfId="2927" priority="2928" stopIfTrue="1">
      <formula>OR(LEFT(D469,4)="HOLD",OR(A469="QTNP",A469="HOA THO",A469="YES VINA",A469="HUNG YEN",A469="TEX GIANG",A469="HUNG LONG"),LEFT(A469,5)="HANES",LEFT(A469,3)="ITG")</formula>
    </cfRule>
  </conditionalFormatting>
  <conditionalFormatting sqref="D469">
    <cfRule type="expression" dxfId="2926" priority="2923" stopIfTrue="1">
      <formula>OR(LEFT(D469,4)="KHTT",LEFT(D469,5)="10USD",RIGHT(D469,3)="TTC",LEFT(D469,3)="TNT")</formula>
    </cfRule>
    <cfRule type="expression" dxfId="2925" priority="2924" stopIfTrue="1">
      <formula>OR(LEFT(D469,3)="CTU",LEFT(D469,4)="HDON")</formula>
    </cfRule>
    <cfRule type="expression" dxfId="2924" priority="2925" stopIfTrue="1">
      <formula>OR(LEFT(D469,4)="HOLD",OR(A469="QTNP",A469="HOA THO",A469="YES VINA",A469="HUNG YEN",A469="TEX GIANG",A469="HUNG LONG"),LEFT(A469,5)="HANES",LEFT(A469,3)="ITG")</formula>
    </cfRule>
  </conditionalFormatting>
  <conditionalFormatting sqref="D469">
    <cfRule type="expression" dxfId="2923" priority="2920" stopIfTrue="1">
      <formula>OR(LEFT(D469,4)="KHTT",LEFT(D469,5)="10USD",RIGHT(D469,3)="TTC",LEFT(D469,3)="TNT")</formula>
    </cfRule>
    <cfRule type="expression" dxfId="2922" priority="2921" stopIfTrue="1">
      <formula>OR(LEFT(D469,3)="CTU",LEFT(D469,4)="HDON")</formula>
    </cfRule>
    <cfRule type="expression" dxfId="2921" priority="2922" stopIfTrue="1">
      <formula>OR(LEFT(D469,4)="HOLD",OR(A469="QTNP",A469="HOA THO",A469="YES VINA",A469="HUNG YEN",A469="TEX GIANG",A469="HUNG LONG"),LEFT(A469,5)="HANES",LEFT(A469,3)="ITG")</formula>
    </cfRule>
  </conditionalFormatting>
  <conditionalFormatting sqref="D469">
    <cfRule type="expression" dxfId="2920" priority="2917" stopIfTrue="1">
      <formula>OR(LEFT(D469,4)="KHTT",LEFT(D469,5)="10USD",RIGHT(D469,3)="TTC",LEFT(D469,3)="TNT")</formula>
    </cfRule>
    <cfRule type="expression" dxfId="2919" priority="2918" stopIfTrue="1">
      <formula>OR(LEFT(D469,3)="CTU",LEFT(D469,4)="HDON")</formula>
    </cfRule>
    <cfRule type="expression" dxfId="2918" priority="2919" stopIfTrue="1">
      <formula>OR(LEFT(D469,4)="HOLD",OR(A469="QTNP",A469="HOA THO",A469="YES VINA",A469="HUNG YEN",A469="TEX GIANG",A469="HUNG LONG"),LEFT(A469,5)="HANES",LEFT(A469,3)="ITG")</formula>
    </cfRule>
  </conditionalFormatting>
  <conditionalFormatting sqref="D469">
    <cfRule type="expression" dxfId="2917" priority="2914" stopIfTrue="1">
      <formula>OR(LEFT(D469,4)="KHTT",LEFT(D469,5)="10USD",RIGHT(D469,3)="TTC",LEFT(D469,3)="TNT")</formula>
    </cfRule>
    <cfRule type="expression" dxfId="2916" priority="2915" stopIfTrue="1">
      <formula>OR(LEFT(D469,3)="CTU",LEFT(D469,4)="HDON")</formula>
    </cfRule>
    <cfRule type="expression" dxfId="2915" priority="2916" stopIfTrue="1">
      <formula>OR(LEFT(D469,4)="HOLD",OR(A469="QTNP",A469="HOA THO",A469="YES VINA",A469="HUNG YEN",A469="TEX GIANG",A469="HUNG LONG"),LEFT(A469,5)="HANES",LEFT(A469,3)="ITG")</formula>
    </cfRule>
  </conditionalFormatting>
  <conditionalFormatting sqref="D469">
    <cfRule type="expression" dxfId="2914" priority="2911" stopIfTrue="1">
      <formula>OR(LEFT(D469,4)="KHTT",LEFT(D469,5)="10USD",RIGHT(D469,3)="TTC",LEFT(D469,3)="TNT")</formula>
    </cfRule>
    <cfRule type="expression" dxfId="2913" priority="2912" stopIfTrue="1">
      <formula>OR(LEFT(D469,3)="CTU",LEFT(D469,4)="HDON")</formula>
    </cfRule>
    <cfRule type="expression" dxfId="2912" priority="2913" stopIfTrue="1">
      <formula>OR(LEFT(D469,4)="HOLD",OR(A469="QTNP",A469="HOA THO",A469="YES VINA",A469="HUNG YEN",A469="TEX GIANG",A469="HUNG LONG"),LEFT(A469,5)="HANES",LEFT(A469,3)="ITG")</formula>
    </cfRule>
  </conditionalFormatting>
  <conditionalFormatting sqref="D469">
    <cfRule type="expression" dxfId="2911" priority="2908" stopIfTrue="1">
      <formula>OR(LEFT(D469,4)="KHTT",LEFT(D469,5)="10USD",RIGHT(D469,3)="TTC",LEFT(D469,3)="TNT")</formula>
    </cfRule>
    <cfRule type="expression" dxfId="2910" priority="2909" stopIfTrue="1">
      <formula>OR(LEFT(D469,3)="CTU",LEFT(D469,4)="HDON")</formula>
    </cfRule>
    <cfRule type="expression" dxfId="2909" priority="2910" stopIfTrue="1">
      <formula>OR(LEFT(D469,4)="HOLD",OR(A469="QTNP",A469="HOA THO",A469="YES VINA",A469="HUNG YEN",A469="TEX GIANG",A469="HUNG LONG"),LEFT(A469,5)="HANES",LEFT(A469,3)="ITG")</formula>
    </cfRule>
  </conditionalFormatting>
  <conditionalFormatting sqref="D469">
    <cfRule type="expression" dxfId="2908" priority="2905" stopIfTrue="1">
      <formula>OR(LEFT(D469,4)="KHTT",LEFT(D469,5)="10USD",RIGHT(D469,3)="TTC",LEFT(D469,3)="TNT")</formula>
    </cfRule>
    <cfRule type="expression" dxfId="2907" priority="2906" stopIfTrue="1">
      <formula>OR(LEFT(D469,3)="CTU",LEFT(D469,4)="HDON")</formula>
    </cfRule>
    <cfRule type="expression" dxfId="2906" priority="2907" stopIfTrue="1">
      <formula>OR(LEFT(D469,4)="HOLD",OR(A469="QTNP",A469="HOA THO",A469="YES VINA",A469="HUNG YEN",A469="TEX GIANG",A469="HUNG LONG"),LEFT(A469,5)="HANES",LEFT(A469,3)="ITG")</formula>
    </cfRule>
  </conditionalFormatting>
  <conditionalFormatting sqref="D469">
    <cfRule type="expression" dxfId="2905" priority="2902" stopIfTrue="1">
      <formula>OR(LEFT(D469,4)="KHTT",LEFT(D469,5)="10USD",RIGHT(D469,3)="TTC",LEFT(D469,3)="TNT")</formula>
    </cfRule>
    <cfRule type="expression" dxfId="2904" priority="2903" stopIfTrue="1">
      <formula>OR(LEFT(D469,3)="CTU",LEFT(D469,4)="HDON")</formula>
    </cfRule>
    <cfRule type="expression" dxfId="2903" priority="2904" stopIfTrue="1">
      <formula>OR(LEFT(D469,4)="HOLD",OR(A469="QTNP",A469="HOA THO",A469="YES VINA",A469="HUNG YEN",A469="TEX GIANG",A469="HUNG LONG"),LEFT(A469,5)="HANES",LEFT(A469,3)="ITG")</formula>
    </cfRule>
  </conditionalFormatting>
  <conditionalFormatting sqref="D469">
    <cfRule type="expression" dxfId="2902" priority="2899" stopIfTrue="1">
      <formula>OR(LEFT(D469,4)="KHTT",LEFT(D469,5)="10USD",RIGHT(D469,3)="TTC",LEFT(D469,3)="TNT")</formula>
    </cfRule>
    <cfRule type="expression" dxfId="2901" priority="2900" stopIfTrue="1">
      <formula>OR(LEFT(D469,3)="CTU",LEFT(D469,4)="HDON")</formula>
    </cfRule>
    <cfRule type="expression" dxfId="2900" priority="2901" stopIfTrue="1">
      <formula>OR(LEFT(D469,4)="HOLD",OR(A469="QTNP",A469="HOA THO",A469="YES VINA",A469="HUNG YEN",A469="TEX GIANG",A469="HUNG LONG"),LEFT(A469,5)="HANES",LEFT(A469,3)="ITG")</formula>
    </cfRule>
  </conditionalFormatting>
  <conditionalFormatting sqref="D469">
    <cfRule type="expression" dxfId="2899" priority="2896" stopIfTrue="1">
      <formula>OR(LEFT(D469,4)="KHTT",LEFT(D469,5)="10USD",RIGHT(D469,3)="TTC",LEFT(D469,3)="TNT")</formula>
    </cfRule>
    <cfRule type="expression" dxfId="2898" priority="2897" stopIfTrue="1">
      <formula>OR(LEFT(D469,3)="CTU",LEFT(D469,4)="HDON")</formula>
    </cfRule>
    <cfRule type="expression" dxfId="2897" priority="2898" stopIfTrue="1">
      <formula>OR(LEFT(D469,4)="HOLD",OR(A469="QTNP",A469="HOA THO",A469="YES VINA",A469="HUNG YEN",A469="TEX GIANG",A469="HUNG LONG"),LEFT(A469,5)="HANES",LEFT(A469,3)="ITG")</formula>
    </cfRule>
  </conditionalFormatting>
  <conditionalFormatting sqref="D469">
    <cfRule type="expression" dxfId="2896" priority="2893" stopIfTrue="1">
      <formula>OR(LEFT(D469,4)="KHTT",LEFT(D469,5)="10USD",RIGHT(D469,3)="TTC",LEFT(D469,3)="TNT")</formula>
    </cfRule>
    <cfRule type="expression" dxfId="2895" priority="2894" stopIfTrue="1">
      <formula>OR(LEFT(D469,3)="CTU",LEFT(D469,4)="HDON")</formula>
    </cfRule>
    <cfRule type="expression" dxfId="2894" priority="2895" stopIfTrue="1">
      <formula>OR(LEFT(D469,4)="HOLD",OR(A469="QTNP",A469="HOA THO",A469="YES VINA",A469="HUNG YEN",A469="TEX GIANG",A469="HUNG LONG"),LEFT(A469,5)="HANES",LEFT(A469,3)="ITG")</formula>
    </cfRule>
  </conditionalFormatting>
  <conditionalFormatting sqref="D469">
    <cfRule type="expression" dxfId="2893" priority="2890" stopIfTrue="1">
      <formula>OR(LEFT(D469,4)="KHTT",LEFT(D469,5)="10USD",RIGHT(D469,3)="TTC",LEFT(D469,3)="TNT")</formula>
    </cfRule>
    <cfRule type="expression" dxfId="2892" priority="2891" stopIfTrue="1">
      <formula>OR(LEFT(D469,3)="CTU",LEFT(D469,4)="HDON")</formula>
    </cfRule>
    <cfRule type="expression" dxfId="2891" priority="2892" stopIfTrue="1">
      <formula>OR(LEFT(D469,4)="HOLD",OR(A469="QTNP",A469="HOA THO",A469="YES VINA",A469="HUNG YEN",A469="TEX GIANG",A469="HUNG LONG"),LEFT(A469,5)="HANES",LEFT(A469,3)="ITG")</formula>
    </cfRule>
  </conditionalFormatting>
  <conditionalFormatting sqref="D469">
    <cfRule type="expression" dxfId="2890" priority="2887" stopIfTrue="1">
      <formula>OR(LEFT(D469,4)="KHTT",LEFT(D469,5)="10USD",RIGHT(D469,3)="TTC",LEFT(D469,3)="TNT")</formula>
    </cfRule>
    <cfRule type="expression" dxfId="2889" priority="2888" stopIfTrue="1">
      <formula>OR(LEFT(D469,3)="CTU",LEFT(D469,4)="HDON")</formula>
    </cfRule>
    <cfRule type="expression" dxfId="2888" priority="2889" stopIfTrue="1">
      <formula>OR(LEFT(D469,4)="HOLD",OR(A469="QTNP",A469="HOA THO",A469="YES VINA",A469="HUNG YEN",A469="TEX GIANG",A469="HUNG LONG"),LEFT(A469,5)="HANES",LEFT(A469,3)="ITG")</formula>
    </cfRule>
  </conditionalFormatting>
  <conditionalFormatting sqref="D469">
    <cfRule type="expression" dxfId="2887" priority="2884" stopIfTrue="1">
      <formula>OR(LEFT(D469,4)="KHTT",LEFT(D469,5)="10USD",RIGHT(D469,3)="TTC",LEFT(D469,3)="TNT")</formula>
    </cfRule>
    <cfRule type="expression" dxfId="2886" priority="2885" stopIfTrue="1">
      <formula>OR(LEFT(D469,3)="CTU",LEFT(D469,4)="HDON")</formula>
    </cfRule>
    <cfRule type="expression" dxfId="2885" priority="2886" stopIfTrue="1">
      <formula>OR(LEFT(D469,4)="HOLD",OR(A469="QTNP",A469="HOA THO",A469="YES VINA",A469="HUNG YEN",A469="TEX GIANG",A469="HUNG LONG"),LEFT(A469,5)="HANES",LEFT(A469,3)="ITG")</formula>
    </cfRule>
  </conditionalFormatting>
  <conditionalFormatting sqref="D469">
    <cfRule type="expression" dxfId="2884" priority="2881" stopIfTrue="1">
      <formula>OR(LEFT(D469,4)="KHTT",LEFT(D469,5)="10USD",RIGHT(D469,3)="TTC",LEFT(D469,3)="TNT")</formula>
    </cfRule>
    <cfRule type="expression" dxfId="2883" priority="2882" stopIfTrue="1">
      <formula>OR(LEFT(D469,3)="CTU",LEFT(D469,4)="HDON")</formula>
    </cfRule>
    <cfRule type="expression" dxfId="2882" priority="2883" stopIfTrue="1">
      <formula>OR(LEFT(D469,4)="HOLD",OR(A469="QTNP",A469="HOA THO",A469="YES VINA",A469="HUNG YEN",A469="TEX GIANG",A469="HUNG LONG"),LEFT(A469,5)="HANES",LEFT(A469,3)="ITG")</formula>
    </cfRule>
  </conditionalFormatting>
  <conditionalFormatting sqref="D469">
    <cfRule type="expression" dxfId="2881" priority="2878" stopIfTrue="1">
      <formula>OR(LEFT(D469,4)="KHTT",LEFT(D469,5)="10USD",RIGHT(D469,3)="TTC",LEFT(D469,3)="TNT")</formula>
    </cfRule>
    <cfRule type="expression" dxfId="2880" priority="2879" stopIfTrue="1">
      <formula>OR(LEFT(D469,3)="CTU",LEFT(D469,4)="HDON")</formula>
    </cfRule>
    <cfRule type="expression" dxfId="2879" priority="2880" stopIfTrue="1">
      <formula>OR(LEFT(D469,4)="HOLD",OR(A469="QTNP",A469="HOA THO",A469="YES VINA",A469="HUNG YEN",A469="TEX GIANG",A469="HUNG LONG"),LEFT(A469,5)="HANES",LEFT(A469,3)="ITG")</formula>
    </cfRule>
  </conditionalFormatting>
  <conditionalFormatting sqref="D469">
    <cfRule type="expression" dxfId="2878" priority="2875" stopIfTrue="1">
      <formula>OR(LEFT(D469,4)="KHTT",LEFT(D469,5)="10USD",RIGHT(D469,3)="TTC",LEFT(D469,3)="TNT")</formula>
    </cfRule>
    <cfRule type="expression" dxfId="2877" priority="2876" stopIfTrue="1">
      <formula>OR(LEFT(D469,3)="CTU",LEFT(D469,4)="HDON")</formula>
    </cfRule>
    <cfRule type="expression" dxfId="2876" priority="2877" stopIfTrue="1">
      <formula>OR(LEFT(D469,4)="HOLD",OR(A469="QTNP",A469="HOA THO",A469="YES VINA",A469="HUNG YEN",A469="TEX GIANG",A469="HUNG LONG"),LEFT(A469,5)="HANES",LEFT(A469,3)="ITG")</formula>
    </cfRule>
  </conditionalFormatting>
  <conditionalFormatting sqref="D469">
    <cfRule type="expression" dxfId="2875" priority="2872" stopIfTrue="1">
      <formula>OR(LEFT(D469,4)="KHTT",LEFT(D469,5)="10USD",RIGHT(D469,3)="TTC",LEFT(D469,3)="TNT")</formula>
    </cfRule>
    <cfRule type="expression" dxfId="2874" priority="2873" stopIfTrue="1">
      <formula>OR(LEFT(D469,3)="CTU",LEFT(D469,4)="HDON")</formula>
    </cfRule>
    <cfRule type="expression" dxfId="2873" priority="2874" stopIfTrue="1">
      <formula>OR(LEFT(D469,4)="HOLD",OR(A469="QTNP",A469="HOA THO",A469="YES VINA",A469="HUNG YEN",A469="TEX GIANG",A469="HUNG LONG"),LEFT(A469,5)="HANES",LEFT(A469,3)="ITG")</formula>
    </cfRule>
  </conditionalFormatting>
  <conditionalFormatting sqref="D469">
    <cfRule type="expression" dxfId="2872" priority="2869" stopIfTrue="1">
      <formula>OR(LEFT(D469,4)="KHTT",LEFT(D469,5)="10USD",RIGHT(D469,3)="TTC",LEFT(D469,3)="TNT")</formula>
    </cfRule>
    <cfRule type="expression" dxfId="2871" priority="2870" stopIfTrue="1">
      <formula>OR(LEFT(D469,3)="CTU",LEFT(D469,4)="HDON")</formula>
    </cfRule>
    <cfRule type="expression" dxfId="2870" priority="2871" stopIfTrue="1">
      <formula>OR(LEFT(D469,4)="HOLD",OR(A469="QTNP",A469="HOA THO",A469="YES VINA",A469="HUNG YEN",A469="TEX GIANG",A469="HUNG LONG"),LEFT(A469,5)="HANES",LEFT(A469,3)="ITG")</formula>
    </cfRule>
  </conditionalFormatting>
  <conditionalFormatting sqref="D469">
    <cfRule type="expression" dxfId="2869" priority="2866" stopIfTrue="1">
      <formula>OR(LEFT(D469,4)="KHTT",LEFT(D469,5)="10USD",RIGHT(D469,3)="TTC",LEFT(D469,3)="TNT")</formula>
    </cfRule>
    <cfRule type="expression" dxfId="2868" priority="2867" stopIfTrue="1">
      <formula>OR(LEFT(D469,3)="CTU",LEFT(D469,4)="HDON")</formula>
    </cfRule>
    <cfRule type="expression" dxfId="2867" priority="2868" stopIfTrue="1">
      <formula>OR(LEFT(D469,4)="HOLD",OR(A469="QTNP",A469="HOA THO",A469="YES VINA",A469="HUNG YEN",A469="TEX GIANG",A469="HUNG LONG"),LEFT(A469,5)="HANES",LEFT(A469,3)="ITG")</formula>
    </cfRule>
  </conditionalFormatting>
  <conditionalFormatting sqref="D469">
    <cfRule type="expression" dxfId="2866" priority="2863" stopIfTrue="1">
      <formula>OR(LEFT(D469,4)="KHTT",LEFT(D469,5)="10USD",RIGHT(D469,3)="TTC",LEFT(D469,3)="TNT")</formula>
    </cfRule>
    <cfRule type="expression" dxfId="2865" priority="2864" stopIfTrue="1">
      <formula>OR(LEFT(D469,3)="CTU",LEFT(D469,4)="HDON")</formula>
    </cfRule>
    <cfRule type="expression" dxfId="2864" priority="2865" stopIfTrue="1">
      <formula>OR(LEFT(D469,4)="HOLD",OR(A469="QTNP",A469="HOA THO",A469="YES VINA",A469="HUNG YEN",A469="TEX GIANG",A469="HUNG LONG"),LEFT(A469,5)="HANES",LEFT(A469,3)="ITG")</formula>
    </cfRule>
  </conditionalFormatting>
  <conditionalFormatting sqref="D469">
    <cfRule type="expression" dxfId="2863" priority="2860" stopIfTrue="1">
      <formula>OR(LEFT(D469,4)="KHTT",LEFT(D469,5)="10USD",RIGHT(D469,3)="TTC",LEFT(D469,3)="TNT")</formula>
    </cfRule>
    <cfRule type="expression" dxfId="2862" priority="2861" stopIfTrue="1">
      <formula>OR(LEFT(D469,3)="CTU",LEFT(D469,4)="HDON")</formula>
    </cfRule>
    <cfRule type="expression" dxfId="2861" priority="2862" stopIfTrue="1">
      <formula>OR(LEFT(D469,4)="HOLD",OR(A469="QTNP",A469="HOA THO",A469="YES VINA",A469="HUNG YEN",A469="TEX GIANG",A469="HUNG LONG"),LEFT(A469,5)="HANES",LEFT(A469,3)="ITG")</formula>
    </cfRule>
  </conditionalFormatting>
  <conditionalFormatting sqref="D469">
    <cfRule type="expression" dxfId="2860" priority="2857" stopIfTrue="1">
      <formula>OR(LEFT(D469,4)="KHTT",LEFT(D469,5)="10USD",RIGHT(D469,3)="TTC",LEFT(D469,3)="TNT")</formula>
    </cfRule>
    <cfRule type="expression" dxfId="2859" priority="2858" stopIfTrue="1">
      <formula>OR(LEFT(D469,3)="CTU",LEFT(D469,4)="HDON")</formula>
    </cfRule>
    <cfRule type="expression" dxfId="2858" priority="2859" stopIfTrue="1">
      <formula>OR(LEFT(D469,4)="HOLD",OR(A469="QTNP",A469="HOA THO",A469="YES VINA",A469="HUNG YEN",A469="TEX GIANG",A469="HUNG LONG"),LEFT(A469,5)="HANES",LEFT(A469,3)="ITG")</formula>
    </cfRule>
  </conditionalFormatting>
  <conditionalFormatting sqref="D469">
    <cfRule type="expression" dxfId="2857" priority="2854" stopIfTrue="1">
      <formula>OR(LEFT(D469,4)="KHTT",LEFT(D469,5)="10USD",RIGHT(D469,3)="TTC",LEFT(D469,3)="TNT")</formula>
    </cfRule>
    <cfRule type="expression" dxfId="2856" priority="2855" stopIfTrue="1">
      <formula>OR(LEFT(D469,3)="CTU",LEFT(D469,4)="HDON")</formula>
    </cfRule>
    <cfRule type="expression" dxfId="2855" priority="2856" stopIfTrue="1">
      <formula>OR(LEFT(D469,4)="HOLD",OR(A469="QTNP",A469="HOA THO",A469="YES VINA",A469="HUNG YEN",A469="TEX GIANG",A469="HUNG LONG"),LEFT(A469,5)="HANES",LEFT(A469,3)="ITG")</formula>
    </cfRule>
  </conditionalFormatting>
  <conditionalFormatting sqref="D469">
    <cfRule type="expression" dxfId="2854" priority="2851" stopIfTrue="1">
      <formula>OR(LEFT(D469,4)="KHTT",LEFT(D469,5)="10USD",RIGHT(D469,3)="TTC",LEFT(D469,3)="TNT")</formula>
    </cfRule>
    <cfRule type="expression" dxfId="2853" priority="2852" stopIfTrue="1">
      <formula>OR(LEFT(D469,3)="CTU",LEFT(D469,4)="HDON")</formula>
    </cfRule>
    <cfRule type="expression" dxfId="2852" priority="2853" stopIfTrue="1">
      <formula>OR(LEFT(D469,4)="HOLD",OR(A469="QTNP",A469="HOA THO",A469="YES VINA",A469="HUNG YEN",A469="TEX GIANG",A469="HUNG LONG"),LEFT(A469,5)="HANES",LEFT(A469,3)="ITG")</formula>
    </cfRule>
  </conditionalFormatting>
  <conditionalFormatting sqref="D469">
    <cfRule type="expression" dxfId="2851" priority="2848" stopIfTrue="1">
      <formula>OR(LEFT(D469,4)="KHTT",LEFT(D469,5)="10USD",RIGHT(D469,3)="TTC",LEFT(D469,3)="TNT")</formula>
    </cfRule>
    <cfRule type="expression" dxfId="2850" priority="2849" stopIfTrue="1">
      <formula>OR(LEFT(D469,3)="CTU",LEFT(D469,4)="HDON")</formula>
    </cfRule>
    <cfRule type="expression" dxfId="2849" priority="2850" stopIfTrue="1">
      <formula>OR(LEFT(D469,4)="HOLD",OR(A469="QTNP",A469="HOA THO",A469="YES VINA",A469="HUNG YEN",A469="TEX GIANG",A469="HUNG LONG"),LEFT(A469,5)="HANES",LEFT(A469,3)="ITG")</formula>
    </cfRule>
  </conditionalFormatting>
  <conditionalFormatting sqref="D469">
    <cfRule type="expression" dxfId="2848" priority="2845" stopIfTrue="1">
      <formula>OR(LEFT(D469,4)="KHTT",LEFT(D469,5)="10USD",RIGHT(D469,3)="TTC",LEFT(D469,3)="TNT")</formula>
    </cfRule>
    <cfRule type="expression" dxfId="2847" priority="2846" stopIfTrue="1">
      <formula>OR(LEFT(D469,3)="CTU",LEFT(D469,4)="HDON")</formula>
    </cfRule>
    <cfRule type="expression" dxfId="2846" priority="2847" stopIfTrue="1">
      <formula>OR(LEFT(D469,4)="HOLD",OR(A469="QTNP",A469="HOA THO",A469="YES VINA",A469="HUNG YEN",A469="TEX GIANG",A469="HUNG LONG"),LEFT(A469,5)="HANES",LEFT(A469,3)="ITG")</formula>
    </cfRule>
  </conditionalFormatting>
  <conditionalFormatting sqref="D469">
    <cfRule type="expression" dxfId="2845" priority="2842" stopIfTrue="1">
      <formula>OR(LEFT(D469,4)="KHTT",LEFT(D469,5)="10USD",RIGHT(D469,3)="TTC",LEFT(D469,3)="TNT")</formula>
    </cfRule>
    <cfRule type="expression" dxfId="2844" priority="2843" stopIfTrue="1">
      <formula>OR(LEFT(D469,3)="CTU",LEFT(D469,4)="HDON")</formula>
    </cfRule>
    <cfRule type="expression" dxfId="2843" priority="2844" stopIfTrue="1">
      <formula>OR(LEFT(D469,4)="HOLD",OR(A469="QTNP",A469="HOA THO",A469="YES VINA",A469="HUNG YEN",A469="TEX GIANG",A469="HUNG LONG"),LEFT(A469,5)="HANES",LEFT(A469,3)="ITG")</formula>
    </cfRule>
  </conditionalFormatting>
  <conditionalFormatting sqref="D469">
    <cfRule type="expression" dxfId="2842" priority="2839" stopIfTrue="1">
      <formula>OR(LEFT(D469,4)="KHTT",LEFT(D469,5)="10USD",RIGHT(D469,3)="TTC",LEFT(D469,3)="TNT")</formula>
    </cfRule>
    <cfRule type="expression" dxfId="2841" priority="2840" stopIfTrue="1">
      <formula>OR(LEFT(D469,3)="CTU",LEFT(D469,4)="HDON")</formula>
    </cfRule>
    <cfRule type="expression" dxfId="2840" priority="2841" stopIfTrue="1">
      <formula>OR(LEFT(D469,4)="HOLD",OR(A469="QTNP",A469="HOA THO",A469="YES VINA",A469="HUNG YEN",A469="TEX GIANG",A469="HUNG LONG"),LEFT(A469,5)="HANES",LEFT(A469,3)="ITG")</formula>
    </cfRule>
  </conditionalFormatting>
  <conditionalFormatting sqref="D469">
    <cfRule type="expression" dxfId="2839" priority="2836" stopIfTrue="1">
      <formula>OR(LEFT(D469,4)="KHTT",LEFT(D469,5)="10USD",RIGHT(D469,3)="TTC",LEFT(D469,3)="TNT")</formula>
    </cfRule>
    <cfRule type="expression" dxfId="2838" priority="2837" stopIfTrue="1">
      <formula>OR(LEFT(D469,3)="CTU",LEFT(D469,4)="HDON")</formula>
    </cfRule>
    <cfRule type="expression" dxfId="2837" priority="2838" stopIfTrue="1">
      <formula>OR(LEFT(D469,4)="HOLD",OR(A469="QTNP",A469="HOA THO",A469="YES VINA",A469="HUNG YEN",A469="TEX GIANG",A469="HUNG LONG"),LEFT(A469,5)="HANES",LEFT(A469,3)="ITG")</formula>
    </cfRule>
  </conditionalFormatting>
  <conditionalFormatting sqref="D469">
    <cfRule type="expression" dxfId="2836" priority="2833" stopIfTrue="1">
      <formula>OR(LEFT(D469,4)="KHTT",LEFT(D469,5)="10USD",RIGHT(D469,3)="TTC",LEFT(D469,3)="TNT")</formula>
    </cfRule>
    <cfRule type="expression" dxfId="2835" priority="2834" stopIfTrue="1">
      <formula>OR(LEFT(D469,3)="CTU",LEFT(D469,4)="HDON")</formula>
    </cfRule>
    <cfRule type="expression" dxfId="2834" priority="2835" stopIfTrue="1">
      <formula>OR(LEFT(D469,4)="HOLD",OR(A469="QTNP",A469="HOA THO",A469="YES VINA",A469="HUNG YEN",A469="TEX GIANG",A469="HUNG LONG"),LEFT(A469,5)="HANES",LEFT(A469,3)="ITG")</formula>
    </cfRule>
  </conditionalFormatting>
  <conditionalFormatting sqref="D469">
    <cfRule type="expression" dxfId="2833" priority="2830" stopIfTrue="1">
      <formula>OR(LEFT(D469,4)="KHTT",LEFT(D469,5)="10USD",RIGHT(D469,3)="TTC",LEFT(D469,3)="TNT")</formula>
    </cfRule>
    <cfRule type="expression" dxfId="2832" priority="2831" stopIfTrue="1">
      <formula>OR(LEFT(D469,3)="CTU",LEFT(D469,4)="HDON")</formula>
    </cfRule>
    <cfRule type="expression" dxfId="2831" priority="2832" stopIfTrue="1">
      <formula>OR(LEFT(D469,4)="HOLD",OR(A469="QTNP",A469="HOA THO",A469="YES VINA",A469="HUNG YEN",A469="TEX GIANG",A469="HUNG LONG"),LEFT(A469,5)="HANES",LEFT(A469,3)="ITG")</formula>
    </cfRule>
  </conditionalFormatting>
  <conditionalFormatting sqref="D469">
    <cfRule type="expression" dxfId="2830" priority="2827" stopIfTrue="1">
      <formula>OR(LEFT(D469,4)="KHTT",LEFT(D469,5)="10USD",RIGHT(D469,3)="TTC",LEFT(D469,3)="TNT")</formula>
    </cfRule>
    <cfRule type="expression" dxfId="2829" priority="2828" stopIfTrue="1">
      <formula>OR(LEFT(D469,3)="CTU",LEFT(D469,4)="HDON")</formula>
    </cfRule>
    <cfRule type="expression" dxfId="2828" priority="2829" stopIfTrue="1">
      <formula>OR(LEFT(D469,4)="HOLD",OR(A469="QTNP",A469="HOA THO",A469="YES VINA",A469="HUNG YEN",A469="TEX GIANG",A469="HUNG LONG"),LEFT(A469,5)="HANES",LEFT(A469,3)="ITG")</formula>
    </cfRule>
  </conditionalFormatting>
  <conditionalFormatting sqref="D469">
    <cfRule type="expression" dxfId="2827" priority="2824" stopIfTrue="1">
      <formula>OR(LEFT(D469,4)="KHTT",LEFT(D469,5)="10USD",RIGHT(D469,3)="TTC",LEFT(D469,3)="TNT")</formula>
    </cfRule>
    <cfRule type="expression" dxfId="2826" priority="2825" stopIfTrue="1">
      <formula>OR(LEFT(D469,3)="CTU",LEFT(D469,4)="HDON")</formula>
    </cfRule>
    <cfRule type="expression" dxfId="2825" priority="2826" stopIfTrue="1">
      <formula>OR(LEFT(D469,4)="HOLD",OR(A469="QTNP",A469="HOA THO",A469="YES VINA",A469="HUNG YEN",A469="TEX GIANG",A469="HUNG LONG"),LEFT(A469,5)="HANES",LEFT(A469,3)="ITG")</formula>
    </cfRule>
  </conditionalFormatting>
  <conditionalFormatting sqref="D469">
    <cfRule type="expression" dxfId="2824" priority="2821" stopIfTrue="1">
      <formula>OR(LEFT(D469,4)="KHTT",LEFT(D469,5)="10USD",RIGHT(D469,3)="TTC",LEFT(D469,3)="TNT")</formula>
    </cfRule>
    <cfRule type="expression" dxfId="2823" priority="2822" stopIfTrue="1">
      <formula>OR(LEFT(D469,3)="CTU",LEFT(D469,4)="HDON")</formula>
    </cfRule>
    <cfRule type="expression" dxfId="2822" priority="2823" stopIfTrue="1">
      <formula>OR(LEFT(D469,4)="HOLD",OR(A469="QTNP",A469="HOA THO",A469="YES VINA",A469="HUNG YEN",A469="TEX GIANG",A469="HUNG LONG"),LEFT(A469,5)="HANES",LEFT(A469,3)="ITG")</formula>
    </cfRule>
  </conditionalFormatting>
  <conditionalFormatting sqref="D469">
    <cfRule type="expression" dxfId="2821" priority="2818" stopIfTrue="1">
      <formula>OR(LEFT(D469,4)="KHTT",LEFT(D469,5)="10USD",RIGHT(D469,3)="TTC",LEFT(D469,3)="TNT")</formula>
    </cfRule>
    <cfRule type="expression" dxfId="2820" priority="2819" stopIfTrue="1">
      <formula>OR(LEFT(D469,3)="CTU",LEFT(D469,4)="HDON")</formula>
    </cfRule>
    <cfRule type="expression" dxfId="2819" priority="2820" stopIfTrue="1">
      <formula>OR(LEFT(D469,4)="HOLD",OR(A469="QTNP",A469="HOA THO",A469="YES VINA",A469="HUNG YEN",A469="TEX GIANG",A469="HUNG LONG"),LEFT(A469,5)="HANES",LEFT(A469,3)="ITG")</formula>
    </cfRule>
  </conditionalFormatting>
  <conditionalFormatting sqref="D469">
    <cfRule type="expression" dxfId="2818" priority="2815" stopIfTrue="1">
      <formula>OR(LEFT(D469,4)="KHTT",LEFT(D469,5)="10USD",RIGHT(D469,3)="TTC",LEFT(D469,3)="TNT")</formula>
    </cfRule>
    <cfRule type="expression" dxfId="2817" priority="2816" stopIfTrue="1">
      <formula>OR(LEFT(D469,3)="CTU",LEFT(D469,4)="HDON")</formula>
    </cfRule>
    <cfRule type="expression" dxfId="2816" priority="2817" stopIfTrue="1">
      <formula>OR(LEFT(D469,4)="HOLD",OR(A469="QTNP",A469="HOA THO",A469="YES VINA",A469="HUNG YEN",A469="TEX GIANG",A469="HUNG LONG"),LEFT(A469,5)="HANES",LEFT(A469,3)="ITG")</formula>
    </cfRule>
  </conditionalFormatting>
  <conditionalFormatting sqref="D469">
    <cfRule type="expression" dxfId="2815" priority="2812" stopIfTrue="1">
      <formula>OR(LEFT(D469,4)="KHTT",LEFT(D469,5)="10USD",RIGHT(D469,3)="TTC",LEFT(D469,3)="TNT")</formula>
    </cfRule>
    <cfRule type="expression" dxfId="2814" priority="2813" stopIfTrue="1">
      <formula>OR(LEFT(D469,3)="CTU",LEFT(D469,4)="HDON")</formula>
    </cfRule>
    <cfRule type="expression" dxfId="2813" priority="2814" stopIfTrue="1">
      <formula>OR(LEFT(D469,4)="HOLD",OR(A469="QTNP",A469="HOA THO",A469="YES VINA",A469="HUNG YEN",A469="TEX GIANG",A469="HUNG LONG"),LEFT(A469,5)="HANES",LEFT(A469,3)="ITG")</formula>
    </cfRule>
  </conditionalFormatting>
  <conditionalFormatting sqref="D469">
    <cfRule type="expression" dxfId="2812" priority="2809" stopIfTrue="1">
      <formula>OR(LEFT(D469,4)="KHTT",LEFT(D469,5)="10USD",RIGHT(D469,3)="TTC",LEFT(D469,3)="TNT")</formula>
    </cfRule>
    <cfRule type="expression" dxfId="2811" priority="2810" stopIfTrue="1">
      <formula>OR(LEFT(D469,3)="CTU",LEFT(D469,4)="HDON")</formula>
    </cfRule>
    <cfRule type="expression" dxfId="2810" priority="2811" stopIfTrue="1">
      <formula>OR(LEFT(D469,4)="HOLD",OR(A469="QTNP",A469="HOA THO",A469="YES VINA",A469="HUNG YEN",A469="TEX GIANG",A469="HUNG LONG"),LEFT(A469,5)="HANES",LEFT(A469,3)="ITG")</formula>
    </cfRule>
  </conditionalFormatting>
  <conditionalFormatting sqref="D469">
    <cfRule type="expression" dxfId="2809" priority="2806" stopIfTrue="1">
      <formula>OR(LEFT(D469,4)="KHTT",LEFT(D469,5)="10USD",RIGHT(D469,3)="TTC",LEFT(D469,3)="TNT")</formula>
    </cfRule>
    <cfRule type="expression" dxfId="2808" priority="2807" stopIfTrue="1">
      <formula>OR(LEFT(D469,3)="CTU",LEFT(D469,4)="HDON")</formula>
    </cfRule>
    <cfRule type="expression" dxfId="2807" priority="2808" stopIfTrue="1">
      <formula>OR(LEFT(D469,4)="HOLD",OR(A469="QTNP",A469="HOA THO",A469="YES VINA",A469="HUNG YEN",A469="TEX GIANG",A469="HUNG LONG"),LEFT(A469,5)="HANES",LEFT(A469,3)="ITG")</formula>
    </cfRule>
  </conditionalFormatting>
  <conditionalFormatting sqref="D469">
    <cfRule type="expression" dxfId="2806" priority="2803" stopIfTrue="1">
      <formula>OR(LEFT(D469,4)="KHTT",LEFT(D469,5)="10USD",RIGHT(D469,3)="TTC",LEFT(D469,3)="TNT")</formula>
    </cfRule>
    <cfRule type="expression" dxfId="2805" priority="2804" stopIfTrue="1">
      <formula>OR(LEFT(D469,3)="CTU",LEFT(D469,4)="HDON")</formula>
    </cfRule>
    <cfRule type="expression" dxfId="2804" priority="2805" stopIfTrue="1">
      <formula>OR(LEFT(D469,4)="HOLD",OR(A469="QTNP",A469="HOA THO",A469="YES VINA",A469="HUNG YEN",A469="TEX GIANG",A469="HUNG LONG"),LEFT(A469,5)="HANES",LEFT(A469,3)="ITG")</formula>
    </cfRule>
  </conditionalFormatting>
  <conditionalFormatting sqref="D469">
    <cfRule type="expression" dxfId="2803" priority="2800" stopIfTrue="1">
      <formula>OR(LEFT(D469,4)="KHTT",LEFT(D469,5)="10USD",RIGHT(D469,3)="TTC",LEFT(D469,3)="TNT")</formula>
    </cfRule>
    <cfRule type="expression" dxfId="2802" priority="2801" stopIfTrue="1">
      <formula>OR(LEFT(D469,3)="CTU",LEFT(D469,4)="HDON")</formula>
    </cfRule>
    <cfRule type="expression" dxfId="2801" priority="2802" stopIfTrue="1">
      <formula>OR(LEFT(D469,4)="HOLD",OR(A469="QTNP",A469="HOA THO",A469="YES VINA",A469="HUNG YEN",A469="TEX GIANG",A469="HUNG LONG"),LEFT(A469,5)="HANES",LEFT(A469,3)="ITG")</formula>
    </cfRule>
  </conditionalFormatting>
  <conditionalFormatting sqref="D469">
    <cfRule type="expression" dxfId="2800" priority="2797" stopIfTrue="1">
      <formula>OR(LEFT(D469,4)="KHTT",LEFT(D469,5)="10USD",RIGHT(D469,3)="TTC",LEFT(D469,3)="TNT")</formula>
    </cfRule>
    <cfRule type="expression" dxfId="2799" priority="2798" stopIfTrue="1">
      <formula>OR(LEFT(D469,3)="CTU",LEFT(D469,4)="HDON")</formula>
    </cfRule>
    <cfRule type="expression" dxfId="2798" priority="2799" stopIfTrue="1">
      <formula>OR(LEFT(D469,4)="HOLD",OR(A469="QTNP",A469="HOA THO",A469="YES VINA",A469="HUNG YEN",A469="TEX GIANG",A469="HUNG LONG"),LEFT(A469,5)="HANES",LEFT(A469,3)="ITG")</formula>
    </cfRule>
  </conditionalFormatting>
  <conditionalFormatting sqref="D469">
    <cfRule type="expression" dxfId="2797" priority="2794" stopIfTrue="1">
      <formula>OR(LEFT(D469,4)="KHTT",LEFT(D469,5)="10USD",RIGHT(D469,3)="TTC",LEFT(D469,3)="TNT")</formula>
    </cfRule>
    <cfRule type="expression" dxfId="2796" priority="2795" stopIfTrue="1">
      <formula>OR(LEFT(D469,3)="CTU",LEFT(D469,4)="HDON")</formula>
    </cfRule>
    <cfRule type="expression" dxfId="2795" priority="2796" stopIfTrue="1">
      <formula>OR(LEFT(D469,4)="HOLD",OR(A469="QTNP",A469="HOA THO",A469="YES VINA",A469="HUNG YEN",A469="TEX GIANG",A469="HUNG LONG"),LEFT(A469,5)="HANES",LEFT(A469,3)="ITG")</formula>
    </cfRule>
  </conditionalFormatting>
  <conditionalFormatting sqref="D469">
    <cfRule type="expression" dxfId="2794" priority="2791" stopIfTrue="1">
      <formula>OR(LEFT(D469,4)="KHTT",LEFT(D469,5)="10USD",RIGHT(D469,3)="TTC",LEFT(D469,3)="TNT")</formula>
    </cfRule>
    <cfRule type="expression" dxfId="2793" priority="2792" stopIfTrue="1">
      <formula>OR(LEFT(D469,3)="CTU",LEFT(D469,4)="HDON")</formula>
    </cfRule>
    <cfRule type="expression" dxfId="2792" priority="2793" stopIfTrue="1">
      <formula>OR(LEFT(D469,4)="HOLD",OR(A469="QTNP",A469="HOA THO",A469="YES VINA",A469="HUNG YEN",A469="TEX GIANG",A469="HUNG LONG"),LEFT(A469,5)="HANES",LEFT(A469,3)="ITG")</formula>
    </cfRule>
  </conditionalFormatting>
  <conditionalFormatting sqref="D469">
    <cfRule type="expression" dxfId="2791" priority="2788" stopIfTrue="1">
      <formula>OR(LEFT(D469,4)="KHTT",LEFT(D469,5)="10USD",RIGHT(D469,3)="TTC",LEFT(D469,3)="TNT")</formula>
    </cfRule>
    <cfRule type="expression" dxfId="2790" priority="2789" stopIfTrue="1">
      <formula>OR(LEFT(D469,3)="CTU",LEFT(D469,4)="HDON")</formula>
    </cfRule>
    <cfRule type="expression" dxfId="2789" priority="2790" stopIfTrue="1">
      <formula>OR(LEFT(D469,4)="HOLD",OR(A469="QTNP",A469="HOA THO",A469="YES VINA",A469="HUNG YEN",A469="TEX GIANG",A469="HUNG LONG"),LEFT(A469,5)="HANES",LEFT(A469,3)="ITG")</formula>
    </cfRule>
  </conditionalFormatting>
  <conditionalFormatting sqref="D469">
    <cfRule type="expression" dxfId="2788" priority="2785" stopIfTrue="1">
      <formula>OR(LEFT(D469,4)="KHTT",LEFT(D469,5)="10USD",RIGHT(D469,3)="TTC",LEFT(D469,3)="TNT")</formula>
    </cfRule>
    <cfRule type="expression" dxfId="2787" priority="2786" stopIfTrue="1">
      <formula>OR(LEFT(D469,3)="CTU",LEFT(D469,4)="HDON")</formula>
    </cfRule>
    <cfRule type="expression" dxfId="2786" priority="2787" stopIfTrue="1">
      <formula>OR(LEFT(D469,4)="HOLD",OR(A469="QTNP",A469="HOA THO",A469="YES VINA",A469="HUNG YEN",A469="TEX GIANG",A469="HUNG LONG"),LEFT(A469,5)="HANES",LEFT(A469,3)="ITG")</formula>
    </cfRule>
  </conditionalFormatting>
  <conditionalFormatting sqref="D469">
    <cfRule type="expression" dxfId="2785" priority="2782" stopIfTrue="1">
      <formula>OR(LEFT(D469,4)="KHTT",LEFT(D469,5)="10USD",RIGHT(D469,3)="TTC",LEFT(D469,3)="TNT")</formula>
    </cfRule>
    <cfRule type="expression" dxfId="2784" priority="2783" stopIfTrue="1">
      <formula>OR(LEFT(D469,3)="CTU",LEFT(D469,4)="HDON")</formula>
    </cfRule>
    <cfRule type="expression" dxfId="2783" priority="2784" stopIfTrue="1">
      <formula>OR(LEFT(D469,4)="HOLD",OR(A469="QTNP",A469="HOA THO",A469="YES VINA",A469="HUNG YEN",A469="TEX GIANG",A469="HUNG LONG"),LEFT(A469,5)="HANES",LEFT(A469,3)="ITG")</formula>
    </cfRule>
  </conditionalFormatting>
  <conditionalFormatting sqref="D469">
    <cfRule type="expression" dxfId="2782" priority="2779" stopIfTrue="1">
      <formula>OR(LEFT(D469,4)="KHTT",LEFT(D469,5)="10USD",RIGHT(D469,3)="TTC",LEFT(D469,3)="TNT")</formula>
    </cfRule>
    <cfRule type="expression" dxfId="2781" priority="2780" stopIfTrue="1">
      <formula>OR(LEFT(D469,3)="CTU",LEFT(D469,4)="HDON")</formula>
    </cfRule>
    <cfRule type="expression" dxfId="2780" priority="2781" stopIfTrue="1">
      <formula>OR(LEFT(D469,4)="HOLD",OR(A469="QTNP",A469="HOA THO",A469="YES VINA",A469="HUNG YEN",A469="TEX GIANG",A469="HUNG LONG"),LEFT(A469,5)="HANES",LEFT(A469,3)="ITG")</formula>
    </cfRule>
  </conditionalFormatting>
  <conditionalFormatting sqref="D469">
    <cfRule type="expression" dxfId="2779" priority="2776" stopIfTrue="1">
      <formula>OR(LEFT(D469,4)="KHTT",LEFT(D469,5)="10USD",RIGHT(D469,3)="TTC",LEFT(D469,3)="TNT")</formula>
    </cfRule>
    <cfRule type="expression" dxfId="2778" priority="2777" stopIfTrue="1">
      <formula>OR(LEFT(D469,3)="CTU",LEFT(D469,4)="HDON")</formula>
    </cfRule>
    <cfRule type="expression" dxfId="2777" priority="2778" stopIfTrue="1">
      <formula>OR(LEFT(D469,4)="HOLD",OR(A469="QTNP",A469="HOA THO",A469="YES VINA",A469="HUNG YEN",A469="TEX GIANG",A469="HUNG LONG"),LEFT(A469,5)="HANES",LEFT(A469,3)="ITG")</formula>
    </cfRule>
  </conditionalFormatting>
  <conditionalFormatting sqref="D469">
    <cfRule type="expression" dxfId="2776" priority="2773" stopIfTrue="1">
      <formula>OR(LEFT(D469,4)="KHTT",LEFT(D469,5)="10USD",RIGHT(D469,3)="TTC",LEFT(D469,3)="TNT")</formula>
    </cfRule>
    <cfRule type="expression" dxfId="2775" priority="2774" stopIfTrue="1">
      <formula>OR(LEFT(D469,3)="CTU",LEFT(D469,4)="HDON")</formula>
    </cfRule>
    <cfRule type="expression" dxfId="2774" priority="2775" stopIfTrue="1">
      <formula>OR(LEFT(D469,4)="HOLD",OR(A469="QTNP",A469="HOA THO",A469="YES VINA",A469="HUNG YEN",A469="TEX GIANG",A469="HUNG LONG"),LEFT(A469,5)="HANES",LEFT(A469,3)="ITG")</formula>
    </cfRule>
  </conditionalFormatting>
  <conditionalFormatting sqref="D469">
    <cfRule type="expression" dxfId="2773" priority="2770" stopIfTrue="1">
      <formula>OR(LEFT(D469,4)="KHTT",LEFT(D469,5)="10USD",RIGHT(D469,3)="TTC",LEFT(D469,3)="TNT")</formula>
    </cfRule>
    <cfRule type="expression" dxfId="2772" priority="2771" stopIfTrue="1">
      <formula>OR(LEFT(D469,3)="CTU",LEFT(D469,4)="HDON")</formula>
    </cfRule>
    <cfRule type="expression" dxfId="2771" priority="2772" stopIfTrue="1">
      <formula>OR(LEFT(D469,4)="HOLD",OR(A469="QTNP",A469="HOA THO",A469="YES VINA",A469="HUNG YEN",A469="TEX GIANG",A469="HUNG LONG"),LEFT(A469,5)="HANES",LEFT(A469,3)="ITG")</formula>
    </cfRule>
  </conditionalFormatting>
  <conditionalFormatting sqref="D469">
    <cfRule type="expression" dxfId="2770" priority="2767" stopIfTrue="1">
      <formula>OR(LEFT(D469,4)="KHTT",LEFT(D469,5)="10USD",RIGHT(D469,3)="TTC",LEFT(D469,3)="TNT")</formula>
    </cfRule>
    <cfRule type="expression" dxfId="2769" priority="2768" stopIfTrue="1">
      <formula>OR(LEFT(D469,3)="CTU",LEFT(D469,4)="HDON")</formula>
    </cfRule>
    <cfRule type="expression" dxfId="2768" priority="2769" stopIfTrue="1">
      <formula>OR(LEFT(D469,4)="HOLD",OR(A469="QTNP",A469="HOA THO",A469="YES VINA",A469="HUNG YEN",A469="TEX GIANG",A469="HUNG LONG"),LEFT(A469,5)="HANES",LEFT(A469,3)="ITG")</formula>
    </cfRule>
  </conditionalFormatting>
  <conditionalFormatting sqref="D469">
    <cfRule type="expression" dxfId="2767" priority="2764" stopIfTrue="1">
      <formula>OR(LEFT(D469,4)="KHTT",LEFT(D469,5)="10USD",RIGHT(D469,3)="TTC",LEFT(D469,3)="TNT")</formula>
    </cfRule>
    <cfRule type="expression" dxfId="2766" priority="2765" stopIfTrue="1">
      <formula>OR(LEFT(D469,3)="CTU",LEFT(D469,4)="HDON")</formula>
    </cfRule>
    <cfRule type="expression" dxfId="2765" priority="2766" stopIfTrue="1">
      <formula>OR(LEFT(D469,4)="HOLD",OR(A469="QTNP",A469="HOA THO",A469="YES VINA",A469="HUNG YEN",A469="TEX GIANG",A469="HUNG LONG"),LEFT(A469,5)="HANES",LEFT(A469,3)="ITG")</formula>
    </cfRule>
  </conditionalFormatting>
  <conditionalFormatting sqref="D469">
    <cfRule type="expression" dxfId="2764" priority="2761" stopIfTrue="1">
      <formula>OR(LEFT(D469,4)="KHTT",LEFT(D469,5)="10USD",RIGHT(D469,3)="TTC",LEFT(D469,3)="TNT")</formula>
    </cfRule>
    <cfRule type="expression" dxfId="2763" priority="2762" stopIfTrue="1">
      <formula>OR(LEFT(D469,3)="CTU",LEFT(D469,4)="HDON")</formula>
    </cfRule>
    <cfRule type="expression" dxfId="2762" priority="2763" stopIfTrue="1">
      <formula>OR(LEFT(D469,4)="HOLD",OR(A469="QTNP",A469="HOA THO",A469="YES VINA",A469="HUNG YEN",A469="TEX GIANG",A469="HUNG LONG"),LEFT(A469,5)="HANES",LEFT(A469,3)="ITG")</formula>
    </cfRule>
  </conditionalFormatting>
  <conditionalFormatting sqref="D469">
    <cfRule type="expression" dxfId="2761" priority="2758" stopIfTrue="1">
      <formula>OR(LEFT(D469,4)="KHTT",LEFT(D469,5)="10USD",RIGHT(D469,3)="TTC",LEFT(D469,3)="TNT")</formula>
    </cfRule>
    <cfRule type="expression" dxfId="2760" priority="2759" stopIfTrue="1">
      <formula>OR(LEFT(D469,3)="CTU",LEFT(D469,4)="HDON")</formula>
    </cfRule>
    <cfRule type="expression" dxfId="2759" priority="2760" stopIfTrue="1">
      <formula>OR(LEFT(D469,4)="HOLD",OR(A469="QTNP",A469="HOA THO",A469="YES VINA",A469="HUNG YEN",A469="TEX GIANG",A469="HUNG LONG"),LEFT(A469,5)="HANES",LEFT(A469,3)="ITG")</formula>
    </cfRule>
  </conditionalFormatting>
  <conditionalFormatting sqref="D469">
    <cfRule type="expression" dxfId="2758" priority="2755" stopIfTrue="1">
      <formula>OR(LEFT(D469,4)="KHTT",LEFT(D469,5)="10USD",RIGHT(D469,3)="TTC",LEFT(D469,3)="TNT")</formula>
    </cfRule>
    <cfRule type="expression" dxfId="2757" priority="2756" stopIfTrue="1">
      <formula>OR(LEFT(D469,3)="CTU",LEFT(D469,4)="HDON")</formula>
    </cfRule>
    <cfRule type="expression" dxfId="2756" priority="2757" stopIfTrue="1">
      <formula>OR(LEFT(D469,4)="HOLD",OR(A469="QTNP",A469="HOA THO",A469="YES VINA",A469="HUNG YEN",A469="TEX GIANG",A469="HUNG LONG"),LEFT(A469,5)="HANES",LEFT(A469,3)="ITG")</formula>
    </cfRule>
  </conditionalFormatting>
  <conditionalFormatting sqref="D469">
    <cfRule type="expression" dxfId="2755" priority="2752" stopIfTrue="1">
      <formula>OR(LEFT(D469,4)="KHTT",LEFT(D469,5)="10USD",RIGHT(D469,3)="TTC",LEFT(D469,3)="TNT")</formula>
    </cfRule>
    <cfRule type="expression" dxfId="2754" priority="2753" stopIfTrue="1">
      <formula>OR(LEFT(D469,3)="CTU",LEFT(D469,4)="HDON")</formula>
    </cfRule>
    <cfRule type="expression" dxfId="2753" priority="2754" stopIfTrue="1">
      <formula>OR(LEFT(D469,4)="HOLD",OR(A469="QTNP",A469="HOA THO",A469="YES VINA",A469="HUNG YEN",A469="TEX GIANG",A469="HUNG LONG"),LEFT(A469,5)="HANES",LEFT(A469,3)="ITG")</formula>
    </cfRule>
  </conditionalFormatting>
  <conditionalFormatting sqref="D469">
    <cfRule type="expression" dxfId="2752" priority="2749" stopIfTrue="1">
      <formula>OR(LEFT(D469,4)="KHTT",LEFT(D469,5)="10USD",RIGHT(D469,3)="TTC",LEFT(D469,3)="TNT")</formula>
    </cfRule>
    <cfRule type="expression" dxfId="2751" priority="2750" stopIfTrue="1">
      <formula>OR(LEFT(D469,3)="CTU",LEFT(D469,4)="HDON")</formula>
    </cfRule>
    <cfRule type="expression" dxfId="2750" priority="2751" stopIfTrue="1">
      <formula>OR(LEFT(D469,4)="HOLD",OR(A469="QTNP",A469="HOA THO",A469="YES VINA",A469="HUNG YEN",A469="TEX GIANG",A469="HUNG LONG"),LEFT(A469,5)="HANES",LEFT(A469,3)="ITG")</formula>
    </cfRule>
  </conditionalFormatting>
  <conditionalFormatting sqref="D469">
    <cfRule type="expression" dxfId="2749" priority="2746" stopIfTrue="1">
      <formula>OR(LEFT(D469,4)="KHTT",LEFT(D469,5)="10USD",RIGHT(D469,3)="TTC",LEFT(D469,3)="TNT")</formula>
    </cfRule>
    <cfRule type="expression" dxfId="2748" priority="2747" stopIfTrue="1">
      <formula>OR(LEFT(D469,3)="CTU",LEFT(D469,4)="HDON")</formula>
    </cfRule>
    <cfRule type="expression" dxfId="2747" priority="2748" stopIfTrue="1">
      <formula>OR(LEFT(D469,4)="HOLD",OR(A469="QTNP",A469="HOA THO",A469="YES VINA",A469="HUNG YEN",A469="TEX GIANG",A469="HUNG LONG"),LEFT(A469,5)="HANES",LEFT(A469,3)="ITG")</formula>
    </cfRule>
  </conditionalFormatting>
  <conditionalFormatting sqref="D469">
    <cfRule type="expression" dxfId="2746" priority="2743" stopIfTrue="1">
      <formula>OR(LEFT(D469,4)="KHTT",LEFT(D469,5)="10USD",RIGHT(D469,3)="TTC",LEFT(D469,3)="TNT")</formula>
    </cfRule>
    <cfRule type="expression" dxfId="2745" priority="2744" stopIfTrue="1">
      <formula>OR(LEFT(D469,3)="CTU",LEFT(D469,4)="HDON")</formula>
    </cfRule>
    <cfRule type="expression" dxfId="2744" priority="2745" stopIfTrue="1">
      <formula>OR(LEFT(D469,4)="HOLD",OR(A469="QTNP",A469="HOA THO",A469="YES VINA",A469="HUNG YEN",A469="TEX GIANG",A469="HUNG LONG"),LEFT(A469,5)="HANES",LEFT(A469,3)="ITG")</formula>
    </cfRule>
  </conditionalFormatting>
  <conditionalFormatting sqref="D469">
    <cfRule type="expression" dxfId="2743" priority="2740" stopIfTrue="1">
      <formula>OR(LEFT(D469,4)="KHTT",LEFT(D469,5)="10USD",RIGHT(D469,3)="TTC",LEFT(D469,3)="TNT")</formula>
    </cfRule>
    <cfRule type="expression" dxfId="2742" priority="2741" stopIfTrue="1">
      <formula>OR(LEFT(D469,3)="CTU",LEFT(D469,4)="HDON")</formula>
    </cfRule>
    <cfRule type="expression" dxfId="2741" priority="2742" stopIfTrue="1">
      <formula>OR(LEFT(D469,4)="HOLD",OR(A469="QTNP",A469="HOA THO",A469="YES VINA",A469="HUNG YEN",A469="TEX GIANG",A469="HUNG LONG"),LEFT(A469,5)="HANES",LEFT(A469,3)="ITG")</formula>
    </cfRule>
  </conditionalFormatting>
  <conditionalFormatting sqref="D469">
    <cfRule type="expression" dxfId="2740" priority="2737" stopIfTrue="1">
      <formula>OR(LEFT(D469,4)="KHTT",LEFT(D469,5)="10USD",RIGHT(D469,3)="TTC",LEFT(D469,3)="TNT")</formula>
    </cfRule>
    <cfRule type="expression" dxfId="2739" priority="2738" stopIfTrue="1">
      <formula>OR(LEFT(D469,3)="CTU",LEFT(D469,4)="HDON")</formula>
    </cfRule>
    <cfRule type="expression" dxfId="2738" priority="2739" stopIfTrue="1">
      <formula>OR(LEFT(D469,4)="HOLD",OR(A469="QTNP",A469="HOA THO",A469="YES VINA",A469="HUNG YEN",A469="TEX GIANG",A469="HUNG LONG"),LEFT(A469,5)="HANES",LEFT(A469,3)="ITG")</formula>
    </cfRule>
  </conditionalFormatting>
  <conditionalFormatting sqref="D469">
    <cfRule type="expression" dxfId="2737" priority="2734" stopIfTrue="1">
      <formula>OR(LEFT(D469,4)="KHTT",LEFT(D469,5)="10USD",RIGHT(D469,3)="TTC",LEFT(D469,3)="TNT")</formula>
    </cfRule>
    <cfRule type="expression" dxfId="2736" priority="2735" stopIfTrue="1">
      <formula>OR(LEFT(D469,3)="CTU",LEFT(D469,4)="HDON")</formula>
    </cfRule>
    <cfRule type="expression" dxfId="2735" priority="2736" stopIfTrue="1">
      <formula>OR(LEFT(D469,4)="HOLD",OR(A469="QTNP",A469="HOA THO",A469="YES VINA",A469="HUNG YEN",A469="TEX GIANG",A469="HUNG LONG"),LEFT(A469,5)="HANES",LEFT(A469,3)="ITG")</formula>
    </cfRule>
  </conditionalFormatting>
  <conditionalFormatting sqref="D469">
    <cfRule type="expression" dxfId="2734" priority="2731" stopIfTrue="1">
      <formula>OR(LEFT(D469,4)="KHTT",LEFT(D469,5)="10USD",RIGHT(D469,3)="TTC",LEFT(D469,3)="TNT")</formula>
    </cfRule>
    <cfRule type="expression" dxfId="2733" priority="2732" stopIfTrue="1">
      <formula>OR(LEFT(D469,3)="CTU",LEFT(D469,4)="HDON")</formula>
    </cfRule>
    <cfRule type="expression" dxfId="2732" priority="2733" stopIfTrue="1">
      <formula>OR(LEFT(D469,4)="HOLD",OR(A469="QTNP",A469="HOA THO",A469="YES VINA",A469="HUNG YEN",A469="TEX GIANG",A469="HUNG LONG"),LEFT(A469,5)="HANES",LEFT(A469,3)="ITG")</formula>
    </cfRule>
  </conditionalFormatting>
  <conditionalFormatting sqref="D469">
    <cfRule type="expression" dxfId="2731" priority="2728" stopIfTrue="1">
      <formula>OR(LEFT(D469,4)="KHTT",LEFT(D469,5)="10USD",RIGHT(D469,3)="TTC",LEFT(D469,3)="TNT")</formula>
    </cfRule>
    <cfRule type="expression" dxfId="2730" priority="2729" stopIfTrue="1">
      <formula>OR(LEFT(D469,3)="CTU",LEFT(D469,4)="HDON")</formula>
    </cfRule>
    <cfRule type="expression" dxfId="2729" priority="2730" stopIfTrue="1">
      <formula>OR(LEFT(D469,4)="HOLD",OR(A469="QTNP",A469="HOA THO",A469="YES VINA",A469="HUNG YEN",A469="TEX GIANG",A469="HUNG LONG"),LEFT(A469,5)="HANES",LEFT(A469,3)="ITG")</formula>
    </cfRule>
  </conditionalFormatting>
  <conditionalFormatting sqref="D469">
    <cfRule type="expression" dxfId="2728" priority="2725" stopIfTrue="1">
      <formula>OR(LEFT(D469,4)="KHTT",LEFT(D469,5)="10USD",RIGHT(D469,3)="TTC",LEFT(D469,3)="TNT")</formula>
    </cfRule>
    <cfRule type="expression" dxfId="2727" priority="2726" stopIfTrue="1">
      <formula>OR(LEFT(D469,3)="CTU",LEFT(D469,4)="HDON")</formula>
    </cfRule>
    <cfRule type="expression" dxfId="2726" priority="2727" stopIfTrue="1">
      <formula>OR(LEFT(D469,4)="HOLD",OR(A469="QTNP",A469="HOA THO",A469="YES VINA",A469="HUNG YEN",A469="TEX GIANG",A469="HUNG LONG"),LEFT(A469,5)="HANES",LEFT(A469,3)="ITG")</formula>
    </cfRule>
  </conditionalFormatting>
  <conditionalFormatting sqref="D469">
    <cfRule type="expression" dxfId="2725" priority="2722" stopIfTrue="1">
      <formula>OR(LEFT(D469,4)="KHTT",LEFT(D469,5)="10USD",RIGHT(D469,3)="TTC",LEFT(D469,3)="TNT")</formula>
    </cfRule>
    <cfRule type="expression" dxfId="2724" priority="2723" stopIfTrue="1">
      <formula>OR(LEFT(D469,3)="CTU",LEFT(D469,4)="HDON")</formula>
    </cfRule>
    <cfRule type="expression" dxfId="2723" priority="2724" stopIfTrue="1">
      <formula>OR(LEFT(D469,4)="HOLD",OR(A469="QTNP",A469="HOA THO",A469="YES VINA",A469="HUNG YEN",A469="TEX GIANG",A469="HUNG LONG"),LEFT(A469,5)="HANES",LEFT(A469,3)="ITG")</formula>
    </cfRule>
  </conditionalFormatting>
  <conditionalFormatting sqref="D469">
    <cfRule type="expression" dxfId="2722" priority="2719" stopIfTrue="1">
      <formula>OR(LEFT(D469,4)="KHTT",LEFT(D469,5)="10USD",RIGHT(D469,3)="TTC",LEFT(D469,3)="TNT")</formula>
    </cfRule>
    <cfRule type="expression" dxfId="2721" priority="2720" stopIfTrue="1">
      <formula>OR(LEFT(D469,3)="CTU",LEFT(D469,4)="HDON")</formula>
    </cfRule>
    <cfRule type="expression" dxfId="2720" priority="2721" stopIfTrue="1">
      <formula>OR(LEFT(D469,4)="HOLD",OR(A469="QTNP",A469="HOA THO",A469="YES VINA",A469="HUNG YEN",A469="TEX GIANG",A469="HUNG LONG"),LEFT(A469,5)="HANES",LEFT(A469,3)="ITG")</formula>
    </cfRule>
  </conditionalFormatting>
  <conditionalFormatting sqref="D469">
    <cfRule type="expression" dxfId="2719" priority="2716" stopIfTrue="1">
      <formula>OR(LEFT(D469,4)="KHTT",LEFT(D469,5)="10USD",RIGHT(D469,3)="TTC",LEFT(D469,3)="TNT")</formula>
    </cfRule>
    <cfRule type="expression" dxfId="2718" priority="2717" stopIfTrue="1">
      <formula>OR(LEFT(D469,3)="CTU",LEFT(D469,4)="HDON")</formula>
    </cfRule>
    <cfRule type="expression" dxfId="2717" priority="2718" stopIfTrue="1">
      <formula>OR(LEFT(D469,4)="HOLD",OR(A469="QTNP",A469="HOA THO",A469="YES VINA",A469="HUNG YEN",A469="TEX GIANG",A469="HUNG LONG"),LEFT(A469,5)="HANES",LEFT(A469,3)="ITG")</formula>
    </cfRule>
  </conditionalFormatting>
  <conditionalFormatting sqref="D469">
    <cfRule type="expression" dxfId="2716" priority="2713" stopIfTrue="1">
      <formula>OR(LEFT(D469,4)="KHTT",LEFT(D469,5)="10USD",RIGHT(D469,3)="TTC",LEFT(D469,3)="TNT")</formula>
    </cfRule>
    <cfRule type="expression" dxfId="2715" priority="2714" stopIfTrue="1">
      <formula>OR(LEFT(D469,3)="CTU",LEFT(D469,4)="HDON")</formula>
    </cfRule>
    <cfRule type="expression" dxfId="2714" priority="2715" stopIfTrue="1">
      <formula>OR(LEFT(D469,4)="HOLD",OR(A469="QTNP",A469="HOA THO",A469="YES VINA",A469="HUNG YEN",A469="TEX GIANG",A469="HUNG LONG"),LEFT(A469,5)="HANES",LEFT(A469,3)="ITG")</formula>
    </cfRule>
  </conditionalFormatting>
  <conditionalFormatting sqref="D469">
    <cfRule type="expression" dxfId="2713" priority="2710" stopIfTrue="1">
      <formula>OR(LEFT(D469,4)="KHTT",LEFT(D469,5)="10USD",RIGHT(D469,3)="TTC",LEFT(D469,3)="TNT")</formula>
    </cfRule>
    <cfRule type="expression" dxfId="2712" priority="2711" stopIfTrue="1">
      <formula>OR(LEFT(D469,3)="CTU",LEFT(D469,4)="HDON")</formula>
    </cfRule>
    <cfRule type="expression" dxfId="2711" priority="2712" stopIfTrue="1">
      <formula>OR(LEFT(D469,4)="HOLD",OR(A469="QTNP",A469="HOA THO",A469="YES VINA",A469="HUNG YEN",A469="TEX GIANG",A469="HUNG LONG"),LEFT(A469,5)="HANES",LEFT(A469,3)="ITG")</formula>
    </cfRule>
  </conditionalFormatting>
  <conditionalFormatting sqref="D469">
    <cfRule type="expression" dxfId="2710" priority="2707" stopIfTrue="1">
      <formula>OR(LEFT(D469,4)="KHTT",LEFT(D469,5)="10USD",RIGHT(D469,3)="TTC",LEFT(D469,3)="TNT")</formula>
    </cfRule>
    <cfRule type="expression" dxfId="2709" priority="2708" stopIfTrue="1">
      <formula>OR(LEFT(D469,3)="CTU",LEFT(D469,4)="HDON")</formula>
    </cfRule>
    <cfRule type="expression" dxfId="2708" priority="2709" stopIfTrue="1">
      <formula>OR(LEFT(D469,4)="HOLD",OR(A469="QTNP",A469="HOA THO",A469="YES VINA",A469="HUNG YEN",A469="TEX GIANG",A469="HUNG LONG"),LEFT(A469,5)="HANES",LEFT(A469,3)="ITG")</formula>
    </cfRule>
  </conditionalFormatting>
  <conditionalFormatting sqref="D469">
    <cfRule type="expression" dxfId="2707" priority="2704" stopIfTrue="1">
      <formula>OR(LEFT(D469,4)="KHTT",LEFT(D469,5)="10USD",RIGHT(D469,3)="TTC",LEFT(D469,3)="TNT")</formula>
    </cfRule>
    <cfRule type="expression" dxfId="2706" priority="2705" stopIfTrue="1">
      <formula>OR(LEFT(D469,3)="CTU",LEFT(D469,4)="HDON")</formula>
    </cfRule>
    <cfRule type="expression" dxfId="2705" priority="2706" stopIfTrue="1">
      <formula>OR(LEFT(D469,4)="HOLD",OR(A469="QTNP",A469="HOA THO",A469="YES VINA",A469="HUNG YEN",A469="TEX GIANG",A469="HUNG LONG"),LEFT(A469,5)="HANES",LEFT(A469,3)="ITG")</formula>
    </cfRule>
  </conditionalFormatting>
  <conditionalFormatting sqref="D469">
    <cfRule type="expression" dxfId="2704" priority="2701" stopIfTrue="1">
      <formula>OR(LEFT(D469,4)="KHTT",LEFT(D469,5)="10USD",RIGHT(D469,3)="TTC",LEFT(D469,3)="TNT")</formula>
    </cfRule>
    <cfRule type="expression" dxfId="2703" priority="2702" stopIfTrue="1">
      <formula>OR(LEFT(D469,3)="CTU",LEFT(D469,4)="HDON")</formula>
    </cfRule>
    <cfRule type="expression" dxfId="2702" priority="2703" stopIfTrue="1">
      <formula>OR(LEFT(D469,4)="HOLD",OR(A469="QTNP",A469="HOA THO",A469="YES VINA",A469="HUNG YEN",A469="TEX GIANG",A469="HUNG LONG"),LEFT(A469,5)="HANES",LEFT(A469,3)="ITG")</formula>
    </cfRule>
  </conditionalFormatting>
  <conditionalFormatting sqref="D469">
    <cfRule type="expression" dxfId="2701" priority="2698" stopIfTrue="1">
      <formula>OR(LEFT(D469,4)="KHTT",LEFT(D469,5)="10USD",RIGHT(D469,3)="TTC",LEFT(D469,3)="TNT")</formula>
    </cfRule>
    <cfRule type="expression" dxfId="2700" priority="2699" stopIfTrue="1">
      <formula>OR(LEFT(D469,3)="CTU",LEFT(D469,4)="HDON")</formula>
    </cfRule>
    <cfRule type="expression" dxfId="2699" priority="2700" stopIfTrue="1">
      <formula>OR(LEFT(D469,4)="HOLD",OR(A469="QTNP",A469="HOA THO",A469="YES VINA",A469="HUNG YEN",A469="TEX GIANG",A469="HUNG LONG"),LEFT(A469,5)="HANES",LEFT(A469,3)="ITG")</formula>
    </cfRule>
  </conditionalFormatting>
  <conditionalFormatting sqref="D469">
    <cfRule type="expression" dxfId="2698" priority="2695" stopIfTrue="1">
      <formula>OR(LEFT(D469,4)="KHTT",LEFT(D469,5)="10USD",RIGHT(D469,3)="TTC",LEFT(D469,3)="TNT")</formula>
    </cfRule>
    <cfRule type="expression" dxfId="2697" priority="2696" stopIfTrue="1">
      <formula>OR(LEFT(D469,3)="CTU",LEFT(D469,4)="HDON")</formula>
    </cfRule>
    <cfRule type="expression" dxfId="2696" priority="2697" stopIfTrue="1">
      <formula>OR(LEFT(D469,4)="HOLD",OR(A469="QTNP",A469="HOA THO",A469="YES VINA",A469="HUNG YEN",A469="TEX GIANG",A469="HUNG LONG"),LEFT(A469,5)="HANES",LEFT(A469,3)="ITG")</formula>
    </cfRule>
  </conditionalFormatting>
  <conditionalFormatting sqref="D469">
    <cfRule type="expression" dxfId="2695" priority="2692" stopIfTrue="1">
      <formula>OR(LEFT(D469,4)="KHTT",LEFT(D469,5)="10USD",RIGHT(D469,3)="TTC",LEFT(D469,3)="TNT")</formula>
    </cfRule>
    <cfRule type="expression" dxfId="2694" priority="2693" stopIfTrue="1">
      <formula>OR(LEFT(D469,3)="CTU",LEFT(D469,4)="HDON")</formula>
    </cfRule>
    <cfRule type="expression" dxfId="2693" priority="2694" stopIfTrue="1">
      <formula>OR(LEFT(D469,4)="HOLD",OR(A469="QTNP",A469="HOA THO",A469="YES VINA",A469="HUNG YEN",A469="TEX GIANG",A469="HUNG LONG"),LEFT(A469,5)="HANES",LEFT(A469,3)="ITG")</formula>
    </cfRule>
  </conditionalFormatting>
  <conditionalFormatting sqref="D469">
    <cfRule type="expression" dxfId="2692" priority="2689" stopIfTrue="1">
      <formula>OR(LEFT(D469,4)="KHTT",LEFT(D469,5)="10USD",RIGHT(D469,3)="TTC",LEFT(D469,3)="TNT")</formula>
    </cfRule>
    <cfRule type="expression" dxfId="2691" priority="2690" stopIfTrue="1">
      <formula>OR(LEFT(D469,3)="CTU",LEFT(D469,4)="HDON")</formula>
    </cfRule>
    <cfRule type="expression" dxfId="2690" priority="2691" stopIfTrue="1">
      <formula>OR(LEFT(D469,4)="HOLD",OR(A469="QTNP",A469="HOA THO",A469="YES VINA",A469="HUNG YEN",A469="TEX GIANG",A469="HUNG LONG"),LEFT(A469,5)="HANES",LEFT(A469,3)="ITG")</formula>
    </cfRule>
  </conditionalFormatting>
  <conditionalFormatting sqref="D469">
    <cfRule type="expression" dxfId="2689" priority="2686" stopIfTrue="1">
      <formula>OR(LEFT(D469,4)="KHTT",LEFT(D469,5)="10USD",RIGHT(D469,3)="TTC",LEFT(D469,3)="TNT")</formula>
    </cfRule>
    <cfRule type="expression" dxfId="2688" priority="2687" stopIfTrue="1">
      <formula>OR(LEFT(D469,3)="CTU",LEFT(D469,4)="HDON")</formula>
    </cfRule>
    <cfRule type="expression" dxfId="2687" priority="2688" stopIfTrue="1">
      <formula>OR(LEFT(D469,4)="HOLD",OR(A469="QTNP",A469="HOA THO",A469="YES VINA",A469="HUNG YEN",A469="TEX GIANG",A469="HUNG LONG"),LEFT(A469,5)="HANES",LEFT(A469,3)="ITG")</formula>
    </cfRule>
  </conditionalFormatting>
  <conditionalFormatting sqref="D469">
    <cfRule type="expression" dxfId="2686" priority="2683" stopIfTrue="1">
      <formula>OR(LEFT(D469,4)="KHTT",LEFT(D469,5)="10USD",RIGHT(D469,3)="TTC",LEFT(D469,3)="TNT")</formula>
    </cfRule>
    <cfRule type="expression" dxfId="2685" priority="2684" stopIfTrue="1">
      <formula>OR(LEFT(D469,3)="CTU",LEFT(D469,4)="HDON")</formula>
    </cfRule>
    <cfRule type="expression" dxfId="2684" priority="2685" stopIfTrue="1">
      <formula>OR(LEFT(D469,4)="HOLD",OR(A469="QTNP",A469="HOA THO",A469="YES VINA",A469="HUNG YEN",A469="TEX GIANG",A469="HUNG LONG"),LEFT(A469,5)="HANES",LEFT(A469,3)="ITG")</formula>
    </cfRule>
  </conditionalFormatting>
  <conditionalFormatting sqref="D469">
    <cfRule type="expression" dxfId="2683" priority="2680" stopIfTrue="1">
      <formula>OR(LEFT(D469,4)="KHTT",LEFT(D469,5)="10USD",RIGHT(D469,3)="TTC",LEFT(D469,3)="TNT")</formula>
    </cfRule>
    <cfRule type="expression" dxfId="2682" priority="2681" stopIfTrue="1">
      <formula>OR(LEFT(D469,3)="CTU",LEFT(D469,4)="HDON")</formula>
    </cfRule>
    <cfRule type="expression" dxfId="2681" priority="2682" stopIfTrue="1">
      <formula>OR(LEFT(D469,4)="HOLD",OR(A469="QTNP",A469="HOA THO",A469="YES VINA",A469="HUNG YEN",A469="TEX GIANG",A469="HUNG LONG"),LEFT(A469,5)="HANES",LEFT(A469,3)="ITG")</formula>
    </cfRule>
  </conditionalFormatting>
  <conditionalFormatting sqref="D469">
    <cfRule type="expression" dxfId="2680" priority="2677" stopIfTrue="1">
      <formula>OR(LEFT(D469,4)="KHTT",LEFT(D469,5)="10USD",RIGHT(D469,3)="TTC",LEFT(D469,3)="TNT")</formula>
    </cfRule>
    <cfRule type="expression" dxfId="2679" priority="2678" stopIfTrue="1">
      <formula>OR(LEFT(D469,3)="CTU",LEFT(D469,4)="HDON")</formula>
    </cfRule>
    <cfRule type="expression" dxfId="2678" priority="2679" stopIfTrue="1">
      <formula>OR(LEFT(D469,4)="HOLD",OR(A469="QTNP",A469="HOA THO",A469="YES VINA",A469="HUNG YEN",A469="TEX GIANG",A469="HUNG LONG"),LEFT(A469,5)="HANES",LEFT(A469,3)="ITG")</formula>
    </cfRule>
  </conditionalFormatting>
  <conditionalFormatting sqref="D469">
    <cfRule type="expression" dxfId="2677" priority="2674" stopIfTrue="1">
      <formula>OR(LEFT(D469,4)="KHTT",LEFT(D469,5)="10USD",RIGHT(D469,3)="TTC",LEFT(D469,3)="TNT")</formula>
    </cfRule>
    <cfRule type="expression" dxfId="2676" priority="2675" stopIfTrue="1">
      <formula>OR(LEFT(D469,3)="CTU",LEFT(D469,4)="HDON")</formula>
    </cfRule>
    <cfRule type="expression" dxfId="2675" priority="2676" stopIfTrue="1">
      <formula>OR(LEFT(D469,4)="HOLD",OR(A469="QTNP",A469="HOA THO",A469="YES VINA",A469="HUNG YEN",A469="TEX GIANG",A469="HUNG LONG"),LEFT(A469,5)="HANES",LEFT(A469,3)="ITG")</formula>
    </cfRule>
  </conditionalFormatting>
  <conditionalFormatting sqref="D469">
    <cfRule type="expression" dxfId="2674" priority="2671" stopIfTrue="1">
      <formula>OR(LEFT(D469,4)="KHTT",LEFT(D469,5)="10USD",RIGHT(D469,3)="TTC",LEFT(D469,3)="TNT")</formula>
    </cfRule>
    <cfRule type="expression" dxfId="2673" priority="2672" stopIfTrue="1">
      <formula>OR(LEFT(D469,3)="CTU",LEFT(D469,4)="HDON")</formula>
    </cfRule>
    <cfRule type="expression" dxfId="2672" priority="2673" stopIfTrue="1">
      <formula>OR(LEFT(D469,4)="HOLD",OR(A469="QTNP",A469="HOA THO",A469="YES VINA",A469="HUNG YEN",A469="TEX GIANG",A469="HUNG LONG"),LEFT(A469,5)="HANES",LEFT(A469,3)="ITG")</formula>
    </cfRule>
  </conditionalFormatting>
  <conditionalFormatting sqref="D469">
    <cfRule type="expression" dxfId="2671" priority="2668" stopIfTrue="1">
      <formula>OR(LEFT(D469,4)="KHTT",LEFT(D469,5)="10USD",RIGHT(D469,3)="TTC",LEFT(D469,3)="TNT")</formula>
    </cfRule>
    <cfRule type="expression" dxfId="2670" priority="2669" stopIfTrue="1">
      <formula>OR(LEFT(D469,3)="CTU",LEFT(D469,4)="HDON")</formula>
    </cfRule>
    <cfRule type="expression" dxfId="2669" priority="2670" stopIfTrue="1">
      <formula>OR(LEFT(D469,4)="HOLD",OR(A469="QTNP",A469="HOA THO",A469="YES VINA",A469="HUNG YEN",A469="TEX GIANG",A469="HUNG LONG"),LEFT(A469,5)="HANES",LEFT(A469,3)="ITG")</formula>
    </cfRule>
  </conditionalFormatting>
  <conditionalFormatting sqref="D469">
    <cfRule type="expression" dxfId="2668" priority="2665" stopIfTrue="1">
      <formula>OR(LEFT(D469,4)="KHTT",LEFT(D469,5)="10USD",RIGHT(D469,3)="TTC",LEFT(D469,3)="TNT")</formula>
    </cfRule>
    <cfRule type="expression" dxfId="2667" priority="2666" stopIfTrue="1">
      <formula>OR(LEFT(D469,3)="CTU",LEFT(D469,4)="HDON")</formula>
    </cfRule>
    <cfRule type="expression" dxfId="2666" priority="2667" stopIfTrue="1">
      <formula>OR(LEFT(D469,4)="HOLD",OR(A469="QTNP",A469="HOA THO",A469="YES VINA",A469="HUNG YEN",A469="TEX GIANG",A469="HUNG LONG"),LEFT(A469,5)="HANES",LEFT(A469,3)="ITG")</formula>
    </cfRule>
  </conditionalFormatting>
  <conditionalFormatting sqref="D469">
    <cfRule type="expression" dxfId="2665" priority="2662" stopIfTrue="1">
      <formula>OR(LEFT(D469,4)="KHTT",LEFT(D469,5)="10USD",RIGHT(D469,3)="TTC",LEFT(D469,3)="TNT")</formula>
    </cfRule>
    <cfRule type="expression" dxfId="2664" priority="2663" stopIfTrue="1">
      <formula>OR(LEFT(D469,3)="CTU",LEFT(D469,4)="HDON")</formula>
    </cfRule>
    <cfRule type="expression" dxfId="2663" priority="2664" stopIfTrue="1">
      <formula>OR(LEFT(D469,4)="HOLD",OR(A469="QTNP",A469="HOA THO",A469="YES VINA",A469="HUNG YEN",A469="TEX GIANG",A469="HUNG LONG"),LEFT(A469,5)="HANES",LEFT(A469,3)="ITG")</formula>
    </cfRule>
  </conditionalFormatting>
  <conditionalFormatting sqref="D469">
    <cfRule type="expression" dxfId="2662" priority="2659" stopIfTrue="1">
      <formula>OR(LEFT(D469,4)="KHTT",LEFT(D469,5)="10USD",RIGHT(D469,3)="TTC",LEFT(D469,3)="TNT")</formula>
    </cfRule>
    <cfRule type="expression" dxfId="2661" priority="2660" stopIfTrue="1">
      <formula>OR(LEFT(D469,3)="CTU",LEFT(D469,4)="HDON")</formula>
    </cfRule>
    <cfRule type="expression" dxfId="2660" priority="2661" stopIfTrue="1">
      <formula>OR(LEFT(D469,4)="HOLD",OR(A469="QTNP",A469="HOA THO",A469="YES VINA",A469="HUNG YEN",A469="TEX GIANG",A469="HUNG LONG"),LEFT(A469,5)="HANES",LEFT(A469,3)="ITG")</formula>
    </cfRule>
  </conditionalFormatting>
  <conditionalFormatting sqref="D469">
    <cfRule type="expression" dxfId="2659" priority="2656" stopIfTrue="1">
      <formula>OR(LEFT(D469,4)="KHTT",LEFT(D469,5)="10USD",RIGHT(D469,3)="TTC",LEFT(D469,3)="TNT")</formula>
    </cfRule>
    <cfRule type="expression" dxfId="2658" priority="2657" stopIfTrue="1">
      <formula>OR(LEFT(D469,3)="CTU",LEFT(D469,4)="HDON")</formula>
    </cfRule>
    <cfRule type="expression" dxfId="2657" priority="2658" stopIfTrue="1">
      <formula>OR(LEFT(D469,4)="HOLD",OR(A469="QTNP",A469="HOA THO",A469="YES VINA",A469="HUNG YEN",A469="TEX GIANG",A469="HUNG LONG"),LEFT(A469,5)="HANES",LEFT(A469,3)="ITG")</formula>
    </cfRule>
  </conditionalFormatting>
  <conditionalFormatting sqref="D469">
    <cfRule type="expression" dxfId="2656" priority="2653" stopIfTrue="1">
      <formula>OR(LEFT(D469,4)="KHTT",LEFT(D469,5)="10USD",RIGHT(D469,3)="TTC",LEFT(D469,3)="TNT")</formula>
    </cfRule>
    <cfRule type="expression" dxfId="2655" priority="2654" stopIfTrue="1">
      <formula>OR(LEFT(D469,3)="CTU",LEFT(D469,4)="HDON")</formula>
    </cfRule>
    <cfRule type="expression" dxfId="2654" priority="2655" stopIfTrue="1">
      <formula>OR(LEFT(D469,4)="HOLD",OR(A469="QTNP",A469="HOA THO",A469="YES VINA",A469="HUNG YEN",A469="TEX GIANG",A469="HUNG LONG"),LEFT(A469,5)="HANES",LEFT(A469,3)="ITG")</formula>
    </cfRule>
  </conditionalFormatting>
  <conditionalFormatting sqref="D469">
    <cfRule type="expression" dxfId="2653" priority="2650" stopIfTrue="1">
      <formula>OR(LEFT(D469,4)="KHTT",LEFT(D469,5)="10USD",RIGHT(D469,3)="TTC",LEFT(D469,3)="TNT")</formula>
    </cfRule>
    <cfRule type="expression" dxfId="2652" priority="2651" stopIfTrue="1">
      <formula>OR(LEFT(D469,3)="CTU",LEFT(D469,4)="HDON")</formula>
    </cfRule>
    <cfRule type="expression" dxfId="2651" priority="2652" stopIfTrue="1">
      <formula>OR(LEFT(D469,4)="HOLD",OR(A469="QTNP",A469="HOA THO",A469="YES VINA",A469="HUNG YEN",A469="TEX GIANG",A469="HUNG LONG"),LEFT(A469,5)="HANES",LEFT(A469,3)="ITG")</formula>
    </cfRule>
  </conditionalFormatting>
  <conditionalFormatting sqref="D469">
    <cfRule type="expression" dxfId="2650" priority="2647" stopIfTrue="1">
      <formula>OR(LEFT(D469,4)="KHTT",LEFT(D469,5)="10USD",RIGHT(D469,3)="TTC",LEFT(D469,3)="TNT")</formula>
    </cfRule>
    <cfRule type="expression" dxfId="2649" priority="2648" stopIfTrue="1">
      <formula>OR(LEFT(D469,3)="CTU",LEFT(D469,4)="HDON")</formula>
    </cfRule>
    <cfRule type="expression" dxfId="2648" priority="2649" stopIfTrue="1">
      <formula>OR(LEFT(D469,4)="HOLD",OR(A469="QTNP",A469="HOA THO",A469="YES VINA",A469="HUNG YEN",A469="TEX GIANG",A469="HUNG LONG"),LEFT(A469,5)="HANES",LEFT(A469,3)="ITG")</formula>
    </cfRule>
  </conditionalFormatting>
  <conditionalFormatting sqref="D469">
    <cfRule type="expression" dxfId="2647" priority="2644" stopIfTrue="1">
      <formula>OR(LEFT(D469,4)="KHTT",LEFT(D469,5)="10USD",RIGHT(D469,3)="TTC",LEFT(D469,3)="TNT")</formula>
    </cfRule>
    <cfRule type="expression" dxfId="2646" priority="2645" stopIfTrue="1">
      <formula>OR(LEFT(D469,3)="CTU",LEFT(D469,4)="HDON")</formula>
    </cfRule>
    <cfRule type="expression" dxfId="2645" priority="2646" stopIfTrue="1">
      <formula>OR(LEFT(D469,4)="HOLD",OR(A469="QTNP",A469="HOA THO",A469="YES VINA",A469="HUNG YEN",A469="TEX GIANG",A469="HUNG LONG"),LEFT(A469,5)="HANES",LEFT(A469,3)="ITG")</formula>
    </cfRule>
  </conditionalFormatting>
  <conditionalFormatting sqref="D469">
    <cfRule type="expression" dxfId="2644" priority="2641" stopIfTrue="1">
      <formula>OR(LEFT(D469,4)="KHTT",LEFT(D469,5)="10USD",RIGHT(D469,3)="TTC",LEFT(D469,3)="TNT")</formula>
    </cfRule>
    <cfRule type="expression" dxfId="2643" priority="2642" stopIfTrue="1">
      <formula>OR(LEFT(D469,3)="CTU",LEFT(D469,4)="HDON")</formula>
    </cfRule>
    <cfRule type="expression" dxfId="2642" priority="2643" stopIfTrue="1">
      <formula>OR(LEFT(D469,4)="HOLD",OR(A469="QTNP",A469="HOA THO",A469="YES VINA",A469="HUNG YEN",A469="TEX GIANG",A469="HUNG LONG"),LEFT(A469,5)="HANES",LEFT(A469,3)="ITG")</formula>
    </cfRule>
  </conditionalFormatting>
  <conditionalFormatting sqref="D469">
    <cfRule type="expression" dxfId="2641" priority="2638" stopIfTrue="1">
      <formula>OR(LEFT(D469,4)="KHTT",LEFT(D469,5)="10USD",RIGHT(D469,3)="TTC",LEFT(D469,3)="TNT")</formula>
    </cfRule>
    <cfRule type="expression" dxfId="2640" priority="2639" stopIfTrue="1">
      <formula>OR(LEFT(D469,3)="CTU",LEFT(D469,4)="HDON")</formula>
    </cfRule>
    <cfRule type="expression" dxfId="2639" priority="2640" stopIfTrue="1">
      <formula>OR(LEFT(D469,4)="HOLD",OR(A469="QTNP",A469="HOA THO",A469="YES VINA",A469="HUNG YEN",A469="TEX GIANG",A469="HUNG LONG"),LEFT(A469,5)="HANES",LEFT(A469,3)="ITG")</formula>
    </cfRule>
  </conditionalFormatting>
  <conditionalFormatting sqref="D469">
    <cfRule type="expression" dxfId="2638" priority="2635" stopIfTrue="1">
      <formula>OR(LEFT(D469,4)="KHTT",LEFT(D469,5)="10USD",RIGHT(D469,3)="TTC",LEFT(D469,3)="TNT")</formula>
    </cfRule>
    <cfRule type="expression" dxfId="2637" priority="2636" stopIfTrue="1">
      <formula>OR(LEFT(D469,3)="CTU",LEFT(D469,4)="HDON")</formula>
    </cfRule>
    <cfRule type="expression" dxfId="2636" priority="2637" stopIfTrue="1">
      <formula>OR(LEFT(D469,4)="HOLD",OR(A469="QTNP",A469="HOA THO",A469="YES VINA",A469="HUNG YEN",A469="TEX GIANG",A469="HUNG LONG"),LEFT(A469,5)="HANES",LEFT(A469,3)="ITG")</formula>
    </cfRule>
  </conditionalFormatting>
  <conditionalFormatting sqref="D469">
    <cfRule type="expression" dxfId="2635" priority="2632" stopIfTrue="1">
      <formula>OR(LEFT(D469,4)="KHTT",LEFT(D469,5)="10USD",RIGHT(D469,3)="TTC",LEFT(D469,3)="TNT")</formula>
    </cfRule>
    <cfRule type="expression" dxfId="2634" priority="2633" stopIfTrue="1">
      <formula>OR(LEFT(D469,3)="CTU",LEFT(D469,4)="HDON")</formula>
    </cfRule>
    <cfRule type="expression" dxfId="2633" priority="2634" stopIfTrue="1">
      <formula>OR(LEFT(D469,4)="HOLD",OR(A469="QTNP",A469="HOA THO",A469="YES VINA",A469="HUNG YEN",A469="TEX GIANG",A469="HUNG LONG"),LEFT(A469,5)="HANES",LEFT(A469,3)="ITG")</formula>
    </cfRule>
  </conditionalFormatting>
  <conditionalFormatting sqref="D469">
    <cfRule type="expression" dxfId="2632" priority="2629" stopIfTrue="1">
      <formula>OR(LEFT(D469,4)="KHTT",LEFT(D469,5)="10USD",RIGHT(D469,3)="TTC",LEFT(D469,3)="TNT")</formula>
    </cfRule>
    <cfRule type="expression" dxfId="2631" priority="2630" stopIfTrue="1">
      <formula>OR(LEFT(D469,3)="CTU",LEFT(D469,4)="HDON")</formula>
    </cfRule>
    <cfRule type="expression" dxfId="2630" priority="2631" stopIfTrue="1">
      <formula>OR(LEFT(D469,4)="HOLD",OR(A469="QTNP",A469="HOA THO",A469="YES VINA",A469="HUNG YEN",A469="TEX GIANG",A469="HUNG LONG"),LEFT(A469,5)="HANES",LEFT(A469,3)="ITG")</formula>
    </cfRule>
  </conditionalFormatting>
  <conditionalFormatting sqref="D469">
    <cfRule type="expression" dxfId="2629" priority="2626" stopIfTrue="1">
      <formula>OR(LEFT(D469,4)="KHTT",LEFT(D469,5)="10USD",RIGHT(D469,3)="TTC",LEFT(D469,3)="TNT")</formula>
    </cfRule>
    <cfRule type="expression" dxfId="2628" priority="2627" stopIfTrue="1">
      <formula>OR(LEFT(D469,3)="CTU",LEFT(D469,4)="HDON")</formula>
    </cfRule>
    <cfRule type="expression" dxfId="2627" priority="2628" stopIfTrue="1">
      <formula>OR(LEFT(D469,4)="HOLD",OR(A469="QTNP",A469="HOA THO",A469="YES VINA",A469="HUNG YEN",A469="TEX GIANG",A469="HUNG LONG"),LEFT(A469,5)="HANES",LEFT(A469,3)="ITG")</formula>
    </cfRule>
  </conditionalFormatting>
  <conditionalFormatting sqref="D469">
    <cfRule type="expression" dxfId="2626" priority="2623" stopIfTrue="1">
      <formula>OR(LEFT(D469,4)="KHTT",LEFT(D469,5)="10USD",RIGHT(D469,3)="TTC",LEFT(D469,3)="TNT")</formula>
    </cfRule>
    <cfRule type="expression" dxfId="2625" priority="2624" stopIfTrue="1">
      <formula>OR(LEFT(D469,3)="CTU",LEFT(D469,4)="HDON")</formula>
    </cfRule>
    <cfRule type="expression" dxfId="2624" priority="2625" stopIfTrue="1">
      <formula>OR(LEFT(D469,4)="HOLD",OR(A469="QTNP",A469="HOA THO",A469="YES VINA",A469="HUNG YEN",A469="TEX GIANG",A469="HUNG LONG"),LEFT(A469,5)="HANES",LEFT(A469,3)="ITG")</formula>
    </cfRule>
  </conditionalFormatting>
  <conditionalFormatting sqref="D469">
    <cfRule type="expression" dxfId="2623" priority="2620" stopIfTrue="1">
      <formula>OR(LEFT(D469,4)="KHTT",LEFT(D469,5)="10USD",RIGHT(D469,3)="TTC",LEFT(D469,3)="TNT")</formula>
    </cfRule>
    <cfRule type="expression" dxfId="2622" priority="2621" stopIfTrue="1">
      <formula>OR(LEFT(D469,3)="CTU",LEFT(D469,4)="HDON")</formula>
    </cfRule>
    <cfRule type="expression" dxfId="2621" priority="2622" stopIfTrue="1">
      <formula>OR(LEFT(D469,4)="HOLD",OR(A469="QTNP",A469="HOA THO",A469="YES VINA",A469="HUNG YEN",A469="TEX GIANG",A469="HUNG LONG"),LEFT(A469,5)="HANES",LEFT(A469,3)="ITG")</formula>
    </cfRule>
  </conditionalFormatting>
  <conditionalFormatting sqref="D469">
    <cfRule type="expression" dxfId="2620" priority="2617" stopIfTrue="1">
      <formula>OR(LEFT(D469,4)="KHTT",LEFT(D469,5)="10USD",RIGHT(D469,3)="TTC",LEFT(D469,3)="TNT")</formula>
    </cfRule>
    <cfRule type="expression" dxfId="2619" priority="2618" stopIfTrue="1">
      <formula>OR(LEFT(D469,3)="CTU",LEFT(D469,4)="HDON")</formula>
    </cfRule>
    <cfRule type="expression" dxfId="2618" priority="2619" stopIfTrue="1">
      <formula>OR(LEFT(D469,4)="HOLD",OR(A469="QTNP",A469="HOA THO",A469="YES VINA",A469="HUNG YEN",A469="TEX GIANG",A469="HUNG LONG"),LEFT(A469,5)="HANES",LEFT(A469,3)="ITG")</formula>
    </cfRule>
  </conditionalFormatting>
  <conditionalFormatting sqref="D469">
    <cfRule type="expression" dxfId="2617" priority="2614" stopIfTrue="1">
      <formula>OR(LEFT(D469,4)="KHTT",LEFT(D469,5)="10USD",RIGHT(D469,3)="TTC",LEFT(D469,3)="TNT")</formula>
    </cfRule>
    <cfRule type="expression" dxfId="2616" priority="2615" stopIfTrue="1">
      <formula>OR(LEFT(D469,3)="CTU",LEFT(D469,4)="HDON")</formula>
    </cfRule>
    <cfRule type="expression" dxfId="2615" priority="2616" stopIfTrue="1">
      <formula>OR(LEFT(D469,4)="HOLD",OR(A469="QTNP",A469="HOA THO",A469="YES VINA",A469="HUNG YEN",A469="TEX GIANG",A469="HUNG LONG"),LEFT(A469,5)="HANES",LEFT(A469,3)="ITG")</formula>
    </cfRule>
  </conditionalFormatting>
  <conditionalFormatting sqref="D469">
    <cfRule type="expression" dxfId="2614" priority="2611" stopIfTrue="1">
      <formula>OR(LEFT(D469,4)="KHTT",LEFT(D469,5)="10USD",RIGHT(D469,3)="TTC",LEFT(D469,3)="TNT")</formula>
    </cfRule>
    <cfRule type="expression" dxfId="2613" priority="2612" stopIfTrue="1">
      <formula>OR(LEFT(D469,3)="CTU",LEFT(D469,4)="HDON")</formula>
    </cfRule>
    <cfRule type="expression" dxfId="2612" priority="2613" stopIfTrue="1">
      <formula>OR(LEFT(D469,4)="HOLD",OR(A469="QTNP",A469="HOA THO",A469="YES VINA",A469="HUNG YEN",A469="TEX GIANG",A469="HUNG LONG"),LEFT(A469,5)="HANES",LEFT(A469,3)="ITG")</formula>
    </cfRule>
  </conditionalFormatting>
  <conditionalFormatting sqref="D469">
    <cfRule type="expression" dxfId="2611" priority="2608" stopIfTrue="1">
      <formula>OR(LEFT(D469,4)="KHTT",LEFT(D469,5)="10USD",RIGHT(D469,3)="TTC",LEFT(D469,3)="TNT")</formula>
    </cfRule>
    <cfRule type="expression" dxfId="2610" priority="2609" stopIfTrue="1">
      <formula>OR(LEFT(D469,3)="CTU",LEFT(D469,4)="HDON")</formula>
    </cfRule>
    <cfRule type="expression" dxfId="2609" priority="2610" stopIfTrue="1">
      <formula>OR(LEFT(D469,4)="HOLD",OR(A469="QTNP",A469="HOA THO",A469="YES VINA",A469="HUNG YEN",A469="TEX GIANG",A469="HUNG LONG"),LEFT(A469,5)="HANES",LEFT(A469,3)="ITG")</formula>
    </cfRule>
  </conditionalFormatting>
  <conditionalFormatting sqref="D469">
    <cfRule type="expression" dxfId="2608" priority="2605" stopIfTrue="1">
      <formula>OR(LEFT(D469,4)="KHTT",LEFT(D469,5)="10USD",RIGHT(D469,3)="TTC",LEFT(D469,3)="TNT")</formula>
    </cfRule>
    <cfRule type="expression" dxfId="2607" priority="2606" stopIfTrue="1">
      <formula>OR(LEFT(D469,3)="CTU",LEFT(D469,4)="HDON")</formula>
    </cfRule>
    <cfRule type="expression" dxfId="2606" priority="2607" stopIfTrue="1">
      <formula>OR(LEFT(D469,4)="HOLD",OR(A469="QTNP",A469="HOA THO",A469="YES VINA",A469="HUNG YEN",A469="TEX GIANG",A469="HUNG LONG"),LEFT(A469,5)="HANES",LEFT(A469,3)="ITG")</formula>
    </cfRule>
  </conditionalFormatting>
  <conditionalFormatting sqref="D469">
    <cfRule type="expression" dxfId="2605" priority="2602" stopIfTrue="1">
      <formula>OR(LEFT(D469,4)="KHTT",LEFT(D469,5)="10USD",RIGHT(D469,3)="TTC",LEFT(D469,3)="TNT")</formula>
    </cfRule>
    <cfRule type="expression" dxfId="2604" priority="2603" stopIfTrue="1">
      <formula>OR(LEFT(D469,3)="CTU",LEFT(D469,4)="HDON")</formula>
    </cfRule>
    <cfRule type="expression" dxfId="2603" priority="2604" stopIfTrue="1">
      <formula>OR(LEFT(D469,4)="HOLD",OR(A469="QTNP",A469="HOA THO",A469="YES VINA",A469="HUNG YEN",A469="TEX GIANG",A469="HUNG LONG"),LEFT(A469,5)="HANES",LEFT(A469,3)="ITG")</formula>
    </cfRule>
  </conditionalFormatting>
  <conditionalFormatting sqref="D469">
    <cfRule type="expression" dxfId="2602" priority="2599" stopIfTrue="1">
      <formula>OR(LEFT(D469,4)="KHTT",LEFT(D469,5)="10USD",RIGHT(D469,3)="TTC",LEFT(D469,3)="TNT")</formula>
    </cfRule>
    <cfRule type="expression" dxfId="2601" priority="2600" stopIfTrue="1">
      <formula>OR(LEFT(D469,3)="CTU",LEFT(D469,4)="HDON")</formula>
    </cfRule>
    <cfRule type="expression" dxfId="2600" priority="2601" stopIfTrue="1">
      <formula>OR(LEFT(D469,4)="HOLD",OR(A469="QTNP",A469="HOA THO",A469="YES VINA",A469="HUNG YEN",A469="TEX GIANG",A469="HUNG LONG"),LEFT(A469,5)="HANES",LEFT(A469,3)="ITG")</formula>
    </cfRule>
  </conditionalFormatting>
  <conditionalFormatting sqref="D469">
    <cfRule type="expression" dxfId="2599" priority="2596" stopIfTrue="1">
      <formula>OR(LEFT(D469,4)="KHTT",LEFT(D469,5)="10USD",RIGHT(D469,3)="TTC",LEFT(D469,3)="TNT")</formula>
    </cfRule>
    <cfRule type="expression" dxfId="2598" priority="2597" stopIfTrue="1">
      <formula>OR(LEFT(D469,3)="CTU",LEFT(D469,4)="HDON")</formula>
    </cfRule>
    <cfRule type="expression" dxfId="2597" priority="2598" stopIfTrue="1">
      <formula>OR(LEFT(D469,4)="HOLD",OR(A469="QTNP",A469="HOA THO",A469="YES VINA",A469="HUNG YEN",A469="TEX GIANG",A469="HUNG LONG"),LEFT(A469,5)="HANES",LEFT(A469,3)="ITG")</formula>
    </cfRule>
  </conditionalFormatting>
  <conditionalFormatting sqref="D469">
    <cfRule type="expression" dxfId="2596" priority="2593" stopIfTrue="1">
      <formula>OR(LEFT(D469,4)="KHTT",LEFT(D469,5)="10USD",RIGHT(D469,3)="TTC",LEFT(D469,3)="TNT")</formula>
    </cfRule>
    <cfRule type="expression" dxfId="2595" priority="2594" stopIfTrue="1">
      <formula>OR(LEFT(D469,3)="CTU",LEFT(D469,4)="HDON")</formula>
    </cfRule>
    <cfRule type="expression" dxfId="2594" priority="2595" stopIfTrue="1">
      <formula>OR(LEFT(D469,4)="HOLD",OR(A469="QTNP",A469="HOA THO",A469="YES VINA",A469="HUNG YEN",A469="TEX GIANG",A469="HUNG LONG"),LEFT(A469,5)="HANES",LEFT(A469,3)="ITG")</formula>
    </cfRule>
  </conditionalFormatting>
  <conditionalFormatting sqref="D469">
    <cfRule type="expression" dxfId="2593" priority="2590" stopIfTrue="1">
      <formula>OR(LEFT(D469,4)="KHTT",LEFT(D469,5)="10USD",RIGHT(D469,3)="TTC",LEFT(D469,3)="TNT")</formula>
    </cfRule>
    <cfRule type="expression" dxfId="2592" priority="2591" stopIfTrue="1">
      <formula>OR(LEFT(D469,3)="CTU",LEFT(D469,4)="HDON")</formula>
    </cfRule>
    <cfRule type="expression" dxfId="2591" priority="2592" stopIfTrue="1">
      <formula>OR(LEFT(D469,4)="HOLD",OR(A469="QTNP",A469="HOA THO",A469="YES VINA",A469="HUNG YEN",A469="TEX GIANG",A469="HUNG LONG"),LEFT(A469,5)="HANES",LEFT(A469,3)="ITG")</formula>
    </cfRule>
  </conditionalFormatting>
  <conditionalFormatting sqref="D469">
    <cfRule type="expression" dxfId="2590" priority="2587" stopIfTrue="1">
      <formula>OR(LEFT(D469,4)="KHTT",LEFT(D469,5)="10USD",RIGHT(D469,3)="TTC",LEFT(D469,3)="TNT")</formula>
    </cfRule>
    <cfRule type="expression" dxfId="2589" priority="2588" stopIfTrue="1">
      <formula>OR(LEFT(D469,3)="CTU",LEFT(D469,4)="HDON")</formula>
    </cfRule>
    <cfRule type="expression" dxfId="2588" priority="2589" stopIfTrue="1">
      <formula>OR(LEFT(D469,4)="HOLD",OR(A469="QTNP",A469="HOA THO",A469="YES VINA",A469="HUNG YEN",A469="TEX GIANG",A469="HUNG LONG"),LEFT(A469,5)="HANES",LEFT(A469,3)="ITG")</formula>
    </cfRule>
  </conditionalFormatting>
  <conditionalFormatting sqref="D469">
    <cfRule type="expression" dxfId="2587" priority="2584" stopIfTrue="1">
      <formula>OR(LEFT(D469,4)="KHTT",LEFT(D469,5)="10USD",RIGHT(D469,3)="TTC",LEFT(D469,3)="TNT")</formula>
    </cfRule>
    <cfRule type="expression" dxfId="2586" priority="2585" stopIfTrue="1">
      <formula>OR(LEFT(D469,3)="CTU",LEFT(D469,4)="HDON")</formula>
    </cfRule>
    <cfRule type="expression" dxfId="2585" priority="2586" stopIfTrue="1">
      <formula>OR(LEFT(D469,4)="HOLD",OR(A469="QTNP",A469="HOA THO",A469="YES VINA",A469="HUNG YEN",A469="TEX GIANG",A469="HUNG LONG"),LEFT(A469,5)="HANES",LEFT(A469,3)="ITG")</formula>
    </cfRule>
  </conditionalFormatting>
  <conditionalFormatting sqref="D469">
    <cfRule type="expression" dxfId="2584" priority="2581" stopIfTrue="1">
      <formula>OR(LEFT(D469,4)="KHTT",LEFT(D469,5)="10USD",RIGHT(D469,3)="TTC",LEFT(D469,3)="TNT")</formula>
    </cfRule>
    <cfRule type="expression" dxfId="2583" priority="2582" stopIfTrue="1">
      <formula>OR(LEFT(D469,3)="CTU",LEFT(D469,4)="HDON")</formula>
    </cfRule>
    <cfRule type="expression" dxfId="2582" priority="2583" stopIfTrue="1">
      <formula>OR(LEFT(D469,4)="HOLD",OR(A469="QTNP",A469="HOA THO",A469="YES VINA",A469="HUNG YEN",A469="TEX GIANG",A469="HUNG LONG"),LEFT(A469,5)="HANES",LEFT(A469,3)="ITG")</formula>
    </cfRule>
  </conditionalFormatting>
  <conditionalFormatting sqref="D469">
    <cfRule type="expression" dxfId="2581" priority="2578" stopIfTrue="1">
      <formula>OR(LEFT(D469,4)="KHTT",LEFT(D469,5)="10USD",RIGHT(D469,3)="TTC",LEFT(D469,3)="TNT")</formula>
    </cfRule>
    <cfRule type="expression" dxfId="2580" priority="2579" stopIfTrue="1">
      <formula>OR(LEFT(D469,3)="CTU",LEFT(D469,4)="HDON")</formula>
    </cfRule>
    <cfRule type="expression" dxfId="2579" priority="2580" stopIfTrue="1">
      <formula>OR(LEFT(D469,4)="HOLD",OR(A469="QTNP",A469="HOA THO",A469="YES VINA",A469="HUNG YEN",A469="TEX GIANG",A469="HUNG LONG"),LEFT(A469,5)="HANES",LEFT(A469,3)="ITG")</formula>
    </cfRule>
  </conditionalFormatting>
  <conditionalFormatting sqref="D469">
    <cfRule type="expression" dxfId="2578" priority="2575" stopIfTrue="1">
      <formula>OR(LEFT(D469,4)="KHTT",LEFT(D469,5)="10USD",RIGHT(D469,3)="TTC",LEFT(D469,3)="TNT")</formula>
    </cfRule>
    <cfRule type="expression" dxfId="2577" priority="2576" stopIfTrue="1">
      <formula>OR(LEFT(D469,3)="CTU",LEFT(D469,4)="HDON")</formula>
    </cfRule>
    <cfRule type="expression" dxfId="2576" priority="2577" stopIfTrue="1">
      <formula>OR(LEFT(D469,4)="HOLD",OR(A469="QTNP",A469="HOA THO",A469="YES VINA",A469="HUNG YEN",A469="TEX GIANG",A469="HUNG LONG"),LEFT(A469,5)="HANES",LEFT(A469,3)="ITG")</formula>
    </cfRule>
  </conditionalFormatting>
  <conditionalFormatting sqref="D469">
    <cfRule type="expression" dxfId="2575" priority="2572" stopIfTrue="1">
      <formula>OR(LEFT(D469,4)="KHTT",LEFT(D469,5)="10USD",RIGHT(D469,3)="TTC",LEFT(D469,3)="TNT")</formula>
    </cfRule>
    <cfRule type="expression" dxfId="2574" priority="2573" stopIfTrue="1">
      <formula>OR(LEFT(D469,3)="CTU",LEFT(D469,4)="HDON")</formula>
    </cfRule>
    <cfRule type="expression" dxfId="2573" priority="2574" stopIfTrue="1">
      <formula>OR(LEFT(D469,4)="HOLD",OR(A469="QTNP",A469="HOA THO",A469="YES VINA",A469="HUNG YEN",A469="TEX GIANG",A469="HUNG LONG"),LEFT(A469,5)="HANES",LEFT(A469,3)="ITG")</formula>
    </cfRule>
  </conditionalFormatting>
  <conditionalFormatting sqref="D469">
    <cfRule type="expression" dxfId="2572" priority="2569" stopIfTrue="1">
      <formula>OR(LEFT(D469,4)="KHTT",LEFT(D469,5)="10USD",RIGHT(D469,3)="TTC",LEFT(D469,3)="TNT")</formula>
    </cfRule>
    <cfRule type="expression" dxfId="2571" priority="2570" stopIfTrue="1">
      <formula>OR(LEFT(D469,3)="CTU",LEFT(D469,4)="HDON")</formula>
    </cfRule>
    <cfRule type="expression" dxfId="2570" priority="2571" stopIfTrue="1">
      <formula>OR(LEFT(D469,4)="HOLD",OR(A469="QTNP",A469="HOA THO",A469="YES VINA",A469="HUNG YEN",A469="TEX GIANG",A469="HUNG LONG"),LEFT(A469,5)="HANES",LEFT(A469,3)="ITG")</formula>
    </cfRule>
  </conditionalFormatting>
  <conditionalFormatting sqref="D469">
    <cfRule type="expression" dxfId="2569" priority="2566" stopIfTrue="1">
      <formula>OR(LEFT(D469,4)="KHTT",LEFT(D469,5)="10USD",RIGHT(D469,3)="TTC",LEFT(D469,3)="TNT")</formula>
    </cfRule>
    <cfRule type="expression" dxfId="2568" priority="2567" stopIfTrue="1">
      <formula>OR(LEFT(D469,3)="CTU",LEFT(D469,4)="HDON")</formula>
    </cfRule>
    <cfRule type="expression" dxfId="2567" priority="2568" stopIfTrue="1">
      <formula>OR(LEFT(D469,4)="HOLD",OR(A469="QTNP",A469="HOA THO",A469="YES VINA",A469="HUNG YEN",A469="TEX GIANG",A469="HUNG LONG"),LEFT(A469,5)="HANES",LEFT(A469,3)="ITG")</formula>
    </cfRule>
  </conditionalFormatting>
  <conditionalFormatting sqref="D469">
    <cfRule type="expression" dxfId="2566" priority="2563" stopIfTrue="1">
      <formula>OR(LEFT(D469,4)="KHTT",LEFT(D469,5)="10USD",RIGHT(D469,3)="TTC",LEFT(D469,3)="TNT")</formula>
    </cfRule>
    <cfRule type="expression" dxfId="2565" priority="2564" stopIfTrue="1">
      <formula>OR(LEFT(D469,3)="CTU",LEFT(D469,4)="HDON")</formula>
    </cfRule>
    <cfRule type="expression" dxfId="2564" priority="2565" stopIfTrue="1">
      <formula>OR(LEFT(D469,4)="HOLD",OR(A469="QTNP",A469="HOA THO",A469="YES VINA",A469="HUNG YEN",A469="TEX GIANG",A469="HUNG LONG"),LEFT(A469,5)="HANES",LEFT(A469,3)="ITG")</formula>
    </cfRule>
  </conditionalFormatting>
  <conditionalFormatting sqref="D469">
    <cfRule type="expression" dxfId="2563" priority="2560" stopIfTrue="1">
      <formula>OR(LEFT(D469,4)="KHTT",LEFT(D469,5)="10USD",RIGHT(D469,3)="TTC",LEFT(D469,3)="TNT")</formula>
    </cfRule>
    <cfRule type="expression" dxfId="2562" priority="2561" stopIfTrue="1">
      <formula>OR(LEFT(D469,3)="CTU",LEFT(D469,4)="HDON")</formula>
    </cfRule>
    <cfRule type="expression" dxfId="2561" priority="2562" stopIfTrue="1">
      <formula>OR(LEFT(D469,4)="HOLD",OR(A469="QTNP",A469="HOA THO",A469="YES VINA",A469="HUNG YEN",A469="TEX GIANG",A469="HUNG LONG"),LEFT(A469,5)="HANES",LEFT(A469,3)="ITG")</formula>
    </cfRule>
  </conditionalFormatting>
  <conditionalFormatting sqref="D469">
    <cfRule type="expression" dxfId="2560" priority="2557" stopIfTrue="1">
      <formula>OR(LEFT(D469,4)="KHTT",LEFT(D469,5)="10USD",RIGHT(D469,3)="TTC",LEFT(D469,3)="TNT")</formula>
    </cfRule>
    <cfRule type="expression" dxfId="2559" priority="2558" stopIfTrue="1">
      <formula>OR(LEFT(D469,3)="CTU",LEFT(D469,4)="HDON")</formula>
    </cfRule>
    <cfRule type="expression" dxfId="2558" priority="2559" stopIfTrue="1">
      <formula>OR(LEFT(D469,4)="HOLD",OR(A469="QTNP",A469="HOA THO",A469="YES VINA",A469="HUNG YEN",A469="TEX GIANG",A469="HUNG LONG"),LEFT(A469,5)="HANES",LEFT(A469,3)="ITG")</formula>
    </cfRule>
  </conditionalFormatting>
  <conditionalFormatting sqref="D469">
    <cfRule type="expression" dxfId="2557" priority="2554" stopIfTrue="1">
      <formula>OR(LEFT(D469,4)="KHTT",LEFT(D469,5)="10USD",RIGHT(D469,3)="TTC",LEFT(D469,3)="TNT")</formula>
    </cfRule>
    <cfRule type="expression" dxfId="2556" priority="2555" stopIfTrue="1">
      <formula>OR(LEFT(D469,3)="CTU",LEFT(D469,4)="HDON")</formula>
    </cfRule>
    <cfRule type="expression" dxfId="2555" priority="2556" stopIfTrue="1">
      <formula>OR(LEFT(D469,4)="HOLD",OR(A469="QTNP",A469="HOA THO",A469="YES VINA",A469="HUNG YEN",A469="TEX GIANG",A469="HUNG LONG"),LEFT(A469,5)="HANES",LEFT(A469,3)="ITG")</formula>
    </cfRule>
  </conditionalFormatting>
  <conditionalFormatting sqref="D469">
    <cfRule type="expression" dxfId="2554" priority="2551" stopIfTrue="1">
      <formula>OR(LEFT(D469,4)="KHTT",LEFT(D469,5)="10USD",RIGHT(D469,3)="TTC",LEFT(D469,3)="TNT")</formula>
    </cfRule>
    <cfRule type="expression" dxfId="2553" priority="2552" stopIfTrue="1">
      <formula>OR(LEFT(D469,3)="CTU",LEFT(D469,4)="HDON")</formula>
    </cfRule>
    <cfRule type="expression" dxfId="2552" priority="2553" stopIfTrue="1">
      <formula>OR(LEFT(D469,4)="HOLD",OR(A469="QTNP",A469="HOA THO",A469="YES VINA",A469="HUNG YEN",A469="TEX GIANG",A469="HUNG LONG"),LEFT(A469,5)="HANES",LEFT(A469,3)="ITG")</formula>
    </cfRule>
  </conditionalFormatting>
  <conditionalFormatting sqref="D469">
    <cfRule type="expression" dxfId="2551" priority="2548" stopIfTrue="1">
      <formula>OR(LEFT(D469,4)="KHTT",LEFT(D469,5)="10USD",RIGHT(D469,3)="TTC",LEFT(D469,3)="TNT")</formula>
    </cfRule>
    <cfRule type="expression" dxfId="2550" priority="2549" stopIfTrue="1">
      <formula>OR(LEFT(D469,3)="CTU",LEFT(D469,4)="HDON")</formula>
    </cfRule>
    <cfRule type="expression" dxfId="2549" priority="2550" stopIfTrue="1">
      <formula>OR(LEFT(D469,4)="HOLD",OR(A469="QTNP",A469="HOA THO",A469="YES VINA",A469="HUNG YEN",A469="TEX GIANG",A469="HUNG LONG"),LEFT(A469,5)="HANES",LEFT(A469,3)="ITG")</formula>
    </cfRule>
  </conditionalFormatting>
  <conditionalFormatting sqref="D469">
    <cfRule type="expression" dxfId="2548" priority="2545" stopIfTrue="1">
      <formula>OR(LEFT(D469,4)="KHTT",LEFT(D469,5)="10USD",RIGHT(D469,3)="TTC",LEFT(D469,3)="TNT")</formula>
    </cfRule>
    <cfRule type="expression" dxfId="2547" priority="2546" stopIfTrue="1">
      <formula>OR(LEFT(D469,3)="CTU",LEFT(D469,4)="HDON")</formula>
    </cfRule>
    <cfRule type="expression" dxfId="2546" priority="2547" stopIfTrue="1">
      <formula>OR(LEFT(D469,4)="HOLD",OR(A469="QTNP",A469="HOA THO",A469="YES VINA",A469="HUNG YEN",A469="TEX GIANG",A469="HUNG LONG"),LEFT(A469,5)="HANES",LEFT(A469,3)="ITG")</formula>
    </cfRule>
  </conditionalFormatting>
  <conditionalFormatting sqref="D469">
    <cfRule type="expression" dxfId="2545" priority="2542" stopIfTrue="1">
      <formula>OR(LEFT(D469,4)="KHTT",LEFT(D469,5)="10USD",RIGHT(D469,3)="TTC",LEFT(D469,3)="TNT")</formula>
    </cfRule>
    <cfRule type="expression" dxfId="2544" priority="2543" stopIfTrue="1">
      <formula>OR(LEFT(D469,3)="CTU",LEFT(D469,4)="HDON")</formula>
    </cfRule>
    <cfRule type="expression" dxfId="2543" priority="2544" stopIfTrue="1">
      <formula>OR(LEFT(D469,4)="HOLD",OR(A469="QTNP",A469="HOA THO",A469="YES VINA",A469="HUNG YEN",A469="TEX GIANG",A469="HUNG LONG"),LEFT(A469,5)="HANES",LEFT(A469,3)="ITG")</formula>
    </cfRule>
  </conditionalFormatting>
  <conditionalFormatting sqref="D469">
    <cfRule type="expression" dxfId="2542" priority="2539" stopIfTrue="1">
      <formula>OR(LEFT(D469,4)="KHTT",LEFT(D469,5)="10USD",RIGHT(D469,3)="TTC",LEFT(D469,3)="TNT")</formula>
    </cfRule>
    <cfRule type="expression" dxfId="2541" priority="2540" stopIfTrue="1">
      <formula>OR(LEFT(D469,3)="CTU",LEFT(D469,4)="HDON")</formula>
    </cfRule>
    <cfRule type="expression" dxfId="2540" priority="2541" stopIfTrue="1">
      <formula>OR(LEFT(D469,4)="HOLD",OR(A469="QTNP",A469="HOA THO",A469="YES VINA",A469="HUNG YEN",A469="TEX GIANG",A469="HUNG LONG"),LEFT(A469,5)="HANES",LEFT(A469,3)="ITG")</formula>
    </cfRule>
  </conditionalFormatting>
  <conditionalFormatting sqref="D469">
    <cfRule type="expression" dxfId="2539" priority="2536" stopIfTrue="1">
      <formula>OR(LEFT(D469,4)="KHTT",LEFT(D469,5)="10USD",RIGHT(D469,3)="TTC",LEFT(D469,3)="TNT")</formula>
    </cfRule>
    <cfRule type="expression" dxfId="2538" priority="2537" stopIfTrue="1">
      <formula>OR(LEFT(D469,3)="CTU",LEFT(D469,4)="HDON")</formula>
    </cfRule>
    <cfRule type="expression" dxfId="2537" priority="2538" stopIfTrue="1">
      <formula>OR(LEFT(D469,4)="HOLD",OR(A469="QTNP",A469="HOA THO",A469="YES VINA",A469="HUNG YEN",A469="TEX GIANG",A469="HUNG LONG"),LEFT(A469,5)="HANES",LEFT(A469,3)="ITG")</formula>
    </cfRule>
  </conditionalFormatting>
  <conditionalFormatting sqref="D469">
    <cfRule type="expression" dxfId="2536" priority="2533" stopIfTrue="1">
      <formula>OR(LEFT(D469,4)="KHTT",LEFT(D469,5)="10USD",RIGHT(D469,3)="TTC",LEFT(D469,3)="TNT")</formula>
    </cfRule>
    <cfRule type="expression" dxfId="2535" priority="2534" stopIfTrue="1">
      <formula>OR(LEFT(D469,3)="CTU",LEFT(D469,4)="HDON")</formula>
    </cfRule>
    <cfRule type="expression" dxfId="2534" priority="2535" stopIfTrue="1">
      <formula>OR(LEFT(D469,4)="HOLD",OR(A469="QTNP",A469="HOA THO",A469="YES VINA",A469="HUNG YEN",A469="TEX GIANG",A469="HUNG LONG"),LEFT(A469,5)="HANES",LEFT(A469,3)="ITG")</formula>
    </cfRule>
  </conditionalFormatting>
  <conditionalFormatting sqref="D469">
    <cfRule type="expression" dxfId="2533" priority="2530" stopIfTrue="1">
      <formula>OR(LEFT(D469,4)="KHTT",LEFT(D469,5)="10USD",RIGHT(D469,3)="TTC",LEFT(D469,3)="TNT")</formula>
    </cfRule>
    <cfRule type="expression" dxfId="2532" priority="2531" stopIfTrue="1">
      <formula>OR(LEFT(D469,3)="CTU",LEFT(D469,4)="HDON")</formula>
    </cfRule>
    <cfRule type="expression" dxfId="2531" priority="2532" stopIfTrue="1">
      <formula>OR(LEFT(D469,4)="HOLD",OR(A469="QTNP",A469="HOA THO",A469="YES VINA",A469="HUNG YEN",A469="TEX GIANG",A469="HUNG LONG"),LEFT(A469,5)="HANES",LEFT(A469,3)="ITG")</formula>
    </cfRule>
  </conditionalFormatting>
  <conditionalFormatting sqref="D469">
    <cfRule type="expression" dxfId="2530" priority="2527" stopIfTrue="1">
      <formula>OR(LEFT(D469,4)="KHTT",LEFT(D469,5)="10USD",RIGHT(D469,3)="TTC",LEFT(D469,3)="TNT")</formula>
    </cfRule>
    <cfRule type="expression" dxfId="2529" priority="2528" stopIfTrue="1">
      <formula>OR(LEFT(D469,3)="CTU",LEFT(D469,4)="HDON")</formula>
    </cfRule>
    <cfRule type="expression" dxfId="2528" priority="2529" stopIfTrue="1">
      <formula>OR(LEFT(D469,4)="HOLD",OR(A469="QTNP",A469="HOA THO",A469="YES VINA",A469="HUNG YEN",A469="TEX GIANG",A469="HUNG LONG"),LEFT(A469,5)="HANES",LEFT(A469,3)="ITG")</formula>
    </cfRule>
  </conditionalFormatting>
  <conditionalFormatting sqref="D469">
    <cfRule type="expression" dxfId="2527" priority="2524" stopIfTrue="1">
      <formula>OR(LEFT(D469,4)="KHTT",LEFT(D469,5)="10USD",RIGHT(D469,3)="TTC",LEFT(D469,3)="TNT")</formula>
    </cfRule>
    <cfRule type="expression" dxfId="2526" priority="2525" stopIfTrue="1">
      <formula>OR(LEFT(D469,3)="CTU",LEFT(D469,4)="HDON")</formula>
    </cfRule>
    <cfRule type="expression" dxfId="2525" priority="2526" stopIfTrue="1">
      <formula>OR(LEFT(D469,4)="HOLD",OR(A469="QTNP",A469="HOA THO",A469="YES VINA",A469="HUNG YEN",A469="TEX GIANG",A469="HUNG LONG"),LEFT(A469,5)="HANES",LEFT(A469,3)="ITG")</formula>
    </cfRule>
  </conditionalFormatting>
  <conditionalFormatting sqref="D469">
    <cfRule type="expression" dxfId="2524" priority="2521" stopIfTrue="1">
      <formula>OR(LEFT(D469,4)="KHTT",LEFT(D469,5)="10USD",RIGHT(D469,3)="TTC",LEFT(D469,3)="TNT")</formula>
    </cfRule>
    <cfRule type="expression" dxfId="2523" priority="2522" stopIfTrue="1">
      <formula>OR(LEFT(D469,3)="CTU",LEFT(D469,4)="HDON")</formula>
    </cfRule>
    <cfRule type="expression" dxfId="2522" priority="2523" stopIfTrue="1">
      <formula>OR(LEFT(D469,4)="HOLD",OR(A469="QTNP",A469="HOA THO",A469="YES VINA",A469="HUNG YEN",A469="TEX GIANG",A469="HUNG LONG"),LEFT(A469,5)="HANES",LEFT(A469,3)="ITG")</formula>
    </cfRule>
  </conditionalFormatting>
  <conditionalFormatting sqref="D469">
    <cfRule type="expression" dxfId="2521" priority="2518" stopIfTrue="1">
      <formula>OR(LEFT(D469,4)="KHTT",LEFT(D469,5)="10USD",RIGHT(D469,3)="TTC",LEFT(D469,3)="TNT")</formula>
    </cfRule>
    <cfRule type="expression" dxfId="2520" priority="2519" stopIfTrue="1">
      <formula>OR(LEFT(D469,3)="CTU",LEFT(D469,4)="HDON")</formula>
    </cfRule>
    <cfRule type="expression" dxfId="2519" priority="2520" stopIfTrue="1">
      <formula>OR(LEFT(D469,4)="HOLD",OR(A469="QTNP",A469="HOA THO",A469="YES VINA",A469="HUNG YEN",A469="TEX GIANG",A469="HUNG LONG"),LEFT(A469,5)="HANES",LEFT(A469,3)="ITG")</formula>
    </cfRule>
  </conditionalFormatting>
  <conditionalFormatting sqref="D469">
    <cfRule type="expression" dxfId="2518" priority="2515" stopIfTrue="1">
      <formula>OR(LEFT(D469,4)="KHTT",LEFT(D469,5)="10USD",RIGHT(D469,3)="TTC",LEFT(D469,3)="TNT")</formula>
    </cfRule>
    <cfRule type="expression" dxfId="2517" priority="2516" stopIfTrue="1">
      <formula>OR(LEFT(D469,3)="CTU",LEFT(D469,4)="HDON")</formula>
    </cfRule>
    <cfRule type="expression" dxfId="2516" priority="2517" stopIfTrue="1">
      <formula>OR(LEFT(D469,4)="HOLD",OR(A469="QTNP",A469="HOA THO",A469="YES VINA",A469="HUNG YEN",A469="TEX GIANG",A469="HUNG LONG"),LEFT(A469,5)="HANES",LEFT(A469,3)="ITG")</formula>
    </cfRule>
  </conditionalFormatting>
  <conditionalFormatting sqref="D469">
    <cfRule type="expression" dxfId="2515" priority="2512" stopIfTrue="1">
      <formula>OR(LEFT(D469,4)="KHTT",LEFT(D469,5)="10USD",RIGHT(D469,3)="TTC",LEFT(D469,3)="TNT")</formula>
    </cfRule>
    <cfRule type="expression" dxfId="2514" priority="2513" stopIfTrue="1">
      <formula>OR(LEFT(D469,3)="CTU",LEFT(D469,4)="HDON")</formula>
    </cfRule>
    <cfRule type="expression" dxfId="2513" priority="2514" stopIfTrue="1">
      <formula>OR(LEFT(D469,4)="HOLD",OR(A469="QTNP",A469="HOA THO",A469="YES VINA",A469="HUNG YEN",A469="TEX GIANG",A469="HUNG LONG"),LEFT(A469,5)="HANES",LEFT(A469,3)="ITG")</formula>
    </cfRule>
  </conditionalFormatting>
  <conditionalFormatting sqref="D469">
    <cfRule type="expression" dxfId="2512" priority="2509" stopIfTrue="1">
      <formula>OR(LEFT(D469,4)="KHTT",LEFT(D469,5)="10USD",RIGHT(D469,3)="TTC",LEFT(D469,3)="TNT")</formula>
    </cfRule>
    <cfRule type="expression" dxfId="2511" priority="2510" stopIfTrue="1">
      <formula>OR(LEFT(D469,3)="CTU",LEFT(D469,4)="HDON")</formula>
    </cfRule>
    <cfRule type="expression" dxfId="2510" priority="2511" stopIfTrue="1">
      <formula>OR(LEFT(D469,4)="HOLD",OR(A469="QTNP",A469="HOA THO",A469="YES VINA",A469="HUNG YEN",A469="TEX GIANG",A469="HUNG LONG"),LEFT(A469,5)="HANES",LEFT(A469,3)="ITG")</formula>
    </cfRule>
  </conditionalFormatting>
  <conditionalFormatting sqref="D469">
    <cfRule type="expression" dxfId="2509" priority="2506" stopIfTrue="1">
      <formula>OR(LEFT(D469,4)="KHTT",LEFT(D469,5)="10USD",RIGHT(D469,3)="TTC",LEFT(D469,3)="TNT")</formula>
    </cfRule>
    <cfRule type="expression" dxfId="2508" priority="2507" stopIfTrue="1">
      <formula>OR(LEFT(D469,3)="CTU",LEFT(D469,4)="HDON")</formula>
    </cfRule>
    <cfRule type="expression" dxfId="2507" priority="2508" stopIfTrue="1">
      <formula>OR(LEFT(D469,4)="HOLD",OR(A469="QTNP",A469="HOA THO",A469="YES VINA",A469="HUNG YEN",A469="TEX GIANG",A469="HUNG LONG"),LEFT(A469,5)="HANES",LEFT(A469,3)="ITG")</formula>
    </cfRule>
  </conditionalFormatting>
  <conditionalFormatting sqref="D469">
    <cfRule type="expression" dxfId="2506" priority="2503" stopIfTrue="1">
      <formula>OR(LEFT(D469,4)="KHTT",LEFT(D469,5)="10USD",RIGHT(D469,3)="TTC",LEFT(D469,3)="TNT")</formula>
    </cfRule>
    <cfRule type="expression" dxfId="2505" priority="2504" stopIfTrue="1">
      <formula>OR(LEFT(D469,3)="CTU",LEFT(D469,4)="HDON")</formula>
    </cfRule>
    <cfRule type="expression" dxfId="2504" priority="2505" stopIfTrue="1">
      <formula>OR(LEFT(D469,4)="HOLD",OR(A469="QTNP",A469="HOA THO",A469="YES VINA",A469="HUNG YEN",A469="TEX GIANG",A469="HUNG LONG"),LEFT(A469,5)="HANES",LEFT(A469,3)="ITG")</formula>
    </cfRule>
  </conditionalFormatting>
  <conditionalFormatting sqref="D469">
    <cfRule type="expression" dxfId="2503" priority="2500" stopIfTrue="1">
      <formula>OR(LEFT(D469,4)="KHTT",LEFT(D469,5)="10USD",RIGHT(D469,3)="TTC",LEFT(D469,3)="TNT")</formula>
    </cfRule>
    <cfRule type="expression" dxfId="2502" priority="2501" stopIfTrue="1">
      <formula>OR(LEFT(D469,3)="CTU",LEFT(D469,4)="HDON")</formula>
    </cfRule>
    <cfRule type="expression" dxfId="2501" priority="2502" stopIfTrue="1">
      <formula>OR(LEFT(D469,4)="HOLD",OR(A469="QTNP",A469="HOA THO",A469="YES VINA",A469="HUNG YEN",A469="TEX GIANG",A469="HUNG LONG"),LEFT(A469,5)="HANES",LEFT(A469,3)="ITG")</formula>
    </cfRule>
  </conditionalFormatting>
  <conditionalFormatting sqref="D470">
    <cfRule type="expression" dxfId="2500" priority="2497" stopIfTrue="1">
      <formula>OR(LEFT(D470,4)="KHTT",LEFT(D470,5)="10USD",RIGHT(D470,3)="TTC",LEFT(D470,3)="TNT")</formula>
    </cfRule>
    <cfRule type="expression" dxfId="2499" priority="2498" stopIfTrue="1">
      <formula>OR(LEFT(D470,3)="CTU",LEFT(D470,4)="HDON")</formula>
    </cfRule>
    <cfRule type="expression" dxfId="2498" priority="2499" stopIfTrue="1">
      <formula>OR(LEFT(D470,4)="HOLD",OR(A470="QTNP",A470="HOA THO",A470="YES VINA",A470="HUNG YEN",A470="TEX GIANG",A470="HUNG LONG"),LEFT(A470,5)="HANES",LEFT(A470,3)="ITG")</formula>
    </cfRule>
  </conditionalFormatting>
  <conditionalFormatting sqref="D470">
    <cfRule type="expression" dxfId="2497" priority="2494" stopIfTrue="1">
      <formula>OR(LEFT(D470,4)="KHTT",LEFT(D470,5)="10USD",RIGHT(D470,3)="TTC",LEFT(D470,3)="TNT")</formula>
    </cfRule>
    <cfRule type="expression" dxfId="2496" priority="2495" stopIfTrue="1">
      <formula>OR(LEFT(D470,3)="CTU",LEFT(D470,4)="HDON")</formula>
    </cfRule>
    <cfRule type="expression" dxfId="2495" priority="2496" stopIfTrue="1">
      <formula>OR(LEFT(D470,4)="HOLD",OR(A470="QTNP",A470="HOA THO",A470="YES VINA",A470="HUNG YEN",A470="TEX GIANG",A470="HUNG LONG"),LEFT(A470,5)="HANES",LEFT(A470,3)="ITG")</formula>
    </cfRule>
  </conditionalFormatting>
  <conditionalFormatting sqref="D470">
    <cfRule type="expression" dxfId="2494" priority="2491" stopIfTrue="1">
      <formula>OR(LEFT(D470,4)="KHTT",LEFT(D470,5)="10USD",RIGHT(D470,3)="TTC",LEFT(D470,3)="TNT")</formula>
    </cfRule>
    <cfRule type="expression" dxfId="2493" priority="2492" stopIfTrue="1">
      <formula>OR(LEFT(D470,3)="CTU",LEFT(D470,4)="HDON")</formula>
    </cfRule>
    <cfRule type="expression" dxfId="2492" priority="2493" stopIfTrue="1">
      <formula>OR(LEFT(D470,4)="HOLD",OR(A470="QTNP",A470="HOA THO",A470="YES VINA",A470="HUNG YEN",A470="TEX GIANG",A470="HUNG LONG"),LEFT(A470,5)="HANES",LEFT(A470,3)="ITG")</formula>
    </cfRule>
  </conditionalFormatting>
  <conditionalFormatting sqref="D470">
    <cfRule type="expression" dxfId="2491" priority="2488" stopIfTrue="1">
      <formula>OR(LEFT(D470,4)="KHTT",LEFT(D470,5)="10USD",RIGHT(D470,3)="TTC",LEFT(D470,3)="TNT")</formula>
    </cfRule>
    <cfRule type="expression" dxfId="2490" priority="2489" stopIfTrue="1">
      <formula>OR(LEFT(D470,3)="CTU",LEFT(D470,4)="HDON")</formula>
    </cfRule>
    <cfRule type="expression" dxfId="2489" priority="2490" stopIfTrue="1">
      <formula>OR(LEFT(D470,4)="HOLD",OR(A470="QTNP",A470="HOA THO",A470="YES VINA",A470="HUNG YEN",A470="TEX GIANG",A470="HUNG LONG"),LEFT(A470,5)="HANES",LEFT(A470,3)="ITG")</formula>
    </cfRule>
  </conditionalFormatting>
  <conditionalFormatting sqref="D469">
    <cfRule type="expression" dxfId="2488" priority="2485" stopIfTrue="1">
      <formula>OR(LEFT(D469,4)="KHTT",LEFT(D469,5)="10USD",RIGHT(D469,3)="TTC",LEFT(D469,3)="TNT")</formula>
    </cfRule>
    <cfRule type="expression" dxfId="2487" priority="2486" stopIfTrue="1">
      <formula>OR(LEFT(D469,3)="CTU",LEFT(D469,4)="HDON")</formula>
    </cfRule>
    <cfRule type="expression" dxfId="2486" priority="2487" stopIfTrue="1">
      <formula>OR(LEFT(D469,4)="HOLD",OR(A469="QTNP",A469="HOA THO",A469="YES VINA",A469="HUNG YEN",A469="TEX GIANG",A469="HUNG LONG"),LEFT(A469,5)="HANES",LEFT(A469,3)="ITG")</formula>
    </cfRule>
  </conditionalFormatting>
  <conditionalFormatting sqref="D469">
    <cfRule type="expression" dxfId="2485" priority="2482" stopIfTrue="1">
      <formula>OR(LEFT(D469,4)="KHTT",LEFT(D469,5)="10USD",RIGHT(D469,3)="TTC",LEFT(D469,3)="TNT")</formula>
    </cfRule>
    <cfRule type="expression" dxfId="2484" priority="2483" stopIfTrue="1">
      <formula>OR(LEFT(D469,3)="CTU",LEFT(D469,4)="HDON")</formula>
    </cfRule>
    <cfRule type="expression" dxfId="2483" priority="2484" stopIfTrue="1">
      <formula>OR(LEFT(D469,4)="HOLD",OR(A469="QTNP",A469="HOA THO",A469="YES VINA",A469="HUNG YEN",A469="TEX GIANG",A469="HUNG LONG"),LEFT(A469,5)="HANES",LEFT(A469,3)="ITG")</formula>
    </cfRule>
  </conditionalFormatting>
  <conditionalFormatting sqref="D470">
    <cfRule type="expression" dxfId="2482" priority="2479" stopIfTrue="1">
      <formula>OR(LEFT(D470,4)="KHTT",LEFT(D470,5)="10USD",RIGHT(D470,3)="TTC",LEFT(D470,3)="TNT")</formula>
    </cfRule>
    <cfRule type="expression" dxfId="2481" priority="2480" stopIfTrue="1">
      <formula>OR(LEFT(D470,3)="CTU",LEFT(D470,4)="HDON")</formula>
    </cfRule>
    <cfRule type="expression" dxfId="2480" priority="2481" stopIfTrue="1">
      <formula>OR(LEFT(D470,4)="HOLD",OR(A470="QTNP",A470="HOA THO",A470="YES VINA",A470="HUNG YEN",A470="TEX GIANG",A470="HUNG LONG"),LEFT(A470,5)="HANES",LEFT(A470,3)="ITG")</formula>
    </cfRule>
  </conditionalFormatting>
  <conditionalFormatting sqref="D470">
    <cfRule type="expression" dxfId="2479" priority="2476" stopIfTrue="1">
      <formula>OR(LEFT(D470,4)="KHTT",LEFT(D470,5)="10USD",RIGHT(D470,3)="TTC",LEFT(D470,3)="TNT")</formula>
    </cfRule>
    <cfRule type="expression" dxfId="2478" priority="2477" stopIfTrue="1">
      <formula>OR(LEFT(D470,3)="CTU",LEFT(D470,4)="HDON")</formula>
    </cfRule>
    <cfRule type="expression" dxfId="2477" priority="2478" stopIfTrue="1">
      <formula>OR(LEFT(D470,4)="HOLD",OR(A470="QTNP",A470="HOA THO",A470="YES VINA",A470="HUNG YEN",A470="TEX GIANG",A470="HUNG LONG"),LEFT(A470,5)="HANES",LEFT(A470,3)="ITG")</formula>
    </cfRule>
  </conditionalFormatting>
  <conditionalFormatting sqref="D470">
    <cfRule type="expression" dxfId="2476" priority="2473" stopIfTrue="1">
      <formula>OR(LEFT(D470,4)="KHTT",LEFT(D470,5)="10USD",RIGHT(D470,3)="TTC",LEFT(D470,3)="TNT")</formula>
    </cfRule>
    <cfRule type="expression" dxfId="2475" priority="2474" stopIfTrue="1">
      <formula>OR(LEFT(D470,3)="CTU",LEFT(D470,4)="HDON")</formula>
    </cfRule>
    <cfRule type="expression" dxfId="2474" priority="2475" stopIfTrue="1">
      <formula>OR(LEFT(D470,4)="HOLD",OR(A470="QTNP",A470="HOA THO",A470="YES VINA",A470="HUNG YEN",A470="TEX GIANG",A470="HUNG LONG"),LEFT(A470,5)="HANES",LEFT(A470,3)="ITG")</formula>
    </cfRule>
  </conditionalFormatting>
  <conditionalFormatting sqref="D470">
    <cfRule type="expression" dxfId="2473" priority="2470" stopIfTrue="1">
      <formula>OR(LEFT(D470,4)="KHTT",LEFT(D470,5)="10USD",RIGHT(D470,3)="TTC",LEFT(D470,3)="TNT")</formula>
    </cfRule>
    <cfRule type="expression" dxfId="2472" priority="2471" stopIfTrue="1">
      <formula>OR(LEFT(D470,3)="CTU",LEFT(D470,4)="HDON")</formula>
    </cfRule>
    <cfRule type="expression" dxfId="2471" priority="2472" stopIfTrue="1">
      <formula>OR(LEFT(D470,4)="HOLD",OR(A470="QTNP",A470="HOA THO",A470="YES VINA",A470="HUNG YEN",A470="TEX GIANG",A470="HUNG LONG"),LEFT(A470,5)="HANES",LEFT(A470,3)="ITG")</formula>
    </cfRule>
  </conditionalFormatting>
  <conditionalFormatting sqref="D469">
    <cfRule type="expression" dxfId="2470" priority="2467" stopIfTrue="1">
      <formula>OR(LEFT(D469,4)="KHTT",LEFT(D469,5)="10USD",RIGHT(D469,3)="TTC",LEFT(D469,3)="TNT")</formula>
    </cfRule>
    <cfRule type="expression" dxfId="2469" priority="2468" stopIfTrue="1">
      <formula>OR(LEFT(D469,3)="CTU",LEFT(D469,4)="HDON")</formula>
    </cfRule>
    <cfRule type="expression" dxfId="2468" priority="2469" stopIfTrue="1">
      <formula>OR(LEFT(D469,4)="HOLD",OR(A469="QTNP",A469="HOA THO",A469="YES VINA",A469="HUNG YEN",A469="TEX GIANG",A469="HUNG LONG"),LEFT(A469,5)="HANES",LEFT(A469,3)="ITG")</formula>
    </cfRule>
  </conditionalFormatting>
  <conditionalFormatting sqref="D469">
    <cfRule type="expression" dxfId="2467" priority="2464" stopIfTrue="1">
      <formula>OR(LEFT(D469,4)="KHTT",LEFT(D469,5)="10USD",RIGHT(D469,3)="TTC",LEFT(D469,3)="TNT")</formula>
    </cfRule>
    <cfRule type="expression" dxfId="2466" priority="2465" stopIfTrue="1">
      <formula>OR(LEFT(D469,3)="CTU",LEFT(D469,4)="HDON")</formula>
    </cfRule>
    <cfRule type="expression" dxfId="2465" priority="2466" stopIfTrue="1">
      <formula>OR(LEFT(D469,4)="HOLD",OR(A469="QTNP",A469="HOA THO",A469="YES VINA",A469="HUNG YEN",A469="TEX GIANG",A469="HUNG LONG"),LEFT(A469,5)="HANES",LEFT(A469,3)="ITG")</formula>
    </cfRule>
  </conditionalFormatting>
  <conditionalFormatting sqref="D470">
    <cfRule type="expression" dxfId="2464" priority="2461" stopIfTrue="1">
      <formula>OR(LEFT(D470,4)="KHTT",LEFT(D470,5)="10USD",RIGHT(D470,3)="TTC",LEFT(D470,3)="TNT")</formula>
    </cfRule>
    <cfRule type="expression" dxfId="2463" priority="2462" stopIfTrue="1">
      <formula>OR(LEFT(D470,3)="CTU",LEFT(D470,4)="HDON")</formula>
    </cfRule>
    <cfRule type="expression" dxfId="2462" priority="2463" stopIfTrue="1">
      <formula>OR(LEFT(D470,4)="HOLD",OR(A470="QTNP",A470="HOA THO",A470="YES VINA",A470="HUNG YEN",A470="TEX GIANG",A470="HUNG LONG"),LEFT(A470,5)="HANES",LEFT(A470,3)="ITG")</formula>
    </cfRule>
  </conditionalFormatting>
  <conditionalFormatting sqref="D470">
    <cfRule type="expression" dxfId="2461" priority="2458" stopIfTrue="1">
      <formula>OR(LEFT(D470,4)="KHTT",LEFT(D470,5)="10USD",RIGHT(D470,3)="TTC",LEFT(D470,3)="TNT")</formula>
    </cfRule>
    <cfRule type="expression" dxfId="2460" priority="2459" stopIfTrue="1">
      <formula>OR(LEFT(D470,3)="CTU",LEFT(D470,4)="HDON")</formula>
    </cfRule>
    <cfRule type="expression" dxfId="2459" priority="2460" stopIfTrue="1">
      <formula>OR(LEFT(D470,4)="HOLD",OR(A470="QTNP",A470="HOA THO",A470="YES VINA",A470="HUNG YEN",A470="TEX GIANG",A470="HUNG LONG"),LEFT(A470,5)="HANES",LEFT(A470,3)="ITG")</formula>
    </cfRule>
  </conditionalFormatting>
  <conditionalFormatting sqref="D470">
    <cfRule type="expression" dxfId="2458" priority="2455" stopIfTrue="1">
      <formula>OR(LEFT(D470,4)="KHTT",LEFT(D470,5)="10USD",RIGHT(D470,3)="TTC",LEFT(D470,3)="TNT")</formula>
    </cfRule>
    <cfRule type="expression" dxfId="2457" priority="2456" stopIfTrue="1">
      <formula>OR(LEFT(D470,3)="CTU",LEFT(D470,4)="HDON")</formula>
    </cfRule>
    <cfRule type="expression" dxfId="2456" priority="2457" stopIfTrue="1">
      <formula>OR(LEFT(D470,4)="HOLD",OR(A470="QTNP",A470="HOA THO",A470="YES VINA",A470="HUNG YEN",A470="TEX GIANG",A470="HUNG LONG"),LEFT(A470,5)="HANES",LEFT(A470,3)="ITG")</formula>
    </cfRule>
  </conditionalFormatting>
  <conditionalFormatting sqref="D470">
    <cfRule type="expression" dxfId="2455" priority="2452" stopIfTrue="1">
      <formula>OR(LEFT(D470,4)="KHTT",LEFT(D470,5)="10USD",RIGHT(D470,3)="TTC",LEFT(D470,3)="TNT")</formula>
    </cfRule>
    <cfRule type="expression" dxfId="2454" priority="2453" stopIfTrue="1">
      <formula>OR(LEFT(D470,3)="CTU",LEFT(D470,4)="HDON")</formula>
    </cfRule>
    <cfRule type="expression" dxfId="2453" priority="2454" stopIfTrue="1">
      <formula>OR(LEFT(D470,4)="HOLD",OR(A470="QTNP",A470="HOA THO",A470="YES VINA",A470="HUNG YEN",A470="TEX GIANG",A470="HUNG LONG"),LEFT(A470,5)="HANES",LEFT(A470,3)="ITG")</formula>
    </cfRule>
  </conditionalFormatting>
  <conditionalFormatting sqref="D469">
    <cfRule type="expression" dxfId="2452" priority="2449" stopIfTrue="1">
      <formula>OR(LEFT(D469,4)="KHTT",LEFT(D469,5)="10USD",RIGHT(D469,3)="TTC",LEFT(D469,3)="TNT")</formula>
    </cfRule>
    <cfRule type="expression" dxfId="2451" priority="2450" stopIfTrue="1">
      <formula>OR(LEFT(D469,3)="CTU",LEFT(D469,4)="HDON")</formula>
    </cfRule>
    <cfRule type="expression" dxfId="2450" priority="2451" stopIfTrue="1">
      <formula>OR(LEFT(D469,4)="HOLD",OR(A469="QTNP",A469="HOA THO",A469="YES VINA",A469="HUNG YEN",A469="TEX GIANG",A469="HUNG LONG"),LEFT(A469,5)="HANES",LEFT(A469,3)="ITG")</formula>
    </cfRule>
  </conditionalFormatting>
  <conditionalFormatting sqref="D469">
    <cfRule type="expression" dxfId="2449" priority="2446" stopIfTrue="1">
      <formula>OR(LEFT(D469,4)="KHTT",LEFT(D469,5)="10USD",RIGHT(D469,3)="TTC",LEFT(D469,3)="TNT")</formula>
    </cfRule>
    <cfRule type="expression" dxfId="2448" priority="2447" stopIfTrue="1">
      <formula>OR(LEFT(D469,3)="CTU",LEFT(D469,4)="HDON")</formula>
    </cfRule>
    <cfRule type="expression" dxfId="2447" priority="2448" stopIfTrue="1">
      <formula>OR(LEFT(D469,4)="HOLD",OR(A469="QTNP",A469="HOA THO",A469="YES VINA",A469="HUNG YEN",A469="TEX GIANG",A469="HUNG LONG"),LEFT(A469,5)="HANES",LEFT(A469,3)="ITG")</formula>
    </cfRule>
  </conditionalFormatting>
  <conditionalFormatting sqref="D470">
    <cfRule type="expression" dxfId="2446" priority="2443" stopIfTrue="1">
      <formula>OR(LEFT(D470,4)="KHTT",LEFT(D470,5)="10USD",RIGHT(D470,3)="TTC",LEFT(D470,3)="TNT")</formula>
    </cfRule>
    <cfRule type="expression" dxfId="2445" priority="2444" stopIfTrue="1">
      <formula>OR(LEFT(D470,3)="CTU",LEFT(D470,4)="HDON")</formula>
    </cfRule>
    <cfRule type="expression" dxfId="2444" priority="2445" stopIfTrue="1">
      <formula>OR(LEFT(D470,4)="HOLD",OR(A470="QTNP",A470="HOA THO",A470="YES VINA",A470="HUNG YEN",A470="TEX GIANG",A470="HUNG LONG"),LEFT(A470,5)="HANES",LEFT(A470,3)="ITG")</formula>
    </cfRule>
  </conditionalFormatting>
  <conditionalFormatting sqref="D470">
    <cfRule type="expression" dxfId="2443" priority="2440" stopIfTrue="1">
      <formula>OR(LEFT(D470,4)="KHTT",LEFT(D470,5)="10USD",RIGHT(D470,3)="TTC",LEFT(D470,3)="TNT")</formula>
    </cfRule>
    <cfRule type="expression" dxfId="2442" priority="2441" stopIfTrue="1">
      <formula>OR(LEFT(D470,3)="CTU",LEFT(D470,4)="HDON")</formula>
    </cfRule>
    <cfRule type="expression" dxfId="2441" priority="2442" stopIfTrue="1">
      <formula>OR(LEFT(D470,4)="HOLD",OR(A470="QTNP",A470="HOA THO",A470="YES VINA",A470="HUNG YEN",A470="TEX GIANG",A470="HUNG LONG"),LEFT(A470,5)="HANES",LEFT(A470,3)="ITG")</formula>
    </cfRule>
  </conditionalFormatting>
  <conditionalFormatting sqref="D470">
    <cfRule type="expression" dxfId="2440" priority="2437" stopIfTrue="1">
      <formula>OR(LEFT(D470,4)="KHTT",LEFT(D470,5)="10USD",RIGHT(D470,3)="TTC",LEFT(D470,3)="TNT")</formula>
    </cfRule>
    <cfRule type="expression" dxfId="2439" priority="2438" stopIfTrue="1">
      <formula>OR(LEFT(D470,3)="CTU",LEFT(D470,4)="HDON")</formula>
    </cfRule>
    <cfRule type="expression" dxfId="2438" priority="2439" stopIfTrue="1">
      <formula>OR(LEFT(D470,4)="HOLD",OR(A470="QTNP",A470="HOA THO",A470="YES VINA",A470="HUNG YEN",A470="TEX GIANG",A470="HUNG LONG"),LEFT(A470,5)="HANES",LEFT(A470,3)="ITG")</formula>
    </cfRule>
  </conditionalFormatting>
  <conditionalFormatting sqref="D470">
    <cfRule type="expression" dxfId="2437" priority="2434" stopIfTrue="1">
      <formula>OR(LEFT(D470,4)="KHTT",LEFT(D470,5)="10USD",RIGHT(D470,3)="TTC",LEFT(D470,3)="TNT")</formula>
    </cfRule>
    <cfRule type="expression" dxfId="2436" priority="2435" stopIfTrue="1">
      <formula>OR(LEFT(D470,3)="CTU",LEFT(D470,4)="HDON")</formula>
    </cfRule>
    <cfRule type="expression" dxfId="2435" priority="2436" stopIfTrue="1">
      <formula>OR(LEFT(D470,4)="HOLD",OR(A470="QTNP",A470="HOA THO",A470="YES VINA",A470="HUNG YEN",A470="TEX GIANG",A470="HUNG LONG"),LEFT(A470,5)="HANES",LEFT(A470,3)="ITG")</formula>
    </cfRule>
  </conditionalFormatting>
  <conditionalFormatting sqref="D469">
    <cfRule type="expression" dxfId="2434" priority="2431" stopIfTrue="1">
      <formula>OR(LEFT(D469,4)="KHTT",LEFT(D469,5)="10USD",RIGHT(D469,3)="TTC",LEFT(D469,3)="TNT")</formula>
    </cfRule>
    <cfRule type="expression" dxfId="2433" priority="2432" stopIfTrue="1">
      <formula>OR(LEFT(D469,3)="CTU",LEFT(D469,4)="HDON")</formula>
    </cfRule>
    <cfRule type="expression" dxfId="2432" priority="2433" stopIfTrue="1">
      <formula>OR(LEFT(D469,4)="HOLD",OR(A469="QTNP",A469="HOA THO",A469="YES VINA",A469="HUNG YEN",A469="TEX GIANG",A469="HUNG LONG"),LEFT(A469,5)="HANES",LEFT(A469,3)="ITG")</formula>
    </cfRule>
  </conditionalFormatting>
  <conditionalFormatting sqref="D469">
    <cfRule type="expression" dxfId="2431" priority="2428" stopIfTrue="1">
      <formula>OR(LEFT(D469,4)="KHTT",LEFT(D469,5)="10USD",RIGHT(D469,3)="TTC",LEFT(D469,3)="TNT")</formula>
    </cfRule>
    <cfRule type="expression" dxfId="2430" priority="2429" stopIfTrue="1">
      <formula>OR(LEFT(D469,3)="CTU",LEFT(D469,4)="HDON")</formula>
    </cfRule>
    <cfRule type="expression" dxfId="2429" priority="2430" stopIfTrue="1">
      <formula>OR(LEFT(D469,4)="HOLD",OR(A469="QTNP",A469="HOA THO",A469="YES VINA",A469="HUNG YEN",A469="TEX GIANG",A469="HUNG LONG"),LEFT(A469,5)="HANES",LEFT(A469,3)="ITG")</formula>
    </cfRule>
  </conditionalFormatting>
  <conditionalFormatting sqref="D470">
    <cfRule type="expression" dxfId="2428" priority="2425" stopIfTrue="1">
      <formula>OR(LEFT(D470,4)="KHTT",LEFT(D470,5)="10USD",RIGHT(D470,3)="TTC",LEFT(D470,3)="TNT")</formula>
    </cfRule>
    <cfRule type="expression" dxfId="2427" priority="2426" stopIfTrue="1">
      <formula>OR(LEFT(D470,3)="CTU",LEFT(D470,4)="HDON")</formula>
    </cfRule>
    <cfRule type="expression" dxfId="2426" priority="2427" stopIfTrue="1">
      <formula>OR(LEFT(D470,4)="HOLD",OR(A470="QTNP",A470="HOA THO",A470="YES VINA",A470="HUNG YEN",A470="TEX GIANG",A470="HUNG LONG"),LEFT(A470,5)="HANES",LEFT(A470,3)="ITG")</formula>
    </cfRule>
  </conditionalFormatting>
  <conditionalFormatting sqref="D470">
    <cfRule type="expression" dxfId="2425" priority="2422" stopIfTrue="1">
      <formula>OR(LEFT(D470,4)="KHTT",LEFT(D470,5)="10USD",RIGHT(D470,3)="TTC",LEFT(D470,3)="TNT")</formula>
    </cfRule>
    <cfRule type="expression" dxfId="2424" priority="2423" stopIfTrue="1">
      <formula>OR(LEFT(D470,3)="CTU",LEFT(D470,4)="HDON")</formula>
    </cfRule>
    <cfRule type="expression" dxfId="2423" priority="2424" stopIfTrue="1">
      <formula>OR(LEFT(D470,4)="HOLD",OR(A470="QTNP",A470="HOA THO",A470="YES VINA",A470="HUNG YEN",A470="TEX GIANG",A470="HUNG LONG"),LEFT(A470,5)="HANES",LEFT(A470,3)="ITG")</formula>
    </cfRule>
  </conditionalFormatting>
  <conditionalFormatting sqref="D470">
    <cfRule type="expression" dxfId="2422" priority="2419" stopIfTrue="1">
      <formula>OR(LEFT(D470,4)="KHTT",LEFT(D470,5)="10USD",RIGHT(D470,3)="TTC",LEFT(D470,3)="TNT")</formula>
    </cfRule>
    <cfRule type="expression" dxfId="2421" priority="2420" stopIfTrue="1">
      <formula>OR(LEFT(D470,3)="CTU",LEFT(D470,4)="HDON")</formula>
    </cfRule>
    <cfRule type="expression" dxfId="2420" priority="2421" stopIfTrue="1">
      <formula>OR(LEFT(D470,4)="HOLD",OR(A470="QTNP",A470="HOA THO",A470="YES VINA",A470="HUNG YEN",A470="TEX GIANG",A470="HUNG LONG"),LEFT(A470,5)="HANES",LEFT(A470,3)="ITG")</formula>
    </cfRule>
  </conditionalFormatting>
  <conditionalFormatting sqref="D470">
    <cfRule type="expression" dxfId="2419" priority="2416" stopIfTrue="1">
      <formula>OR(LEFT(D470,4)="KHTT",LEFT(D470,5)="10USD",RIGHT(D470,3)="TTC",LEFT(D470,3)="TNT")</formula>
    </cfRule>
    <cfRule type="expression" dxfId="2418" priority="2417" stopIfTrue="1">
      <formula>OR(LEFT(D470,3)="CTU",LEFT(D470,4)="HDON")</formula>
    </cfRule>
    <cfRule type="expression" dxfId="2417" priority="2418" stopIfTrue="1">
      <formula>OR(LEFT(D470,4)="HOLD",OR(A470="QTNP",A470="HOA THO",A470="YES VINA",A470="HUNG YEN",A470="TEX GIANG",A470="HUNG LONG"),LEFT(A470,5)="HANES",LEFT(A470,3)="ITG")</formula>
    </cfRule>
  </conditionalFormatting>
  <conditionalFormatting sqref="D469">
    <cfRule type="expression" dxfId="2416" priority="2413" stopIfTrue="1">
      <formula>OR(LEFT(D469,4)="KHTT",LEFT(D469,5)="10USD",RIGHT(D469,3)="TTC",LEFT(D469,3)="TNT")</formula>
    </cfRule>
    <cfRule type="expression" dxfId="2415" priority="2414" stopIfTrue="1">
      <formula>OR(LEFT(D469,3)="CTU",LEFT(D469,4)="HDON")</formula>
    </cfRule>
    <cfRule type="expression" dxfId="2414" priority="2415" stopIfTrue="1">
      <formula>OR(LEFT(D469,4)="HOLD",OR(A469="QTNP",A469="HOA THO",A469="YES VINA",A469="HUNG YEN",A469="TEX GIANG",A469="HUNG LONG"),LEFT(A469,5)="HANES",LEFT(A469,3)="ITG")</formula>
    </cfRule>
  </conditionalFormatting>
  <conditionalFormatting sqref="D469">
    <cfRule type="expression" dxfId="2413" priority="2410" stopIfTrue="1">
      <formula>OR(LEFT(D469,4)="KHTT",LEFT(D469,5)="10USD",RIGHT(D469,3)="TTC",LEFT(D469,3)="TNT")</formula>
    </cfRule>
    <cfRule type="expression" dxfId="2412" priority="2411" stopIfTrue="1">
      <formula>OR(LEFT(D469,3)="CTU",LEFT(D469,4)="HDON")</formula>
    </cfRule>
    <cfRule type="expression" dxfId="2411" priority="2412" stopIfTrue="1">
      <formula>OR(LEFT(D469,4)="HOLD",OR(A469="QTNP",A469="HOA THO",A469="YES VINA",A469="HUNG YEN",A469="TEX GIANG",A469="HUNG LONG"),LEFT(A469,5)="HANES",LEFT(A469,3)="ITG")</formula>
    </cfRule>
  </conditionalFormatting>
  <conditionalFormatting sqref="D470">
    <cfRule type="expression" dxfId="2410" priority="2407" stopIfTrue="1">
      <formula>OR(LEFT(D470,4)="KHTT",LEFT(D470,5)="10USD",RIGHT(D470,3)="TTC",LEFT(D470,3)="TNT")</formula>
    </cfRule>
    <cfRule type="expression" dxfId="2409" priority="2408" stopIfTrue="1">
      <formula>OR(LEFT(D470,3)="CTU",LEFT(D470,4)="HDON")</formula>
    </cfRule>
    <cfRule type="expression" dxfId="2408" priority="2409" stopIfTrue="1">
      <formula>OR(LEFT(D470,4)="HOLD",OR(A470="QTNP",A470="HOA THO",A470="YES VINA",A470="HUNG YEN",A470="TEX GIANG",A470="HUNG LONG"),LEFT(A470,5)="HANES",LEFT(A470,3)="ITG")</formula>
    </cfRule>
  </conditionalFormatting>
  <conditionalFormatting sqref="D470">
    <cfRule type="expression" dxfId="2407" priority="2404" stopIfTrue="1">
      <formula>OR(LEFT(D470,4)="KHTT",LEFT(D470,5)="10USD",RIGHT(D470,3)="TTC",LEFT(D470,3)="TNT")</formula>
    </cfRule>
    <cfRule type="expression" dxfId="2406" priority="2405" stopIfTrue="1">
      <formula>OR(LEFT(D470,3)="CTU",LEFT(D470,4)="HDON")</formula>
    </cfRule>
    <cfRule type="expression" dxfId="2405" priority="2406" stopIfTrue="1">
      <formula>OR(LEFT(D470,4)="HOLD",OR(A470="QTNP",A470="HOA THO",A470="YES VINA",A470="HUNG YEN",A470="TEX GIANG",A470="HUNG LONG"),LEFT(A470,5)="HANES",LEFT(A470,3)="ITG")</formula>
    </cfRule>
  </conditionalFormatting>
  <conditionalFormatting sqref="D470">
    <cfRule type="expression" dxfId="2404" priority="2401" stopIfTrue="1">
      <formula>OR(LEFT(D470,4)="KHTT",LEFT(D470,5)="10USD",RIGHT(D470,3)="TTC",LEFT(D470,3)="TNT")</formula>
    </cfRule>
    <cfRule type="expression" dxfId="2403" priority="2402" stopIfTrue="1">
      <formula>OR(LEFT(D470,3)="CTU",LEFT(D470,4)="HDON")</formula>
    </cfRule>
    <cfRule type="expression" dxfId="2402" priority="2403" stopIfTrue="1">
      <formula>OR(LEFT(D470,4)="HOLD",OR(A470="QTNP",A470="HOA THO",A470="YES VINA",A470="HUNG YEN",A470="TEX GIANG",A470="HUNG LONG"),LEFT(A470,5)="HANES",LEFT(A470,3)="ITG")</formula>
    </cfRule>
  </conditionalFormatting>
  <conditionalFormatting sqref="D470">
    <cfRule type="expression" dxfId="2401" priority="2398" stopIfTrue="1">
      <formula>OR(LEFT(D470,4)="KHTT",LEFT(D470,5)="10USD",RIGHT(D470,3)="TTC",LEFT(D470,3)="TNT")</formula>
    </cfRule>
    <cfRule type="expression" dxfId="2400" priority="2399" stopIfTrue="1">
      <formula>OR(LEFT(D470,3)="CTU",LEFT(D470,4)="HDON")</formula>
    </cfRule>
    <cfRule type="expression" dxfId="2399" priority="2400" stopIfTrue="1">
      <formula>OR(LEFT(D470,4)="HOLD",OR(A470="QTNP",A470="HOA THO",A470="YES VINA",A470="HUNG YEN",A470="TEX GIANG",A470="HUNG LONG"),LEFT(A470,5)="HANES",LEFT(A470,3)="ITG")</formula>
    </cfRule>
  </conditionalFormatting>
  <conditionalFormatting sqref="D469">
    <cfRule type="expression" dxfId="2398" priority="2395" stopIfTrue="1">
      <formula>OR(LEFT(D469,4)="KHTT",LEFT(D469,5)="10USD",RIGHT(D469,3)="TTC",LEFT(D469,3)="TNT")</formula>
    </cfRule>
    <cfRule type="expression" dxfId="2397" priority="2396" stopIfTrue="1">
      <formula>OR(LEFT(D469,3)="CTU",LEFT(D469,4)="HDON")</formula>
    </cfRule>
    <cfRule type="expression" dxfId="2396" priority="2397" stopIfTrue="1">
      <formula>OR(LEFT(D469,4)="HOLD",OR(A469="QTNP",A469="HOA THO",A469="YES VINA",A469="HUNG YEN",A469="TEX GIANG",A469="HUNG LONG"),LEFT(A469,5)="HANES",LEFT(A469,3)="ITG")</formula>
    </cfRule>
  </conditionalFormatting>
  <conditionalFormatting sqref="D469">
    <cfRule type="expression" dxfId="2395" priority="2392" stopIfTrue="1">
      <formula>OR(LEFT(D469,4)="KHTT",LEFT(D469,5)="10USD",RIGHT(D469,3)="TTC",LEFT(D469,3)="TNT")</formula>
    </cfRule>
    <cfRule type="expression" dxfId="2394" priority="2393" stopIfTrue="1">
      <formula>OR(LEFT(D469,3)="CTU",LEFT(D469,4)="HDON")</formula>
    </cfRule>
    <cfRule type="expression" dxfId="2393" priority="2394" stopIfTrue="1">
      <formula>OR(LEFT(D469,4)="HOLD",OR(A469="QTNP",A469="HOA THO",A469="YES VINA",A469="HUNG YEN",A469="TEX GIANG",A469="HUNG LONG"),LEFT(A469,5)="HANES",LEFT(A469,3)="ITG")</formula>
    </cfRule>
  </conditionalFormatting>
  <conditionalFormatting sqref="D470">
    <cfRule type="expression" dxfId="2392" priority="2389" stopIfTrue="1">
      <formula>OR(LEFT(D470,4)="KHTT",LEFT(D470,5)="10USD",RIGHT(D470,3)="TTC",LEFT(D470,3)="TNT")</formula>
    </cfRule>
    <cfRule type="expression" dxfId="2391" priority="2390" stopIfTrue="1">
      <formula>OR(LEFT(D470,3)="CTU",LEFT(D470,4)="HDON")</formula>
    </cfRule>
    <cfRule type="expression" dxfId="2390" priority="2391" stopIfTrue="1">
      <formula>OR(LEFT(D470,4)="HOLD",OR(A470="QTNP",A470="HOA THO",A470="YES VINA",A470="HUNG YEN",A470="TEX GIANG",A470="HUNG LONG"),LEFT(A470,5)="HANES",LEFT(A470,3)="ITG")</formula>
    </cfRule>
  </conditionalFormatting>
  <conditionalFormatting sqref="D470">
    <cfRule type="expression" dxfId="2389" priority="2386" stopIfTrue="1">
      <formula>OR(LEFT(D470,4)="KHTT",LEFT(D470,5)="10USD",RIGHT(D470,3)="TTC",LEFT(D470,3)="TNT")</formula>
    </cfRule>
    <cfRule type="expression" dxfId="2388" priority="2387" stopIfTrue="1">
      <formula>OR(LEFT(D470,3)="CTU",LEFT(D470,4)="HDON")</formula>
    </cfRule>
    <cfRule type="expression" dxfId="2387" priority="2388" stopIfTrue="1">
      <formula>OR(LEFT(D470,4)="HOLD",OR(A470="QTNP",A470="HOA THO",A470="YES VINA",A470="HUNG YEN",A470="TEX GIANG",A470="HUNG LONG"),LEFT(A470,5)="HANES",LEFT(A470,3)="ITG")</formula>
    </cfRule>
  </conditionalFormatting>
  <conditionalFormatting sqref="D470">
    <cfRule type="expression" dxfId="2386" priority="2383" stopIfTrue="1">
      <formula>OR(LEFT(D470,4)="KHTT",LEFT(D470,5)="10USD",RIGHT(D470,3)="TTC",LEFT(D470,3)="TNT")</formula>
    </cfRule>
    <cfRule type="expression" dxfId="2385" priority="2384" stopIfTrue="1">
      <formula>OR(LEFT(D470,3)="CTU",LEFT(D470,4)="HDON")</formula>
    </cfRule>
    <cfRule type="expression" dxfId="2384" priority="2385" stopIfTrue="1">
      <formula>OR(LEFT(D470,4)="HOLD",OR(A470="QTNP",A470="HOA THO",A470="YES VINA",A470="HUNG YEN",A470="TEX GIANG",A470="HUNG LONG"),LEFT(A470,5)="HANES",LEFT(A470,3)="ITG")</formula>
    </cfRule>
  </conditionalFormatting>
  <conditionalFormatting sqref="D470">
    <cfRule type="expression" dxfId="2383" priority="2380" stopIfTrue="1">
      <formula>OR(LEFT(D470,4)="KHTT",LEFT(D470,5)="10USD",RIGHT(D470,3)="TTC",LEFT(D470,3)="TNT")</formula>
    </cfRule>
    <cfRule type="expression" dxfId="2382" priority="2381" stopIfTrue="1">
      <formula>OR(LEFT(D470,3)="CTU",LEFT(D470,4)="HDON")</formula>
    </cfRule>
    <cfRule type="expression" dxfId="2381" priority="2382" stopIfTrue="1">
      <formula>OR(LEFT(D470,4)="HOLD",OR(A470="QTNP",A470="HOA THO",A470="YES VINA",A470="HUNG YEN",A470="TEX GIANG",A470="HUNG LONG"),LEFT(A470,5)="HANES",LEFT(A470,3)="ITG")</formula>
    </cfRule>
  </conditionalFormatting>
  <conditionalFormatting sqref="D469">
    <cfRule type="expression" dxfId="2380" priority="2377" stopIfTrue="1">
      <formula>OR(LEFT(D469,4)="KHTT",LEFT(D469,5)="10USD",RIGHT(D469,3)="TTC",LEFT(D469,3)="TNT")</formula>
    </cfRule>
    <cfRule type="expression" dxfId="2379" priority="2378" stopIfTrue="1">
      <formula>OR(LEFT(D469,3)="CTU",LEFT(D469,4)="HDON")</formula>
    </cfRule>
    <cfRule type="expression" dxfId="2378" priority="2379" stopIfTrue="1">
      <formula>OR(LEFT(D469,4)="HOLD",OR(A469="QTNP",A469="HOA THO",A469="YES VINA",A469="HUNG YEN",A469="TEX GIANG",A469="HUNG LONG"),LEFT(A469,5)="HANES",LEFT(A469,3)="ITG")</formula>
    </cfRule>
  </conditionalFormatting>
  <conditionalFormatting sqref="D469">
    <cfRule type="expression" dxfId="2377" priority="2374" stopIfTrue="1">
      <formula>OR(LEFT(D469,4)="KHTT",LEFT(D469,5)="10USD",RIGHT(D469,3)="TTC",LEFT(D469,3)="TNT")</formula>
    </cfRule>
    <cfRule type="expression" dxfId="2376" priority="2375" stopIfTrue="1">
      <formula>OR(LEFT(D469,3)="CTU",LEFT(D469,4)="HDON")</formula>
    </cfRule>
    <cfRule type="expression" dxfId="2375" priority="2376" stopIfTrue="1">
      <formula>OR(LEFT(D469,4)="HOLD",OR(A469="QTNP",A469="HOA THO",A469="YES VINA",A469="HUNG YEN",A469="TEX GIANG",A469="HUNG LONG"),LEFT(A469,5)="HANES",LEFT(A469,3)="ITG")</formula>
    </cfRule>
  </conditionalFormatting>
  <conditionalFormatting sqref="D470">
    <cfRule type="expression" dxfId="2374" priority="2371" stopIfTrue="1">
      <formula>OR(LEFT(D470,4)="KHTT",LEFT(D470,5)="10USD",RIGHT(D470,3)="TTC",LEFT(D470,3)="TNT")</formula>
    </cfRule>
    <cfRule type="expression" dxfId="2373" priority="2372" stopIfTrue="1">
      <formula>OR(LEFT(D470,3)="CTU",LEFT(D470,4)="HDON")</formula>
    </cfRule>
    <cfRule type="expression" dxfId="2372" priority="2373" stopIfTrue="1">
      <formula>OR(LEFT(D470,4)="HOLD",OR(A470="QTNP",A470="HOA THO",A470="YES VINA",A470="HUNG YEN",A470="TEX GIANG",A470="HUNG LONG"),LEFT(A470,5)="HANES",LEFT(A470,3)="ITG")</formula>
    </cfRule>
  </conditionalFormatting>
  <conditionalFormatting sqref="D470">
    <cfRule type="expression" dxfId="2371" priority="2368" stopIfTrue="1">
      <formula>OR(LEFT(D470,4)="KHTT",LEFT(D470,5)="10USD",RIGHT(D470,3)="TTC",LEFT(D470,3)="TNT")</formula>
    </cfRule>
    <cfRule type="expression" dxfId="2370" priority="2369" stopIfTrue="1">
      <formula>OR(LEFT(D470,3)="CTU",LEFT(D470,4)="HDON")</formula>
    </cfRule>
    <cfRule type="expression" dxfId="2369" priority="2370" stopIfTrue="1">
      <formula>OR(LEFT(D470,4)="HOLD",OR(A470="QTNP",A470="HOA THO",A470="YES VINA",A470="HUNG YEN",A470="TEX GIANG",A470="HUNG LONG"),LEFT(A470,5)="HANES",LEFT(A470,3)="ITG")</formula>
    </cfRule>
  </conditionalFormatting>
  <conditionalFormatting sqref="D470">
    <cfRule type="expression" dxfId="2368" priority="2365" stopIfTrue="1">
      <formula>OR(LEFT(D470,4)="KHTT",LEFT(D470,5)="10USD",RIGHT(D470,3)="TTC",LEFT(D470,3)="TNT")</formula>
    </cfRule>
    <cfRule type="expression" dxfId="2367" priority="2366" stopIfTrue="1">
      <formula>OR(LEFT(D470,3)="CTU",LEFT(D470,4)="HDON")</formula>
    </cfRule>
    <cfRule type="expression" dxfId="2366" priority="2367" stopIfTrue="1">
      <formula>OR(LEFT(D470,4)="HOLD",OR(A470="QTNP",A470="HOA THO",A470="YES VINA",A470="HUNG YEN",A470="TEX GIANG",A470="HUNG LONG"),LEFT(A470,5)="HANES",LEFT(A470,3)="ITG")</formula>
    </cfRule>
  </conditionalFormatting>
  <conditionalFormatting sqref="D470">
    <cfRule type="expression" dxfId="2365" priority="2362" stopIfTrue="1">
      <formula>OR(LEFT(D470,4)="KHTT",LEFT(D470,5)="10USD",RIGHT(D470,3)="TTC",LEFT(D470,3)="TNT")</formula>
    </cfRule>
    <cfRule type="expression" dxfId="2364" priority="2363" stopIfTrue="1">
      <formula>OR(LEFT(D470,3)="CTU",LEFT(D470,4)="HDON")</formula>
    </cfRule>
    <cfRule type="expression" dxfId="2363" priority="2364" stopIfTrue="1">
      <formula>OR(LEFT(D470,4)="HOLD",OR(A470="QTNP",A470="HOA THO",A470="YES VINA",A470="HUNG YEN",A470="TEX GIANG",A470="HUNG LONG"),LEFT(A470,5)="HANES",LEFT(A470,3)="ITG")</formula>
    </cfRule>
  </conditionalFormatting>
  <conditionalFormatting sqref="D469">
    <cfRule type="expression" dxfId="2362" priority="2359" stopIfTrue="1">
      <formula>OR(LEFT(D469,4)="KHTT",LEFT(D469,5)="10USD",RIGHT(D469,3)="TTC",LEFT(D469,3)="TNT")</formula>
    </cfRule>
    <cfRule type="expression" dxfId="2361" priority="2360" stopIfTrue="1">
      <formula>OR(LEFT(D469,3)="CTU",LEFT(D469,4)="HDON")</formula>
    </cfRule>
    <cfRule type="expression" dxfId="2360" priority="2361" stopIfTrue="1">
      <formula>OR(LEFT(D469,4)="HOLD",OR(A469="QTNP",A469="HOA THO",A469="YES VINA",A469="HUNG YEN",A469="TEX GIANG",A469="HUNG LONG"),LEFT(A469,5)="HANES",LEFT(A469,3)="ITG")</formula>
    </cfRule>
  </conditionalFormatting>
  <conditionalFormatting sqref="D469">
    <cfRule type="expression" dxfId="2359" priority="2356" stopIfTrue="1">
      <formula>OR(LEFT(D469,4)="KHTT",LEFT(D469,5)="10USD",RIGHT(D469,3)="TTC",LEFT(D469,3)="TNT")</formula>
    </cfRule>
    <cfRule type="expression" dxfId="2358" priority="2357" stopIfTrue="1">
      <formula>OR(LEFT(D469,3)="CTU",LEFT(D469,4)="HDON")</formula>
    </cfRule>
    <cfRule type="expression" dxfId="2357" priority="2358" stopIfTrue="1">
      <formula>OR(LEFT(D469,4)="HOLD",OR(A469="QTNP",A469="HOA THO",A469="YES VINA",A469="HUNG YEN",A469="TEX GIANG",A469="HUNG LONG"),LEFT(A469,5)="HANES",LEFT(A469,3)="ITG")</formula>
    </cfRule>
  </conditionalFormatting>
  <conditionalFormatting sqref="D470">
    <cfRule type="expression" dxfId="2356" priority="2353" stopIfTrue="1">
      <formula>OR(LEFT(D470,4)="KHTT",LEFT(D470,5)="10USD",RIGHT(D470,3)="TTC",LEFT(D470,3)="TNT")</formula>
    </cfRule>
    <cfRule type="expression" dxfId="2355" priority="2354" stopIfTrue="1">
      <formula>OR(LEFT(D470,3)="CTU",LEFT(D470,4)="HDON")</formula>
    </cfRule>
    <cfRule type="expression" dxfId="2354" priority="2355" stopIfTrue="1">
      <formula>OR(LEFT(D470,4)="HOLD",OR(A470="QTNP",A470="HOA THO",A470="YES VINA",A470="HUNG YEN",A470="TEX GIANG",A470="HUNG LONG"),LEFT(A470,5)="HANES",LEFT(A470,3)="ITG")</formula>
    </cfRule>
  </conditionalFormatting>
  <conditionalFormatting sqref="D470">
    <cfRule type="expression" dxfId="2353" priority="2350" stopIfTrue="1">
      <formula>OR(LEFT(D470,4)="KHTT",LEFT(D470,5)="10USD",RIGHT(D470,3)="TTC",LEFT(D470,3)="TNT")</formula>
    </cfRule>
    <cfRule type="expression" dxfId="2352" priority="2351" stopIfTrue="1">
      <formula>OR(LEFT(D470,3)="CTU",LEFT(D470,4)="HDON")</formula>
    </cfRule>
    <cfRule type="expression" dxfId="2351" priority="2352" stopIfTrue="1">
      <formula>OR(LEFT(D470,4)="HOLD",OR(A470="QTNP",A470="HOA THO",A470="YES VINA",A470="HUNG YEN",A470="TEX GIANG",A470="HUNG LONG"),LEFT(A470,5)="HANES",LEFT(A470,3)="ITG")</formula>
    </cfRule>
  </conditionalFormatting>
  <conditionalFormatting sqref="D470">
    <cfRule type="expression" dxfId="2350" priority="2347" stopIfTrue="1">
      <formula>OR(LEFT(D470,4)="KHTT",LEFT(D470,5)="10USD",RIGHT(D470,3)="TTC",LEFT(D470,3)="TNT")</formula>
    </cfRule>
    <cfRule type="expression" dxfId="2349" priority="2348" stopIfTrue="1">
      <formula>OR(LEFT(D470,3)="CTU",LEFT(D470,4)="HDON")</formula>
    </cfRule>
    <cfRule type="expression" dxfId="2348" priority="2349" stopIfTrue="1">
      <formula>OR(LEFT(D470,4)="HOLD",OR(A470="QTNP",A470="HOA THO",A470="YES VINA",A470="HUNG YEN",A470="TEX GIANG",A470="HUNG LONG"),LEFT(A470,5)="HANES",LEFT(A470,3)="ITG")</formula>
    </cfRule>
  </conditionalFormatting>
  <conditionalFormatting sqref="D470">
    <cfRule type="expression" dxfId="2347" priority="2344" stopIfTrue="1">
      <formula>OR(LEFT(D470,4)="KHTT",LEFT(D470,5)="10USD",RIGHT(D470,3)="TTC",LEFT(D470,3)="TNT")</formula>
    </cfRule>
    <cfRule type="expression" dxfId="2346" priority="2345" stopIfTrue="1">
      <formula>OR(LEFT(D470,3)="CTU",LEFT(D470,4)="HDON")</formula>
    </cfRule>
    <cfRule type="expression" dxfId="2345" priority="2346" stopIfTrue="1">
      <formula>OR(LEFT(D470,4)="HOLD",OR(A470="QTNP",A470="HOA THO",A470="YES VINA",A470="HUNG YEN",A470="TEX GIANG",A470="HUNG LONG"),LEFT(A470,5)="HANES",LEFT(A470,3)="ITG")</formula>
    </cfRule>
  </conditionalFormatting>
  <conditionalFormatting sqref="D469">
    <cfRule type="expression" dxfId="2344" priority="2341" stopIfTrue="1">
      <formula>OR(LEFT(D469,4)="KHTT",LEFT(D469,5)="10USD",RIGHT(D469,3)="TTC",LEFT(D469,3)="TNT")</formula>
    </cfRule>
    <cfRule type="expression" dxfId="2343" priority="2342" stopIfTrue="1">
      <formula>OR(LEFT(D469,3)="CTU",LEFT(D469,4)="HDON")</formula>
    </cfRule>
    <cfRule type="expression" dxfId="2342" priority="2343" stopIfTrue="1">
      <formula>OR(LEFT(D469,4)="HOLD",OR(A469="QTNP",A469="HOA THO",A469="YES VINA",A469="HUNG YEN",A469="TEX GIANG",A469="HUNG LONG"),LEFT(A469,5)="HANES",LEFT(A469,3)="ITG")</formula>
    </cfRule>
  </conditionalFormatting>
  <conditionalFormatting sqref="D469">
    <cfRule type="expression" dxfId="2341" priority="2338" stopIfTrue="1">
      <formula>OR(LEFT(D469,4)="KHTT",LEFT(D469,5)="10USD",RIGHT(D469,3)="TTC",LEFT(D469,3)="TNT")</formula>
    </cfRule>
    <cfRule type="expression" dxfId="2340" priority="2339" stopIfTrue="1">
      <formula>OR(LEFT(D469,3)="CTU",LEFT(D469,4)="HDON")</formula>
    </cfRule>
    <cfRule type="expression" dxfId="2339" priority="2340" stopIfTrue="1">
      <formula>OR(LEFT(D469,4)="HOLD",OR(A469="QTNP",A469="HOA THO",A469="YES VINA",A469="HUNG YEN",A469="TEX GIANG",A469="HUNG LONG"),LEFT(A469,5)="HANES",LEFT(A469,3)="ITG")</formula>
    </cfRule>
  </conditionalFormatting>
  <conditionalFormatting sqref="D470">
    <cfRule type="expression" dxfId="2338" priority="2335" stopIfTrue="1">
      <formula>OR(LEFT(D470,4)="KHTT",LEFT(D470,5)="10USD",RIGHT(D470,3)="TTC",LEFT(D470,3)="TNT")</formula>
    </cfRule>
    <cfRule type="expression" dxfId="2337" priority="2336" stopIfTrue="1">
      <formula>OR(LEFT(D470,3)="CTU",LEFT(D470,4)="HDON")</formula>
    </cfRule>
    <cfRule type="expression" dxfId="2336" priority="2337" stopIfTrue="1">
      <formula>OR(LEFT(D470,4)="HOLD",OR(A470="QTNP",A470="HOA THO",A470="YES VINA",A470="HUNG YEN",A470="TEX GIANG",A470="HUNG LONG"),LEFT(A470,5)="HANES",LEFT(A470,3)="ITG")</formula>
    </cfRule>
  </conditionalFormatting>
  <conditionalFormatting sqref="D470">
    <cfRule type="expression" dxfId="2335" priority="2332" stopIfTrue="1">
      <formula>OR(LEFT(D470,4)="KHTT",LEFT(D470,5)="10USD",RIGHT(D470,3)="TTC",LEFT(D470,3)="TNT")</formula>
    </cfRule>
    <cfRule type="expression" dxfId="2334" priority="2333" stopIfTrue="1">
      <formula>OR(LEFT(D470,3)="CTU",LEFT(D470,4)="HDON")</formula>
    </cfRule>
    <cfRule type="expression" dxfId="2333" priority="2334" stopIfTrue="1">
      <formula>OR(LEFT(D470,4)="HOLD",OR(A470="QTNP",A470="HOA THO",A470="YES VINA",A470="HUNG YEN",A470="TEX GIANG",A470="HUNG LONG"),LEFT(A470,5)="HANES",LEFT(A470,3)="ITG")</formula>
    </cfRule>
  </conditionalFormatting>
  <conditionalFormatting sqref="D470">
    <cfRule type="expression" dxfId="2332" priority="2329" stopIfTrue="1">
      <formula>OR(LEFT(D470,4)="KHTT",LEFT(D470,5)="10USD",RIGHT(D470,3)="TTC",LEFT(D470,3)="TNT")</formula>
    </cfRule>
    <cfRule type="expression" dxfId="2331" priority="2330" stopIfTrue="1">
      <formula>OR(LEFT(D470,3)="CTU",LEFT(D470,4)="HDON")</formula>
    </cfRule>
    <cfRule type="expression" dxfId="2330" priority="2331" stopIfTrue="1">
      <formula>OR(LEFT(D470,4)="HOLD",OR(A470="QTNP",A470="HOA THO",A470="YES VINA",A470="HUNG YEN",A470="TEX GIANG",A470="HUNG LONG"),LEFT(A470,5)="HANES",LEFT(A470,3)="ITG")</formula>
    </cfRule>
  </conditionalFormatting>
  <conditionalFormatting sqref="D470">
    <cfRule type="expression" dxfId="2329" priority="2326" stopIfTrue="1">
      <formula>OR(LEFT(D470,4)="KHTT",LEFT(D470,5)="10USD",RIGHT(D470,3)="TTC",LEFT(D470,3)="TNT")</formula>
    </cfRule>
    <cfRule type="expression" dxfId="2328" priority="2327" stopIfTrue="1">
      <formula>OR(LEFT(D470,3)="CTU",LEFT(D470,4)="HDON")</formula>
    </cfRule>
    <cfRule type="expression" dxfId="2327" priority="2328" stopIfTrue="1">
      <formula>OR(LEFT(D470,4)="HOLD",OR(A470="QTNP",A470="HOA THO",A470="YES VINA",A470="HUNG YEN",A470="TEX GIANG",A470="HUNG LONG"),LEFT(A470,5)="HANES",LEFT(A470,3)="ITG")</formula>
    </cfRule>
  </conditionalFormatting>
  <conditionalFormatting sqref="D469">
    <cfRule type="expression" dxfId="2326" priority="2323" stopIfTrue="1">
      <formula>OR(LEFT(D469,4)="KHTT",LEFT(D469,5)="10USD",RIGHT(D469,3)="TTC",LEFT(D469,3)="TNT")</formula>
    </cfRule>
    <cfRule type="expression" dxfId="2325" priority="2324" stopIfTrue="1">
      <formula>OR(LEFT(D469,3)="CTU",LEFT(D469,4)="HDON")</formula>
    </cfRule>
    <cfRule type="expression" dxfId="2324" priority="2325" stopIfTrue="1">
      <formula>OR(LEFT(D469,4)="HOLD",OR(A469="QTNP",A469="HOA THO",A469="YES VINA",A469="HUNG YEN",A469="TEX GIANG",A469="HUNG LONG"),LEFT(A469,5)="HANES",LEFT(A469,3)="ITG")</formula>
    </cfRule>
  </conditionalFormatting>
  <conditionalFormatting sqref="D469">
    <cfRule type="expression" dxfId="2323" priority="2320" stopIfTrue="1">
      <formula>OR(LEFT(D469,4)="KHTT",LEFT(D469,5)="10USD",RIGHT(D469,3)="TTC",LEFT(D469,3)="TNT")</formula>
    </cfRule>
    <cfRule type="expression" dxfId="2322" priority="2321" stopIfTrue="1">
      <formula>OR(LEFT(D469,3)="CTU",LEFT(D469,4)="HDON")</formula>
    </cfRule>
    <cfRule type="expression" dxfId="2321" priority="2322" stopIfTrue="1">
      <formula>OR(LEFT(D469,4)="HOLD",OR(A469="QTNP",A469="HOA THO",A469="YES VINA",A469="HUNG YEN",A469="TEX GIANG",A469="HUNG LONG"),LEFT(A469,5)="HANES",LEFT(A469,3)="ITG")</formula>
    </cfRule>
  </conditionalFormatting>
  <conditionalFormatting sqref="D470">
    <cfRule type="expression" dxfId="2320" priority="2317" stopIfTrue="1">
      <formula>OR(LEFT(D470,4)="KHTT",LEFT(D470,5)="10USD",RIGHT(D470,3)="TTC",LEFT(D470,3)="TNT")</formula>
    </cfRule>
    <cfRule type="expression" dxfId="2319" priority="2318" stopIfTrue="1">
      <formula>OR(LEFT(D470,3)="CTU",LEFT(D470,4)="HDON")</formula>
    </cfRule>
    <cfRule type="expression" dxfId="2318" priority="2319" stopIfTrue="1">
      <formula>OR(LEFT(D470,4)="HOLD",OR(A470="QTNP",A470="HOA THO",A470="YES VINA",A470="HUNG YEN",A470="TEX GIANG",A470="HUNG LONG"),LEFT(A470,5)="HANES",LEFT(A470,3)="ITG")</formula>
    </cfRule>
  </conditionalFormatting>
  <conditionalFormatting sqref="D470">
    <cfRule type="expression" dxfId="2317" priority="2314" stopIfTrue="1">
      <formula>OR(LEFT(D470,4)="KHTT",LEFT(D470,5)="10USD",RIGHT(D470,3)="TTC",LEFT(D470,3)="TNT")</formula>
    </cfRule>
    <cfRule type="expression" dxfId="2316" priority="2315" stopIfTrue="1">
      <formula>OR(LEFT(D470,3)="CTU",LEFT(D470,4)="HDON")</formula>
    </cfRule>
    <cfRule type="expression" dxfId="2315" priority="2316" stopIfTrue="1">
      <formula>OR(LEFT(D470,4)="HOLD",OR(A470="QTNP",A470="HOA THO",A470="YES VINA",A470="HUNG YEN",A470="TEX GIANG",A470="HUNG LONG"),LEFT(A470,5)="HANES",LEFT(A470,3)="ITG")</formula>
    </cfRule>
  </conditionalFormatting>
  <conditionalFormatting sqref="D470">
    <cfRule type="expression" dxfId="2314" priority="2311" stopIfTrue="1">
      <formula>OR(LEFT(D470,4)="KHTT",LEFT(D470,5)="10USD",RIGHT(D470,3)="TTC",LEFT(D470,3)="TNT")</formula>
    </cfRule>
    <cfRule type="expression" dxfId="2313" priority="2312" stopIfTrue="1">
      <formula>OR(LEFT(D470,3)="CTU",LEFT(D470,4)="HDON")</formula>
    </cfRule>
    <cfRule type="expression" dxfId="2312" priority="2313" stopIfTrue="1">
      <formula>OR(LEFT(D470,4)="HOLD",OR(A470="QTNP",A470="HOA THO",A470="YES VINA",A470="HUNG YEN",A470="TEX GIANG",A470="HUNG LONG"),LEFT(A470,5)="HANES",LEFT(A470,3)="ITG")</formula>
    </cfRule>
  </conditionalFormatting>
  <conditionalFormatting sqref="D470">
    <cfRule type="expression" dxfId="2311" priority="2308" stopIfTrue="1">
      <formula>OR(LEFT(D470,4)="KHTT",LEFT(D470,5)="10USD",RIGHT(D470,3)="TTC",LEFT(D470,3)="TNT")</formula>
    </cfRule>
    <cfRule type="expression" dxfId="2310" priority="2309" stopIfTrue="1">
      <formula>OR(LEFT(D470,3)="CTU",LEFT(D470,4)="HDON")</formula>
    </cfRule>
    <cfRule type="expression" dxfId="2309" priority="2310" stopIfTrue="1">
      <formula>OR(LEFT(D470,4)="HOLD",OR(A470="QTNP",A470="HOA THO",A470="YES VINA",A470="HUNG YEN",A470="TEX GIANG",A470="HUNG LONG"),LEFT(A470,5)="HANES",LEFT(A470,3)="ITG")</formula>
    </cfRule>
  </conditionalFormatting>
  <conditionalFormatting sqref="D469">
    <cfRule type="expression" dxfId="2308" priority="2305" stopIfTrue="1">
      <formula>OR(LEFT(D469,4)="KHTT",LEFT(D469,5)="10USD",RIGHT(D469,3)="TTC",LEFT(D469,3)="TNT")</formula>
    </cfRule>
    <cfRule type="expression" dxfId="2307" priority="2306" stopIfTrue="1">
      <formula>OR(LEFT(D469,3)="CTU",LEFT(D469,4)="HDON")</formula>
    </cfRule>
    <cfRule type="expression" dxfId="2306" priority="2307" stopIfTrue="1">
      <formula>OR(LEFT(D469,4)="HOLD",OR(A469="QTNP",A469="HOA THO",A469="YES VINA",A469="HUNG YEN",A469="TEX GIANG",A469="HUNG LONG"),LEFT(A469,5)="HANES",LEFT(A469,3)="ITG")</formula>
    </cfRule>
  </conditionalFormatting>
  <conditionalFormatting sqref="D469">
    <cfRule type="expression" dxfId="2305" priority="2302" stopIfTrue="1">
      <formula>OR(LEFT(D469,4)="KHTT",LEFT(D469,5)="10USD",RIGHT(D469,3)="TTC",LEFT(D469,3)="TNT")</formula>
    </cfRule>
    <cfRule type="expression" dxfId="2304" priority="2303" stopIfTrue="1">
      <formula>OR(LEFT(D469,3)="CTU",LEFT(D469,4)="HDON")</formula>
    </cfRule>
    <cfRule type="expression" dxfId="2303" priority="2304" stopIfTrue="1">
      <formula>OR(LEFT(D469,4)="HOLD",OR(A469="QTNP",A469="HOA THO",A469="YES VINA",A469="HUNG YEN",A469="TEX GIANG",A469="HUNG LONG"),LEFT(A469,5)="HANES",LEFT(A469,3)="ITG")</formula>
    </cfRule>
  </conditionalFormatting>
  <conditionalFormatting sqref="D470">
    <cfRule type="expression" dxfId="2302" priority="2299" stopIfTrue="1">
      <formula>OR(LEFT(D470,4)="KHTT",LEFT(D470,5)="10USD",RIGHT(D470,3)="TTC",LEFT(D470,3)="TNT")</formula>
    </cfRule>
    <cfRule type="expression" dxfId="2301" priority="2300" stopIfTrue="1">
      <formula>OR(LEFT(D470,3)="CTU",LEFT(D470,4)="HDON")</formula>
    </cfRule>
    <cfRule type="expression" dxfId="2300" priority="2301" stopIfTrue="1">
      <formula>OR(LEFT(D470,4)="HOLD",OR(A470="QTNP",A470="HOA THO",A470="YES VINA",A470="HUNG YEN",A470="TEX GIANG",A470="HUNG LONG"),LEFT(A470,5)="HANES",LEFT(A470,3)="ITG")</formula>
    </cfRule>
  </conditionalFormatting>
  <conditionalFormatting sqref="D470">
    <cfRule type="expression" dxfId="2299" priority="2296" stopIfTrue="1">
      <formula>OR(LEFT(D470,4)="KHTT",LEFT(D470,5)="10USD",RIGHT(D470,3)="TTC",LEFT(D470,3)="TNT")</formula>
    </cfRule>
    <cfRule type="expression" dxfId="2298" priority="2297" stopIfTrue="1">
      <formula>OR(LEFT(D470,3)="CTU",LEFT(D470,4)="HDON")</formula>
    </cfRule>
    <cfRule type="expression" dxfId="2297" priority="2298" stopIfTrue="1">
      <formula>OR(LEFT(D470,4)="HOLD",OR(A470="QTNP",A470="HOA THO",A470="YES VINA",A470="HUNG YEN",A470="TEX GIANG",A470="HUNG LONG"),LEFT(A470,5)="HANES",LEFT(A470,3)="ITG")</formula>
    </cfRule>
  </conditionalFormatting>
  <conditionalFormatting sqref="D470">
    <cfRule type="expression" dxfId="2296" priority="2293" stopIfTrue="1">
      <formula>OR(LEFT(D470,4)="KHTT",LEFT(D470,5)="10USD",RIGHT(D470,3)="TTC",LEFT(D470,3)="TNT")</formula>
    </cfRule>
    <cfRule type="expression" dxfId="2295" priority="2294" stopIfTrue="1">
      <formula>OR(LEFT(D470,3)="CTU",LEFT(D470,4)="HDON")</formula>
    </cfRule>
    <cfRule type="expression" dxfId="2294" priority="2295" stopIfTrue="1">
      <formula>OR(LEFT(D470,4)="HOLD",OR(A470="QTNP",A470="HOA THO",A470="YES VINA",A470="HUNG YEN",A470="TEX GIANG",A470="HUNG LONG"),LEFT(A470,5)="HANES",LEFT(A470,3)="ITG")</formula>
    </cfRule>
  </conditionalFormatting>
  <conditionalFormatting sqref="D470">
    <cfRule type="expression" dxfId="2293" priority="2290" stopIfTrue="1">
      <formula>OR(LEFT(D470,4)="KHTT",LEFT(D470,5)="10USD",RIGHT(D470,3)="TTC",LEFT(D470,3)="TNT")</formula>
    </cfRule>
    <cfRule type="expression" dxfId="2292" priority="2291" stopIfTrue="1">
      <formula>OR(LEFT(D470,3)="CTU",LEFT(D470,4)="HDON")</formula>
    </cfRule>
    <cfRule type="expression" dxfId="2291" priority="2292" stopIfTrue="1">
      <formula>OR(LEFT(D470,4)="HOLD",OR(A470="QTNP",A470="HOA THO",A470="YES VINA",A470="HUNG YEN",A470="TEX GIANG",A470="HUNG LONG"),LEFT(A470,5)="HANES",LEFT(A470,3)="ITG")</formula>
    </cfRule>
  </conditionalFormatting>
  <conditionalFormatting sqref="D469">
    <cfRule type="expression" dxfId="2290" priority="2287" stopIfTrue="1">
      <formula>OR(LEFT(D469,4)="KHTT",LEFT(D469,5)="10USD",RIGHT(D469,3)="TTC",LEFT(D469,3)="TNT")</formula>
    </cfRule>
    <cfRule type="expression" dxfId="2289" priority="2288" stopIfTrue="1">
      <formula>OR(LEFT(D469,3)="CTU",LEFT(D469,4)="HDON")</formula>
    </cfRule>
    <cfRule type="expression" dxfId="2288" priority="2289" stopIfTrue="1">
      <formula>OR(LEFT(D469,4)="HOLD",OR(A469="QTNP",A469="HOA THO",A469="YES VINA",A469="HUNG YEN",A469="TEX GIANG",A469="HUNG LONG"),LEFT(A469,5)="HANES",LEFT(A469,3)="ITG")</formula>
    </cfRule>
  </conditionalFormatting>
  <conditionalFormatting sqref="D469">
    <cfRule type="expression" dxfId="2287" priority="2284" stopIfTrue="1">
      <formula>OR(LEFT(D469,4)="KHTT",LEFT(D469,5)="10USD",RIGHT(D469,3)="TTC",LEFT(D469,3)="TNT")</formula>
    </cfRule>
    <cfRule type="expression" dxfId="2286" priority="2285" stopIfTrue="1">
      <formula>OR(LEFT(D469,3)="CTU",LEFT(D469,4)="HDON")</formula>
    </cfRule>
    <cfRule type="expression" dxfId="2285" priority="2286" stopIfTrue="1">
      <formula>OR(LEFT(D469,4)="HOLD",OR(A469="QTNP",A469="HOA THO",A469="YES VINA",A469="HUNG YEN",A469="TEX GIANG",A469="HUNG LONG"),LEFT(A469,5)="HANES",LEFT(A469,3)="ITG")</formula>
    </cfRule>
  </conditionalFormatting>
  <conditionalFormatting sqref="D470">
    <cfRule type="expression" dxfId="2284" priority="2281" stopIfTrue="1">
      <formula>OR(LEFT(D470,4)="KHTT",LEFT(D470,5)="10USD",RIGHT(D470,3)="TTC",LEFT(D470,3)="TNT")</formula>
    </cfRule>
    <cfRule type="expression" dxfId="2283" priority="2282" stopIfTrue="1">
      <formula>OR(LEFT(D470,3)="CTU",LEFT(D470,4)="HDON")</formula>
    </cfRule>
    <cfRule type="expression" dxfId="2282" priority="2283" stopIfTrue="1">
      <formula>OR(LEFT(D470,4)="HOLD",OR(A470="QTNP",A470="HOA THO",A470="YES VINA",A470="HUNG YEN",A470="TEX GIANG",A470="HUNG LONG"),LEFT(A470,5)="HANES",LEFT(A470,3)="ITG")</formula>
    </cfRule>
  </conditionalFormatting>
  <conditionalFormatting sqref="D470">
    <cfRule type="expression" dxfId="2281" priority="2278" stopIfTrue="1">
      <formula>OR(LEFT(D470,4)="KHTT",LEFT(D470,5)="10USD",RIGHT(D470,3)="TTC",LEFT(D470,3)="TNT")</formula>
    </cfRule>
    <cfRule type="expression" dxfId="2280" priority="2279" stopIfTrue="1">
      <formula>OR(LEFT(D470,3)="CTU",LEFT(D470,4)="HDON")</formula>
    </cfRule>
    <cfRule type="expression" dxfId="2279" priority="2280" stopIfTrue="1">
      <formula>OR(LEFT(D470,4)="HOLD",OR(A470="QTNP",A470="HOA THO",A470="YES VINA",A470="HUNG YEN",A470="TEX GIANG",A470="HUNG LONG"),LEFT(A470,5)="HANES",LEFT(A470,3)="ITG")</formula>
    </cfRule>
  </conditionalFormatting>
  <conditionalFormatting sqref="D470">
    <cfRule type="expression" dxfId="2278" priority="2275" stopIfTrue="1">
      <formula>OR(LEFT(D470,4)="KHTT",LEFT(D470,5)="10USD",RIGHT(D470,3)="TTC",LEFT(D470,3)="TNT")</formula>
    </cfRule>
    <cfRule type="expression" dxfId="2277" priority="2276" stopIfTrue="1">
      <formula>OR(LEFT(D470,3)="CTU",LEFT(D470,4)="HDON")</formula>
    </cfRule>
    <cfRule type="expression" dxfId="2276" priority="2277" stopIfTrue="1">
      <formula>OR(LEFT(D470,4)="HOLD",OR(A470="QTNP",A470="HOA THO",A470="YES VINA",A470="HUNG YEN",A470="TEX GIANG",A470="HUNG LONG"),LEFT(A470,5)="HANES",LEFT(A470,3)="ITG")</formula>
    </cfRule>
  </conditionalFormatting>
  <conditionalFormatting sqref="D470">
    <cfRule type="expression" dxfId="2275" priority="2272" stopIfTrue="1">
      <formula>OR(LEFT(D470,4)="KHTT",LEFT(D470,5)="10USD",RIGHT(D470,3)="TTC",LEFT(D470,3)="TNT")</formula>
    </cfRule>
    <cfRule type="expression" dxfId="2274" priority="2273" stopIfTrue="1">
      <formula>OR(LEFT(D470,3)="CTU",LEFT(D470,4)="HDON")</formula>
    </cfRule>
    <cfRule type="expression" dxfId="2273" priority="2274" stopIfTrue="1">
      <formula>OR(LEFT(D470,4)="HOLD",OR(A470="QTNP",A470="HOA THO",A470="YES VINA",A470="HUNG YEN",A470="TEX GIANG",A470="HUNG LONG"),LEFT(A470,5)="HANES",LEFT(A470,3)="ITG")</formula>
    </cfRule>
  </conditionalFormatting>
  <conditionalFormatting sqref="D469">
    <cfRule type="expression" dxfId="2272" priority="2269" stopIfTrue="1">
      <formula>OR(LEFT(D469,4)="KHTT",LEFT(D469,5)="10USD",RIGHT(D469,3)="TTC",LEFT(D469,3)="TNT")</formula>
    </cfRule>
    <cfRule type="expression" dxfId="2271" priority="2270" stopIfTrue="1">
      <formula>OR(LEFT(D469,3)="CTU",LEFT(D469,4)="HDON")</formula>
    </cfRule>
    <cfRule type="expression" dxfId="2270" priority="2271" stopIfTrue="1">
      <formula>OR(LEFT(D469,4)="HOLD",OR(A469="QTNP",A469="HOA THO",A469="YES VINA",A469="HUNG YEN",A469="TEX GIANG",A469="HUNG LONG"),LEFT(A469,5)="HANES",LEFT(A469,3)="ITG")</formula>
    </cfRule>
  </conditionalFormatting>
  <conditionalFormatting sqref="D469">
    <cfRule type="expression" dxfId="2269" priority="2266" stopIfTrue="1">
      <formula>OR(LEFT(D469,4)="KHTT",LEFT(D469,5)="10USD",RIGHT(D469,3)="TTC",LEFT(D469,3)="TNT")</formula>
    </cfRule>
    <cfRule type="expression" dxfId="2268" priority="2267" stopIfTrue="1">
      <formula>OR(LEFT(D469,3)="CTU",LEFT(D469,4)="HDON")</formula>
    </cfRule>
    <cfRule type="expression" dxfId="2267" priority="2268" stopIfTrue="1">
      <formula>OR(LEFT(D469,4)="HOLD",OR(A469="QTNP",A469="HOA THO",A469="YES VINA",A469="HUNG YEN",A469="TEX GIANG",A469="HUNG LONG"),LEFT(A469,5)="HANES",LEFT(A469,3)="ITG")</formula>
    </cfRule>
  </conditionalFormatting>
  <conditionalFormatting sqref="D470">
    <cfRule type="expression" dxfId="2266" priority="2263" stopIfTrue="1">
      <formula>OR(LEFT(D470,4)="KHTT",LEFT(D470,5)="10USD",RIGHT(D470,3)="TTC",LEFT(D470,3)="TNT")</formula>
    </cfRule>
    <cfRule type="expression" dxfId="2265" priority="2264" stopIfTrue="1">
      <formula>OR(LEFT(D470,3)="CTU",LEFT(D470,4)="HDON")</formula>
    </cfRule>
    <cfRule type="expression" dxfId="2264" priority="2265" stopIfTrue="1">
      <formula>OR(LEFT(D470,4)="HOLD",OR(A470="QTNP",A470="HOA THO",A470="YES VINA",A470="HUNG YEN",A470="TEX GIANG",A470="HUNG LONG"),LEFT(A470,5)="HANES",LEFT(A470,3)="ITG")</formula>
    </cfRule>
  </conditionalFormatting>
  <conditionalFormatting sqref="D470">
    <cfRule type="expression" dxfId="2263" priority="2260" stopIfTrue="1">
      <formula>OR(LEFT(D470,4)="KHTT",LEFT(D470,5)="10USD",RIGHT(D470,3)="TTC",LEFT(D470,3)="TNT")</formula>
    </cfRule>
    <cfRule type="expression" dxfId="2262" priority="2261" stopIfTrue="1">
      <formula>OR(LEFT(D470,3)="CTU",LEFT(D470,4)="HDON")</formula>
    </cfRule>
    <cfRule type="expression" dxfId="2261" priority="2262" stopIfTrue="1">
      <formula>OR(LEFT(D470,4)="HOLD",OR(A470="QTNP",A470="HOA THO",A470="YES VINA",A470="HUNG YEN",A470="TEX GIANG",A470="HUNG LONG"),LEFT(A470,5)="HANES",LEFT(A470,3)="ITG")</formula>
    </cfRule>
  </conditionalFormatting>
  <conditionalFormatting sqref="D470">
    <cfRule type="expression" dxfId="2260" priority="2257" stopIfTrue="1">
      <formula>OR(LEFT(D470,4)="KHTT",LEFT(D470,5)="10USD",RIGHT(D470,3)="TTC",LEFT(D470,3)="TNT")</formula>
    </cfRule>
    <cfRule type="expression" dxfId="2259" priority="2258" stopIfTrue="1">
      <formula>OR(LEFT(D470,3)="CTU",LEFT(D470,4)="HDON")</formula>
    </cfRule>
    <cfRule type="expression" dxfId="2258" priority="2259" stopIfTrue="1">
      <formula>OR(LEFT(D470,4)="HOLD",OR(A470="QTNP",A470="HOA THO",A470="YES VINA",A470="HUNG YEN",A470="TEX GIANG",A470="HUNG LONG"),LEFT(A470,5)="HANES",LEFT(A470,3)="ITG")</formula>
    </cfRule>
  </conditionalFormatting>
  <conditionalFormatting sqref="D470">
    <cfRule type="expression" dxfId="2257" priority="2254" stopIfTrue="1">
      <formula>OR(LEFT(D470,4)="KHTT",LEFT(D470,5)="10USD",RIGHT(D470,3)="TTC",LEFT(D470,3)="TNT")</formula>
    </cfRule>
    <cfRule type="expression" dxfId="2256" priority="2255" stopIfTrue="1">
      <formula>OR(LEFT(D470,3)="CTU",LEFT(D470,4)="HDON")</formula>
    </cfRule>
    <cfRule type="expression" dxfId="2255" priority="2256" stopIfTrue="1">
      <formula>OR(LEFT(D470,4)="HOLD",OR(A470="QTNP",A470="HOA THO",A470="YES VINA",A470="HUNG YEN",A470="TEX GIANG",A470="HUNG LONG"),LEFT(A470,5)="HANES",LEFT(A470,3)="ITG")</formula>
    </cfRule>
  </conditionalFormatting>
  <conditionalFormatting sqref="D469">
    <cfRule type="expression" dxfId="2254" priority="2251" stopIfTrue="1">
      <formula>OR(LEFT(D469,4)="KHTT",LEFT(D469,5)="10USD",RIGHT(D469,3)="TTC",LEFT(D469,3)="TNT")</formula>
    </cfRule>
    <cfRule type="expression" dxfId="2253" priority="2252" stopIfTrue="1">
      <formula>OR(LEFT(D469,3)="CTU",LEFT(D469,4)="HDON")</formula>
    </cfRule>
    <cfRule type="expression" dxfId="2252" priority="2253" stopIfTrue="1">
      <formula>OR(LEFT(D469,4)="HOLD",OR(A469="QTNP",A469="HOA THO",A469="YES VINA",A469="HUNG YEN",A469="TEX GIANG",A469="HUNG LONG"),LEFT(A469,5)="HANES",LEFT(A469,3)="ITG")</formula>
    </cfRule>
  </conditionalFormatting>
  <conditionalFormatting sqref="D469">
    <cfRule type="expression" dxfId="2251" priority="2248" stopIfTrue="1">
      <formula>OR(LEFT(D469,4)="KHTT",LEFT(D469,5)="10USD",RIGHT(D469,3)="TTC",LEFT(D469,3)="TNT")</formula>
    </cfRule>
    <cfRule type="expression" dxfId="2250" priority="2249" stopIfTrue="1">
      <formula>OR(LEFT(D469,3)="CTU",LEFT(D469,4)="HDON")</formula>
    </cfRule>
    <cfRule type="expression" dxfId="2249" priority="2250" stopIfTrue="1">
      <formula>OR(LEFT(D469,4)="HOLD",OR(A469="QTNP",A469="HOA THO",A469="YES VINA",A469="HUNG YEN",A469="TEX GIANG",A469="HUNG LONG"),LEFT(A469,5)="HANES",LEFT(A469,3)="ITG")</formula>
    </cfRule>
  </conditionalFormatting>
  <conditionalFormatting sqref="D470">
    <cfRule type="expression" dxfId="2248" priority="2245" stopIfTrue="1">
      <formula>OR(LEFT(D470,4)="KHTT",LEFT(D470,5)="10USD",RIGHT(D470,3)="TTC",LEFT(D470,3)="TNT")</formula>
    </cfRule>
    <cfRule type="expression" dxfId="2247" priority="2246" stopIfTrue="1">
      <formula>OR(LEFT(D470,3)="CTU",LEFT(D470,4)="HDON")</formula>
    </cfRule>
    <cfRule type="expression" dxfId="2246" priority="2247" stopIfTrue="1">
      <formula>OR(LEFT(D470,4)="HOLD",OR(A470="QTNP",A470="HOA THO",A470="YES VINA",A470="HUNG YEN",A470="TEX GIANG",A470="HUNG LONG"),LEFT(A470,5)="HANES",LEFT(A470,3)="ITG")</formula>
    </cfRule>
  </conditionalFormatting>
  <conditionalFormatting sqref="D470">
    <cfRule type="expression" dxfId="2245" priority="2242" stopIfTrue="1">
      <formula>OR(LEFT(D470,4)="KHTT",LEFT(D470,5)="10USD",RIGHT(D470,3)="TTC",LEFT(D470,3)="TNT")</formula>
    </cfRule>
    <cfRule type="expression" dxfId="2244" priority="2243" stopIfTrue="1">
      <formula>OR(LEFT(D470,3)="CTU",LEFT(D470,4)="HDON")</formula>
    </cfRule>
    <cfRule type="expression" dxfId="2243" priority="2244" stopIfTrue="1">
      <formula>OR(LEFT(D470,4)="HOLD",OR(A470="QTNP",A470="HOA THO",A470="YES VINA",A470="HUNG YEN",A470="TEX GIANG",A470="HUNG LONG"),LEFT(A470,5)="HANES",LEFT(A470,3)="ITG")</formula>
    </cfRule>
  </conditionalFormatting>
  <conditionalFormatting sqref="D470">
    <cfRule type="expression" dxfId="2242" priority="2239" stopIfTrue="1">
      <formula>OR(LEFT(D470,4)="KHTT",LEFT(D470,5)="10USD",RIGHT(D470,3)="TTC",LEFT(D470,3)="TNT")</formula>
    </cfRule>
    <cfRule type="expression" dxfId="2241" priority="2240" stopIfTrue="1">
      <formula>OR(LEFT(D470,3)="CTU",LEFT(D470,4)="HDON")</formula>
    </cfRule>
    <cfRule type="expression" dxfId="2240" priority="2241" stopIfTrue="1">
      <formula>OR(LEFT(D470,4)="HOLD",OR(A470="QTNP",A470="HOA THO",A470="YES VINA",A470="HUNG YEN",A470="TEX GIANG",A470="HUNG LONG"),LEFT(A470,5)="HANES",LEFT(A470,3)="ITG")</formula>
    </cfRule>
  </conditionalFormatting>
  <conditionalFormatting sqref="D470">
    <cfRule type="expression" dxfId="2239" priority="2236" stopIfTrue="1">
      <formula>OR(LEFT(D470,4)="KHTT",LEFT(D470,5)="10USD",RIGHT(D470,3)="TTC",LEFT(D470,3)="TNT")</formula>
    </cfRule>
    <cfRule type="expression" dxfId="2238" priority="2237" stopIfTrue="1">
      <formula>OR(LEFT(D470,3)="CTU",LEFT(D470,4)="HDON")</formula>
    </cfRule>
    <cfRule type="expression" dxfId="2237" priority="2238" stopIfTrue="1">
      <formula>OR(LEFT(D470,4)="HOLD",OR(A470="QTNP",A470="HOA THO",A470="YES VINA",A470="HUNG YEN",A470="TEX GIANG",A470="HUNG LONG"),LEFT(A470,5)="HANES",LEFT(A470,3)="ITG")</formula>
    </cfRule>
  </conditionalFormatting>
  <conditionalFormatting sqref="D469">
    <cfRule type="expression" dxfId="2236" priority="2233" stopIfTrue="1">
      <formula>OR(LEFT(D469,4)="KHTT",LEFT(D469,5)="10USD",RIGHT(D469,3)="TTC",LEFT(D469,3)="TNT")</formula>
    </cfRule>
    <cfRule type="expression" dxfId="2235" priority="2234" stopIfTrue="1">
      <formula>OR(LEFT(D469,3)="CTU",LEFT(D469,4)="HDON")</formula>
    </cfRule>
    <cfRule type="expression" dxfId="2234" priority="2235" stopIfTrue="1">
      <formula>OR(LEFT(D469,4)="HOLD",OR(A469="QTNP",A469="HOA THO",A469="YES VINA",A469="HUNG YEN",A469="TEX GIANG",A469="HUNG LONG"),LEFT(A469,5)="HANES",LEFT(A469,3)="ITG")</formula>
    </cfRule>
  </conditionalFormatting>
  <conditionalFormatting sqref="D469">
    <cfRule type="expression" dxfId="2233" priority="2230" stopIfTrue="1">
      <formula>OR(LEFT(D469,4)="KHTT",LEFT(D469,5)="10USD",RIGHT(D469,3)="TTC",LEFT(D469,3)="TNT")</formula>
    </cfRule>
    <cfRule type="expression" dxfId="2232" priority="2231" stopIfTrue="1">
      <formula>OR(LEFT(D469,3)="CTU",LEFT(D469,4)="HDON")</formula>
    </cfRule>
    <cfRule type="expression" dxfId="2231" priority="2232" stopIfTrue="1">
      <formula>OR(LEFT(D469,4)="HOLD",OR(A469="QTNP",A469="HOA THO",A469="YES VINA",A469="HUNG YEN",A469="TEX GIANG",A469="HUNG LONG"),LEFT(A469,5)="HANES",LEFT(A469,3)="ITG")</formula>
    </cfRule>
  </conditionalFormatting>
  <conditionalFormatting sqref="D470">
    <cfRule type="expression" dxfId="2230" priority="2227" stopIfTrue="1">
      <formula>OR(LEFT(D470,4)="KHTT",LEFT(D470,5)="10USD",RIGHT(D470,3)="TTC",LEFT(D470,3)="TNT")</formula>
    </cfRule>
    <cfRule type="expression" dxfId="2229" priority="2228" stopIfTrue="1">
      <formula>OR(LEFT(D470,3)="CTU",LEFT(D470,4)="HDON")</formula>
    </cfRule>
    <cfRule type="expression" dxfId="2228" priority="2229" stopIfTrue="1">
      <formula>OR(LEFT(D470,4)="HOLD",OR(A470="QTNP",A470="HOA THO",A470="YES VINA",A470="HUNG YEN",A470="TEX GIANG",A470="HUNG LONG"),LEFT(A470,5)="HANES",LEFT(A470,3)="ITG")</formula>
    </cfRule>
  </conditionalFormatting>
  <conditionalFormatting sqref="D470">
    <cfRule type="expression" dxfId="2227" priority="2224" stopIfTrue="1">
      <formula>OR(LEFT(D470,4)="KHTT",LEFT(D470,5)="10USD",RIGHT(D470,3)="TTC",LEFT(D470,3)="TNT")</formula>
    </cfRule>
    <cfRule type="expression" dxfId="2226" priority="2225" stopIfTrue="1">
      <formula>OR(LEFT(D470,3)="CTU",LEFT(D470,4)="HDON")</formula>
    </cfRule>
    <cfRule type="expression" dxfId="2225" priority="2226" stopIfTrue="1">
      <formula>OR(LEFT(D470,4)="HOLD",OR(A470="QTNP",A470="HOA THO",A470="YES VINA",A470="HUNG YEN",A470="TEX GIANG",A470="HUNG LONG"),LEFT(A470,5)="HANES",LEFT(A470,3)="ITG")</formula>
    </cfRule>
  </conditionalFormatting>
  <conditionalFormatting sqref="D470">
    <cfRule type="expression" dxfId="2224" priority="2221" stopIfTrue="1">
      <formula>OR(LEFT(D470,4)="KHTT",LEFT(D470,5)="10USD",RIGHT(D470,3)="TTC",LEFT(D470,3)="TNT")</formula>
    </cfRule>
    <cfRule type="expression" dxfId="2223" priority="2222" stopIfTrue="1">
      <formula>OR(LEFT(D470,3)="CTU",LEFT(D470,4)="HDON")</formula>
    </cfRule>
    <cfRule type="expression" dxfId="2222" priority="2223" stopIfTrue="1">
      <formula>OR(LEFT(D470,4)="HOLD",OR(A470="QTNP",A470="HOA THO",A470="YES VINA",A470="HUNG YEN",A470="TEX GIANG",A470="HUNG LONG"),LEFT(A470,5)="HANES",LEFT(A470,3)="ITG")</formula>
    </cfRule>
  </conditionalFormatting>
  <conditionalFormatting sqref="D470">
    <cfRule type="expression" dxfId="2221" priority="2218" stopIfTrue="1">
      <formula>OR(LEFT(D470,4)="KHTT",LEFT(D470,5)="10USD",RIGHT(D470,3)="TTC",LEFT(D470,3)="TNT")</formula>
    </cfRule>
    <cfRule type="expression" dxfId="2220" priority="2219" stopIfTrue="1">
      <formula>OR(LEFT(D470,3)="CTU",LEFT(D470,4)="HDON")</formula>
    </cfRule>
    <cfRule type="expression" dxfId="2219" priority="2220" stopIfTrue="1">
      <formula>OR(LEFT(D470,4)="HOLD",OR(A470="QTNP",A470="HOA THO",A470="YES VINA",A470="HUNG YEN",A470="TEX GIANG",A470="HUNG LONG"),LEFT(A470,5)="HANES",LEFT(A470,3)="ITG")</formula>
    </cfRule>
  </conditionalFormatting>
  <conditionalFormatting sqref="D469">
    <cfRule type="expression" dxfId="2218" priority="2215" stopIfTrue="1">
      <formula>OR(LEFT(D469,4)="KHTT",LEFT(D469,5)="10USD",RIGHT(D469,3)="TTC",LEFT(D469,3)="TNT")</formula>
    </cfRule>
    <cfRule type="expression" dxfId="2217" priority="2216" stopIfTrue="1">
      <formula>OR(LEFT(D469,3)="CTU",LEFT(D469,4)="HDON")</formula>
    </cfRule>
    <cfRule type="expression" dxfId="2216" priority="2217" stopIfTrue="1">
      <formula>OR(LEFT(D469,4)="HOLD",OR(A469="QTNP",A469="HOA THO",A469="YES VINA",A469="HUNG YEN",A469="TEX GIANG",A469="HUNG LONG"),LEFT(A469,5)="HANES",LEFT(A469,3)="ITG")</formula>
    </cfRule>
  </conditionalFormatting>
  <conditionalFormatting sqref="D469">
    <cfRule type="expression" dxfId="2215" priority="2212" stopIfTrue="1">
      <formula>OR(LEFT(D469,4)="KHTT",LEFT(D469,5)="10USD",RIGHT(D469,3)="TTC",LEFT(D469,3)="TNT")</formula>
    </cfRule>
    <cfRule type="expression" dxfId="2214" priority="2213" stopIfTrue="1">
      <formula>OR(LEFT(D469,3)="CTU",LEFT(D469,4)="HDON")</formula>
    </cfRule>
    <cfRule type="expression" dxfId="2213" priority="2214" stopIfTrue="1">
      <formula>OR(LEFT(D469,4)="HOLD",OR(A469="QTNP",A469="HOA THO",A469="YES VINA",A469="HUNG YEN",A469="TEX GIANG",A469="HUNG LONG"),LEFT(A469,5)="HANES",LEFT(A469,3)="ITG")</formula>
    </cfRule>
  </conditionalFormatting>
  <conditionalFormatting sqref="D470">
    <cfRule type="expression" dxfId="2212" priority="2209" stopIfTrue="1">
      <formula>OR(LEFT(D470,4)="KHTT",LEFT(D470,5)="10USD",RIGHT(D470,3)="TTC",LEFT(D470,3)="TNT")</formula>
    </cfRule>
    <cfRule type="expression" dxfId="2211" priority="2210" stopIfTrue="1">
      <formula>OR(LEFT(D470,3)="CTU",LEFT(D470,4)="HDON")</formula>
    </cfRule>
    <cfRule type="expression" dxfId="2210" priority="2211" stopIfTrue="1">
      <formula>OR(LEFT(D470,4)="HOLD",OR(A470="QTNP",A470="HOA THO",A470="YES VINA",A470="HUNG YEN",A470="TEX GIANG",A470="HUNG LONG"),LEFT(A470,5)="HANES",LEFT(A470,3)="ITG")</formula>
    </cfRule>
  </conditionalFormatting>
  <conditionalFormatting sqref="D470">
    <cfRule type="expression" dxfId="2209" priority="2206" stopIfTrue="1">
      <formula>OR(LEFT(D470,4)="KHTT",LEFT(D470,5)="10USD",RIGHT(D470,3)="TTC",LEFT(D470,3)="TNT")</formula>
    </cfRule>
    <cfRule type="expression" dxfId="2208" priority="2207" stopIfTrue="1">
      <formula>OR(LEFT(D470,3)="CTU",LEFT(D470,4)="HDON")</formula>
    </cfRule>
    <cfRule type="expression" dxfId="2207" priority="2208" stopIfTrue="1">
      <formula>OR(LEFT(D470,4)="HOLD",OR(A470="QTNP",A470="HOA THO",A470="YES VINA",A470="HUNG YEN",A470="TEX GIANG",A470="HUNG LONG"),LEFT(A470,5)="HANES",LEFT(A470,3)="ITG")</formula>
    </cfRule>
  </conditionalFormatting>
  <conditionalFormatting sqref="D470">
    <cfRule type="expression" dxfId="2206" priority="2203" stopIfTrue="1">
      <formula>OR(LEFT(D470,4)="KHTT",LEFT(D470,5)="10USD",RIGHT(D470,3)="TTC",LEFT(D470,3)="TNT")</formula>
    </cfRule>
    <cfRule type="expression" dxfId="2205" priority="2204" stopIfTrue="1">
      <formula>OR(LEFT(D470,3)="CTU",LEFT(D470,4)="HDON")</formula>
    </cfRule>
    <cfRule type="expression" dxfId="2204" priority="2205" stopIfTrue="1">
      <formula>OR(LEFT(D470,4)="HOLD",OR(A470="QTNP",A470="HOA THO",A470="YES VINA",A470="HUNG YEN",A470="TEX GIANG",A470="HUNG LONG"),LEFT(A470,5)="HANES",LEFT(A470,3)="ITG")</formula>
    </cfRule>
  </conditionalFormatting>
  <conditionalFormatting sqref="D470">
    <cfRule type="expression" dxfId="2203" priority="2200" stopIfTrue="1">
      <formula>OR(LEFT(D470,4)="KHTT",LEFT(D470,5)="10USD",RIGHT(D470,3)="TTC",LEFT(D470,3)="TNT")</formula>
    </cfRule>
    <cfRule type="expression" dxfId="2202" priority="2201" stopIfTrue="1">
      <formula>OR(LEFT(D470,3)="CTU",LEFT(D470,4)="HDON")</formula>
    </cfRule>
    <cfRule type="expression" dxfId="2201" priority="2202" stopIfTrue="1">
      <formula>OR(LEFT(D470,4)="HOLD",OR(A470="QTNP",A470="HOA THO",A470="YES VINA",A470="HUNG YEN",A470="TEX GIANG",A470="HUNG LONG"),LEFT(A470,5)="HANES",LEFT(A470,3)="ITG")</formula>
    </cfRule>
  </conditionalFormatting>
  <conditionalFormatting sqref="D469">
    <cfRule type="expression" dxfId="2200" priority="2197" stopIfTrue="1">
      <formula>OR(LEFT(D469,4)="KHTT",LEFT(D469,5)="10USD",RIGHT(D469,3)="TTC",LEFT(D469,3)="TNT")</formula>
    </cfRule>
    <cfRule type="expression" dxfId="2199" priority="2198" stopIfTrue="1">
      <formula>OR(LEFT(D469,3)="CTU",LEFT(D469,4)="HDON")</formula>
    </cfRule>
    <cfRule type="expression" dxfId="2198" priority="2199" stopIfTrue="1">
      <formula>OR(LEFT(D469,4)="HOLD",OR(A469="QTNP",A469="HOA THO",A469="YES VINA",A469="HUNG YEN",A469="TEX GIANG",A469="HUNG LONG"),LEFT(A469,5)="HANES",LEFT(A469,3)="ITG")</formula>
    </cfRule>
  </conditionalFormatting>
  <conditionalFormatting sqref="D469">
    <cfRule type="expression" dxfId="2197" priority="2194" stopIfTrue="1">
      <formula>OR(LEFT(D469,4)="KHTT",LEFT(D469,5)="10USD",RIGHT(D469,3)="TTC",LEFT(D469,3)="TNT")</formula>
    </cfRule>
    <cfRule type="expression" dxfId="2196" priority="2195" stopIfTrue="1">
      <formula>OR(LEFT(D469,3)="CTU",LEFT(D469,4)="HDON")</formula>
    </cfRule>
    <cfRule type="expression" dxfId="2195" priority="2196" stopIfTrue="1">
      <formula>OR(LEFT(D469,4)="HOLD",OR(A469="QTNP",A469="HOA THO",A469="YES VINA",A469="HUNG YEN",A469="TEX GIANG",A469="HUNG LONG"),LEFT(A469,5)="HANES",LEFT(A469,3)="ITG")</formula>
    </cfRule>
  </conditionalFormatting>
  <conditionalFormatting sqref="D470">
    <cfRule type="expression" dxfId="2194" priority="2191" stopIfTrue="1">
      <formula>OR(LEFT(D470,4)="KHTT",LEFT(D470,5)="10USD",RIGHT(D470,3)="TTC",LEFT(D470,3)="TNT")</formula>
    </cfRule>
    <cfRule type="expression" dxfId="2193" priority="2192" stopIfTrue="1">
      <formula>OR(LEFT(D470,3)="CTU",LEFT(D470,4)="HDON")</formula>
    </cfRule>
    <cfRule type="expression" dxfId="2192" priority="2193" stopIfTrue="1">
      <formula>OR(LEFT(D470,4)="HOLD",OR(A470="QTNP",A470="HOA THO",A470="YES VINA",A470="HUNG YEN",A470="TEX GIANG",A470="HUNG LONG"),LEFT(A470,5)="HANES",LEFT(A470,3)="ITG")</formula>
    </cfRule>
  </conditionalFormatting>
  <conditionalFormatting sqref="D470">
    <cfRule type="expression" dxfId="2191" priority="2188" stopIfTrue="1">
      <formula>OR(LEFT(D470,4)="KHTT",LEFT(D470,5)="10USD",RIGHT(D470,3)="TTC",LEFT(D470,3)="TNT")</formula>
    </cfRule>
    <cfRule type="expression" dxfId="2190" priority="2189" stopIfTrue="1">
      <formula>OR(LEFT(D470,3)="CTU",LEFT(D470,4)="HDON")</formula>
    </cfRule>
    <cfRule type="expression" dxfId="2189" priority="2190" stopIfTrue="1">
      <formula>OR(LEFT(D470,4)="HOLD",OR(A470="QTNP",A470="HOA THO",A470="YES VINA",A470="HUNG YEN",A470="TEX GIANG",A470="HUNG LONG"),LEFT(A470,5)="HANES",LEFT(A470,3)="ITG")</formula>
    </cfRule>
  </conditionalFormatting>
  <conditionalFormatting sqref="D470">
    <cfRule type="expression" dxfId="2188" priority="2185" stopIfTrue="1">
      <formula>OR(LEFT(D470,4)="KHTT",LEFT(D470,5)="10USD",RIGHT(D470,3)="TTC",LEFT(D470,3)="TNT")</formula>
    </cfRule>
    <cfRule type="expression" dxfId="2187" priority="2186" stopIfTrue="1">
      <formula>OR(LEFT(D470,3)="CTU",LEFT(D470,4)="HDON")</formula>
    </cfRule>
    <cfRule type="expression" dxfId="2186" priority="2187" stopIfTrue="1">
      <formula>OR(LEFT(D470,4)="HOLD",OR(A470="QTNP",A470="HOA THO",A470="YES VINA",A470="HUNG YEN",A470="TEX GIANG",A470="HUNG LONG"),LEFT(A470,5)="HANES",LEFT(A470,3)="ITG")</formula>
    </cfRule>
  </conditionalFormatting>
  <conditionalFormatting sqref="D470">
    <cfRule type="expression" dxfId="2185" priority="2182" stopIfTrue="1">
      <formula>OR(LEFT(D470,4)="KHTT",LEFT(D470,5)="10USD",RIGHT(D470,3)="TTC",LEFT(D470,3)="TNT")</formula>
    </cfRule>
    <cfRule type="expression" dxfId="2184" priority="2183" stopIfTrue="1">
      <formula>OR(LEFT(D470,3)="CTU",LEFT(D470,4)="HDON")</formula>
    </cfRule>
    <cfRule type="expression" dxfId="2183" priority="2184" stopIfTrue="1">
      <formula>OR(LEFT(D470,4)="HOLD",OR(A470="QTNP",A470="HOA THO",A470="YES VINA",A470="HUNG YEN",A470="TEX GIANG",A470="HUNG LONG"),LEFT(A470,5)="HANES",LEFT(A470,3)="ITG")</formula>
    </cfRule>
  </conditionalFormatting>
  <conditionalFormatting sqref="D469">
    <cfRule type="expression" dxfId="2182" priority="2179" stopIfTrue="1">
      <formula>OR(LEFT(D469,4)="KHTT",LEFT(D469,5)="10USD",RIGHT(D469,3)="TTC",LEFT(D469,3)="TNT")</formula>
    </cfRule>
    <cfRule type="expression" dxfId="2181" priority="2180" stopIfTrue="1">
      <formula>OR(LEFT(D469,3)="CTU",LEFT(D469,4)="HDON")</formula>
    </cfRule>
    <cfRule type="expression" dxfId="2180" priority="2181" stopIfTrue="1">
      <formula>OR(LEFT(D469,4)="HOLD",OR(A469="QTNP",A469="HOA THO",A469="YES VINA",A469="HUNG YEN",A469="TEX GIANG",A469="HUNG LONG"),LEFT(A469,5)="HANES",LEFT(A469,3)="ITG")</formula>
    </cfRule>
  </conditionalFormatting>
  <conditionalFormatting sqref="D469">
    <cfRule type="expression" dxfId="2179" priority="2176" stopIfTrue="1">
      <formula>OR(LEFT(D469,4)="KHTT",LEFT(D469,5)="10USD",RIGHT(D469,3)="TTC",LEFT(D469,3)="TNT")</formula>
    </cfRule>
    <cfRule type="expression" dxfId="2178" priority="2177" stopIfTrue="1">
      <formula>OR(LEFT(D469,3)="CTU",LEFT(D469,4)="HDON")</formula>
    </cfRule>
    <cfRule type="expression" dxfId="2177" priority="2178" stopIfTrue="1">
      <formula>OR(LEFT(D469,4)="HOLD",OR(A469="QTNP",A469="HOA THO",A469="YES VINA",A469="HUNG YEN",A469="TEX GIANG",A469="HUNG LONG"),LEFT(A469,5)="HANES",LEFT(A469,3)="ITG")</formula>
    </cfRule>
  </conditionalFormatting>
  <conditionalFormatting sqref="D470">
    <cfRule type="expression" dxfId="2176" priority="2173" stopIfTrue="1">
      <formula>OR(LEFT(D470,4)="KHTT",LEFT(D470,5)="10USD",RIGHT(D470,3)="TTC",LEFT(D470,3)="TNT")</formula>
    </cfRule>
    <cfRule type="expression" dxfId="2175" priority="2174" stopIfTrue="1">
      <formula>OR(LEFT(D470,3)="CTU",LEFT(D470,4)="HDON")</formula>
    </cfRule>
    <cfRule type="expression" dxfId="2174" priority="2175" stopIfTrue="1">
      <formula>OR(LEFT(D470,4)="HOLD",OR(A470="QTNP",A470="HOA THO",A470="YES VINA",A470="HUNG YEN",A470="TEX GIANG",A470="HUNG LONG"),LEFT(A470,5)="HANES",LEFT(A470,3)="ITG")</formula>
    </cfRule>
  </conditionalFormatting>
  <conditionalFormatting sqref="D470">
    <cfRule type="expression" dxfId="2173" priority="2170" stopIfTrue="1">
      <formula>OR(LEFT(D470,4)="KHTT",LEFT(D470,5)="10USD",RIGHT(D470,3)="TTC",LEFT(D470,3)="TNT")</formula>
    </cfRule>
    <cfRule type="expression" dxfId="2172" priority="2171" stopIfTrue="1">
      <formula>OR(LEFT(D470,3)="CTU",LEFT(D470,4)="HDON")</formula>
    </cfRule>
    <cfRule type="expression" dxfId="2171" priority="2172" stopIfTrue="1">
      <formula>OR(LEFT(D470,4)="HOLD",OR(A470="QTNP",A470="HOA THO",A470="YES VINA",A470="HUNG YEN",A470="TEX GIANG",A470="HUNG LONG"),LEFT(A470,5)="HANES",LEFT(A470,3)="ITG")</formula>
    </cfRule>
  </conditionalFormatting>
  <conditionalFormatting sqref="D470">
    <cfRule type="expression" dxfId="2170" priority="2167" stopIfTrue="1">
      <formula>OR(LEFT(D470,4)="KHTT",LEFT(D470,5)="10USD",RIGHT(D470,3)="TTC",LEFT(D470,3)="TNT")</formula>
    </cfRule>
    <cfRule type="expression" dxfId="2169" priority="2168" stopIfTrue="1">
      <formula>OR(LEFT(D470,3)="CTU",LEFT(D470,4)="HDON")</formula>
    </cfRule>
    <cfRule type="expression" dxfId="2168" priority="2169" stopIfTrue="1">
      <formula>OR(LEFT(D470,4)="HOLD",OR(A470="QTNP",A470="HOA THO",A470="YES VINA",A470="HUNG YEN",A470="TEX GIANG",A470="HUNG LONG"),LEFT(A470,5)="HANES",LEFT(A470,3)="ITG")</formula>
    </cfRule>
  </conditionalFormatting>
  <conditionalFormatting sqref="D470">
    <cfRule type="expression" dxfId="2167" priority="2164" stopIfTrue="1">
      <formula>OR(LEFT(D470,4)="KHTT",LEFT(D470,5)="10USD",RIGHT(D470,3)="TTC",LEFT(D470,3)="TNT")</formula>
    </cfRule>
    <cfRule type="expression" dxfId="2166" priority="2165" stopIfTrue="1">
      <formula>OR(LEFT(D470,3)="CTU",LEFT(D470,4)="HDON")</formula>
    </cfRule>
    <cfRule type="expression" dxfId="2165" priority="2166" stopIfTrue="1">
      <formula>OR(LEFT(D470,4)="HOLD",OR(A470="QTNP",A470="HOA THO",A470="YES VINA",A470="HUNG YEN",A470="TEX GIANG",A470="HUNG LONG"),LEFT(A470,5)="HANES",LEFT(A470,3)="ITG")</formula>
    </cfRule>
  </conditionalFormatting>
  <conditionalFormatting sqref="D469">
    <cfRule type="expression" dxfId="2164" priority="2161" stopIfTrue="1">
      <formula>OR(LEFT(D469,4)="KHTT",LEFT(D469,5)="10USD",RIGHT(D469,3)="TTC",LEFT(D469,3)="TNT")</formula>
    </cfRule>
    <cfRule type="expression" dxfId="2163" priority="2162" stopIfTrue="1">
      <formula>OR(LEFT(D469,3)="CTU",LEFT(D469,4)="HDON")</formula>
    </cfRule>
    <cfRule type="expression" dxfId="2162" priority="2163" stopIfTrue="1">
      <formula>OR(LEFT(D469,4)="HOLD",OR(A469="QTNP",A469="HOA THO",A469="YES VINA",A469="HUNG YEN",A469="TEX GIANG",A469="HUNG LONG"),LEFT(A469,5)="HANES",LEFT(A469,3)="ITG")</formula>
    </cfRule>
  </conditionalFormatting>
  <conditionalFormatting sqref="D469">
    <cfRule type="expression" dxfId="2161" priority="2158" stopIfTrue="1">
      <formula>OR(LEFT(D469,4)="KHTT",LEFT(D469,5)="10USD",RIGHT(D469,3)="TTC",LEFT(D469,3)="TNT")</formula>
    </cfRule>
    <cfRule type="expression" dxfId="2160" priority="2159" stopIfTrue="1">
      <formula>OR(LEFT(D469,3)="CTU",LEFT(D469,4)="HDON")</formula>
    </cfRule>
    <cfRule type="expression" dxfId="2159" priority="2160" stopIfTrue="1">
      <formula>OR(LEFT(D469,4)="HOLD",OR(A469="QTNP",A469="HOA THO",A469="YES VINA",A469="HUNG YEN",A469="TEX GIANG",A469="HUNG LONG"),LEFT(A469,5)="HANES",LEFT(A469,3)="ITG")</formula>
    </cfRule>
  </conditionalFormatting>
  <conditionalFormatting sqref="D470">
    <cfRule type="expression" dxfId="2158" priority="2155" stopIfTrue="1">
      <formula>OR(LEFT(D470,4)="KHTT",LEFT(D470,5)="10USD",RIGHT(D470,3)="TTC",LEFT(D470,3)="TNT")</formula>
    </cfRule>
    <cfRule type="expression" dxfId="2157" priority="2156" stopIfTrue="1">
      <formula>OR(LEFT(D470,3)="CTU",LEFT(D470,4)="HDON")</formula>
    </cfRule>
    <cfRule type="expression" dxfId="2156" priority="2157" stopIfTrue="1">
      <formula>OR(LEFT(D470,4)="HOLD",OR(A470="QTNP",A470="HOA THO",A470="YES VINA",A470="HUNG YEN",A470="TEX GIANG",A470="HUNG LONG"),LEFT(A470,5)="HANES",LEFT(A470,3)="ITG")</formula>
    </cfRule>
  </conditionalFormatting>
  <conditionalFormatting sqref="D470">
    <cfRule type="expression" dxfId="2155" priority="2152" stopIfTrue="1">
      <formula>OR(LEFT(D470,4)="KHTT",LEFT(D470,5)="10USD",RIGHT(D470,3)="TTC",LEFT(D470,3)="TNT")</formula>
    </cfRule>
    <cfRule type="expression" dxfId="2154" priority="2153" stopIfTrue="1">
      <formula>OR(LEFT(D470,3)="CTU",LEFT(D470,4)="HDON")</formula>
    </cfRule>
    <cfRule type="expression" dxfId="2153" priority="2154" stopIfTrue="1">
      <formula>OR(LEFT(D470,4)="HOLD",OR(A470="QTNP",A470="HOA THO",A470="YES VINA",A470="HUNG YEN",A470="TEX GIANG",A470="HUNG LONG"),LEFT(A470,5)="HANES",LEFT(A470,3)="ITG")</formula>
    </cfRule>
  </conditionalFormatting>
  <conditionalFormatting sqref="D470">
    <cfRule type="expression" dxfId="2152" priority="2149" stopIfTrue="1">
      <formula>OR(LEFT(D470,4)="KHTT",LEFT(D470,5)="10USD",RIGHT(D470,3)="TTC",LEFT(D470,3)="TNT")</formula>
    </cfRule>
    <cfRule type="expression" dxfId="2151" priority="2150" stopIfTrue="1">
      <formula>OR(LEFT(D470,3)="CTU",LEFT(D470,4)="HDON")</formula>
    </cfRule>
    <cfRule type="expression" dxfId="2150" priority="2151" stopIfTrue="1">
      <formula>OR(LEFT(D470,4)="HOLD",OR(A470="QTNP",A470="HOA THO",A470="YES VINA",A470="HUNG YEN",A470="TEX GIANG",A470="HUNG LONG"),LEFT(A470,5)="HANES",LEFT(A470,3)="ITG")</formula>
    </cfRule>
  </conditionalFormatting>
  <conditionalFormatting sqref="D470">
    <cfRule type="expression" dxfId="2149" priority="2146" stopIfTrue="1">
      <formula>OR(LEFT(D470,4)="KHTT",LEFT(D470,5)="10USD",RIGHT(D470,3)="TTC",LEFT(D470,3)="TNT")</formula>
    </cfRule>
    <cfRule type="expression" dxfId="2148" priority="2147" stopIfTrue="1">
      <formula>OR(LEFT(D470,3)="CTU",LEFT(D470,4)="HDON")</formula>
    </cfRule>
    <cfRule type="expression" dxfId="2147" priority="2148" stopIfTrue="1">
      <formula>OR(LEFT(D470,4)="HOLD",OR(A470="QTNP",A470="HOA THO",A470="YES VINA",A470="HUNG YEN",A470="TEX GIANG",A470="HUNG LONG"),LEFT(A470,5)="HANES",LEFT(A470,3)="ITG")</formula>
    </cfRule>
  </conditionalFormatting>
  <conditionalFormatting sqref="D469">
    <cfRule type="expression" dxfId="2146" priority="2143" stopIfTrue="1">
      <formula>OR(LEFT(D469,4)="KHTT",LEFT(D469,5)="10USD",RIGHT(D469,3)="TTC",LEFT(D469,3)="TNT")</formula>
    </cfRule>
    <cfRule type="expression" dxfId="2145" priority="2144" stopIfTrue="1">
      <formula>OR(LEFT(D469,3)="CTU",LEFT(D469,4)="HDON")</formula>
    </cfRule>
    <cfRule type="expression" dxfId="2144" priority="2145" stopIfTrue="1">
      <formula>OR(LEFT(D469,4)="HOLD",OR(A469="QTNP",A469="HOA THO",A469="YES VINA",A469="HUNG YEN",A469="TEX GIANG",A469="HUNG LONG"),LEFT(A469,5)="HANES",LEFT(A469,3)="ITG")</formula>
    </cfRule>
  </conditionalFormatting>
  <conditionalFormatting sqref="D469">
    <cfRule type="expression" dxfId="2143" priority="2140" stopIfTrue="1">
      <formula>OR(LEFT(D469,4)="KHTT",LEFT(D469,5)="10USD",RIGHT(D469,3)="TTC",LEFT(D469,3)="TNT")</formula>
    </cfRule>
    <cfRule type="expression" dxfId="2142" priority="2141" stopIfTrue="1">
      <formula>OR(LEFT(D469,3)="CTU",LEFT(D469,4)="HDON")</formula>
    </cfRule>
    <cfRule type="expression" dxfId="2141" priority="2142" stopIfTrue="1">
      <formula>OR(LEFT(D469,4)="HOLD",OR(A469="QTNP",A469="HOA THO",A469="YES VINA",A469="HUNG YEN",A469="TEX GIANG",A469="HUNG LONG"),LEFT(A469,5)="HANES",LEFT(A469,3)="ITG")</formula>
    </cfRule>
  </conditionalFormatting>
  <conditionalFormatting sqref="D470">
    <cfRule type="expression" dxfId="2140" priority="2137" stopIfTrue="1">
      <formula>OR(LEFT(D470,4)="KHTT",LEFT(D470,5)="10USD",RIGHT(D470,3)="TTC",LEFT(D470,3)="TNT")</formula>
    </cfRule>
    <cfRule type="expression" dxfId="2139" priority="2138" stopIfTrue="1">
      <formula>OR(LEFT(D470,3)="CTU",LEFT(D470,4)="HDON")</formula>
    </cfRule>
    <cfRule type="expression" dxfId="2138" priority="2139" stopIfTrue="1">
      <formula>OR(LEFT(D470,4)="HOLD",OR(A470="QTNP",A470="HOA THO",A470="YES VINA",A470="HUNG YEN",A470="TEX GIANG",A470="HUNG LONG"),LEFT(A470,5)="HANES",LEFT(A470,3)="ITG")</formula>
    </cfRule>
  </conditionalFormatting>
  <conditionalFormatting sqref="D470">
    <cfRule type="expression" dxfId="2137" priority="2134" stopIfTrue="1">
      <formula>OR(LEFT(D470,4)="KHTT",LEFT(D470,5)="10USD",RIGHT(D470,3)="TTC",LEFT(D470,3)="TNT")</formula>
    </cfRule>
    <cfRule type="expression" dxfId="2136" priority="2135" stopIfTrue="1">
      <formula>OR(LEFT(D470,3)="CTU",LEFT(D470,4)="HDON")</formula>
    </cfRule>
    <cfRule type="expression" dxfId="2135" priority="2136" stopIfTrue="1">
      <formula>OR(LEFT(D470,4)="HOLD",OR(A470="QTNP",A470="HOA THO",A470="YES VINA",A470="HUNG YEN",A470="TEX GIANG",A470="HUNG LONG"),LEFT(A470,5)="HANES",LEFT(A470,3)="ITG")</formula>
    </cfRule>
  </conditionalFormatting>
  <conditionalFormatting sqref="D470">
    <cfRule type="expression" dxfId="2134" priority="2131" stopIfTrue="1">
      <formula>OR(LEFT(D470,4)="KHTT",LEFT(D470,5)="10USD",RIGHT(D470,3)="TTC",LEFT(D470,3)="TNT")</formula>
    </cfRule>
    <cfRule type="expression" dxfId="2133" priority="2132" stopIfTrue="1">
      <formula>OR(LEFT(D470,3)="CTU",LEFT(D470,4)="HDON")</formula>
    </cfRule>
    <cfRule type="expression" dxfId="2132" priority="2133" stopIfTrue="1">
      <formula>OR(LEFT(D470,4)="HOLD",OR(A470="QTNP",A470="HOA THO",A470="YES VINA",A470="HUNG YEN",A470="TEX GIANG",A470="HUNG LONG"),LEFT(A470,5)="HANES",LEFT(A470,3)="ITG")</formula>
    </cfRule>
  </conditionalFormatting>
  <conditionalFormatting sqref="D470">
    <cfRule type="expression" dxfId="2131" priority="2128" stopIfTrue="1">
      <formula>OR(LEFT(D470,4)="KHTT",LEFT(D470,5)="10USD",RIGHT(D470,3)="TTC",LEFT(D470,3)="TNT")</formula>
    </cfRule>
    <cfRule type="expression" dxfId="2130" priority="2129" stopIfTrue="1">
      <formula>OR(LEFT(D470,3)="CTU",LEFT(D470,4)="HDON")</formula>
    </cfRule>
    <cfRule type="expression" dxfId="2129" priority="2130" stopIfTrue="1">
      <formula>OR(LEFT(D470,4)="HOLD",OR(A470="QTNP",A470="HOA THO",A470="YES VINA",A470="HUNG YEN",A470="TEX GIANG",A470="HUNG LONG"),LEFT(A470,5)="HANES",LEFT(A470,3)="ITG")</formula>
    </cfRule>
  </conditionalFormatting>
  <conditionalFormatting sqref="D469">
    <cfRule type="expression" dxfId="2128" priority="2125" stopIfTrue="1">
      <formula>OR(LEFT(D469,4)="KHTT",LEFT(D469,5)="10USD",RIGHT(D469,3)="TTC",LEFT(D469,3)="TNT")</formula>
    </cfRule>
    <cfRule type="expression" dxfId="2127" priority="2126" stopIfTrue="1">
      <formula>OR(LEFT(D469,3)="CTU",LEFT(D469,4)="HDON")</formula>
    </cfRule>
    <cfRule type="expression" dxfId="2126" priority="2127" stopIfTrue="1">
      <formula>OR(LEFT(D469,4)="HOLD",OR(A469="QTNP",A469="HOA THO",A469="YES VINA",A469="HUNG YEN",A469="TEX GIANG",A469="HUNG LONG"),LEFT(A469,5)="HANES",LEFT(A469,3)="ITG")</formula>
    </cfRule>
  </conditionalFormatting>
  <conditionalFormatting sqref="D469">
    <cfRule type="expression" dxfId="2125" priority="2122" stopIfTrue="1">
      <formula>OR(LEFT(D469,4)="KHTT",LEFT(D469,5)="10USD",RIGHT(D469,3)="TTC",LEFT(D469,3)="TNT")</formula>
    </cfRule>
    <cfRule type="expression" dxfId="2124" priority="2123" stopIfTrue="1">
      <formula>OR(LEFT(D469,3)="CTU",LEFT(D469,4)="HDON")</formula>
    </cfRule>
    <cfRule type="expression" dxfId="2123" priority="2124" stopIfTrue="1">
      <formula>OR(LEFT(D469,4)="HOLD",OR(A469="QTNP",A469="HOA THO",A469="YES VINA",A469="HUNG YEN",A469="TEX GIANG",A469="HUNG LONG"),LEFT(A469,5)="HANES",LEFT(A469,3)="ITG")</formula>
    </cfRule>
  </conditionalFormatting>
  <conditionalFormatting sqref="D470">
    <cfRule type="expression" dxfId="2122" priority="2119" stopIfTrue="1">
      <formula>OR(LEFT(D470,4)="KHTT",LEFT(D470,5)="10USD",RIGHT(D470,3)="TTC",LEFT(D470,3)="TNT")</formula>
    </cfRule>
    <cfRule type="expression" dxfId="2121" priority="2120" stopIfTrue="1">
      <formula>OR(LEFT(D470,3)="CTU",LEFT(D470,4)="HDON")</formula>
    </cfRule>
    <cfRule type="expression" dxfId="2120" priority="2121" stopIfTrue="1">
      <formula>OR(LEFT(D470,4)="HOLD",OR(A470="QTNP",A470="HOA THO",A470="YES VINA",A470="HUNG YEN",A470="TEX GIANG",A470="HUNG LONG"),LEFT(A470,5)="HANES",LEFT(A470,3)="ITG")</formula>
    </cfRule>
  </conditionalFormatting>
  <conditionalFormatting sqref="D470">
    <cfRule type="expression" dxfId="2119" priority="2116" stopIfTrue="1">
      <formula>OR(LEFT(D470,4)="KHTT",LEFT(D470,5)="10USD",RIGHT(D470,3)="TTC",LEFT(D470,3)="TNT")</formula>
    </cfRule>
    <cfRule type="expression" dxfId="2118" priority="2117" stopIfTrue="1">
      <formula>OR(LEFT(D470,3)="CTU",LEFT(D470,4)="HDON")</formula>
    </cfRule>
    <cfRule type="expression" dxfId="2117" priority="2118" stopIfTrue="1">
      <formula>OR(LEFT(D470,4)="HOLD",OR(A470="QTNP",A470="HOA THO",A470="YES VINA",A470="HUNG YEN",A470="TEX GIANG",A470="HUNG LONG"),LEFT(A470,5)="HANES",LEFT(A470,3)="ITG")</formula>
    </cfRule>
  </conditionalFormatting>
  <conditionalFormatting sqref="D470">
    <cfRule type="expression" dxfId="2116" priority="2113" stopIfTrue="1">
      <formula>OR(LEFT(D470,4)="KHTT",LEFT(D470,5)="10USD",RIGHT(D470,3)="TTC",LEFT(D470,3)="TNT")</formula>
    </cfRule>
    <cfRule type="expression" dxfId="2115" priority="2114" stopIfTrue="1">
      <formula>OR(LEFT(D470,3)="CTU",LEFT(D470,4)="HDON")</formula>
    </cfRule>
    <cfRule type="expression" dxfId="2114" priority="2115" stopIfTrue="1">
      <formula>OR(LEFT(D470,4)="HOLD",OR(A470="QTNP",A470="HOA THO",A470="YES VINA",A470="HUNG YEN",A470="TEX GIANG",A470="HUNG LONG"),LEFT(A470,5)="HANES",LEFT(A470,3)="ITG")</formula>
    </cfRule>
  </conditionalFormatting>
  <conditionalFormatting sqref="D470">
    <cfRule type="expression" dxfId="2113" priority="2110" stopIfTrue="1">
      <formula>OR(LEFT(D470,4)="KHTT",LEFT(D470,5)="10USD",RIGHT(D470,3)="TTC",LEFT(D470,3)="TNT")</formula>
    </cfRule>
    <cfRule type="expression" dxfId="2112" priority="2111" stopIfTrue="1">
      <formula>OR(LEFT(D470,3)="CTU",LEFT(D470,4)="HDON")</formula>
    </cfRule>
    <cfRule type="expression" dxfId="2111" priority="2112" stopIfTrue="1">
      <formula>OR(LEFT(D470,4)="HOLD",OR(A470="QTNP",A470="HOA THO",A470="YES VINA",A470="HUNG YEN",A470="TEX GIANG",A470="HUNG LONG"),LEFT(A470,5)="HANES",LEFT(A470,3)="ITG")</formula>
    </cfRule>
  </conditionalFormatting>
  <conditionalFormatting sqref="D469">
    <cfRule type="expression" dxfId="2110" priority="2107" stopIfTrue="1">
      <formula>OR(LEFT(D469,4)="KHTT",LEFT(D469,5)="10USD",RIGHT(D469,3)="TTC",LEFT(D469,3)="TNT")</formula>
    </cfRule>
    <cfRule type="expression" dxfId="2109" priority="2108" stopIfTrue="1">
      <formula>OR(LEFT(D469,3)="CTU",LEFT(D469,4)="HDON")</formula>
    </cfRule>
    <cfRule type="expression" dxfId="2108" priority="2109" stopIfTrue="1">
      <formula>OR(LEFT(D469,4)="HOLD",OR(A469="QTNP",A469="HOA THO",A469="YES VINA",A469="HUNG YEN",A469="TEX GIANG",A469="HUNG LONG"),LEFT(A469,5)="HANES",LEFT(A469,3)="ITG")</formula>
    </cfRule>
  </conditionalFormatting>
  <conditionalFormatting sqref="D469">
    <cfRule type="expression" dxfId="2107" priority="2104" stopIfTrue="1">
      <formula>OR(LEFT(D469,4)="KHTT",LEFT(D469,5)="10USD",RIGHT(D469,3)="TTC",LEFT(D469,3)="TNT")</formula>
    </cfRule>
    <cfRule type="expression" dxfId="2106" priority="2105" stopIfTrue="1">
      <formula>OR(LEFT(D469,3)="CTU",LEFT(D469,4)="HDON")</formula>
    </cfRule>
    <cfRule type="expression" dxfId="2105" priority="2106" stopIfTrue="1">
      <formula>OR(LEFT(D469,4)="HOLD",OR(A469="QTNP",A469="HOA THO",A469="YES VINA",A469="HUNG YEN",A469="TEX GIANG",A469="HUNG LONG"),LEFT(A469,5)="HANES",LEFT(A469,3)="ITG")</formula>
    </cfRule>
  </conditionalFormatting>
  <conditionalFormatting sqref="D470">
    <cfRule type="expression" dxfId="2104" priority="2101" stopIfTrue="1">
      <formula>OR(LEFT(D470,4)="KHTT",LEFT(D470,5)="10USD",RIGHT(D470,3)="TTC",LEFT(D470,3)="TNT")</formula>
    </cfRule>
    <cfRule type="expression" dxfId="2103" priority="2102" stopIfTrue="1">
      <formula>OR(LEFT(D470,3)="CTU",LEFT(D470,4)="HDON")</formula>
    </cfRule>
    <cfRule type="expression" dxfId="2102" priority="2103" stopIfTrue="1">
      <formula>OR(LEFT(D470,4)="HOLD",OR(A470="QTNP",A470="HOA THO",A470="YES VINA",A470="HUNG YEN",A470="TEX GIANG",A470="HUNG LONG"),LEFT(A470,5)="HANES",LEFT(A470,3)="ITG")</formula>
    </cfRule>
  </conditionalFormatting>
  <conditionalFormatting sqref="D470">
    <cfRule type="expression" dxfId="2101" priority="2098" stopIfTrue="1">
      <formula>OR(LEFT(D470,4)="KHTT",LEFT(D470,5)="10USD",RIGHT(D470,3)="TTC",LEFT(D470,3)="TNT")</formula>
    </cfRule>
    <cfRule type="expression" dxfId="2100" priority="2099" stopIfTrue="1">
      <formula>OR(LEFT(D470,3)="CTU",LEFT(D470,4)="HDON")</formula>
    </cfRule>
    <cfRule type="expression" dxfId="2099" priority="2100" stopIfTrue="1">
      <formula>OR(LEFT(D470,4)="HOLD",OR(A470="QTNP",A470="HOA THO",A470="YES VINA",A470="HUNG YEN",A470="TEX GIANG",A470="HUNG LONG"),LEFT(A470,5)="HANES",LEFT(A470,3)="ITG")</formula>
    </cfRule>
  </conditionalFormatting>
  <conditionalFormatting sqref="D470">
    <cfRule type="expression" dxfId="2098" priority="2095" stopIfTrue="1">
      <formula>OR(LEFT(D470,4)="KHTT",LEFT(D470,5)="10USD",RIGHT(D470,3)="TTC",LEFT(D470,3)="TNT")</formula>
    </cfRule>
    <cfRule type="expression" dxfId="2097" priority="2096" stopIfTrue="1">
      <formula>OR(LEFT(D470,3)="CTU",LEFT(D470,4)="HDON")</formula>
    </cfRule>
    <cfRule type="expression" dxfId="2096" priority="2097" stopIfTrue="1">
      <formula>OR(LEFT(D470,4)="HOLD",OR(A470="QTNP",A470="HOA THO",A470="YES VINA",A470="HUNG YEN",A470="TEX GIANG",A470="HUNG LONG"),LEFT(A470,5)="HANES",LEFT(A470,3)="ITG")</formula>
    </cfRule>
  </conditionalFormatting>
  <conditionalFormatting sqref="D470">
    <cfRule type="expression" dxfId="2095" priority="2092" stopIfTrue="1">
      <formula>OR(LEFT(D470,4)="KHTT",LEFT(D470,5)="10USD",RIGHT(D470,3)="TTC",LEFT(D470,3)="TNT")</formula>
    </cfRule>
    <cfRule type="expression" dxfId="2094" priority="2093" stopIfTrue="1">
      <formula>OR(LEFT(D470,3)="CTU",LEFT(D470,4)="HDON")</formula>
    </cfRule>
    <cfRule type="expression" dxfId="2093" priority="2094" stopIfTrue="1">
      <formula>OR(LEFT(D470,4)="HOLD",OR(A470="QTNP",A470="HOA THO",A470="YES VINA",A470="HUNG YEN",A470="TEX GIANG",A470="HUNG LONG"),LEFT(A470,5)="HANES",LEFT(A470,3)="ITG")</formula>
    </cfRule>
  </conditionalFormatting>
  <conditionalFormatting sqref="D469">
    <cfRule type="expression" dxfId="2092" priority="2089" stopIfTrue="1">
      <formula>OR(LEFT(D469,4)="KHTT",LEFT(D469,5)="10USD",RIGHT(D469,3)="TTC",LEFT(D469,3)="TNT")</formula>
    </cfRule>
    <cfRule type="expression" dxfId="2091" priority="2090" stopIfTrue="1">
      <formula>OR(LEFT(D469,3)="CTU",LEFT(D469,4)="HDON")</formula>
    </cfRule>
    <cfRule type="expression" dxfId="2090" priority="2091" stopIfTrue="1">
      <formula>OR(LEFT(D469,4)="HOLD",OR(A469="QTNP",A469="HOA THO",A469="YES VINA",A469="HUNG YEN",A469="TEX GIANG",A469="HUNG LONG"),LEFT(A469,5)="HANES",LEFT(A469,3)="ITG")</formula>
    </cfRule>
  </conditionalFormatting>
  <conditionalFormatting sqref="D469">
    <cfRule type="expression" dxfId="2089" priority="2086" stopIfTrue="1">
      <formula>OR(LEFT(D469,4)="KHTT",LEFT(D469,5)="10USD",RIGHT(D469,3)="TTC",LEFT(D469,3)="TNT")</formula>
    </cfRule>
    <cfRule type="expression" dxfId="2088" priority="2087" stopIfTrue="1">
      <formula>OR(LEFT(D469,3)="CTU",LEFT(D469,4)="HDON")</formula>
    </cfRule>
    <cfRule type="expression" dxfId="2087" priority="2088" stopIfTrue="1">
      <formula>OR(LEFT(D469,4)="HOLD",OR(A469="QTNP",A469="HOA THO",A469="YES VINA",A469="HUNG YEN",A469="TEX GIANG",A469="HUNG LONG"),LEFT(A469,5)="HANES",LEFT(A469,3)="ITG")</formula>
    </cfRule>
  </conditionalFormatting>
  <conditionalFormatting sqref="D470">
    <cfRule type="expression" dxfId="2086" priority="2083" stopIfTrue="1">
      <formula>OR(LEFT(D470,4)="KHTT",LEFT(D470,5)="10USD",RIGHT(D470,3)="TTC",LEFT(D470,3)="TNT")</formula>
    </cfRule>
    <cfRule type="expression" dxfId="2085" priority="2084" stopIfTrue="1">
      <formula>OR(LEFT(D470,3)="CTU",LEFT(D470,4)="HDON")</formula>
    </cfRule>
    <cfRule type="expression" dxfId="2084" priority="2085" stopIfTrue="1">
      <formula>OR(LEFT(D470,4)="HOLD",OR(A470="QTNP",A470="HOA THO",A470="YES VINA",A470="HUNG YEN",A470="TEX GIANG",A470="HUNG LONG"),LEFT(A470,5)="HANES",LEFT(A470,3)="ITG")</formula>
    </cfRule>
  </conditionalFormatting>
  <conditionalFormatting sqref="D470">
    <cfRule type="expression" dxfId="2083" priority="2080" stopIfTrue="1">
      <formula>OR(LEFT(D470,4)="KHTT",LEFT(D470,5)="10USD",RIGHT(D470,3)="TTC",LEFT(D470,3)="TNT")</formula>
    </cfRule>
    <cfRule type="expression" dxfId="2082" priority="2081" stopIfTrue="1">
      <formula>OR(LEFT(D470,3)="CTU",LEFT(D470,4)="HDON")</formula>
    </cfRule>
    <cfRule type="expression" dxfId="2081" priority="2082" stopIfTrue="1">
      <formula>OR(LEFT(D470,4)="HOLD",OR(A470="QTNP",A470="HOA THO",A470="YES VINA",A470="HUNG YEN",A470="TEX GIANG",A470="HUNG LONG"),LEFT(A470,5)="HANES",LEFT(A470,3)="ITG")</formula>
    </cfRule>
  </conditionalFormatting>
  <conditionalFormatting sqref="D470">
    <cfRule type="expression" dxfId="2080" priority="2077" stopIfTrue="1">
      <formula>OR(LEFT(D470,4)="KHTT",LEFT(D470,5)="10USD",RIGHT(D470,3)="TTC",LEFT(D470,3)="TNT")</formula>
    </cfRule>
    <cfRule type="expression" dxfId="2079" priority="2078" stopIfTrue="1">
      <formula>OR(LEFT(D470,3)="CTU",LEFT(D470,4)="HDON")</formula>
    </cfRule>
    <cfRule type="expression" dxfId="2078" priority="2079" stopIfTrue="1">
      <formula>OR(LEFT(D470,4)="HOLD",OR(A470="QTNP",A470="HOA THO",A470="YES VINA",A470="HUNG YEN",A470="TEX GIANG",A470="HUNG LONG"),LEFT(A470,5)="HANES",LEFT(A470,3)="ITG")</formula>
    </cfRule>
  </conditionalFormatting>
  <conditionalFormatting sqref="D470">
    <cfRule type="expression" dxfId="2077" priority="2074" stopIfTrue="1">
      <formula>OR(LEFT(D470,4)="KHTT",LEFT(D470,5)="10USD",RIGHT(D470,3)="TTC",LEFT(D470,3)="TNT")</formula>
    </cfRule>
    <cfRule type="expression" dxfId="2076" priority="2075" stopIfTrue="1">
      <formula>OR(LEFT(D470,3)="CTU",LEFT(D470,4)="HDON")</formula>
    </cfRule>
    <cfRule type="expression" dxfId="2075" priority="2076" stopIfTrue="1">
      <formula>OR(LEFT(D470,4)="HOLD",OR(A470="QTNP",A470="HOA THO",A470="YES VINA",A470="HUNG YEN",A470="TEX GIANG",A470="HUNG LONG"),LEFT(A470,5)="HANES",LEFT(A470,3)="ITG")</formula>
    </cfRule>
  </conditionalFormatting>
  <conditionalFormatting sqref="D469">
    <cfRule type="expression" dxfId="2074" priority="2071" stopIfTrue="1">
      <formula>OR(LEFT(D469,4)="KHTT",LEFT(D469,5)="10USD",RIGHT(D469,3)="TTC",LEFT(D469,3)="TNT")</formula>
    </cfRule>
    <cfRule type="expression" dxfId="2073" priority="2072" stopIfTrue="1">
      <formula>OR(LEFT(D469,3)="CTU",LEFT(D469,4)="HDON")</formula>
    </cfRule>
    <cfRule type="expression" dxfId="2072" priority="2073" stopIfTrue="1">
      <formula>OR(LEFT(D469,4)="HOLD",OR(A469="QTNP",A469="HOA THO",A469="YES VINA",A469="HUNG YEN",A469="TEX GIANG",A469="HUNG LONG"),LEFT(A469,5)="HANES",LEFT(A469,3)="ITG")</formula>
    </cfRule>
  </conditionalFormatting>
  <conditionalFormatting sqref="D469">
    <cfRule type="expression" dxfId="2071" priority="2068" stopIfTrue="1">
      <formula>OR(LEFT(D469,4)="KHTT",LEFT(D469,5)="10USD",RIGHT(D469,3)="TTC",LEFT(D469,3)="TNT")</formula>
    </cfRule>
    <cfRule type="expression" dxfId="2070" priority="2069" stopIfTrue="1">
      <formula>OR(LEFT(D469,3)="CTU",LEFT(D469,4)="HDON")</formula>
    </cfRule>
    <cfRule type="expression" dxfId="2069" priority="2070" stopIfTrue="1">
      <formula>OR(LEFT(D469,4)="HOLD",OR(A469="QTNP",A469="HOA THO",A469="YES VINA",A469="HUNG YEN",A469="TEX GIANG",A469="HUNG LONG"),LEFT(A469,5)="HANES",LEFT(A469,3)="ITG")</formula>
    </cfRule>
  </conditionalFormatting>
  <conditionalFormatting sqref="D470">
    <cfRule type="expression" dxfId="2068" priority="2065" stopIfTrue="1">
      <formula>OR(LEFT(D470,4)="KHTT",LEFT(D470,5)="10USD",RIGHT(D470,3)="TTC",LEFT(D470,3)="TNT")</formula>
    </cfRule>
    <cfRule type="expression" dxfId="2067" priority="2066" stopIfTrue="1">
      <formula>OR(LEFT(D470,3)="CTU",LEFT(D470,4)="HDON")</formula>
    </cfRule>
    <cfRule type="expression" dxfId="2066" priority="2067" stopIfTrue="1">
      <formula>OR(LEFT(D470,4)="HOLD",OR(A470="QTNP",A470="HOA THO",A470="YES VINA",A470="HUNG YEN",A470="TEX GIANG",A470="HUNG LONG"),LEFT(A470,5)="HANES",LEFT(A470,3)="ITG")</formula>
    </cfRule>
  </conditionalFormatting>
  <conditionalFormatting sqref="D470">
    <cfRule type="expression" dxfId="2065" priority="2062" stopIfTrue="1">
      <formula>OR(LEFT(D470,4)="KHTT",LEFT(D470,5)="10USD",RIGHT(D470,3)="TTC",LEFT(D470,3)="TNT")</formula>
    </cfRule>
    <cfRule type="expression" dxfId="2064" priority="2063" stopIfTrue="1">
      <formula>OR(LEFT(D470,3)="CTU",LEFT(D470,4)="HDON")</formula>
    </cfRule>
    <cfRule type="expression" dxfId="2063" priority="2064" stopIfTrue="1">
      <formula>OR(LEFT(D470,4)="HOLD",OR(A470="QTNP",A470="HOA THO",A470="YES VINA",A470="HUNG YEN",A470="TEX GIANG",A470="HUNG LONG"),LEFT(A470,5)="HANES",LEFT(A470,3)="ITG")</formula>
    </cfRule>
  </conditionalFormatting>
  <conditionalFormatting sqref="D470">
    <cfRule type="expression" dxfId="2062" priority="2059" stopIfTrue="1">
      <formula>OR(LEFT(D470,4)="KHTT",LEFT(D470,5)="10USD",RIGHT(D470,3)="TTC",LEFT(D470,3)="TNT")</formula>
    </cfRule>
    <cfRule type="expression" dxfId="2061" priority="2060" stopIfTrue="1">
      <formula>OR(LEFT(D470,3)="CTU",LEFT(D470,4)="HDON")</formula>
    </cfRule>
    <cfRule type="expression" dxfId="2060" priority="2061" stopIfTrue="1">
      <formula>OR(LEFT(D470,4)="HOLD",OR(A470="QTNP",A470="HOA THO",A470="YES VINA",A470="HUNG YEN",A470="TEX GIANG",A470="HUNG LONG"),LEFT(A470,5)="HANES",LEFT(A470,3)="ITG")</formula>
    </cfRule>
  </conditionalFormatting>
  <conditionalFormatting sqref="D470">
    <cfRule type="expression" dxfId="2059" priority="2056" stopIfTrue="1">
      <formula>OR(LEFT(D470,4)="KHTT",LEFT(D470,5)="10USD",RIGHT(D470,3)="TTC",LEFT(D470,3)="TNT")</formula>
    </cfRule>
    <cfRule type="expression" dxfId="2058" priority="2057" stopIfTrue="1">
      <formula>OR(LEFT(D470,3)="CTU",LEFT(D470,4)="HDON")</formula>
    </cfRule>
    <cfRule type="expression" dxfId="2057" priority="2058" stopIfTrue="1">
      <formula>OR(LEFT(D470,4)="HOLD",OR(A470="QTNP",A470="HOA THO",A470="YES VINA",A470="HUNG YEN",A470="TEX GIANG",A470="HUNG LONG"),LEFT(A470,5)="HANES",LEFT(A470,3)="ITG")</formula>
    </cfRule>
  </conditionalFormatting>
  <conditionalFormatting sqref="D469">
    <cfRule type="expression" dxfId="2056" priority="2053" stopIfTrue="1">
      <formula>OR(LEFT(D469,4)="KHTT",LEFT(D469,5)="10USD",RIGHT(D469,3)="TTC",LEFT(D469,3)="TNT")</formula>
    </cfRule>
    <cfRule type="expression" dxfId="2055" priority="2054" stopIfTrue="1">
      <formula>OR(LEFT(D469,3)="CTU",LEFT(D469,4)="HDON")</formula>
    </cfRule>
    <cfRule type="expression" dxfId="2054" priority="2055" stopIfTrue="1">
      <formula>OR(LEFT(D469,4)="HOLD",OR(A469="QTNP",A469="HOA THO",A469="YES VINA",A469="HUNG YEN",A469="TEX GIANG",A469="HUNG LONG"),LEFT(A469,5)="HANES",LEFT(A469,3)="ITG")</formula>
    </cfRule>
  </conditionalFormatting>
  <conditionalFormatting sqref="D469">
    <cfRule type="expression" dxfId="2053" priority="2050" stopIfTrue="1">
      <formula>OR(LEFT(D469,4)="KHTT",LEFT(D469,5)="10USD",RIGHT(D469,3)="TTC",LEFT(D469,3)="TNT")</formula>
    </cfRule>
    <cfRule type="expression" dxfId="2052" priority="2051" stopIfTrue="1">
      <formula>OR(LEFT(D469,3)="CTU",LEFT(D469,4)="HDON")</formula>
    </cfRule>
    <cfRule type="expression" dxfId="2051" priority="2052" stopIfTrue="1">
      <formula>OR(LEFT(D469,4)="HOLD",OR(A469="QTNP",A469="HOA THO",A469="YES VINA",A469="HUNG YEN",A469="TEX GIANG",A469="HUNG LONG"),LEFT(A469,5)="HANES",LEFT(A469,3)="ITG")</formula>
    </cfRule>
  </conditionalFormatting>
  <conditionalFormatting sqref="D470">
    <cfRule type="expression" dxfId="2050" priority="2047" stopIfTrue="1">
      <formula>OR(LEFT(D470,4)="KHTT",LEFT(D470,5)="10USD",RIGHT(D470,3)="TTC",LEFT(D470,3)="TNT")</formula>
    </cfRule>
    <cfRule type="expression" dxfId="2049" priority="2048" stopIfTrue="1">
      <formula>OR(LEFT(D470,3)="CTU",LEFT(D470,4)="HDON")</formula>
    </cfRule>
    <cfRule type="expression" dxfId="2048" priority="2049" stopIfTrue="1">
      <formula>OR(LEFT(D470,4)="HOLD",OR(A470="QTNP",A470="HOA THO",A470="YES VINA",A470="HUNG YEN",A470="TEX GIANG",A470="HUNG LONG"),LEFT(A470,5)="HANES",LEFT(A470,3)="ITG")</formula>
    </cfRule>
  </conditionalFormatting>
  <conditionalFormatting sqref="D470">
    <cfRule type="expression" dxfId="2047" priority="2044" stopIfTrue="1">
      <formula>OR(LEFT(D470,4)="KHTT",LEFT(D470,5)="10USD",RIGHT(D470,3)="TTC",LEFT(D470,3)="TNT")</formula>
    </cfRule>
    <cfRule type="expression" dxfId="2046" priority="2045" stopIfTrue="1">
      <formula>OR(LEFT(D470,3)="CTU",LEFT(D470,4)="HDON")</formula>
    </cfRule>
    <cfRule type="expression" dxfId="2045" priority="2046" stopIfTrue="1">
      <formula>OR(LEFT(D470,4)="HOLD",OR(A470="QTNP",A470="HOA THO",A470="YES VINA",A470="HUNG YEN",A470="TEX GIANG",A470="HUNG LONG"),LEFT(A470,5)="HANES",LEFT(A470,3)="ITG")</formula>
    </cfRule>
  </conditionalFormatting>
  <conditionalFormatting sqref="D470">
    <cfRule type="expression" dxfId="2044" priority="2041" stopIfTrue="1">
      <formula>OR(LEFT(D470,4)="KHTT",LEFT(D470,5)="10USD",RIGHT(D470,3)="TTC",LEFT(D470,3)="TNT")</formula>
    </cfRule>
    <cfRule type="expression" dxfId="2043" priority="2042" stopIfTrue="1">
      <formula>OR(LEFT(D470,3)="CTU",LEFT(D470,4)="HDON")</formula>
    </cfRule>
    <cfRule type="expression" dxfId="2042" priority="2043" stopIfTrue="1">
      <formula>OR(LEFT(D470,4)="HOLD",OR(A470="QTNP",A470="HOA THO",A470="YES VINA",A470="HUNG YEN",A470="TEX GIANG",A470="HUNG LONG"),LEFT(A470,5)="HANES",LEFT(A470,3)="ITG")</formula>
    </cfRule>
  </conditionalFormatting>
  <conditionalFormatting sqref="D470">
    <cfRule type="expression" dxfId="2041" priority="2038" stopIfTrue="1">
      <formula>OR(LEFT(D470,4)="KHTT",LEFT(D470,5)="10USD",RIGHT(D470,3)="TTC",LEFT(D470,3)="TNT")</formula>
    </cfRule>
    <cfRule type="expression" dxfId="2040" priority="2039" stopIfTrue="1">
      <formula>OR(LEFT(D470,3)="CTU",LEFT(D470,4)="HDON")</formula>
    </cfRule>
    <cfRule type="expression" dxfId="2039" priority="2040" stopIfTrue="1">
      <formula>OR(LEFT(D470,4)="HOLD",OR(A470="QTNP",A470="HOA THO",A470="YES VINA",A470="HUNG YEN",A470="TEX GIANG",A470="HUNG LONG"),LEFT(A470,5)="HANES",LEFT(A470,3)="ITG")</formula>
    </cfRule>
  </conditionalFormatting>
  <conditionalFormatting sqref="D469">
    <cfRule type="expression" dxfId="2038" priority="2035" stopIfTrue="1">
      <formula>OR(LEFT(D469,4)="KHTT",LEFT(D469,5)="10USD",RIGHT(D469,3)="TTC",LEFT(D469,3)="TNT")</formula>
    </cfRule>
    <cfRule type="expression" dxfId="2037" priority="2036" stopIfTrue="1">
      <formula>OR(LEFT(D469,3)="CTU",LEFT(D469,4)="HDON")</formula>
    </cfRule>
    <cfRule type="expression" dxfId="2036" priority="2037" stopIfTrue="1">
      <formula>OR(LEFT(D469,4)="HOLD",OR(A469="QTNP",A469="HOA THO",A469="YES VINA",A469="HUNG YEN",A469="TEX GIANG",A469="HUNG LONG"),LEFT(A469,5)="HANES",LEFT(A469,3)="ITG")</formula>
    </cfRule>
  </conditionalFormatting>
  <conditionalFormatting sqref="D469">
    <cfRule type="expression" dxfId="2035" priority="2032" stopIfTrue="1">
      <formula>OR(LEFT(D469,4)="KHTT",LEFT(D469,5)="10USD",RIGHT(D469,3)="TTC",LEFT(D469,3)="TNT")</formula>
    </cfRule>
    <cfRule type="expression" dxfId="2034" priority="2033" stopIfTrue="1">
      <formula>OR(LEFT(D469,3)="CTU",LEFT(D469,4)="HDON")</formula>
    </cfRule>
    <cfRule type="expression" dxfId="2033" priority="2034" stopIfTrue="1">
      <formula>OR(LEFT(D469,4)="HOLD",OR(A469="QTNP",A469="HOA THO",A469="YES VINA",A469="HUNG YEN",A469="TEX GIANG",A469="HUNG LONG"),LEFT(A469,5)="HANES",LEFT(A469,3)="ITG")</formula>
    </cfRule>
  </conditionalFormatting>
  <conditionalFormatting sqref="D470">
    <cfRule type="expression" dxfId="2032" priority="2029" stopIfTrue="1">
      <formula>OR(LEFT(D470,4)="KHTT",LEFT(D470,5)="10USD",RIGHT(D470,3)="TTC",LEFT(D470,3)="TNT")</formula>
    </cfRule>
    <cfRule type="expression" dxfId="2031" priority="2030" stopIfTrue="1">
      <formula>OR(LEFT(D470,3)="CTU",LEFT(D470,4)="HDON")</formula>
    </cfRule>
    <cfRule type="expression" dxfId="2030" priority="2031" stopIfTrue="1">
      <formula>OR(LEFT(D470,4)="HOLD",OR(A470="QTNP",A470="HOA THO",A470="YES VINA",A470="HUNG YEN",A470="TEX GIANG",A470="HUNG LONG"),LEFT(A470,5)="HANES",LEFT(A470,3)="ITG")</formula>
    </cfRule>
  </conditionalFormatting>
  <conditionalFormatting sqref="D470">
    <cfRule type="expression" dxfId="2029" priority="2026" stopIfTrue="1">
      <formula>OR(LEFT(D470,4)="KHTT",LEFT(D470,5)="10USD",RIGHT(D470,3)="TTC",LEFT(D470,3)="TNT")</formula>
    </cfRule>
    <cfRule type="expression" dxfId="2028" priority="2027" stopIfTrue="1">
      <formula>OR(LEFT(D470,3)="CTU",LEFT(D470,4)="HDON")</formula>
    </cfRule>
    <cfRule type="expression" dxfId="2027" priority="2028" stopIfTrue="1">
      <formula>OR(LEFT(D470,4)="HOLD",OR(A470="QTNP",A470="HOA THO",A470="YES VINA",A470="HUNG YEN",A470="TEX GIANG",A470="HUNG LONG"),LEFT(A470,5)="HANES",LEFT(A470,3)="ITG")</formula>
    </cfRule>
  </conditionalFormatting>
  <conditionalFormatting sqref="D470">
    <cfRule type="expression" dxfId="2026" priority="2023" stopIfTrue="1">
      <formula>OR(LEFT(D470,4)="KHTT",LEFT(D470,5)="10USD",RIGHT(D470,3)="TTC",LEFT(D470,3)="TNT")</formula>
    </cfRule>
    <cfRule type="expression" dxfId="2025" priority="2024" stopIfTrue="1">
      <formula>OR(LEFT(D470,3)="CTU",LEFT(D470,4)="HDON")</formula>
    </cfRule>
    <cfRule type="expression" dxfId="2024" priority="2025" stopIfTrue="1">
      <formula>OR(LEFT(D470,4)="HOLD",OR(A470="QTNP",A470="HOA THO",A470="YES VINA",A470="HUNG YEN",A470="TEX GIANG",A470="HUNG LONG"),LEFT(A470,5)="HANES",LEFT(A470,3)="ITG")</formula>
    </cfRule>
  </conditionalFormatting>
  <conditionalFormatting sqref="D470">
    <cfRule type="expression" dxfId="2023" priority="2020" stopIfTrue="1">
      <formula>OR(LEFT(D470,4)="KHTT",LEFT(D470,5)="10USD",RIGHT(D470,3)="TTC",LEFT(D470,3)="TNT")</formula>
    </cfRule>
    <cfRule type="expression" dxfId="2022" priority="2021" stopIfTrue="1">
      <formula>OR(LEFT(D470,3)="CTU",LEFT(D470,4)="HDON")</formula>
    </cfRule>
    <cfRule type="expression" dxfId="2021" priority="2022" stopIfTrue="1">
      <formula>OR(LEFT(D470,4)="HOLD",OR(A470="QTNP",A470="HOA THO",A470="YES VINA",A470="HUNG YEN",A470="TEX GIANG",A470="HUNG LONG"),LEFT(A470,5)="HANES",LEFT(A470,3)="ITG")</formula>
    </cfRule>
  </conditionalFormatting>
  <conditionalFormatting sqref="D469">
    <cfRule type="expression" dxfId="2020" priority="2017" stopIfTrue="1">
      <formula>OR(LEFT(D469,4)="KHTT",LEFT(D469,5)="10USD",RIGHT(D469,3)="TTC",LEFT(D469,3)="TNT")</formula>
    </cfRule>
    <cfRule type="expression" dxfId="2019" priority="2018" stopIfTrue="1">
      <formula>OR(LEFT(D469,3)="CTU",LEFT(D469,4)="HDON")</formula>
    </cfRule>
    <cfRule type="expression" dxfId="2018" priority="2019" stopIfTrue="1">
      <formula>OR(LEFT(D469,4)="HOLD",OR(A469="QTNP",A469="HOA THO",A469="YES VINA",A469="HUNG YEN",A469="TEX GIANG",A469="HUNG LONG"),LEFT(A469,5)="HANES",LEFT(A469,3)="ITG")</formula>
    </cfRule>
  </conditionalFormatting>
  <conditionalFormatting sqref="D469">
    <cfRule type="expression" dxfId="2017" priority="2014" stopIfTrue="1">
      <formula>OR(LEFT(D469,4)="KHTT",LEFT(D469,5)="10USD",RIGHT(D469,3)="TTC",LEFT(D469,3)="TNT")</formula>
    </cfRule>
    <cfRule type="expression" dxfId="2016" priority="2015" stopIfTrue="1">
      <formula>OR(LEFT(D469,3)="CTU",LEFT(D469,4)="HDON")</formula>
    </cfRule>
    <cfRule type="expression" dxfId="2015" priority="2016" stopIfTrue="1">
      <formula>OR(LEFT(D469,4)="HOLD",OR(A469="QTNP",A469="HOA THO",A469="YES VINA",A469="HUNG YEN",A469="TEX GIANG",A469="HUNG LONG"),LEFT(A469,5)="HANES",LEFT(A469,3)="ITG")</formula>
    </cfRule>
  </conditionalFormatting>
  <conditionalFormatting sqref="D470">
    <cfRule type="expression" dxfId="2014" priority="2011" stopIfTrue="1">
      <formula>OR(LEFT(D470,4)="KHTT",LEFT(D470,5)="10USD",RIGHT(D470,3)="TTC",LEFT(D470,3)="TNT")</formula>
    </cfRule>
    <cfRule type="expression" dxfId="2013" priority="2012" stopIfTrue="1">
      <formula>OR(LEFT(D470,3)="CTU",LEFT(D470,4)="HDON")</formula>
    </cfRule>
    <cfRule type="expression" dxfId="2012" priority="2013" stopIfTrue="1">
      <formula>OR(LEFT(D470,4)="HOLD",OR(A470="QTNP",A470="HOA THO",A470="YES VINA",A470="HUNG YEN",A470="TEX GIANG",A470="HUNG LONG"),LEFT(A470,5)="HANES",LEFT(A470,3)="ITG")</formula>
    </cfRule>
  </conditionalFormatting>
  <conditionalFormatting sqref="D470">
    <cfRule type="expression" dxfId="2011" priority="2008" stopIfTrue="1">
      <formula>OR(LEFT(D470,4)="KHTT",LEFT(D470,5)="10USD",RIGHT(D470,3)="TTC",LEFT(D470,3)="TNT")</formula>
    </cfRule>
    <cfRule type="expression" dxfId="2010" priority="2009" stopIfTrue="1">
      <formula>OR(LEFT(D470,3)="CTU",LEFT(D470,4)="HDON")</formula>
    </cfRule>
    <cfRule type="expression" dxfId="2009" priority="2010" stopIfTrue="1">
      <formula>OR(LEFT(D470,4)="HOLD",OR(A470="QTNP",A470="HOA THO",A470="YES VINA",A470="HUNG YEN",A470="TEX GIANG",A470="HUNG LONG"),LEFT(A470,5)="HANES",LEFT(A470,3)="ITG")</formula>
    </cfRule>
  </conditionalFormatting>
  <conditionalFormatting sqref="D470">
    <cfRule type="expression" dxfId="2008" priority="2005" stopIfTrue="1">
      <formula>OR(LEFT(D470,4)="KHTT",LEFT(D470,5)="10USD",RIGHT(D470,3)="TTC",LEFT(D470,3)="TNT")</formula>
    </cfRule>
    <cfRule type="expression" dxfId="2007" priority="2006" stopIfTrue="1">
      <formula>OR(LEFT(D470,3)="CTU",LEFT(D470,4)="HDON")</formula>
    </cfRule>
    <cfRule type="expression" dxfId="2006" priority="2007" stopIfTrue="1">
      <formula>OR(LEFT(D470,4)="HOLD",OR(A470="QTNP",A470="HOA THO",A470="YES VINA",A470="HUNG YEN",A470="TEX GIANG",A470="HUNG LONG"),LEFT(A470,5)="HANES",LEFT(A470,3)="ITG")</formula>
    </cfRule>
  </conditionalFormatting>
  <conditionalFormatting sqref="D470">
    <cfRule type="expression" dxfId="2005" priority="2002" stopIfTrue="1">
      <formula>OR(LEFT(D470,4)="KHTT",LEFT(D470,5)="10USD",RIGHT(D470,3)="TTC",LEFT(D470,3)="TNT")</formula>
    </cfRule>
    <cfRule type="expression" dxfId="2004" priority="2003" stopIfTrue="1">
      <formula>OR(LEFT(D470,3)="CTU",LEFT(D470,4)="HDON")</formula>
    </cfRule>
    <cfRule type="expression" dxfId="2003" priority="2004" stopIfTrue="1">
      <formula>OR(LEFT(D470,4)="HOLD",OR(A470="QTNP",A470="HOA THO",A470="YES VINA",A470="HUNG YEN",A470="TEX GIANG",A470="HUNG LONG"),LEFT(A470,5)="HANES",LEFT(A470,3)="ITG")</formula>
    </cfRule>
  </conditionalFormatting>
  <conditionalFormatting sqref="D469">
    <cfRule type="expression" dxfId="2002" priority="1999" stopIfTrue="1">
      <formula>OR(LEFT(D469,4)="KHTT",LEFT(D469,5)="10USD",RIGHT(D469,3)="TTC",LEFT(D469,3)="TNT")</formula>
    </cfRule>
    <cfRule type="expression" dxfId="2001" priority="2000" stopIfTrue="1">
      <formula>OR(LEFT(D469,3)="CTU",LEFT(D469,4)="HDON")</formula>
    </cfRule>
    <cfRule type="expression" dxfId="2000" priority="2001" stopIfTrue="1">
      <formula>OR(LEFT(D469,4)="HOLD",OR(A469="QTNP",A469="HOA THO",A469="YES VINA",A469="HUNG YEN",A469="TEX GIANG",A469="HUNG LONG"),LEFT(A469,5)="HANES",LEFT(A469,3)="ITG")</formula>
    </cfRule>
  </conditionalFormatting>
  <conditionalFormatting sqref="D469">
    <cfRule type="expression" dxfId="1999" priority="1996" stopIfTrue="1">
      <formula>OR(LEFT(D469,4)="KHTT",LEFT(D469,5)="10USD",RIGHT(D469,3)="TTC",LEFT(D469,3)="TNT")</formula>
    </cfRule>
    <cfRule type="expression" dxfId="1998" priority="1997" stopIfTrue="1">
      <formula>OR(LEFT(D469,3)="CTU",LEFT(D469,4)="HDON")</formula>
    </cfRule>
    <cfRule type="expression" dxfId="1997" priority="1998" stopIfTrue="1">
      <formula>OR(LEFT(D469,4)="HOLD",OR(A469="QTNP",A469="HOA THO",A469="YES VINA",A469="HUNG YEN",A469="TEX GIANG",A469="HUNG LONG"),LEFT(A469,5)="HANES",LEFT(A469,3)="ITG")</formula>
    </cfRule>
  </conditionalFormatting>
  <conditionalFormatting sqref="D470">
    <cfRule type="expression" dxfId="1996" priority="1993" stopIfTrue="1">
      <formula>OR(LEFT(D470,4)="KHTT",LEFT(D470,5)="10USD",RIGHT(D470,3)="TTC",LEFT(D470,3)="TNT")</formula>
    </cfRule>
    <cfRule type="expression" dxfId="1995" priority="1994" stopIfTrue="1">
      <formula>OR(LEFT(D470,3)="CTU",LEFT(D470,4)="HDON")</formula>
    </cfRule>
    <cfRule type="expression" dxfId="1994" priority="1995" stopIfTrue="1">
      <formula>OR(LEFT(D470,4)="HOLD",OR(A470="QTNP",A470="HOA THO",A470="YES VINA",A470="HUNG YEN",A470="TEX GIANG",A470="HUNG LONG"),LEFT(A470,5)="HANES",LEFT(A470,3)="ITG")</formula>
    </cfRule>
  </conditionalFormatting>
  <conditionalFormatting sqref="D470">
    <cfRule type="expression" dxfId="1993" priority="1990" stopIfTrue="1">
      <formula>OR(LEFT(D470,4)="KHTT",LEFT(D470,5)="10USD",RIGHT(D470,3)="TTC",LEFT(D470,3)="TNT")</formula>
    </cfRule>
    <cfRule type="expression" dxfId="1992" priority="1991" stopIfTrue="1">
      <formula>OR(LEFT(D470,3)="CTU",LEFT(D470,4)="HDON")</formula>
    </cfRule>
    <cfRule type="expression" dxfId="1991" priority="1992" stopIfTrue="1">
      <formula>OR(LEFT(D470,4)="HOLD",OR(A470="QTNP",A470="HOA THO",A470="YES VINA",A470="HUNG YEN",A470="TEX GIANG",A470="HUNG LONG"),LEFT(A470,5)="HANES",LEFT(A470,3)="ITG")</formula>
    </cfRule>
  </conditionalFormatting>
  <conditionalFormatting sqref="D470">
    <cfRule type="expression" dxfId="1990" priority="1987" stopIfTrue="1">
      <formula>OR(LEFT(D470,4)="KHTT",LEFT(D470,5)="10USD",RIGHT(D470,3)="TTC",LEFT(D470,3)="TNT")</formula>
    </cfRule>
    <cfRule type="expression" dxfId="1989" priority="1988" stopIfTrue="1">
      <formula>OR(LEFT(D470,3)="CTU",LEFT(D470,4)="HDON")</formula>
    </cfRule>
    <cfRule type="expression" dxfId="1988" priority="1989" stopIfTrue="1">
      <formula>OR(LEFT(D470,4)="HOLD",OR(A470="QTNP",A470="HOA THO",A470="YES VINA",A470="HUNG YEN",A470="TEX GIANG",A470="HUNG LONG"),LEFT(A470,5)="HANES",LEFT(A470,3)="ITG")</formula>
    </cfRule>
  </conditionalFormatting>
  <conditionalFormatting sqref="D470">
    <cfRule type="expression" dxfId="1987" priority="1984" stopIfTrue="1">
      <formula>OR(LEFT(D470,4)="KHTT",LEFT(D470,5)="10USD",RIGHT(D470,3)="TTC",LEFT(D470,3)="TNT")</formula>
    </cfRule>
    <cfRule type="expression" dxfId="1986" priority="1985" stopIfTrue="1">
      <formula>OR(LEFT(D470,3)="CTU",LEFT(D470,4)="HDON")</formula>
    </cfRule>
    <cfRule type="expression" dxfId="1985" priority="1986" stopIfTrue="1">
      <formula>OR(LEFT(D470,4)="HOLD",OR(A470="QTNP",A470="HOA THO",A470="YES VINA",A470="HUNG YEN",A470="TEX GIANG",A470="HUNG LONG"),LEFT(A470,5)="HANES",LEFT(A470,3)="ITG")</formula>
    </cfRule>
  </conditionalFormatting>
  <conditionalFormatting sqref="D469">
    <cfRule type="expression" dxfId="1984" priority="1981" stopIfTrue="1">
      <formula>OR(LEFT(D469,4)="KHTT",LEFT(D469,5)="10USD",RIGHT(D469,3)="TTC",LEFT(D469,3)="TNT")</formula>
    </cfRule>
    <cfRule type="expression" dxfId="1983" priority="1982" stopIfTrue="1">
      <formula>OR(LEFT(D469,3)="CTU",LEFT(D469,4)="HDON")</formula>
    </cfRule>
    <cfRule type="expression" dxfId="1982" priority="1983" stopIfTrue="1">
      <formula>OR(LEFT(D469,4)="HOLD",OR(A469="QTNP",A469="HOA THO",A469="YES VINA",A469="HUNG YEN",A469="TEX GIANG",A469="HUNG LONG"),LEFT(A469,5)="HANES",LEFT(A469,3)="ITG")</formula>
    </cfRule>
  </conditionalFormatting>
  <conditionalFormatting sqref="D469">
    <cfRule type="expression" dxfId="1981" priority="1978" stopIfTrue="1">
      <formula>OR(LEFT(D469,4)="KHTT",LEFT(D469,5)="10USD",RIGHT(D469,3)="TTC",LEFT(D469,3)="TNT")</formula>
    </cfRule>
    <cfRule type="expression" dxfId="1980" priority="1979" stopIfTrue="1">
      <formula>OR(LEFT(D469,3)="CTU",LEFT(D469,4)="HDON")</formula>
    </cfRule>
    <cfRule type="expression" dxfId="1979" priority="1980" stopIfTrue="1">
      <formula>OR(LEFT(D469,4)="HOLD",OR(A469="QTNP",A469="HOA THO",A469="YES VINA",A469="HUNG YEN",A469="TEX GIANG",A469="HUNG LONG"),LEFT(A469,5)="HANES",LEFT(A469,3)="ITG")</formula>
    </cfRule>
  </conditionalFormatting>
  <conditionalFormatting sqref="D470">
    <cfRule type="expression" dxfId="1978" priority="1975" stopIfTrue="1">
      <formula>OR(LEFT(D470,4)="KHTT",LEFT(D470,5)="10USD",RIGHT(D470,3)="TTC",LEFT(D470,3)="TNT")</formula>
    </cfRule>
    <cfRule type="expression" dxfId="1977" priority="1976" stopIfTrue="1">
      <formula>OR(LEFT(D470,3)="CTU",LEFT(D470,4)="HDON")</formula>
    </cfRule>
    <cfRule type="expression" dxfId="1976" priority="1977" stopIfTrue="1">
      <formula>OR(LEFT(D470,4)="HOLD",OR(A470="QTNP",A470="HOA THO",A470="YES VINA",A470="HUNG YEN",A470="TEX GIANG",A470="HUNG LONG"),LEFT(A470,5)="HANES",LEFT(A470,3)="ITG")</formula>
    </cfRule>
  </conditionalFormatting>
  <conditionalFormatting sqref="D470">
    <cfRule type="expression" dxfId="1975" priority="1972" stopIfTrue="1">
      <formula>OR(LEFT(D470,4)="KHTT",LEFT(D470,5)="10USD",RIGHT(D470,3)="TTC",LEFT(D470,3)="TNT")</formula>
    </cfRule>
    <cfRule type="expression" dxfId="1974" priority="1973" stopIfTrue="1">
      <formula>OR(LEFT(D470,3)="CTU",LEFT(D470,4)="HDON")</formula>
    </cfRule>
    <cfRule type="expression" dxfId="1973" priority="1974" stopIfTrue="1">
      <formula>OR(LEFT(D470,4)="HOLD",OR(A470="QTNP",A470="HOA THO",A470="YES VINA",A470="HUNG YEN",A470="TEX GIANG",A470="HUNG LONG"),LEFT(A470,5)="HANES",LEFT(A470,3)="ITG")</formula>
    </cfRule>
  </conditionalFormatting>
  <conditionalFormatting sqref="D470">
    <cfRule type="expression" dxfId="1972" priority="1969" stopIfTrue="1">
      <formula>OR(LEFT(D470,4)="KHTT",LEFT(D470,5)="10USD",RIGHT(D470,3)="TTC",LEFT(D470,3)="TNT")</formula>
    </cfRule>
    <cfRule type="expression" dxfId="1971" priority="1970" stopIfTrue="1">
      <formula>OR(LEFT(D470,3)="CTU",LEFT(D470,4)="HDON")</formula>
    </cfRule>
    <cfRule type="expression" dxfId="1970" priority="1971" stopIfTrue="1">
      <formula>OR(LEFT(D470,4)="HOLD",OR(A470="QTNP",A470="HOA THO",A470="YES VINA",A470="HUNG YEN",A470="TEX GIANG",A470="HUNG LONG"),LEFT(A470,5)="HANES",LEFT(A470,3)="ITG")</formula>
    </cfRule>
  </conditionalFormatting>
  <conditionalFormatting sqref="D470">
    <cfRule type="expression" dxfId="1969" priority="1966" stopIfTrue="1">
      <formula>OR(LEFT(D470,4)="KHTT",LEFT(D470,5)="10USD",RIGHT(D470,3)="TTC",LEFT(D470,3)="TNT")</formula>
    </cfRule>
    <cfRule type="expression" dxfId="1968" priority="1967" stopIfTrue="1">
      <formula>OR(LEFT(D470,3)="CTU",LEFT(D470,4)="HDON")</formula>
    </cfRule>
    <cfRule type="expression" dxfId="1967" priority="1968" stopIfTrue="1">
      <formula>OR(LEFT(D470,4)="HOLD",OR(A470="QTNP",A470="HOA THO",A470="YES VINA",A470="HUNG YEN",A470="TEX GIANG",A470="HUNG LONG"),LEFT(A470,5)="HANES",LEFT(A470,3)="ITG")</formula>
    </cfRule>
  </conditionalFormatting>
  <conditionalFormatting sqref="D469">
    <cfRule type="expression" dxfId="1966" priority="1963" stopIfTrue="1">
      <formula>OR(LEFT(D469,4)="KHTT",LEFT(D469,5)="10USD",RIGHT(D469,3)="TTC",LEFT(D469,3)="TNT")</formula>
    </cfRule>
    <cfRule type="expression" dxfId="1965" priority="1964" stopIfTrue="1">
      <formula>OR(LEFT(D469,3)="CTU",LEFT(D469,4)="HDON")</formula>
    </cfRule>
    <cfRule type="expression" dxfId="1964" priority="1965" stopIfTrue="1">
      <formula>OR(LEFT(D469,4)="HOLD",OR(A469="QTNP",A469="HOA THO",A469="YES VINA",A469="HUNG YEN",A469="TEX GIANG",A469="HUNG LONG"),LEFT(A469,5)="HANES",LEFT(A469,3)="ITG")</formula>
    </cfRule>
  </conditionalFormatting>
  <conditionalFormatting sqref="D469">
    <cfRule type="expression" dxfId="1963" priority="1960" stopIfTrue="1">
      <formula>OR(LEFT(D469,4)="KHTT",LEFT(D469,5)="10USD",RIGHT(D469,3)="TTC",LEFT(D469,3)="TNT")</formula>
    </cfRule>
    <cfRule type="expression" dxfId="1962" priority="1961" stopIfTrue="1">
      <formula>OR(LEFT(D469,3)="CTU",LEFT(D469,4)="HDON")</formula>
    </cfRule>
    <cfRule type="expression" dxfId="1961" priority="1962" stopIfTrue="1">
      <formula>OR(LEFT(D469,4)="HOLD",OR(A469="QTNP",A469="HOA THO",A469="YES VINA",A469="HUNG YEN",A469="TEX GIANG",A469="HUNG LONG"),LEFT(A469,5)="HANES",LEFT(A469,3)="ITG")</formula>
    </cfRule>
  </conditionalFormatting>
  <conditionalFormatting sqref="D470">
    <cfRule type="expression" dxfId="1960" priority="1957" stopIfTrue="1">
      <formula>OR(LEFT(D470,4)="KHTT",LEFT(D470,5)="10USD",RIGHT(D470,3)="TTC",LEFT(D470,3)="TNT")</formula>
    </cfRule>
    <cfRule type="expression" dxfId="1959" priority="1958" stopIfTrue="1">
      <formula>OR(LEFT(D470,3)="CTU",LEFT(D470,4)="HDON")</formula>
    </cfRule>
    <cfRule type="expression" dxfId="1958" priority="1959" stopIfTrue="1">
      <formula>OR(LEFT(D470,4)="HOLD",OR(A470="QTNP",A470="HOA THO",A470="YES VINA",A470="HUNG YEN",A470="TEX GIANG",A470="HUNG LONG"),LEFT(A470,5)="HANES",LEFT(A470,3)="ITG")</formula>
    </cfRule>
  </conditionalFormatting>
  <conditionalFormatting sqref="D470">
    <cfRule type="expression" dxfId="1957" priority="1954" stopIfTrue="1">
      <formula>OR(LEFT(D470,4)="KHTT",LEFT(D470,5)="10USD",RIGHT(D470,3)="TTC",LEFT(D470,3)="TNT")</formula>
    </cfRule>
    <cfRule type="expression" dxfId="1956" priority="1955" stopIfTrue="1">
      <formula>OR(LEFT(D470,3)="CTU",LEFT(D470,4)="HDON")</formula>
    </cfRule>
    <cfRule type="expression" dxfId="1955" priority="1956" stopIfTrue="1">
      <formula>OR(LEFT(D470,4)="HOLD",OR(A470="QTNP",A470="HOA THO",A470="YES VINA",A470="HUNG YEN",A470="TEX GIANG",A470="HUNG LONG"),LEFT(A470,5)="HANES",LEFT(A470,3)="ITG")</formula>
    </cfRule>
  </conditionalFormatting>
  <conditionalFormatting sqref="D470">
    <cfRule type="expression" dxfId="1954" priority="1951" stopIfTrue="1">
      <formula>OR(LEFT(D470,4)="KHTT",LEFT(D470,5)="10USD",RIGHT(D470,3)="TTC",LEFT(D470,3)="TNT")</formula>
    </cfRule>
    <cfRule type="expression" dxfId="1953" priority="1952" stopIfTrue="1">
      <formula>OR(LEFT(D470,3)="CTU",LEFT(D470,4)="HDON")</formula>
    </cfRule>
    <cfRule type="expression" dxfId="1952" priority="1953" stopIfTrue="1">
      <formula>OR(LEFT(D470,4)="HOLD",OR(A470="QTNP",A470="HOA THO",A470="YES VINA",A470="HUNG YEN",A470="TEX GIANG",A470="HUNG LONG"),LEFT(A470,5)="HANES",LEFT(A470,3)="ITG")</formula>
    </cfRule>
  </conditionalFormatting>
  <conditionalFormatting sqref="D470">
    <cfRule type="expression" dxfId="1951" priority="1948" stopIfTrue="1">
      <formula>OR(LEFT(D470,4)="KHTT",LEFT(D470,5)="10USD",RIGHT(D470,3)="TTC",LEFT(D470,3)="TNT")</formula>
    </cfRule>
    <cfRule type="expression" dxfId="1950" priority="1949" stopIfTrue="1">
      <formula>OR(LEFT(D470,3)="CTU",LEFT(D470,4)="HDON")</formula>
    </cfRule>
    <cfRule type="expression" dxfId="1949" priority="1950" stopIfTrue="1">
      <formula>OR(LEFT(D470,4)="HOLD",OR(A470="QTNP",A470="HOA THO",A470="YES VINA",A470="HUNG YEN",A470="TEX GIANG",A470="HUNG LONG"),LEFT(A470,5)="HANES",LEFT(A470,3)="ITG")</formula>
    </cfRule>
  </conditionalFormatting>
  <conditionalFormatting sqref="D469">
    <cfRule type="expression" dxfId="1948" priority="1945" stopIfTrue="1">
      <formula>OR(LEFT(D469,4)="KHTT",LEFT(D469,5)="10USD",RIGHT(D469,3)="TTC",LEFT(D469,3)="TNT")</formula>
    </cfRule>
    <cfRule type="expression" dxfId="1947" priority="1946" stopIfTrue="1">
      <formula>OR(LEFT(D469,3)="CTU",LEFT(D469,4)="HDON")</formula>
    </cfRule>
    <cfRule type="expression" dxfId="1946" priority="1947" stopIfTrue="1">
      <formula>OR(LEFT(D469,4)="HOLD",OR(A469="QTNP",A469="HOA THO",A469="YES VINA",A469="HUNG YEN",A469="TEX GIANG",A469="HUNG LONG"),LEFT(A469,5)="HANES",LEFT(A469,3)="ITG")</formula>
    </cfRule>
  </conditionalFormatting>
  <conditionalFormatting sqref="D469">
    <cfRule type="expression" dxfId="1945" priority="1942" stopIfTrue="1">
      <formula>OR(LEFT(D469,4)="KHTT",LEFT(D469,5)="10USD",RIGHT(D469,3)="TTC",LEFT(D469,3)="TNT")</formula>
    </cfRule>
    <cfRule type="expression" dxfId="1944" priority="1943" stopIfTrue="1">
      <formula>OR(LEFT(D469,3)="CTU",LEFT(D469,4)="HDON")</formula>
    </cfRule>
    <cfRule type="expression" dxfId="1943" priority="1944" stopIfTrue="1">
      <formula>OR(LEFT(D469,4)="HOLD",OR(A469="QTNP",A469="HOA THO",A469="YES VINA",A469="HUNG YEN",A469="TEX GIANG",A469="HUNG LONG"),LEFT(A469,5)="HANES",LEFT(A469,3)="ITG")</formula>
    </cfRule>
  </conditionalFormatting>
  <conditionalFormatting sqref="D470">
    <cfRule type="expression" dxfId="1942" priority="1939" stopIfTrue="1">
      <formula>OR(LEFT(D470,4)="KHTT",LEFT(D470,5)="10USD",RIGHT(D470,3)="TTC",LEFT(D470,3)="TNT")</formula>
    </cfRule>
    <cfRule type="expression" dxfId="1941" priority="1940" stopIfTrue="1">
      <formula>OR(LEFT(D470,3)="CTU",LEFT(D470,4)="HDON")</formula>
    </cfRule>
    <cfRule type="expression" dxfId="1940" priority="1941" stopIfTrue="1">
      <formula>OR(LEFT(D470,4)="HOLD",OR(A470="QTNP",A470="HOA THO",A470="YES VINA",A470="HUNG YEN",A470="TEX GIANG",A470="HUNG LONG"),LEFT(A470,5)="HANES",LEFT(A470,3)="ITG")</formula>
    </cfRule>
  </conditionalFormatting>
  <conditionalFormatting sqref="D470">
    <cfRule type="expression" dxfId="1939" priority="1936" stopIfTrue="1">
      <formula>OR(LEFT(D470,4)="KHTT",LEFT(D470,5)="10USD",RIGHT(D470,3)="TTC",LEFT(D470,3)="TNT")</formula>
    </cfRule>
    <cfRule type="expression" dxfId="1938" priority="1937" stopIfTrue="1">
      <formula>OR(LEFT(D470,3)="CTU",LEFT(D470,4)="HDON")</formula>
    </cfRule>
    <cfRule type="expression" dxfId="1937" priority="1938" stopIfTrue="1">
      <formula>OR(LEFT(D470,4)="HOLD",OR(A470="QTNP",A470="HOA THO",A470="YES VINA",A470="HUNG YEN",A470="TEX GIANG",A470="HUNG LONG"),LEFT(A470,5)="HANES",LEFT(A470,3)="ITG")</formula>
    </cfRule>
  </conditionalFormatting>
  <conditionalFormatting sqref="D470">
    <cfRule type="expression" dxfId="1936" priority="1933" stopIfTrue="1">
      <formula>OR(LEFT(D470,4)="KHTT",LEFT(D470,5)="10USD",RIGHT(D470,3)="TTC",LEFT(D470,3)="TNT")</formula>
    </cfRule>
    <cfRule type="expression" dxfId="1935" priority="1934" stopIfTrue="1">
      <formula>OR(LEFT(D470,3)="CTU",LEFT(D470,4)="HDON")</formula>
    </cfRule>
    <cfRule type="expression" dxfId="1934" priority="1935" stopIfTrue="1">
      <formula>OR(LEFT(D470,4)="HOLD",OR(A470="QTNP",A470="HOA THO",A470="YES VINA",A470="HUNG YEN",A470="TEX GIANG",A470="HUNG LONG"),LEFT(A470,5)="HANES",LEFT(A470,3)="ITG")</formula>
    </cfRule>
  </conditionalFormatting>
  <conditionalFormatting sqref="D470">
    <cfRule type="expression" dxfId="1933" priority="1930" stopIfTrue="1">
      <formula>OR(LEFT(D470,4)="KHTT",LEFT(D470,5)="10USD",RIGHT(D470,3)="TTC",LEFT(D470,3)="TNT")</formula>
    </cfRule>
    <cfRule type="expression" dxfId="1932" priority="1931" stopIfTrue="1">
      <formula>OR(LEFT(D470,3)="CTU",LEFT(D470,4)="HDON")</formula>
    </cfRule>
    <cfRule type="expression" dxfId="1931" priority="1932" stopIfTrue="1">
      <formula>OR(LEFT(D470,4)="HOLD",OR(A470="QTNP",A470="HOA THO",A470="YES VINA",A470="HUNG YEN",A470="TEX GIANG",A470="HUNG LONG"),LEFT(A470,5)="HANES",LEFT(A470,3)="ITG")</formula>
    </cfRule>
  </conditionalFormatting>
  <conditionalFormatting sqref="D469">
    <cfRule type="expression" dxfId="1930" priority="1927" stopIfTrue="1">
      <formula>OR(LEFT(D469,4)="KHTT",LEFT(D469,5)="10USD",RIGHT(D469,3)="TTC",LEFT(D469,3)="TNT")</formula>
    </cfRule>
    <cfRule type="expression" dxfId="1929" priority="1928" stopIfTrue="1">
      <formula>OR(LEFT(D469,3)="CTU",LEFT(D469,4)="HDON")</formula>
    </cfRule>
    <cfRule type="expression" dxfId="1928" priority="1929" stopIfTrue="1">
      <formula>OR(LEFT(D469,4)="HOLD",OR(A469="QTNP",A469="HOA THO",A469="YES VINA",A469="HUNG YEN",A469="TEX GIANG",A469="HUNG LONG"),LEFT(A469,5)="HANES",LEFT(A469,3)="ITG")</formula>
    </cfRule>
  </conditionalFormatting>
  <conditionalFormatting sqref="D469">
    <cfRule type="expression" dxfId="1927" priority="1924" stopIfTrue="1">
      <formula>OR(LEFT(D469,4)="KHTT",LEFT(D469,5)="10USD",RIGHT(D469,3)="TTC",LEFT(D469,3)="TNT")</formula>
    </cfRule>
    <cfRule type="expression" dxfId="1926" priority="1925" stopIfTrue="1">
      <formula>OR(LEFT(D469,3)="CTU",LEFT(D469,4)="HDON")</formula>
    </cfRule>
    <cfRule type="expression" dxfId="1925" priority="1926" stopIfTrue="1">
      <formula>OR(LEFT(D469,4)="HOLD",OR(A469="QTNP",A469="HOA THO",A469="YES VINA",A469="HUNG YEN",A469="TEX GIANG",A469="HUNG LONG"),LEFT(A469,5)="HANES",LEFT(A469,3)="ITG")</formula>
    </cfRule>
  </conditionalFormatting>
  <conditionalFormatting sqref="D470">
    <cfRule type="expression" dxfId="1924" priority="1921" stopIfTrue="1">
      <formula>OR(LEFT(D470,4)="KHTT",LEFT(D470,5)="10USD",RIGHT(D470,3)="TTC",LEFT(D470,3)="TNT")</formula>
    </cfRule>
    <cfRule type="expression" dxfId="1923" priority="1922" stopIfTrue="1">
      <formula>OR(LEFT(D470,3)="CTU",LEFT(D470,4)="HDON")</formula>
    </cfRule>
    <cfRule type="expression" dxfId="1922" priority="1923" stopIfTrue="1">
      <formula>OR(LEFT(D470,4)="HOLD",OR(A470="QTNP",A470="HOA THO",A470="YES VINA",A470="HUNG YEN",A470="TEX GIANG",A470="HUNG LONG"),LEFT(A470,5)="HANES",LEFT(A470,3)="ITG")</formula>
    </cfRule>
  </conditionalFormatting>
  <conditionalFormatting sqref="D470">
    <cfRule type="expression" dxfId="1921" priority="1918" stopIfTrue="1">
      <formula>OR(LEFT(D470,4)="KHTT",LEFT(D470,5)="10USD",RIGHT(D470,3)="TTC",LEFT(D470,3)="TNT")</formula>
    </cfRule>
    <cfRule type="expression" dxfId="1920" priority="1919" stopIfTrue="1">
      <formula>OR(LEFT(D470,3)="CTU",LEFT(D470,4)="HDON")</formula>
    </cfRule>
    <cfRule type="expression" dxfId="1919" priority="1920" stopIfTrue="1">
      <formula>OR(LEFT(D470,4)="HOLD",OR(A470="QTNP",A470="HOA THO",A470="YES VINA",A470="HUNG YEN",A470="TEX GIANG",A470="HUNG LONG"),LEFT(A470,5)="HANES",LEFT(A470,3)="ITG")</formula>
    </cfRule>
  </conditionalFormatting>
  <conditionalFormatting sqref="D470">
    <cfRule type="expression" dxfId="1918" priority="1915" stopIfTrue="1">
      <formula>OR(LEFT(D470,4)="KHTT",LEFT(D470,5)="10USD",RIGHT(D470,3)="TTC",LEFT(D470,3)="TNT")</formula>
    </cfRule>
    <cfRule type="expression" dxfId="1917" priority="1916" stopIfTrue="1">
      <formula>OR(LEFT(D470,3)="CTU",LEFT(D470,4)="HDON")</formula>
    </cfRule>
    <cfRule type="expression" dxfId="1916" priority="1917" stopIfTrue="1">
      <formula>OR(LEFT(D470,4)="HOLD",OR(A470="QTNP",A470="HOA THO",A470="YES VINA",A470="HUNG YEN",A470="TEX GIANG",A470="HUNG LONG"),LEFT(A470,5)="HANES",LEFT(A470,3)="ITG")</formula>
    </cfRule>
  </conditionalFormatting>
  <conditionalFormatting sqref="D470">
    <cfRule type="expression" dxfId="1915" priority="1912" stopIfTrue="1">
      <formula>OR(LEFT(D470,4)="KHTT",LEFT(D470,5)="10USD",RIGHT(D470,3)="TTC",LEFT(D470,3)="TNT")</formula>
    </cfRule>
    <cfRule type="expression" dxfId="1914" priority="1913" stopIfTrue="1">
      <formula>OR(LEFT(D470,3)="CTU",LEFT(D470,4)="HDON")</formula>
    </cfRule>
    <cfRule type="expression" dxfId="1913" priority="1914" stopIfTrue="1">
      <formula>OR(LEFT(D470,4)="HOLD",OR(A470="QTNP",A470="HOA THO",A470="YES VINA",A470="HUNG YEN",A470="TEX GIANG",A470="HUNG LONG"),LEFT(A470,5)="HANES",LEFT(A470,3)="ITG")</formula>
    </cfRule>
  </conditionalFormatting>
  <conditionalFormatting sqref="D469">
    <cfRule type="expression" dxfId="1912" priority="1909" stopIfTrue="1">
      <formula>OR(LEFT(D469,4)="KHTT",LEFT(D469,5)="10USD",RIGHT(D469,3)="TTC",LEFT(D469,3)="TNT")</formula>
    </cfRule>
    <cfRule type="expression" dxfId="1911" priority="1910" stopIfTrue="1">
      <formula>OR(LEFT(D469,3)="CTU",LEFT(D469,4)="HDON")</formula>
    </cfRule>
    <cfRule type="expression" dxfId="1910" priority="1911" stopIfTrue="1">
      <formula>OR(LEFT(D469,4)="HOLD",OR(A469="QTNP",A469="HOA THO",A469="YES VINA",A469="HUNG YEN",A469="TEX GIANG",A469="HUNG LONG"),LEFT(A469,5)="HANES",LEFT(A469,3)="ITG")</formula>
    </cfRule>
  </conditionalFormatting>
  <conditionalFormatting sqref="D469">
    <cfRule type="expression" dxfId="1909" priority="1906" stopIfTrue="1">
      <formula>OR(LEFT(D469,4)="KHTT",LEFT(D469,5)="10USD",RIGHT(D469,3)="TTC",LEFT(D469,3)="TNT")</formula>
    </cfRule>
    <cfRule type="expression" dxfId="1908" priority="1907" stopIfTrue="1">
      <formula>OR(LEFT(D469,3)="CTU",LEFT(D469,4)="HDON")</formula>
    </cfRule>
    <cfRule type="expression" dxfId="1907" priority="1908" stopIfTrue="1">
      <formula>OR(LEFT(D469,4)="HOLD",OR(A469="QTNP",A469="HOA THO",A469="YES VINA",A469="HUNG YEN",A469="TEX GIANG",A469="HUNG LONG"),LEFT(A469,5)="HANES",LEFT(A469,3)="ITG")</formula>
    </cfRule>
  </conditionalFormatting>
  <conditionalFormatting sqref="D470">
    <cfRule type="expression" dxfId="1906" priority="1903" stopIfTrue="1">
      <formula>OR(LEFT(D470,4)="KHTT",LEFT(D470,5)="10USD",RIGHT(D470,3)="TTC",LEFT(D470,3)="TNT")</formula>
    </cfRule>
    <cfRule type="expression" dxfId="1905" priority="1904" stopIfTrue="1">
      <formula>OR(LEFT(D470,3)="CTU",LEFT(D470,4)="HDON")</formula>
    </cfRule>
    <cfRule type="expression" dxfId="1904" priority="1905" stopIfTrue="1">
      <formula>OR(LEFT(D470,4)="HOLD",OR(A470="QTNP",A470="HOA THO",A470="YES VINA",A470="HUNG YEN",A470="TEX GIANG",A470="HUNG LONG"),LEFT(A470,5)="HANES",LEFT(A470,3)="ITG")</formula>
    </cfRule>
  </conditionalFormatting>
  <conditionalFormatting sqref="D470">
    <cfRule type="expression" dxfId="1903" priority="1900" stopIfTrue="1">
      <formula>OR(LEFT(D470,4)="KHTT",LEFT(D470,5)="10USD",RIGHT(D470,3)="TTC",LEFT(D470,3)="TNT")</formula>
    </cfRule>
    <cfRule type="expression" dxfId="1902" priority="1901" stopIfTrue="1">
      <formula>OR(LEFT(D470,3)="CTU",LEFT(D470,4)="HDON")</formula>
    </cfRule>
    <cfRule type="expression" dxfId="1901" priority="1902" stopIfTrue="1">
      <formula>OR(LEFT(D470,4)="HOLD",OR(A470="QTNP",A470="HOA THO",A470="YES VINA",A470="HUNG YEN",A470="TEX GIANG",A470="HUNG LONG"),LEFT(A470,5)="HANES",LEFT(A470,3)="ITG")</formula>
    </cfRule>
  </conditionalFormatting>
  <conditionalFormatting sqref="D470">
    <cfRule type="expression" dxfId="1900" priority="1897" stopIfTrue="1">
      <formula>OR(LEFT(D470,4)="KHTT",LEFT(D470,5)="10USD",RIGHT(D470,3)="TTC",LEFT(D470,3)="TNT")</formula>
    </cfRule>
    <cfRule type="expression" dxfId="1899" priority="1898" stopIfTrue="1">
      <formula>OR(LEFT(D470,3)="CTU",LEFT(D470,4)="HDON")</formula>
    </cfRule>
    <cfRule type="expression" dxfId="1898" priority="1899" stopIfTrue="1">
      <formula>OR(LEFT(D470,4)="HOLD",OR(A470="QTNP",A470="HOA THO",A470="YES VINA",A470="HUNG YEN",A470="TEX GIANG",A470="HUNG LONG"),LEFT(A470,5)="HANES",LEFT(A470,3)="ITG")</formula>
    </cfRule>
  </conditionalFormatting>
  <conditionalFormatting sqref="D470">
    <cfRule type="expression" dxfId="1897" priority="1894" stopIfTrue="1">
      <formula>OR(LEFT(D470,4)="KHTT",LEFT(D470,5)="10USD",RIGHT(D470,3)="TTC",LEFT(D470,3)="TNT")</formula>
    </cfRule>
    <cfRule type="expression" dxfId="1896" priority="1895" stopIfTrue="1">
      <formula>OR(LEFT(D470,3)="CTU",LEFT(D470,4)="HDON")</formula>
    </cfRule>
    <cfRule type="expression" dxfId="1895" priority="1896" stopIfTrue="1">
      <formula>OR(LEFT(D470,4)="HOLD",OR(A470="QTNP",A470="HOA THO",A470="YES VINA",A470="HUNG YEN",A470="TEX GIANG",A470="HUNG LONG"),LEFT(A470,5)="HANES",LEFT(A470,3)="ITG")</formula>
    </cfRule>
  </conditionalFormatting>
  <conditionalFormatting sqref="D469">
    <cfRule type="expression" dxfId="1894" priority="1891" stopIfTrue="1">
      <formula>OR(LEFT(D469,4)="KHTT",LEFT(D469,5)="10USD",RIGHT(D469,3)="TTC",LEFT(D469,3)="TNT")</formula>
    </cfRule>
    <cfRule type="expression" dxfId="1893" priority="1892" stopIfTrue="1">
      <formula>OR(LEFT(D469,3)="CTU",LEFT(D469,4)="HDON")</formula>
    </cfRule>
    <cfRule type="expression" dxfId="1892" priority="1893" stopIfTrue="1">
      <formula>OR(LEFT(D469,4)="HOLD",OR(A469="QTNP",A469="HOA THO",A469="YES VINA",A469="HUNG YEN",A469="TEX GIANG",A469="HUNG LONG"),LEFT(A469,5)="HANES",LEFT(A469,3)="ITG")</formula>
    </cfRule>
  </conditionalFormatting>
  <conditionalFormatting sqref="D469">
    <cfRule type="expression" dxfId="1891" priority="1888" stopIfTrue="1">
      <formula>OR(LEFT(D469,4)="KHTT",LEFT(D469,5)="10USD",RIGHT(D469,3)="TTC",LEFT(D469,3)="TNT")</formula>
    </cfRule>
    <cfRule type="expression" dxfId="1890" priority="1889" stopIfTrue="1">
      <formula>OR(LEFT(D469,3)="CTU",LEFT(D469,4)="HDON")</formula>
    </cfRule>
    <cfRule type="expression" dxfId="1889" priority="1890" stopIfTrue="1">
      <formula>OR(LEFT(D469,4)="HOLD",OR(A469="QTNP",A469="HOA THO",A469="YES VINA",A469="HUNG YEN",A469="TEX GIANG",A469="HUNG LONG"),LEFT(A469,5)="HANES",LEFT(A469,3)="ITG")</formula>
    </cfRule>
  </conditionalFormatting>
  <conditionalFormatting sqref="D470">
    <cfRule type="expression" dxfId="1888" priority="1885" stopIfTrue="1">
      <formula>OR(LEFT(D470,4)="KHTT",LEFT(D470,5)="10USD",RIGHT(D470,3)="TTC",LEFT(D470,3)="TNT")</formula>
    </cfRule>
    <cfRule type="expression" dxfId="1887" priority="1886" stopIfTrue="1">
      <formula>OR(LEFT(D470,3)="CTU",LEFT(D470,4)="HDON")</formula>
    </cfRule>
    <cfRule type="expression" dxfId="1886" priority="1887" stopIfTrue="1">
      <formula>OR(LEFT(D470,4)="HOLD",OR(A470="QTNP",A470="HOA THO",A470="YES VINA",A470="HUNG YEN",A470="TEX GIANG",A470="HUNG LONG"),LEFT(A470,5)="HANES",LEFT(A470,3)="ITG")</formula>
    </cfRule>
  </conditionalFormatting>
  <conditionalFormatting sqref="D470">
    <cfRule type="expression" dxfId="1885" priority="1882" stopIfTrue="1">
      <formula>OR(LEFT(D470,4)="KHTT",LEFT(D470,5)="10USD",RIGHT(D470,3)="TTC",LEFT(D470,3)="TNT")</formula>
    </cfRule>
    <cfRule type="expression" dxfId="1884" priority="1883" stopIfTrue="1">
      <formula>OR(LEFT(D470,3)="CTU",LEFT(D470,4)="HDON")</formula>
    </cfRule>
    <cfRule type="expression" dxfId="1883" priority="1884" stopIfTrue="1">
      <formula>OR(LEFT(D470,4)="HOLD",OR(A470="QTNP",A470="HOA THO",A470="YES VINA",A470="HUNG YEN",A470="TEX GIANG",A470="HUNG LONG"),LEFT(A470,5)="HANES",LEFT(A470,3)="ITG")</formula>
    </cfRule>
  </conditionalFormatting>
  <conditionalFormatting sqref="D470">
    <cfRule type="expression" dxfId="1882" priority="1879" stopIfTrue="1">
      <formula>OR(LEFT(D470,4)="KHTT",LEFT(D470,5)="10USD",RIGHT(D470,3)="TTC",LEFT(D470,3)="TNT")</formula>
    </cfRule>
    <cfRule type="expression" dxfId="1881" priority="1880" stopIfTrue="1">
      <formula>OR(LEFT(D470,3)="CTU",LEFT(D470,4)="HDON")</formula>
    </cfRule>
    <cfRule type="expression" dxfId="1880" priority="1881" stopIfTrue="1">
      <formula>OR(LEFT(D470,4)="HOLD",OR(A470="QTNP",A470="HOA THO",A470="YES VINA",A470="HUNG YEN",A470="TEX GIANG",A470="HUNG LONG"),LEFT(A470,5)="HANES",LEFT(A470,3)="ITG")</formula>
    </cfRule>
  </conditionalFormatting>
  <conditionalFormatting sqref="D470">
    <cfRule type="expression" dxfId="1879" priority="1876" stopIfTrue="1">
      <formula>OR(LEFT(D470,4)="KHTT",LEFT(D470,5)="10USD",RIGHT(D470,3)="TTC",LEFT(D470,3)="TNT")</formula>
    </cfRule>
    <cfRule type="expression" dxfId="1878" priority="1877" stopIfTrue="1">
      <formula>OR(LEFT(D470,3)="CTU",LEFT(D470,4)="HDON")</formula>
    </cfRule>
    <cfRule type="expression" dxfId="1877" priority="1878" stopIfTrue="1">
      <formula>OR(LEFT(D470,4)="HOLD",OR(A470="QTNP",A470="HOA THO",A470="YES VINA",A470="HUNG YEN",A470="TEX GIANG",A470="HUNG LONG"),LEFT(A470,5)="HANES",LEFT(A470,3)="ITG")</formula>
    </cfRule>
  </conditionalFormatting>
  <conditionalFormatting sqref="D469">
    <cfRule type="expression" dxfId="1876" priority="1873" stopIfTrue="1">
      <formula>OR(LEFT(D469,4)="KHTT",LEFT(D469,5)="10USD",RIGHT(D469,3)="TTC",LEFT(D469,3)="TNT")</formula>
    </cfRule>
    <cfRule type="expression" dxfId="1875" priority="1874" stopIfTrue="1">
      <formula>OR(LEFT(D469,3)="CTU",LEFT(D469,4)="HDON")</formula>
    </cfRule>
    <cfRule type="expression" dxfId="1874" priority="1875" stopIfTrue="1">
      <formula>OR(LEFT(D469,4)="HOLD",OR(A469="QTNP",A469="HOA THO",A469="YES VINA",A469="HUNG YEN",A469="TEX GIANG",A469="HUNG LONG"),LEFT(A469,5)="HANES",LEFT(A469,3)="ITG")</formula>
    </cfRule>
  </conditionalFormatting>
  <conditionalFormatting sqref="D469">
    <cfRule type="expression" dxfId="1873" priority="1870" stopIfTrue="1">
      <formula>OR(LEFT(D469,4)="KHTT",LEFT(D469,5)="10USD",RIGHT(D469,3)="TTC",LEFT(D469,3)="TNT")</formula>
    </cfRule>
    <cfRule type="expression" dxfId="1872" priority="1871" stopIfTrue="1">
      <formula>OR(LEFT(D469,3)="CTU",LEFT(D469,4)="HDON")</formula>
    </cfRule>
    <cfRule type="expression" dxfId="1871" priority="1872" stopIfTrue="1">
      <formula>OR(LEFT(D469,4)="HOLD",OR(A469="QTNP",A469="HOA THO",A469="YES VINA",A469="HUNG YEN",A469="TEX GIANG",A469="HUNG LONG"),LEFT(A469,5)="HANES",LEFT(A469,3)="ITG")</formula>
    </cfRule>
  </conditionalFormatting>
  <conditionalFormatting sqref="D470">
    <cfRule type="expression" dxfId="1870" priority="1867" stopIfTrue="1">
      <formula>OR(LEFT(D470,4)="KHTT",LEFT(D470,5)="10USD",RIGHT(D470,3)="TTC",LEFT(D470,3)="TNT")</formula>
    </cfRule>
    <cfRule type="expression" dxfId="1869" priority="1868" stopIfTrue="1">
      <formula>OR(LEFT(D470,3)="CTU",LEFT(D470,4)="HDON")</formula>
    </cfRule>
    <cfRule type="expression" dxfId="1868" priority="1869" stopIfTrue="1">
      <formula>OR(LEFT(D470,4)="HOLD",OR(A470="QTNP",A470="HOA THO",A470="YES VINA",A470="HUNG YEN",A470="TEX GIANG",A470="HUNG LONG"),LEFT(A470,5)="HANES",LEFT(A470,3)="ITG")</formula>
    </cfRule>
  </conditionalFormatting>
  <conditionalFormatting sqref="D470">
    <cfRule type="expression" dxfId="1867" priority="1864" stopIfTrue="1">
      <formula>OR(LEFT(D470,4)="KHTT",LEFT(D470,5)="10USD",RIGHT(D470,3)="TTC",LEFT(D470,3)="TNT")</formula>
    </cfRule>
    <cfRule type="expression" dxfId="1866" priority="1865" stopIfTrue="1">
      <formula>OR(LEFT(D470,3)="CTU",LEFT(D470,4)="HDON")</formula>
    </cfRule>
    <cfRule type="expression" dxfId="1865" priority="1866" stopIfTrue="1">
      <formula>OR(LEFT(D470,4)="HOLD",OR(A470="QTNP",A470="HOA THO",A470="YES VINA",A470="HUNG YEN",A470="TEX GIANG",A470="HUNG LONG"),LEFT(A470,5)="HANES",LEFT(A470,3)="ITG")</formula>
    </cfRule>
  </conditionalFormatting>
  <conditionalFormatting sqref="D470">
    <cfRule type="expression" dxfId="1864" priority="1861" stopIfTrue="1">
      <formula>OR(LEFT(D470,4)="KHTT",LEFT(D470,5)="10USD",RIGHT(D470,3)="TTC",LEFT(D470,3)="TNT")</formula>
    </cfRule>
    <cfRule type="expression" dxfId="1863" priority="1862" stopIfTrue="1">
      <formula>OR(LEFT(D470,3)="CTU",LEFT(D470,4)="HDON")</formula>
    </cfRule>
    <cfRule type="expression" dxfId="1862" priority="1863" stopIfTrue="1">
      <formula>OR(LEFT(D470,4)="HOLD",OR(A470="QTNP",A470="HOA THO",A470="YES VINA",A470="HUNG YEN",A470="TEX GIANG",A470="HUNG LONG"),LEFT(A470,5)="HANES",LEFT(A470,3)="ITG")</formula>
    </cfRule>
  </conditionalFormatting>
  <conditionalFormatting sqref="D470">
    <cfRule type="expression" dxfId="1861" priority="1858" stopIfTrue="1">
      <formula>OR(LEFT(D470,4)="KHTT",LEFT(D470,5)="10USD",RIGHT(D470,3)="TTC",LEFT(D470,3)="TNT")</formula>
    </cfRule>
    <cfRule type="expression" dxfId="1860" priority="1859" stopIfTrue="1">
      <formula>OR(LEFT(D470,3)="CTU",LEFT(D470,4)="HDON")</formula>
    </cfRule>
    <cfRule type="expression" dxfId="1859" priority="1860" stopIfTrue="1">
      <formula>OR(LEFT(D470,4)="HOLD",OR(A470="QTNP",A470="HOA THO",A470="YES VINA",A470="HUNG YEN",A470="TEX GIANG",A470="HUNG LONG"),LEFT(A470,5)="HANES",LEFT(A470,3)="ITG")</formula>
    </cfRule>
  </conditionalFormatting>
  <conditionalFormatting sqref="D469">
    <cfRule type="expression" dxfId="1858" priority="1855" stopIfTrue="1">
      <formula>OR(LEFT(D469,4)="KHTT",LEFT(D469,5)="10USD",RIGHT(D469,3)="TTC",LEFT(D469,3)="TNT")</formula>
    </cfRule>
    <cfRule type="expression" dxfId="1857" priority="1856" stopIfTrue="1">
      <formula>OR(LEFT(D469,3)="CTU",LEFT(D469,4)="HDON")</formula>
    </cfRule>
    <cfRule type="expression" dxfId="1856" priority="1857" stopIfTrue="1">
      <formula>OR(LEFT(D469,4)="HOLD",OR(A469="QTNP",A469="HOA THO",A469="YES VINA",A469="HUNG YEN",A469="TEX GIANG",A469="HUNG LONG"),LEFT(A469,5)="HANES",LEFT(A469,3)="ITG")</formula>
    </cfRule>
  </conditionalFormatting>
  <conditionalFormatting sqref="D469">
    <cfRule type="expression" dxfId="1855" priority="1852" stopIfTrue="1">
      <formula>OR(LEFT(D469,4)="KHTT",LEFT(D469,5)="10USD",RIGHT(D469,3)="TTC",LEFT(D469,3)="TNT")</formula>
    </cfRule>
    <cfRule type="expression" dxfId="1854" priority="1853" stopIfTrue="1">
      <formula>OR(LEFT(D469,3)="CTU",LEFT(D469,4)="HDON")</formula>
    </cfRule>
    <cfRule type="expression" dxfId="1853" priority="1854" stopIfTrue="1">
      <formula>OR(LEFT(D469,4)="HOLD",OR(A469="QTNP",A469="HOA THO",A469="YES VINA",A469="HUNG YEN",A469="TEX GIANG",A469="HUNG LONG"),LEFT(A469,5)="HANES",LEFT(A469,3)="ITG")</formula>
    </cfRule>
  </conditionalFormatting>
  <conditionalFormatting sqref="D470">
    <cfRule type="expression" dxfId="1852" priority="1849" stopIfTrue="1">
      <formula>OR(LEFT(D470,4)="KHTT",LEFT(D470,5)="10USD",RIGHT(D470,3)="TTC",LEFT(D470,3)="TNT")</formula>
    </cfRule>
    <cfRule type="expression" dxfId="1851" priority="1850" stopIfTrue="1">
      <formula>OR(LEFT(D470,3)="CTU",LEFT(D470,4)="HDON")</formula>
    </cfRule>
    <cfRule type="expression" dxfId="1850" priority="1851" stopIfTrue="1">
      <formula>OR(LEFT(D470,4)="HOLD",OR(A470="QTNP",A470="HOA THO",A470="YES VINA",A470="HUNG YEN",A470="TEX GIANG",A470="HUNG LONG"),LEFT(A470,5)="HANES",LEFT(A470,3)="ITG")</formula>
    </cfRule>
  </conditionalFormatting>
  <conditionalFormatting sqref="D470">
    <cfRule type="expression" dxfId="1849" priority="1846" stopIfTrue="1">
      <formula>OR(LEFT(D470,4)="KHTT",LEFT(D470,5)="10USD",RIGHT(D470,3)="TTC",LEFT(D470,3)="TNT")</formula>
    </cfRule>
    <cfRule type="expression" dxfId="1848" priority="1847" stopIfTrue="1">
      <formula>OR(LEFT(D470,3)="CTU",LEFT(D470,4)="HDON")</formula>
    </cfRule>
    <cfRule type="expression" dxfId="1847" priority="1848" stopIfTrue="1">
      <formula>OR(LEFT(D470,4)="HOLD",OR(A470="QTNP",A470="HOA THO",A470="YES VINA",A470="HUNG YEN",A470="TEX GIANG",A470="HUNG LONG"),LEFT(A470,5)="HANES",LEFT(A470,3)="ITG")</formula>
    </cfRule>
  </conditionalFormatting>
  <conditionalFormatting sqref="D470">
    <cfRule type="expression" dxfId="1846" priority="1843" stopIfTrue="1">
      <formula>OR(LEFT(D470,4)="KHTT",LEFT(D470,5)="10USD",RIGHT(D470,3)="TTC",LEFT(D470,3)="TNT")</formula>
    </cfRule>
    <cfRule type="expression" dxfId="1845" priority="1844" stopIfTrue="1">
      <formula>OR(LEFT(D470,3)="CTU",LEFT(D470,4)="HDON")</formula>
    </cfRule>
    <cfRule type="expression" dxfId="1844" priority="1845" stopIfTrue="1">
      <formula>OR(LEFT(D470,4)="HOLD",OR(A470="QTNP",A470="HOA THO",A470="YES VINA",A470="HUNG YEN",A470="TEX GIANG",A470="HUNG LONG"),LEFT(A470,5)="HANES",LEFT(A470,3)="ITG")</formula>
    </cfRule>
  </conditionalFormatting>
  <conditionalFormatting sqref="D470">
    <cfRule type="expression" dxfId="1843" priority="1840" stopIfTrue="1">
      <formula>OR(LEFT(D470,4)="KHTT",LEFT(D470,5)="10USD",RIGHT(D470,3)="TTC",LEFT(D470,3)="TNT")</formula>
    </cfRule>
    <cfRule type="expression" dxfId="1842" priority="1841" stopIfTrue="1">
      <formula>OR(LEFT(D470,3)="CTU",LEFT(D470,4)="HDON")</formula>
    </cfRule>
    <cfRule type="expression" dxfId="1841" priority="1842" stopIfTrue="1">
      <formula>OR(LEFT(D470,4)="HOLD",OR(A470="QTNP",A470="HOA THO",A470="YES VINA",A470="HUNG YEN",A470="TEX GIANG",A470="HUNG LONG"),LEFT(A470,5)="HANES",LEFT(A470,3)="ITG")</formula>
    </cfRule>
  </conditionalFormatting>
  <conditionalFormatting sqref="D469">
    <cfRule type="expression" dxfId="1840" priority="1837" stopIfTrue="1">
      <formula>OR(LEFT(D469,4)="KHTT",LEFT(D469,5)="10USD",RIGHT(D469,3)="TTC",LEFT(D469,3)="TNT")</formula>
    </cfRule>
    <cfRule type="expression" dxfId="1839" priority="1838" stopIfTrue="1">
      <formula>OR(LEFT(D469,3)="CTU",LEFT(D469,4)="HDON")</formula>
    </cfRule>
    <cfRule type="expression" dxfId="1838" priority="1839" stopIfTrue="1">
      <formula>OR(LEFT(D469,4)="HOLD",OR(A469="QTNP",A469="HOA THO",A469="YES VINA",A469="HUNG YEN",A469="TEX GIANG",A469="HUNG LONG"),LEFT(A469,5)="HANES",LEFT(A469,3)="ITG")</formula>
    </cfRule>
  </conditionalFormatting>
  <conditionalFormatting sqref="D469">
    <cfRule type="expression" dxfId="1837" priority="1834" stopIfTrue="1">
      <formula>OR(LEFT(D469,4)="KHTT",LEFT(D469,5)="10USD",RIGHT(D469,3)="TTC",LEFT(D469,3)="TNT")</formula>
    </cfRule>
    <cfRule type="expression" dxfId="1836" priority="1835" stopIfTrue="1">
      <formula>OR(LEFT(D469,3)="CTU",LEFT(D469,4)="HDON")</formula>
    </cfRule>
    <cfRule type="expression" dxfId="1835" priority="1836" stopIfTrue="1">
      <formula>OR(LEFT(D469,4)="HOLD",OR(A469="QTNP",A469="HOA THO",A469="YES VINA",A469="HUNG YEN",A469="TEX GIANG",A469="HUNG LONG"),LEFT(A469,5)="HANES",LEFT(A469,3)="ITG")</formula>
    </cfRule>
  </conditionalFormatting>
  <conditionalFormatting sqref="D470">
    <cfRule type="expression" dxfId="1834" priority="1831" stopIfTrue="1">
      <formula>OR(LEFT(D470,4)="KHTT",LEFT(D470,5)="10USD",RIGHT(D470,3)="TTC",LEFT(D470,3)="TNT")</formula>
    </cfRule>
    <cfRule type="expression" dxfId="1833" priority="1832" stopIfTrue="1">
      <formula>OR(LEFT(D470,3)="CTU",LEFT(D470,4)="HDON")</formula>
    </cfRule>
    <cfRule type="expression" dxfId="1832" priority="1833" stopIfTrue="1">
      <formula>OR(LEFT(D470,4)="HOLD",OR(A470="QTNP",A470="HOA THO",A470="YES VINA",A470="HUNG YEN",A470="TEX GIANG",A470="HUNG LONG"),LEFT(A470,5)="HANES",LEFT(A470,3)="ITG")</formula>
    </cfRule>
  </conditionalFormatting>
  <conditionalFormatting sqref="D470">
    <cfRule type="expression" dxfId="1831" priority="1828" stopIfTrue="1">
      <formula>OR(LEFT(D470,4)="KHTT",LEFT(D470,5)="10USD",RIGHT(D470,3)="TTC",LEFT(D470,3)="TNT")</formula>
    </cfRule>
    <cfRule type="expression" dxfId="1830" priority="1829" stopIfTrue="1">
      <formula>OR(LEFT(D470,3)="CTU",LEFT(D470,4)="HDON")</formula>
    </cfRule>
    <cfRule type="expression" dxfId="1829" priority="1830" stopIfTrue="1">
      <formula>OR(LEFT(D470,4)="HOLD",OR(A470="QTNP",A470="HOA THO",A470="YES VINA",A470="HUNG YEN",A470="TEX GIANG",A470="HUNG LONG"),LEFT(A470,5)="HANES",LEFT(A470,3)="ITG")</formula>
    </cfRule>
  </conditionalFormatting>
  <conditionalFormatting sqref="D470">
    <cfRule type="expression" dxfId="1828" priority="1825" stopIfTrue="1">
      <formula>OR(LEFT(D470,4)="KHTT",LEFT(D470,5)="10USD",RIGHT(D470,3)="TTC",LEFT(D470,3)="TNT")</formula>
    </cfRule>
    <cfRule type="expression" dxfId="1827" priority="1826" stopIfTrue="1">
      <formula>OR(LEFT(D470,3)="CTU",LEFT(D470,4)="HDON")</formula>
    </cfRule>
    <cfRule type="expression" dxfId="1826" priority="1827" stopIfTrue="1">
      <formula>OR(LEFT(D470,4)="HOLD",OR(A470="QTNP",A470="HOA THO",A470="YES VINA",A470="HUNG YEN",A470="TEX GIANG",A470="HUNG LONG"),LEFT(A470,5)="HANES",LEFT(A470,3)="ITG")</formula>
    </cfRule>
  </conditionalFormatting>
  <conditionalFormatting sqref="D470">
    <cfRule type="expression" dxfId="1825" priority="1822" stopIfTrue="1">
      <formula>OR(LEFT(D470,4)="KHTT",LEFT(D470,5)="10USD",RIGHT(D470,3)="TTC",LEFT(D470,3)="TNT")</formula>
    </cfRule>
    <cfRule type="expression" dxfId="1824" priority="1823" stopIfTrue="1">
      <formula>OR(LEFT(D470,3)="CTU",LEFT(D470,4)="HDON")</formula>
    </cfRule>
    <cfRule type="expression" dxfId="1823" priority="1824" stopIfTrue="1">
      <formula>OR(LEFT(D470,4)="HOLD",OR(A470="QTNP",A470="HOA THO",A470="YES VINA",A470="HUNG YEN",A470="TEX GIANG",A470="HUNG LONG"),LEFT(A470,5)="HANES",LEFT(A470,3)="ITG")</formula>
    </cfRule>
  </conditionalFormatting>
  <conditionalFormatting sqref="D469">
    <cfRule type="expression" dxfId="1822" priority="1819" stopIfTrue="1">
      <formula>OR(LEFT(D469,4)="KHTT",LEFT(D469,5)="10USD",RIGHT(D469,3)="TTC",LEFT(D469,3)="TNT")</formula>
    </cfRule>
    <cfRule type="expression" dxfId="1821" priority="1820" stopIfTrue="1">
      <formula>OR(LEFT(D469,3)="CTU",LEFT(D469,4)="HDON")</formula>
    </cfRule>
    <cfRule type="expression" dxfId="1820" priority="1821" stopIfTrue="1">
      <formula>OR(LEFT(D469,4)="HOLD",OR(A469="QTNP",A469="HOA THO",A469="YES VINA",A469="HUNG YEN",A469="TEX GIANG",A469="HUNG LONG"),LEFT(A469,5)="HANES",LEFT(A469,3)="ITG")</formula>
    </cfRule>
  </conditionalFormatting>
  <conditionalFormatting sqref="D469">
    <cfRule type="expression" dxfId="1819" priority="1816" stopIfTrue="1">
      <formula>OR(LEFT(D469,4)="KHTT",LEFT(D469,5)="10USD",RIGHT(D469,3)="TTC",LEFT(D469,3)="TNT")</formula>
    </cfRule>
    <cfRule type="expression" dxfId="1818" priority="1817" stopIfTrue="1">
      <formula>OR(LEFT(D469,3)="CTU",LEFT(D469,4)="HDON")</formula>
    </cfRule>
    <cfRule type="expression" dxfId="1817" priority="1818" stopIfTrue="1">
      <formula>OR(LEFT(D469,4)="HOLD",OR(A469="QTNP",A469="HOA THO",A469="YES VINA",A469="HUNG YEN",A469="TEX GIANG",A469="HUNG LONG"),LEFT(A469,5)="HANES",LEFT(A469,3)="ITG")</formula>
    </cfRule>
  </conditionalFormatting>
  <conditionalFormatting sqref="D470">
    <cfRule type="expression" dxfId="1816" priority="1813" stopIfTrue="1">
      <formula>OR(LEFT(D470,4)="KHTT",LEFT(D470,5)="10USD",RIGHT(D470,3)="TTC",LEFT(D470,3)="TNT")</formula>
    </cfRule>
    <cfRule type="expression" dxfId="1815" priority="1814" stopIfTrue="1">
      <formula>OR(LEFT(D470,3)="CTU",LEFT(D470,4)="HDON")</formula>
    </cfRule>
    <cfRule type="expression" dxfId="1814" priority="1815" stopIfTrue="1">
      <formula>OR(LEFT(D470,4)="HOLD",OR(A470="QTNP",A470="HOA THO",A470="YES VINA",A470="HUNG YEN",A470="TEX GIANG",A470="HUNG LONG"),LEFT(A470,5)="HANES",LEFT(A470,3)="ITG")</formula>
    </cfRule>
  </conditionalFormatting>
  <conditionalFormatting sqref="D470">
    <cfRule type="expression" dxfId="1813" priority="1810" stopIfTrue="1">
      <formula>OR(LEFT(D470,4)="KHTT",LEFT(D470,5)="10USD",RIGHT(D470,3)="TTC",LEFT(D470,3)="TNT")</formula>
    </cfRule>
    <cfRule type="expression" dxfId="1812" priority="1811" stopIfTrue="1">
      <formula>OR(LEFT(D470,3)="CTU",LEFT(D470,4)="HDON")</formula>
    </cfRule>
    <cfRule type="expression" dxfId="1811" priority="1812" stopIfTrue="1">
      <formula>OR(LEFT(D470,4)="HOLD",OR(A470="QTNP",A470="HOA THO",A470="YES VINA",A470="HUNG YEN",A470="TEX GIANG",A470="HUNG LONG"),LEFT(A470,5)="HANES",LEFT(A470,3)="ITG")</formula>
    </cfRule>
  </conditionalFormatting>
  <conditionalFormatting sqref="D470">
    <cfRule type="expression" dxfId="1810" priority="1807" stopIfTrue="1">
      <formula>OR(LEFT(D470,4)="KHTT",LEFT(D470,5)="10USD",RIGHT(D470,3)="TTC",LEFT(D470,3)="TNT")</formula>
    </cfRule>
    <cfRule type="expression" dxfId="1809" priority="1808" stopIfTrue="1">
      <formula>OR(LEFT(D470,3)="CTU",LEFT(D470,4)="HDON")</formula>
    </cfRule>
    <cfRule type="expression" dxfId="1808" priority="1809" stopIfTrue="1">
      <formula>OR(LEFT(D470,4)="HOLD",OR(A470="QTNP",A470="HOA THO",A470="YES VINA",A470="HUNG YEN",A470="TEX GIANG",A470="HUNG LONG"),LEFT(A470,5)="HANES",LEFT(A470,3)="ITG")</formula>
    </cfRule>
  </conditionalFormatting>
  <conditionalFormatting sqref="D470">
    <cfRule type="expression" dxfId="1807" priority="1804" stopIfTrue="1">
      <formula>OR(LEFT(D470,4)="KHTT",LEFT(D470,5)="10USD",RIGHT(D470,3)="TTC",LEFT(D470,3)="TNT")</formula>
    </cfRule>
    <cfRule type="expression" dxfId="1806" priority="1805" stopIfTrue="1">
      <formula>OR(LEFT(D470,3)="CTU",LEFT(D470,4)="HDON")</formula>
    </cfRule>
    <cfRule type="expression" dxfId="1805" priority="1806" stopIfTrue="1">
      <formula>OR(LEFT(D470,4)="HOLD",OR(A470="QTNP",A470="HOA THO",A470="YES VINA",A470="HUNG YEN",A470="TEX GIANG",A470="HUNG LONG"),LEFT(A470,5)="HANES",LEFT(A470,3)="ITG")</formula>
    </cfRule>
  </conditionalFormatting>
  <conditionalFormatting sqref="D469">
    <cfRule type="expression" dxfId="1804" priority="1801" stopIfTrue="1">
      <formula>OR(LEFT(D469,4)="KHTT",LEFT(D469,5)="10USD",RIGHT(D469,3)="TTC",LEFT(D469,3)="TNT")</formula>
    </cfRule>
    <cfRule type="expression" dxfId="1803" priority="1802" stopIfTrue="1">
      <formula>OR(LEFT(D469,3)="CTU",LEFT(D469,4)="HDON")</formula>
    </cfRule>
    <cfRule type="expression" dxfId="1802" priority="1803" stopIfTrue="1">
      <formula>OR(LEFT(D469,4)="HOLD",OR(A469="QTNP",A469="HOA THO",A469="YES VINA",A469="HUNG YEN",A469="TEX GIANG",A469="HUNG LONG"),LEFT(A469,5)="HANES",LEFT(A469,3)="ITG")</formula>
    </cfRule>
  </conditionalFormatting>
  <conditionalFormatting sqref="D469">
    <cfRule type="expression" dxfId="1801" priority="1798" stopIfTrue="1">
      <formula>OR(LEFT(D469,4)="KHTT",LEFT(D469,5)="10USD",RIGHT(D469,3)="TTC",LEFT(D469,3)="TNT")</formula>
    </cfRule>
    <cfRule type="expression" dxfId="1800" priority="1799" stopIfTrue="1">
      <formula>OR(LEFT(D469,3)="CTU",LEFT(D469,4)="HDON")</formula>
    </cfRule>
    <cfRule type="expression" dxfId="1799" priority="1800" stopIfTrue="1">
      <formula>OR(LEFT(D469,4)="HOLD",OR(A469="QTNP",A469="HOA THO",A469="YES VINA",A469="HUNG YEN",A469="TEX GIANG",A469="HUNG LONG"),LEFT(A469,5)="HANES",LEFT(A469,3)="ITG")</formula>
    </cfRule>
  </conditionalFormatting>
  <conditionalFormatting sqref="D470">
    <cfRule type="expression" dxfId="1798" priority="1795" stopIfTrue="1">
      <formula>OR(LEFT(D470,4)="KHTT",LEFT(D470,5)="10USD",RIGHT(D470,3)="TTC",LEFT(D470,3)="TNT")</formula>
    </cfRule>
    <cfRule type="expression" dxfId="1797" priority="1796" stopIfTrue="1">
      <formula>OR(LEFT(D470,3)="CTU",LEFT(D470,4)="HDON")</formula>
    </cfRule>
    <cfRule type="expression" dxfId="1796" priority="1797" stopIfTrue="1">
      <formula>OR(LEFT(D470,4)="HOLD",OR(A470="QTNP",A470="HOA THO",A470="YES VINA",A470="HUNG YEN",A470="TEX GIANG",A470="HUNG LONG"),LEFT(A470,5)="HANES",LEFT(A470,3)="ITG")</formula>
    </cfRule>
  </conditionalFormatting>
  <conditionalFormatting sqref="D470">
    <cfRule type="expression" dxfId="1795" priority="1792" stopIfTrue="1">
      <formula>OR(LEFT(D470,4)="KHTT",LEFT(D470,5)="10USD",RIGHT(D470,3)="TTC",LEFT(D470,3)="TNT")</formula>
    </cfRule>
    <cfRule type="expression" dxfId="1794" priority="1793" stopIfTrue="1">
      <formula>OR(LEFT(D470,3)="CTU",LEFT(D470,4)="HDON")</formula>
    </cfRule>
    <cfRule type="expression" dxfId="1793" priority="1794" stopIfTrue="1">
      <formula>OR(LEFT(D470,4)="HOLD",OR(A470="QTNP",A470="HOA THO",A470="YES VINA",A470="HUNG YEN",A470="TEX GIANG",A470="HUNG LONG"),LEFT(A470,5)="HANES",LEFT(A470,3)="ITG")</formula>
    </cfRule>
  </conditionalFormatting>
  <conditionalFormatting sqref="D470">
    <cfRule type="expression" dxfId="1792" priority="1789" stopIfTrue="1">
      <formula>OR(LEFT(D470,4)="KHTT",LEFT(D470,5)="10USD",RIGHT(D470,3)="TTC",LEFT(D470,3)="TNT")</formula>
    </cfRule>
    <cfRule type="expression" dxfId="1791" priority="1790" stopIfTrue="1">
      <formula>OR(LEFT(D470,3)="CTU",LEFT(D470,4)="HDON")</formula>
    </cfRule>
    <cfRule type="expression" dxfId="1790" priority="1791" stopIfTrue="1">
      <formula>OR(LEFT(D470,4)="HOLD",OR(A470="QTNP",A470="HOA THO",A470="YES VINA",A470="HUNG YEN",A470="TEX GIANG",A470="HUNG LONG"),LEFT(A470,5)="HANES",LEFT(A470,3)="ITG")</formula>
    </cfRule>
  </conditionalFormatting>
  <conditionalFormatting sqref="D470">
    <cfRule type="expression" dxfId="1789" priority="1786" stopIfTrue="1">
      <formula>OR(LEFT(D470,4)="KHTT",LEFT(D470,5)="10USD",RIGHT(D470,3)="TTC",LEFT(D470,3)="TNT")</formula>
    </cfRule>
    <cfRule type="expression" dxfId="1788" priority="1787" stopIfTrue="1">
      <formula>OR(LEFT(D470,3)="CTU",LEFT(D470,4)="HDON")</formula>
    </cfRule>
    <cfRule type="expression" dxfId="1787" priority="1788" stopIfTrue="1">
      <formula>OR(LEFT(D470,4)="HOLD",OR(A470="QTNP",A470="HOA THO",A470="YES VINA",A470="HUNG YEN",A470="TEX GIANG",A470="HUNG LONG"),LEFT(A470,5)="HANES",LEFT(A470,3)="ITG")</formula>
    </cfRule>
  </conditionalFormatting>
  <conditionalFormatting sqref="D469">
    <cfRule type="expression" dxfId="1786" priority="1783" stopIfTrue="1">
      <formula>OR(LEFT(D469,4)="KHTT",LEFT(D469,5)="10USD",RIGHT(D469,3)="TTC",LEFT(D469,3)="TNT")</formula>
    </cfRule>
    <cfRule type="expression" dxfId="1785" priority="1784" stopIfTrue="1">
      <formula>OR(LEFT(D469,3)="CTU",LEFT(D469,4)="HDON")</formula>
    </cfRule>
    <cfRule type="expression" dxfId="1784" priority="1785" stopIfTrue="1">
      <formula>OR(LEFT(D469,4)="HOLD",OR(A469="QTNP",A469="HOA THO",A469="YES VINA",A469="HUNG YEN",A469="TEX GIANG",A469="HUNG LONG"),LEFT(A469,5)="HANES",LEFT(A469,3)="ITG")</formula>
    </cfRule>
  </conditionalFormatting>
  <conditionalFormatting sqref="D469">
    <cfRule type="expression" dxfId="1783" priority="1780" stopIfTrue="1">
      <formula>OR(LEFT(D469,4)="KHTT",LEFT(D469,5)="10USD",RIGHT(D469,3)="TTC",LEFT(D469,3)="TNT")</formula>
    </cfRule>
    <cfRule type="expression" dxfId="1782" priority="1781" stopIfTrue="1">
      <formula>OR(LEFT(D469,3)="CTU",LEFT(D469,4)="HDON")</formula>
    </cfRule>
    <cfRule type="expression" dxfId="1781" priority="1782" stopIfTrue="1">
      <formula>OR(LEFT(D469,4)="HOLD",OR(A469="QTNP",A469="HOA THO",A469="YES VINA",A469="HUNG YEN",A469="TEX GIANG",A469="HUNG LONG"),LEFT(A469,5)="HANES",LEFT(A469,3)="ITG")</formula>
    </cfRule>
  </conditionalFormatting>
  <conditionalFormatting sqref="D470">
    <cfRule type="expression" dxfId="1780" priority="1777" stopIfTrue="1">
      <formula>OR(LEFT(D470,4)="KHTT",LEFT(D470,5)="10USD",RIGHT(D470,3)="TTC",LEFT(D470,3)="TNT")</formula>
    </cfRule>
    <cfRule type="expression" dxfId="1779" priority="1778" stopIfTrue="1">
      <formula>OR(LEFT(D470,3)="CTU",LEFT(D470,4)="HDON")</formula>
    </cfRule>
    <cfRule type="expression" dxfId="1778" priority="1779" stopIfTrue="1">
      <formula>OR(LEFT(D470,4)="HOLD",OR(A470="QTNP",A470="HOA THO",A470="YES VINA",A470="HUNG YEN",A470="TEX GIANG",A470="HUNG LONG"),LEFT(A470,5)="HANES",LEFT(A470,3)="ITG")</formula>
    </cfRule>
  </conditionalFormatting>
  <conditionalFormatting sqref="D470">
    <cfRule type="expression" dxfId="1777" priority="1774" stopIfTrue="1">
      <formula>OR(LEFT(D470,4)="KHTT",LEFT(D470,5)="10USD",RIGHT(D470,3)="TTC",LEFT(D470,3)="TNT")</formula>
    </cfRule>
    <cfRule type="expression" dxfId="1776" priority="1775" stopIfTrue="1">
      <formula>OR(LEFT(D470,3)="CTU",LEFT(D470,4)="HDON")</formula>
    </cfRule>
    <cfRule type="expression" dxfId="1775" priority="1776" stopIfTrue="1">
      <formula>OR(LEFT(D470,4)="HOLD",OR(A470="QTNP",A470="HOA THO",A470="YES VINA",A470="HUNG YEN",A470="TEX GIANG",A470="HUNG LONG"),LEFT(A470,5)="HANES",LEFT(A470,3)="ITG")</formula>
    </cfRule>
  </conditionalFormatting>
  <conditionalFormatting sqref="D470">
    <cfRule type="expression" dxfId="1774" priority="1771" stopIfTrue="1">
      <formula>OR(LEFT(D470,4)="KHTT",LEFT(D470,5)="10USD",RIGHT(D470,3)="TTC",LEFT(D470,3)="TNT")</formula>
    </cfRule>
    <cfRule type="expression" dxfId="1773" priority="1772" stopIfTrue="1">
      <formula>OR(LEFT(D470,3)="CTU",LEFT(D470,4)="HDON")</formula>
    </cfRule>
    <cfRule type="expression" dxfId="1772" priority="1773" stopIfTrue="1">
      <formula>OR(LEFT(D470,4)="HOLD",OR(A470="QTNP",A470="HOA THO",A470="YES VINA",A470="HUNG YEN",A470="TEX GIANG",A470="HUNG LONG"),LEFT(A470,5)="HANES",LEFT(A470,3)="ITG")</formula>
    </cfRule>
  </conditionalFormatting>
  <conditionalFormatting sqref="D470">
    <cfRule type="expression" dxfId="1771" priority="1768" stopIfTrue="1">
      <formula>OR(LEFT(D470,4)="KHTT",LEFT(D470,5)="10USD",RIGHT(D470,3)="TTC",LEFT(D470,3)="TNT")</formula>
    </cfRule>
    <cfRule type="expression" dxfId="1770" priority="1769" stopIfTrue="1">
      <formula>OR(LEFT(D470,3)="CTU",LEFT(D470,4)="HDON")</formula>
    </cfRule>
    <cfRule type="expression" dxfId="1769" priority="1770" stopIfTrue="1">
      <formula>OR(LEFT(D470,4)="HOLD",OR(A470="QTNP",A470="HOA THO",A470="YES VINA",A470="HUNG YEN",A470="TEX GIANG",A470="HUNG LONG"),LEFT(A470,5)="HANES",LEFT(A470,3)="ITG")</formula>
    </cfRule>
  </conditionalFormatting>
  <conditionalFormatting sqref="D469">
    <cfRule type="expression" dxfId="1768" priority="1765" stopIfTrue="1">
      <formula>OR(LEFT(D469,4)="KHTT",LEFT(D469,5)="10USD",RIGHT(D469,3)="TTC",LEFT(D469,3)="TNT")</formula>
    </cfRule>
    <cfRule type="expression" dxfId="1767" priority="1766" stopIfTrue="1">
      <formula>OR(LEFT(D469,3)="CTU",LEFT(D469,4)="HDON")</formula>
    </cfRule>
    <cfRule type="expression" dxfId="1766" priority="1767" stopIfTrue="1">
      <formula>OR(LEFT(D469,4)="HOLD",OR(A469="QTNP",A469="HOA THO",A469="YES VINA",A469="HUNG YEN",A469="TEX GIANG",A469="HUNG LONG"),LEFT(A469,5)="HANES",LEFT(A469,3)="ITG")</formula>
    </cfRule>
  </conditionalFormatting>
  <conditionalFormatting sqref="D469">
    <cfRule type="expression" dxfId="1765" priority="1762" stopIfTrue="1">
      <formula>OR(LEFT(D469,4)="KHTT",LEFT(D469,5)="10USD",RIGHT(D469,3)="TTC",LEFT(D469,3)="TNT")</formula>
    </cfRule>
    <cfRule type="expression" dxfId="1764" priority="1763" stopIfTrue="1">
      <formula>OR(LEFT(D469,3)="CTU",LEFT(D469,4)="HDON")</formula>
    </cfRule>
    <cfRule type="expression" dxfId="1763" priority="1764" stopIfTrue="1">
      <formula>OR(LEFT(D469,4)="HOLD",OR(A469="QTNP",A469="HOA THO",A469="YES VINA",A469="HUNG YEN",A469="TEX GIANG",A469="HUNG LONG"),LEFT(A469,5)="HANES",LEFT(A469,3)="ITG")</formula>
    </cfRule>
  </conditionalFormatting>
  <conditionalFormatting sqref="D470">
    <cfRule type="expression" dxfId="1762" priority="1759" stopIfTrue="1">
      <formula>OR(LEFT(D470,4)="KHTT",LEFT(D470,5)="10USD",RIGHT(D470,3)="TTC",LEFT(D470,3)="TNT")</formula>
    </cfRule>
    <cfRule type="expression" dxfId="1761" priority="1760" stopIfTrue="1">
      <formula>OR(LEFT(D470,3)="CTU",LEFT(D470,4)="HDON")</formula>
    </cfRule>
    <cfRule type="expression" dxfId="1760" priority="1761" stopIfTrue="1">
      <formula>OR(LEFT(D470,4)="HOLD",OR(A470="QTNP",A470="HOA THO",A470="YES VINA",A470="HUNG YEN",A470="TEX GIANG",A470="HUNG LONG"),LEFT(A470,5)="HANES",LEFT(A470,3)="ITG")</formula>
    </cfRule>
  </conditionalFormatting>
  <conditionalFormatting sqref="D470">
    <cfRule type="expression" dxfId="1759" priority="1756" stopIfTrue="1">
      <formula>OR(LEFT(D470,4)="KHTT",LEFT(D470,5)="10USD",RIGHT(D470,3)="TTC",LEFT(D470,3)="TNT")</formula>
    </cfRule>
    <cfRule type="expression" dxfId="1758" priority="1757" stopIfTrue="1">
      <formula>OR(LEFT(D470,3)="CTU",LEFT(D470,4)="HDON")</formula>
    </cfRule>
    <cfRule type="expression" dxfId="1757" priority="1758" stopIfTrue="1">
      <formula>OR(LEFT(D470,4)="HOLD",OR(A470="QTNP",A470="HOA THO",A470="YES VINA",A470="HUNG YEN",A470="TEX GIANG",A470="HUNG LONG"),LEFT(A470,5)="HANES",LEFT(A470,3)="ITG")</formula>
    </cfRule>
  </conditionalFormatting>
  <conditionalFormatting sqref="D470">
    <cfRule type="expression" dxfId="1756" priority="1753" stopIfTrue="1">
      <formula>OR(LEFT(D470,4)="KHTT",LEFT(D470,5)="10USD",RIGHT(D470,3)="TTC",LEFT(D470,3)="TNT")</formula>
    </cfRule>
    <cfRule type="expression" dxfId="1755" priority="1754" stopIfTrue="1">
      <formula>OR(LEFT(D470,3)="CTU",LEFT(D470,4)="HDON")</formula>
    </cfRule>
    <cfRule type="expression" dxfId="1754" priority="1755" stopIfTrue="1">
      <formula>OR(LEFT(D470,4)="HOLD",OR(A470="QTNP",A470="HOA THO",A470="YES VINA",A470="HUNG YEN",A470="TEX GIANG",A470="HUNG LONG"),LEFT(A470,5)="HANES",LEFT(A470,3)="ITG")</formula>
    </cfRule>
  </conditionalFormatting>
  <conditionalFormatting sqref="D470">
    <cfRule type="expression" dxfId="1753" priority="1750" stopIfTrue="1">
      <formula>OR(LEFT(D470,4)="KHTT",LEFT(D470,5)="10USD",RIGHT(D470,3)="TTC",LEFT(D470,3)="TNT")</formula>
    </cfRule>
    <cfRule type="expression" dxfId="1752" priority="1751" stopIfTrue="1">
      <formula>OR(LEFT(D470,3)="CTU",LEFT(D470,4)="HDON")</formula>
    </cfRule>
    <cfRule type="expression" dxfId="1751" priority="1752" stopIfTrue="1">
      <formula>OR(LEFT(D470,4)="HOLD",OR(A470="QTNP",A470="HOA THO",A470="YES VINA",A470="HUNG YEN",A470="TEX GIANG",A470="HUNG LONG"),LEFT(A470,5)="HANES",LEFT(A470,3)="ITG")</formula>
    </cfRule>
  </conditionalFormatting>
  <conditionalFormatting sqref="D469">
    <cfRule type="expression" dxfId="1750" priority="1747" stopIfTrue="1">
      <formula>OR(LEFT(D469,4)="KHTT",LEFT(D469,5)="10USD",RIGHT(D469,3)="TTC",LEFT(D469,3)="TNT")</formula>
    </cfRule>
    <cfRule type="expression" dxfId="1749" priority="1748" stopIfTrue="1">
      <formula>OR(LEFT(D469,3)="CTU",LEFT(D469,4)="HDON")</formula>
    </cfRule>
    <cfRule type="expression" dxfId="1748" priority="1749" stopIfTrue="1">
      <formula>OR(LEFT(D469,4)="HOLD",OR(A469="QTNP",A469="HOA THO",A469="YES VINA",A469="HUNG YEN",A469="TEX GIANG",A469="HUNG LONG"),LEFT(A469,5)="HANES",LEFT(A469,3)="ITG")</formula>
    </cfRule>
  </conditionalFormatting>
  <conditionalFormatting sqref="D469">
    <cfRule type="expression" dxfId="1747" priority="1744" stopIfTrue="1">
      <formula>OR(LEFT(D469,4)="KHTT",LEFT(D469,5)="10USD",RIGHT(D469,3)="TTC",LEFT(D469,3)="TNT")</formula>
    </cfRule>
    <cfRule type="expression" dxfId="1746" priority="1745" stopIfTrue="1">
      <formula>OR(LEFT(D469,3)="CTU",LEFT(D469,4)="HDON")</formula>
    </cfRule>
    <cfRule type="expression" dxfId="1745" priority="1746" stopIfTrue="1">
      <formula>OR(LEFT(D469,4)="HOLD",OR(A469="QTNP",A469="HOA THO",A469="YES VINA",A469="HUNG YEN",A469="TEX GIANG",A469="HUNG LONG"),LEFT(A469,5)="HANES",LEFT(A469,3)="ITG")</formula>
    </cfRule>
  </conditionalFormatting>
  <conditionalFormatting sqref="D470">
    <cfRule type="expression" dxfId="1744" priority="1741" stopIfTrue="1">
      <formula>OR(LEFT(D470,4)="KHTT",LEFT(D470,5)="10USD",RIGHT(D470,3)="TTC",LEFT(D470,3)="TNT")</formula>
    </cfRule>
    <cfRule type="expression" dxfId="1743" priority="1742" stopIfTrue="1">
      <formula>OR(LEFT(D470,3)="CTU",LEFT(D470,4)="HDON")</formula>
    </cfRule>
    <cfRule type="expression" dxfId="1742" priority="1743" stopIfTrue="1">
      <formula>OR(LEFT(D470,4)="HOLD",OR(A470="QTNP",A470="HOA THO",A470="YES VINA",A470="HUNG YEN",A470="TEX GIANG",A470="HUNG LONG"),LEFT(A470,5)="HANES",LEFT(A470,3)="ITG")</formula>
    </cfRule>
  </conditionalFormatting>
  <conditionalFormatting sqref="D470">
    <cfRule type="expression" dxfId="1741" priority="1738" stopIfTrue="1">
      <formula>OR(LEFT(D470,4)="KHTT",LEFT(D470,5)="10USD",RIGHT(D470,3)="TTC",LEFT(D470,3)="TNT")</formula>
    </cfRule>
    <cfRule type="expression" dxfId="1740" priority="1739" stopIfTrue="1">
      <formula>OR(LEFT(D470,3)="CTU",LEFT(D470,4)="HDON")</formula>
    </cfRule>
    <cfRule type="expression" dxfId="1739" priority="1740" stopIfTrue="1">
      <formula>OR(LEFT(D470,4)="HOLD",OR(A470="QTNP",A470="HOA THO",A470="YES VINA",A470="HUNG YEN",A470="TEX GIANG",A470="HUNG LONG"),LEFT(A470,5)="HANES",LEFT(A470,3)="ITG")</formula>
    </cfRule>
  </conditionalFormatting>
  <conditionalFormatting sqref="D470">
    <cfRule type="expression" dxfId="1738" priority="1735" stopIfTrue="1">
      <formula>OR(LEFT(D470,4)="KHTT",LEFT(D470,5)="10USD",RIGHT(D470,3)="TTC",LEFT(D470,3)="TNT")</formula>
    </cfRule>
    <cfRule type="expression" dxfId="1737" priority="1736" stopIfTrue="1">
      <formula>OR(LEFT(D470,3)="CTU",LEFT(D470,4)="HDON")</formula>
    </cfRule>
    <cfRule type="expression" dxfId="1736" priority="1737" stopIfTrue="1">
      <formula>OR(LEFT(D470,4)="HOLD",OR(A470="QTNP",A470="HOA THO",A470="YES VINA",A470="HUNG YEN",A470="TEX GIANG",A470="HUNG LONG"),LEFT(A470,5)="HANES",LEFT(A470,3)="ITG")</formula>
    </cfRule>
  </conditionalFormatting>
  <conditionalFormatting sqref="D470">
    <cfRule type="expression" dxfId="1735" priority="1732" stopIfTrue="1">
      <formula>OR(LEFT(D470,4)="KHTT",LEFT(D470,5)="10USD",RIGHT(D470,3)="TTC",LEFT(D470,3)="TNT")</formula>
    </cfRule>
    <cfRule type="expression" dxfId="1734" priority="1733" stopIfTrue="1">
      <formula>OR(LEFT(D470,3)="CTU",LEFT(D470,4)="HDON")</formula>
    </cfRule>
    <cfRule type="expression" dxfId="1733" priority="1734" stopIfTrue="1">
      <formula>OR(LEFT(D470,4)="HOLD",OR(A470="QTNP",A470="HOA THO",A470="YES VINA",A470="HUNG YEN",A470="TEX GIANG",A470="HUNG LONG"),LEFT(A470,5)="HANES",LEFT(A470,3)="ITG")</formula>
    </cfRule>
  </conditionalFormatting>
  <conditionalFormatting sqref="D469">
    <cfRule type="expression" dxfId="1732" priority="1729" stopIfTrue="1">
      <formula>OR(LEFT(D469,4)="KHTT",LEFT(D469,5)="10USD",RIGHT(D469,3)="TTC",LEFT(D469,3)="TNT")</formula>
    </cfRule>
    <cfRule type="expression" dxfId="1731" priority="1730" stopIfTrue="1">
      <formula>OR(LEFT(D469,3)="CTU",LEFT(D469,4)="HDON")</formula>
    </cfRule>
    <cfRule type="expression" dxfId="1730" priority="1731" stopIfTrue="1">
      <formula>OR(LEFT(D469,4)="HOLD",OR(A469="QTNP",A469="HOA THO",A469="YES VINA",A469="HUNG YEN",A469="TEX GIANG",A469="HUNG LONG"),LEFT(A469,5)="HANES",LEFT(A469,3)="ITG")</formula>
    </cfRule>
  </conditionalFormatting>
  <conditionalFormatting sqref="D469">
    <cfRule type="expression" dxfId="1729" priority="1726" stopIfTrue="1">
      <formula>OR(LEFT(D469,4)="KHTT",LEFT(D469,5)="10USD",RIGHT(D469,3)="TTC",LEFT(D469,3)="TNT")</formula>
    </cfRule>
    <cfRule type="expression" dxfId="1728" priority="1727" stopIfTrue="1">
      <formula>OR(LEFT(D469,3)="CTU",LEFT(D469,4)="HDON")</formula>
    </cfRule>
    <cfRule type="expression" dxfId="1727" priority="1728" stopIfTrue="1">
      <formula>OR(LEFT(D469,4)="HOLD",OR(A469="QTNP",A469="HOA THO",A469="YES VINA",A469="HUNG YEN",A469="TEX GIANG",A469="HUNG LONG"),LEFT(A469,5)="HANES",LEFT(A469,3)="ITG")</formula>
    </cfRule>
  </conditionalFormatting>
  <conditionalFormatting sqref="D470">
    <cfRule type="expression" dxfId="1726" priority="1723" stopIfTrue="1">
      <formula>OR(LEFT(D470,4)="KHTT",LEFT(D470,5)="10USD",RIGHT(D470,3)="TTC",LEFT(D470,3)="TNT")</formula>
    </cfRule>
    <cfRule type="expression" dxfId="1725" priority="1724" stopIfTrue="1">
      <formula>OR(LEFT(D470,3)="CTU",LEFT(D470,4)="HDON")</formula>
    </cfRule>
    <cfRule type="expression" dxfId="1724" priority="1725" stopIfTrue="1">
      <formula>OR(LEFT(D470,4)="HOLD",OR(A470="QTNP",A470="HOA THO",A470="YES VINA",A470="HUNG YEN",A470="TEX GIANG",A470="HUNG LONG"),LEFT(A470,5)="HANES",LEFT(A470,3)="ITG")</formula>
    </cfRule>
  </conditionalFormatting>
  <conditionalFormatting sqref="D470">
    <cfRule type="expression" dxfId="1723" priority="1720" stopIfTrue="1">
      <formula>OR(LEFT(D470,4)="KHTT",LEFT(D470,5)="10USD",RIGHT(D470,3)="TTC",LEFT(D470,3)="TNT")</formula>
    </cfRule>
    <cfRule type="expression" dxfId="1722" priority="1721" stopIfTrue="1">
      <formula>OR(LEFT(D470,3)="CTU",LEFT(D470,4)="HDON")</formula>
    </cfRule>
    <cfRule type="expression" dxfId="1721" priority="1722" stopIfTrue="1">
      <formula>OR(LEFT(D470,4)="HOLD",OR(A470="QTNP",A470="HOA THO",A470="YES VINA",A470="HUNG YEN",A470="TEX GIANG",A470="HUNG LONG"),LEFT(A470,5)="HANES",LEFT(A470,3)="ITG")</formula>
    </cfRule>
  </conditionalFormatting>
  <conditionalFormatting sqref="D470">
    <cfRule type="expression" dxfId="1720" priority="1717" stopIfTrue="1">
      <formula>OR(LEFT(D470,4)="KHTT",LEFT(D470,5)="10USD",RIGHT(D470,3)="TTC",LEFT(D470,3)="TNT")</formula>
    </cfRule>
    <cfRule type="expression" dxfId="1719" priority="1718" stopIfTrue="1">
      <formula>OR(LEFT(D470,3)="CTU",LEFT(D470,4)="HDON")</formula>
    </cfRule>
    <cfRule type="expression" dxfId="1718" priority="1719" stopIfTrue="1">
      <formula>OR(LEFT(D470,4)="HOLD",OR(A470="QTNP",A470="HOA THO",A470="YES VINA",A470="HUNG YEN",A470="TEX GIANG",A470="HUNG LONG"),LEFT(A470,5)="HANES",LEFT(A470,3)="ITG")</formula>
    </cfRule>
  </conditionalFormatting>
  <conditionalFormatting sqref="D470">
    <cfRule type="expression" dxfId="1717" priority="1714" stopIfTrue="1">
      <formula>OR(LEFT(D470,4)="KHTT",LEFT(D470,5)="10USD",RIGHT(D470,3)="TTC",LEFT(D470,3)="TNT")</formula>
    </cfRule>
    <cfRule type="expression" dxfId="1716" priority="1715" stopIfTrue="1">
      <formula>OR(LEFT(D470,3)="CTU",LEFT(D470,4)="HDON")</formula>
    </cfRule>
    <cfRule type="expression" dxfId="1715" priority="1716" stopIfTrue="1">
      <formula>OR(LEFT(D470,4)="HOLD",OR(A470="QTNP",A470="HOA THO",A470="YES VINA",A470="HUNG YEN",A470="TEX GIANG",A470="HUNG LONG"),LEFT(A470,5)="HANES",LEFT(A470,3)="ITG")</formula>
    </cfRule>
  </conditionalFormatting>
  <conditionalFormatting sqref="D469">
    <cfRule type="expression" dxfId="1714" priority="1711" stopIfTrue="1">
      <formula>OR(LEFT(D469,4)="KHTT",LEFT(D469,5)="10USD",RIGHT(D469,3)="TTC",LEFT(D469,3)="TNT")</formula>
    </cfRule>
    <cfRule type="expression" dxfId="1713" priority="1712" stopIfTrue="1">
      <formula>OR(LEFT(D469,3)="CTU",LEFT(D469,4)="HDON")</formula>
    </cfRule>
    <cfRule type="expression" dxfId="1712" priority="1713" stopIfTrue="1">
      <formula>OR(LEFT(D469,4)="HOLD",OR(A469="QTNP",A469="HOA THO",A469="YES VINA",A469="HUNG YEN",A469="TEX GIANG",A469="HUNG LONG"),LEFT(A469,5)="HANES",LEFT(A469,3)="ITG")</formula>
    </cfRule>
  </conditionalFormatting>
  <conditionalFormatting sqref="D469">
    <cfRule type="expression" dxfId="1711" priority="1708" stopIfTrue="1">
      <formula>OR(LEFT(D469,4)="KHTT",LEFT(D469,5)="10USD",RIGHT(D469,3)="TTC",LEFT(D469,3)="TNT")</formula>
    </cfRule>
    <cfRule type="expression" dxfId="1710" priority="1709" stopIfTrue="1">
      <formula>OR(LEFT(D469,3)="CTU",LEFT(D469,4)="HDON")</formula>
    </cfRule>
    <cfRule type="expression" dxfId="1709" priority="1710" stopIfTrue="1">
      <formula>OR(LEFT(D469,4)="HOLD",OR(A469="QTNP",A469="HOA THO",A469="YES VINA",A469="HUNG YEN",A469="TEX GIANG",A469="HUNG LONG"),LEFT(A469,5)="HANES",LEFT(A469,3)="ITG")</formula>
    </cfRule>
  </conditionalFormatting>
  <conditionalFormatting sqref="D470">
    <cfRule type="expression" dxfId="1708" priority="1705" stopIfTrue="1">
      <formula>OR(LEFT(D470,4)="KHTT",LEFT(D470,5)="10USD",RIGHT(D470,3)="TTC",LEFT(D470,3)="TNT")</formula>
    </cfRule>
    <cfRule type="expression" dxfId="1707" priority="1706" stopIfTrue="1">
      <formula>OR(LEFT(D470,3)="CTU",LEFT(D470,4)="HDON")</formula>
    </cfRule>
    <cfRule type="expression" dxfId="1706" priority="1707" stopIfTrue="1">
      <formula>OR(LEFT(D470,4)="HOLD",OR(A470="QTNP",A470="HOA THO",A470="YES VINA",A470="HUNG YEN",A470="TEX GIANG",A470="HUNG LONG"),LEFT(A470,5)="HANES",LEFT(A470,3)="ITG")</formula>
    </cfRule>
  </conditionalFormatting>
  <conditionalFormatting sqref="D470">
    <cfRule type="expression" dxfId="1705" priority="1702" stopIfTrue="1">
      <formula>OR(LEFT(D470,4)="KHTT",LEFT(D470,5)="10USD",RIGHT(D470,3)="TTC",LEFT(D470,3)="TNT")</formula>
    </cfRule>
    <cfRule type="expression" dxfId="1704" priority="1703" stopIfTrue="1">
      <formula>OR(LEFT(D470,3)="CTU",LEFT(D470,4)="HDON")</formula>
    </cfRule>
    <cfRule type="expression" dxfId="1703" priority="1704" stopIfTrue="1">
      <formula>OR(LEFT(D470,4)="HOLD",OR(A470="QTNP",A470="HOA THO",A470="YES VINA",A470="HUNG YEN",A470="TEX GIANG",A470="HUNG LONG"),LEFT(A470,5)="HANES",LEFT(A470,3)="ITG")</formula>
    </cfRule>
  </conditionalFormatting>
  <conditionalFormatting sqref="D470">
    <cfRule type="expression" dxfId="1702" priority="1699" stopIfTrue="1">
      <formula>OR(LEFT(D470,4)="KHTT",LEFT(D470,5)="10USD",RIGHT(D470,3)="TTC",LEFT(D470,3)="TNT")</formula>
    </cfRule>
    <cfRule type="expression" dxfId="1701" priority="1700" stopIfTrue="1">
      <formula>OR(LEFT(D470,3)="CTU",LEFT(D470,4)="HDON")</formula>
    </cfRule>
    <cfRule type="expression" dxfId="1700" priority="1701" stopIfTrue="1">
      <formula>OR(LEFT(D470,4)="HOLD",OR(A470="QTNP",A470="HOA THO",A470="YES VINA",A470="HUNG YEN",A470="TEX GIANG",A470="HUNG LONG"),LEFT(A470,5)="HANES",LEFT(A470,3)="ITG")</formula>
    </cfRule>
  </conditionalFormatting>
  <conditionalFormatting sqref="D470">
    <cfRule type="expression" dxfId="1699" priority="1696" stopIfTrue="1">
      <formula>OR(LEFT(D470,4)="KHTT",LEFT(D470,5)="10USD",RIGHT(D470,3)="TTC",LEFT(D470,3)="TNT")</formula>
    </cfRule>
    <cfRule type="expression" dxfId="1698" priority="1697" stopIfTrue="1">
      <formula>OR(LEFT(D470,3)="CTU",LEFT(D470,4)="HDON")</formula>
    </cfRule>
    <cfRule type="expression" dxfId="1697" priority="1698" stopIfTrue="1">
      <formula>OR(LEFT(D470,4)="HOLD",OR(A470="QTNP",A470="HOA THO",A470="YES VINA",A470="HUNG YEN",A470="TEX GIANG",A470="HUNG LONG"),LEFT(A470,5)="HANES",LEFT(A470,3)="ITG")</formula>
    </cfRule>
  </conditionalFormatting>
  <conditionalFormatting sqref="D469">
    <cfRule type="expression" dxfId="1696" priority="1693" stopIfTrue="1">
      <formula>OR(LEFT(D469,4)="KHTT",LEFT(D469,5)="10USD",RIGHT(D469,3)="TTC",LEFT(D469,3)="TNT")</formula>
    </cfRule>
    <cfRule type="expression" dxfId="1695" priority="1694" stopIfTrue="1">
      <formula>OR(LEFT(D469,3)="CTU",LEFT(D469,4)="HDON")</formula>
    </cfRule>
    <cfRule type="expression" dxfId="1694" priority="1695" stopIfTrue="1">
      <formula>OR(LEFT(D469,4)="HOLD",OR(A469="QTNP",A469="HOA THO",A469="YES VINA",A469="HUNG YEN",A469="TEX GIANG",A469="HUNG LONG"),LEFT(A469,5)="HANES",LEFT(A469,3)="ITG")</formula>
    </cfRule>
  </conditionalFormatting>
  <conditionalFormatting sqref="D469">
    <cfRule type="expression" dxfId="1693" priority="1690" stopIfTrue="1">
      <formula>OR(LEFT(D469,4)="KHTT",LEFT(D469,5)="10USD",RIGHT(D469,3)="TTC",LEFT(D469,3)="TNT")</formula>
    </cfRule>
    <cfRule type="expression" dxfId="1692" priority="1691" stopIfTrue="1">
      <formula>OR(LEFT(D469,3)="CTU",LEFT(D469,4)="HDON")</formula>
    </cfRule>
    <cfRule type="expression" dxfId="1691" priority="1692" stopIfTrue="1">
      <formula>OR(LEFT(D469,4)="HOLD",OR(A469="QTNP",A469="HOA THO",A469="YES VINA",A469="HUNG YEN",A469="TEX GIANG",A469="HUNG LONG"),LEFT(A469,5)="HANES",LEFT(A469,3)="ITG")</formula>
    </cfRule>
  </conditionalFormatting>
  <conditionalFormatting sqref="D470">
    <cfRule type="expression" dxfId="1690" priority="1687" stopIfTrue="1">
      <formula>OR(LEFT(D470,4)="KHTT",LEFT(D470,5)="10USD",RIGHT(D470,3)="TTC",LEFT(D470,3)="TNT")</formula>
    </cfRule>
    <cfRule type="expression" dxfId="1689" priority="1688" stopIfTrue="1">
      <formula>OR(LEFT(D470,3)="CTU",LEFT(D470,4)="HDON")</formula>
    </cfRule>
    <cfRule type="expression" dxfId="1688" priority="1689" stopIfTrue="1">
      <formula>OR(LEFT(D470,4)="HOLD",OR(A470="QTNP",A470="HOA THO",A470="YES VINA",A470="HUNG YEN",A470="TEX GIANG",A470="HUNG LONG"),LEFT(A470,5)="HANES",LEFT(A470,3)="ITG")</formula>
    </cfRule>
  </conditionalFormatting>
  <conditionalFormatting sqref="D470">
    <cfRule type="expression" dxfId="1687" priority="1684" stopIfTrue="1">
      <formula>OR(LEFT(D470,4)="KHTT",LEFT(D470,5)="10USD",RIGHT(D470,3)="TTC",LEFT(D470,3)="TNT")</formula>
    </cfRule>
    <cfRule type="expression" dxfId="1686" priority="1685" stopIfTrue="1">
      <formula>OR(LEFT(D470,3)="CTU",LEFT(D470,4)="HDON")</formula>
    </cfRule>
    <cfRule type="expression" dxfId="1685" priority="1686" stopIfTrue="1">
      <formula>OR(LEFT(D470,4)="HOLD",OR(A470="QTNP",A470="HOA THO",A470="YES VINA",A470="HUNG YEN",A470="TEX GIANG",A470="HUNG LONG"),LEFT(A470,5)="HANES",LEFT(A470,3)="ITG")</formula>
    </cfRule>
  </conditionalFormatting>
  <conditionalFormatting sqref="D470">
    <cfRule type="expression" dxfId="1684" priority="1681" stopIfTrue="1">
      <formula>OR(LEFT(D470,4)="KHTT",LEFT(D470,5)="10USD",RIGHT(D470,3)="TTC",LEFT(D470,3)="TNT")</formula>
    </cfRule>
    <cfRule type="expression" dxfId="1683" priority="1682" stopIfTrue="1">
      <formula>OR(LEFT(D470,3)="CTU",LEFT(D470,4)="HDON")</formula>
    </cfRule>
    <cfRule type="expression" dxfId="1682" priority="1683" stopIfTrue="1">
      <formula>OR(LEFT(D470,4)="HOLD",OR(A470="QTNP",A470="HOA THO",A470="YES VINA",A470="HUNG YEN",A470="TEX GIANG",A470="HUNG LONG"),LEFT(A470,5)="HANES",LEFT(A470,3)="ITG")</formula>
    </cfRule>
  </conditionalFormatting>
  <conditionalFormatting sqref="D470">
    <cfRule type="expression" dxfId="1681" priority="1678" stopIfTrue="1">
      <formula>OR(LEFT(D470,4)="KHTT",LEFT(D470,5)="10USD",RIGHT(D470,3)="TTC",LEFT(D470,3)="TNT")</formula>
    </cfRule>
    <cfRule type="expression" dxfId="1680" priority="1679" stopIfTrue="1">
      <formula>OR(LEFT(D470,3)="CTU",LEFT(D470,4)="HDON")</formula>
    </cfRule>
    <cfRule type="expression" dxfId="1679" priority="1680" stopIfTrue="1">
      <formula>OR(LEFT(D470,4)="HOLD",OR(A470="QTNP",A470="HOA THO",A470="YES VINA",A470="HUNG YEN",A470="TEX GIANG",A470="HUNG LONG"),LEFT(A470,5)="HANES",LEFT(A470,3)="ITG")</formula>
    </cfRule>
  </conditionalFormatting>
  <conditionalFormatting sqref="D469">
    <cfRule type="expression" dxfId="1678" priority="1675" stopIfTrue="1">
      <formula>OR(LEFT(D469,4)="KHTT",LEFT(D469,5)="10USD",RIGHT(D469,3)="TTC",LEFT(D469,3)="TNT")</formula>
    </cfRule>
    <cfRule type="expression" dxfId="1677" priority="1676" stopIfTrue="1">
      <formula>OR(LEFT(D469,3)="CTU",LEFT(D469,4)="HDON")</formula>
    </cfRule>
    <cfRule type="expression" dxfId="1676" priority="1677" stopIfTrue="1">
      <formula>OR(LEFT(D469,4)="HOLD",OR(A469="QTNP",A469="HOA THO",A469="YES VINA",A469="HUNG YEN",A469="TEX GIANG",A469="HUNG LONG"),LEFT(A469,5)="HANES",LEFT(A469,3)="ITG")</formula>
    </cfRule>
  </conditionalFormatting>
  <conditionalFormatting sqref="D469">
    <cfRule type="expression" dxfId="1675" priority="1672" stopIfTrue="1">
      <formula>OR(LEFT(D469,4)="KHTT",LEFT(D469,5)="10USD",RIGHT(D469,3)="TTC",LEFT(D469,3)="TNT")</formula>
    </cfRule>
    <cfRule type="expression" dxfId="1674" priority="1673" stopIfTrue="1">
      <formula>OR(LEFT(D469,3)="CTU",LEFT(D469,4)="HDON")</formula>
    </cfRule>
    <cfRule type="expression" dxfId="1673" priority="1674" stopIfTrue="1">
      <formula>OR(LEFT(D469,4)="HOLD",OR(A469="QTNP",A469="HOA THO",A469="YES VINA",A469="HUNG YEN",A469="TEX GIANG",A469="HUNG LONG"),LEFT(A469,5)="HANES",LEFT(A469,3)="ITG")</formula>
    </cfRule>
  </conditionalFormatting>
  <conditionalFormatting sqref="D470">
    <cfRule type="expression" dxfId="1672" priority="1669" stopIfTrue="1">
      <formula>OR(LEFT(D470,4)="KHTT",LEFT(D470,5)="10USD",RIGHT(D470,3)="TTC",LEFT(D470,3)="TNT")</formula>
    </cfRule>
    <cfRule type="expression" dxfId="1671" priority="1670" stopIfTrue="1">
      <formula>OR(LEFT(D470,3)="CTU",LEFT(D470,4)="HDON")</formula>
    </cfRule>
    <cfRule type="expression" dxfId="1670" priority="1671" stopIfTrue="1">
      <formula>OR(LEFT(D470,4)="HOLD",OR(A470="QTNP",A470="HOA THO",A470="YES VINA",A470="HUNG YEN",A470="TEX GIANG",A470="HUNG LONG"),LEFT(A470,5)="HANES",LEFT(A470,3)="ITG")</formula>
    </cfRule>
  </conditionalFormatting>
  <conditionalFormatting sqref="D470">
    <cfRule type="expression" dxfId="1669" priority="1666" stopIfTrue="1">
      <formula>OR(LEFT(D470,4)="KHTT",LEFT(D470,5)="10USD",RIGHT(D470,3)="TTC",LEFT(D470,3)="TNT")</formula>
    </cfRule>
    <cfRule type="expression" dxfId="1668" priority="1667" stopIfTrue="1">
      <formula>OR(LEFT(D470,3)="CTU",LEFT(D470,4)="HDON")</formula>
    </cfRule>
    <cfRule type="expression" dxfId="1667" priority="1668" stopIfTrue="1">
      <formula>OR(LEFT(D470,4)="HOLD",OR(A470="QTNP",A470="HOA THO",A470="YES VINA",A470="HUNG YEN",A470="TEX GIANG",A470="HUNG LONG"),LEFT(A470,5)="HANES",LEFT(A470,3)="ITG")</formula>
    </cfRule>
  </conditionalFormatting>
  <conditionalFormatting sqref="D470">
    <cfRule type="expression" dxfId="1666" priority="1663" stopIfTrue="1">
      <formula>OR(LEFT(D470,4)="KHTT",LEFT(D470,5)="10USD",RIGHT(D470,3)="TTC",LEFT(D470,3)="TNT")</formula>
    </cfRule>
    <cfRule type="expression" dxfId="1665" priority="1664" stopIfTrue="1">
      <formula>OR(LEFT(D470,3)="CTU",LEFT(D470,4)="HDON")</formula>
    </cfRule>
    <cfRule type="expression" dxfId="1664" priority="1665" stopIfTrue="1">
      <formula>OR(LEFT(D470,4)="HOLD",OR(A470="QTNP",A470="HOA THO",A470="YES VINA",A470="HUNG YEN",A470="TEX GIANG",A470="HUNG LONG"),LEFT(A470,5)="HANES",LEFT(A470,3)="ITG")</formula>
    </cfRule>
  </conditionalFormatting>
  <conditionalFormatting sqref="D470">
    <cfRule type="expression" dxfId="1663" priority="1660" stopIfTrue="1">
      <formula>OR(LEFT(D470,4)="KHTT",LEFT(D470,5)="10USD",RIGHT(D470,3)="TTC",LEFT(D470,3)="TNT")</formula>
    </cfRule>
    <cfRule type="expression" dxfId="1662" priority="1661" stopIfTrue="1">
      <formula>OR(LEFT(D470,3)="CTU",LEFT(D470,4)="HDON")</formula>
    </cfRule>
    <cfRule type="expression" dxfId="1661" priority="1662" stopIfTrue="1">
      <formula>OR(LEFT(D470,4)="HOLD",OR(A470="QTNP",A470="HOA THO",A470="YES VINA",A470="HUNG YEN",A470="TEX GIANG",A470="HUNG LONG"),LEFT(A470,5)="HANES",LEFT(A470,3)="ITG")</formula>
    </cfRule>
  </conditionalFormatting>
  <conditionalFormatting sqref="D469">
    <cfRule type="expression" dxfId="1660" priority="1657" stopIfTrue="1">
      <formula>OR(LEFT(D469,4)="KHTT",LEFT(D469,5)="10USD",RIGHT(D469,3)="TTC",LEFT(D469,3)="TNT")</formula>
    </cfRule>
    <cfRule type="expression" dxfId="1659" priority="1658" stopIfTrue="1">
      <formula>OR(LEFT(D469,3)="CTU",LEFT(D469,4)="HDON")</formula>
    </cfRule>
    <cfRule type="expression" dxfId="1658" priority="1659" stopIfTrue="1">
      <formula>OR(LEFT(D469,4)="HOLD",OR(A469="QTNP",A469="HOA THO",A469="YES VINA",A469="HUNG YEN",A469="TEX GIANG",A469="HUNG LONG"),LEFT(A469,5)="HANES",LEFT(A469,3)="ITG")</formula>
    </cfRule>
  </conditionalFormatting>
  <conditionalFormatting sqref="D469">
    <cfRule type="expression" dxfId="1657" priority="1654" stopIfTrue="1">
      <formula>OR(LEFT(D469,4)="KHTT",LEFT(D469,5)="10USD",RIGHT(D469,3)="TTC",LEFT(D469,3)="TNT")</formula>
    </cfRule>
    <cfRule type="expression" dxfId="1656" priority="1655" stopIfTrue="1">
      <formula>OR(LEFT(D469,3)="CTU",LEFT(D469,4)="HDON")</formula>
    </cfRule>
    <cfRule type="expression" dxfId="1655" priority="1656" stopIfTrue="1">
      <formula>OR(LEFT(D469,4)="HOLD",OR(A469="QTNP",A469="HOA THO",A469="YES VINA",A469="HUNG YEN",A469="TEX GIANG",A469="HUNG LONG"),LEFT(A469,5)="HANES",LEFT(A469,3)="ITG")</formula>
    </cfRule>
  </conditionalFormatting>
  <conditionalFormatting sqref="D470">
    <cfRule type="expression" dxfId="1654" priority="1651" stopIfTrue="1">
      <formula>OR(LEFT(D470,4)="KHTT",LEFT(D470,5)="10USD",RIGHT(D470,3)="TTC",LEFT(D470,3)="TNT")</formula>
    </cfRule>
    <cfRule type="expression" dxfId="1653" priority="1652" stopIfTrue="1">
      <formula>OR(LEFT(D470,3)="CTU",LEFT(D470,4)="HDON")</formula>
    </cfRule>
    <cfRule type="expression" dxfId="1652" priority="1653" stopIfTrue="1">
      <formula>OR(LEFT(D470,4)="HOLD",OR(A470="QTNP",A470="HOA THO",A470="YES VINA",A470="HUNG YEN",A470="TEX GIANG",A470="HUNG LONG"),LEFT(A470,5)="HANES",LEFT(A470,3)="ITG")</formula>
    </cfRule>
  </conditionalFormatting>
  <conditionalFormatting sqref="D470">
    <cfRule type="expression" dxfId="1651" priority="1648" stopIfTrue="1">
      <formula>OR(LEFT(D470,4)="KHTT",LEFT(D470,5)="10USD",RIGHT(D470,3)="TTC",LEFT(D470,3)="TNT")</formula>
    </cfRule>
    <cfRule type="expression" dxfId="1650" priority="1649" stopIfTrue="1">
      <formula>OR(LEFT(D470,3)="CTU",LEFT(D470,4)="HDON")</formula>
    </cfRule>
    <cfRule type="expression" dxfId="1649" priority="1650" stopIfTrue="1">
      <formula>OR(LEFT(D470,4)="HOLD",OR(A470="QTNP",A470="HOA THO",A470="YES VINA",A470="HUNG YEN",A470="TEX GIANG",A470="HUNG LONG"),LEFT(A470,5)="HANES",LEFT(A470,3)="ITG")</formula>
    </cfRule>
  </conditionalFormatting>
  <conditionalFormatting sqref="D470">
    <cfRule type="expression" dxfId="1648" priority="1645" stopIfTrue="1">
      <formula>OR(LEFT(D470,4)="KHTT",LEFT(D470,5)="10USD",RIGHT(D470,3)="TTC",LEFT(D470,3)="TNT")</formula>
    </cfRule>
    <cfRule type="expression" dxfId="1647" priority="1646" stopIfTrue="1">
      <formula>OR(LEFT(D470,3)="CTU",LEFT(D470,4)="HDON")</formula>
    </cfRule>
    <cfRule type="expression" dxfId="1646" priority="1647" stopIfTrue="1">
      <formula>OR(LEFT(D470,4)="HOLD",OR(A470="QTNP",A470="HOA THO",A470="YES VINA",A470="HUNG YEN",A470="TEX GIANG",A470="HUNG LONG"),LEFT(A470,5)="HANES",LEFT(A470,3)="ITG")</formula>
    </cfRule>
  </conditionalFormatting>
  <conditionalFormatting sqref="D470">
    <cfRule type="expression" dxfId="1645" priority="1642" stopIfTrue="1">
      <formula>OR(LEFT(D470,4)="KHTT",LEFT(D470,5)="10USD",RIGHT(D470,3)="TTC",LEFT(D470,3)="TNT")</formula>
    </cfRule>
    <cfRule type="expression" dxfId="1644" priority="1643" stopIfTrue="1">
      <formula>OR(LEFT(D470,3)="CTU",LEFT(D470,4)="HDON")</formula>
    </cfRule>
    <cfRule type="expression" dxfId="1643" priority="1644" stopIfTrue="1">
      <formula>OR(LEFT(D470,4)="HOLD",OR(A470="QTNP",A470="HOA THO",A470="YES VINA",A470="HUNG YEN",A470="TEX GIANG",A470="HUNG LONG"),LEFT(A470,5)="HANES",LEFT(A470,3)="ITG")</formula>
    </cfRule>
  </conditionalFormatting>
  <conditionalFormatting sqref="D469">
    <cfRule type="expression" dxfId="1642" priority="1639" stopIfTrue="1">
      <formula>OR(LEFT(D469,4)="KHTT",LEFT(D469,5)="10USD",RIGHT(D469,3)="TTC",LEFT(D469,3)="TNT")</formula>
    </cfRule>
    <cfRule type="expression" dxfId="1641" priority="1640" stopIfTrue="1">
      <formula>OR(LEFT(D469,3)="CTU",LEFT(D469,4)="HDON")</formula>
    </cfRule>
    <cfRule type="expression" dxfId="1640" priority="1641" stopIfTrue="1">
      <formula>OR(LEFT(D469,4)="HOLD",OR(A469="QTNP",A469="HOA THO",A469="YES VINA",A469="HUNG YEN",A469="TEX GIANG",A469="HUNG LONG"),LEFT(A469,5)="HANES",LEFT(A469,3)="ITG")</formula>
    </cfRule>
  </conditionalFormatting>
  <conditionalFormatting sqref="D469">
    <cfRule type="expression" dxfId="1639" priority="1636" stopIfTrue="1">
      <formula>OR(LEFT(D469,4)="KHTT",LEFT(D469,5)="10USD",RIGHT(D469,3)="TTC",LEFT(D469,3)="TNT")</formula>
    </cfRule>
    <cfRule type="expression" dxfId="1638" priority="1637" stopIfTrue="1">
      <formula>OR(LEFT(D469,3)="CTU",LEFT(D469,4)="HDON")</formula>
    </cfRule>
    <cfRule type="expression" dxfId="1637" priority="1638" stopIfTrue="1">
      <formula>OR(LEFT(D469,4)="HOLD",OR(A469="QTNP",A469="HOA THO",A469="YES VINA",A469="HUNG YEN",A469="TEX GIANG",A469="HUNG LONG"),LEFT(A469,5)="HANES",LEFT(A469,3)="ITG")</formula>
    </cfRule>
  </conditionalFormatting>
  <conditionalFormatting sqref="D470">
    <cfRule type="expression" dxfId="1636" priority="1633" stopIfTrue="1">
      <formula>OR(LEFT(D470,4)="KHTT",LEFT(D470,5)="10USD",RIGHT(D470,3)="TTC",LEFT(D470,3)="TNT")</formula>
    </cfRule>
    <cfRule type="expression" dxfId="1635" priority="1634" stopIfTrue="1">
      <formula>OR(LEFT(D470,3)="CTU",LEFT(D470,4)="HDON")</formula>
    </cfRule>
    <cfRule type="expression" dxfId="1634" priority="1635" stopIfTrue="1">
      <formula>OR(LEFT(D470,4)="HOLD",OR(A470="QTNP",A470="HOA THO",A470="YES VINA",A470="HUNG YEN",A470="TEX GIANG",A470="HUNG LONG"),LEFT(A470,5)="HANES",LEFT(A470,3)="ITG")</formula>
    </cfRule>
  </conditionalFormatting>
  <conditionalFormatting sqref="D470">
    <cfRule type="expression" dxfId="1633" priority="1630" stopIfTrue="1">
      <formula>OR(LEFT(D470,4)="KHTT",LEFT(D470,5)="10USD",RIGHT(D470,3)="TTC",LEFT(D470,3)="TNT")</formula>
    </cfRule>
    <cfRule type="expression" dxfId="1632" priority="1631" stopIfTrue="1">
      <formula>OR(LEFT(D470,3)="CTU",LEFT(D470,4)="HDON")</formula>
    </cfRule>
    <cfRule type="expression" dxfId="1631" priority="1632" stopIfTrue="1">
      <formula>OR(LEFT(D470,4)="HOLD",OR(A470="QTNP",A470="HOA THO",A470="YES VINA",A470="HUNG YEN",A470="TEX GIANG",A470="HUNG LONG"),LEFT(A470,5)="HANES",LEFT(A470,3)="ITG")</formula>
    </cfRule>
  </conditionalFormatting>
  <conditionalFormatting sqref="D470">
    <cfRule type="expression" dxfId="1630" priority="1627" stopIfTrue="1">
      <formula>OR(LEFT(D470,4)="KHTT",LEFT(D470,5)="10USD",RIGHT(D470,3)="TTC",LEFT(D470,3)="TNT")</formula>
    </cfRule>
    <cfRule type="expression" dxfId="1629" priority="1628" stopIfTrue="1">
      <formula>OR(LEFT(D470,3)="CTU",LEFT(D470,4)="HDON")</formula>
    </cfRule>
    <cfRule type="expression" dxfId="1628" priority="1629" stopIfTrue="1">
      <formula>OR(LEFT(D470,4)="HOLD",OR(A470="QTNP",A470="HOA THO",A470="YES VINA",A470="HUNG YEN",A470="TEX GIANG",A470="HUNG LONG"),LEFT(A470,5)="HANES",LEFT(A470,3)="ITG")</formula>
    </cfRule>
  </conditionalFormatting>
  <conditionalFormatting sqref="D470">
    <cfRule type="expression" dxfId="1627" priority="1624" stopIfTrue="1">
      <formula>OR(LEFT(D470,4)="KHTT",LEFT(D470,5)="10USD",RIGHT(D470,3)="TTC",LEFT(D470,3)="TNT")</formula>
    </cfRule>
    <cfRule type="expression" dxfId="1626" priority="1625" stopIfTrue="1">
      <formula>OR(LEFT(D470,3)="CTU",LEFT(D470,4)="HDON")</formula>
    </cfRule>
    <cfRule type="expression" dxfId="1625" priority="1626" stopIfTrue="1">
      <formula>OR(LEFT(D470,4)="HOLD",OR(A470="QTNP",A470="HOA THO",A470="YES VINA",A470="HUNG YEN",A470="TEX GIANG",A470="HUNG LONG"),LEFT(A470,5)="HANES",LEFT(A470,3)="ITG")</formula>
    </cfRule>
  </conditionalFormatting>
  <conditionalFormatting sqref="D469">
    <cfRule type="expression" dxfId="1624" priority="1621" stopIfTrue="1">
      <formula>OR(LEFT(D469,4)="KHTT",LEFT(D469,5)="10USD",RIGHT(D469,3)="TTC",LEFT(D469,3)="TNT")</formula>
    </cfRule>
    <cfRule type="expression" dxfId="1623" priority="1622" stopIfTrue="1">
      <formula>OR(LEFT(D469,3)="CTU",LEFT(D469,4)="HDON")</formula>
    </cfRule>
    <cfRule type="expression" dxfId="1622" priority="1623" stopIfTrue="1">
      <formula>OR(LEFT(D469,4)="HOLD",OR(A469="QTNP",A469="HOA THO",A469="YES VINA",A469="HUNG YEN",A469="TEX GIANG",A469="HUNG LONG"),LEFT(A469,5)="HANES",LEFT(A469,3)="ITG")</formula>
    </cfRule>
  </conditionalFormatting>
  <conditionalFormatting sqref="D469">
    <cfRule type="expression" dxfId="1621" priority="1618" stopIfTrue="1">
      <formula>OR(LEFT(D469,4)="KHTT",LEFT(D469,5)="10USD",RIGHT(D469,3)="TTC",LEFT(D469,3)="TNT")</formula>
    </cfRule>
    <cfRule type="expression" dxfId="1620" priority="1619" stopIfTrue="1">
      <formula>OR(LEFT(D469,3)="CTU",LEFT(D469,4)="HDON")</formula>
    </cfRule>
    <cfRule type="expression" dxfId="1619" priority="1620" stopIfTrue="1">
      <formula>OR(LEFT(D469,4)="HOLD",OR(A469="QTNP",A469="HOA THO",A469="YES VINA",A469="HUNG YEN",A469="TEX GIANG",A469="HUNG LONG"),LEFT(A469,5)="HANES",LEFT(A469,3)="ITG")</formula>
    </cfRule>
  </conditionalFormatting>
  <conditionalFormatting sqref="D470">
    <cfRule type="expression" dxfId="1618" priority="1615" stopIfTrue="1">
      <formula>OR(LEFT(D470,4)="KHTT",LEFT(D470,5)="10USD",RIGHT(D470,3)="TTC",LEFT(D470,3)="TNT")</formula>
    </cfRule>
    <cfRule type="expression" dxfId="1617" priority="1616" stopIfTrue="1">
      <formula>OR(LEFT(D470,3)="CTU",LEFT(D470,4)="HDON")</formula>
    </cfRule>
    <cfRule type="expression" dxfId="1616" priority="1617" stopIfTrue="1">
      <formula>OR(LEFT(D470,4)="HOLD",OR(A470="QTNP",A470="HOA THO",A470="YES VINA",A470="HUNG YEN",A470="TEX GIANG",A470="HUNG LONG"),LEFT(A470,5)="HANES",LEFT(A470,3)="ITG")</formula>
    </cfRule>
  </conditionalFormatting>
  <conditionalFormatting sqref="D470">
    <cfRule type="expression" dxfId="1615" priority="1612" stopIfTrue="1">
      <formula>OR(LEFT(D470,4)="KHTT",LEFT(D470,5)="10USD",RIGHT(D470,3)="TTC",LEFT(D470,3)="TNT")</formula>
    </cfRule>
    <cfRule type="expression" dxfId="1614" priority="1613" stopIfTrue="1">
      <formula>OR(LEFT(D470,3)="CTU",LEFT(D470,4)="HDON")</formula>
    </cfRule>
    <cfRule type="expression" dxfId="1613" priority="1614" stopIfTrue="1">
      <formula>OR(LEFT(D470,4)="HOLD",OR(A470="QTNP",A470="HOA THO",A470="YES VINA",A470="HUNG YEN",A470="TEX GIANG",A470="HUNG LONG"),LEFT(A470,5)="HANES",LEFT(A470,3)="ITG")</formula>
    </cfRule>
  </conditionalFormatting>
  <conditionalFormatting sqref="D470">
    <cfRule type="expression" dxfId="1612" priority="1609" stopIfTrue="1">
      <formula>OR(LEFT(D470,4)="KHTT",LEFT(D470,5)="10USD",RIGHT(D470,3)="TTC",LEFT(D470,3)="TNT")</formula>
    </cfRule>
    <cfRule type="expression" dxfId="1611" priority="1610" stopIfTrue="1">
      <formula>OR(LEFT(D470,3)="CTU",LEFT(D470,4)="HDON")</formula>
    </cfRule>
    <cfRule type="expression" dxfId="1610" priority="1611" stopIfTrue="1">
      <formula>OR(LEFT(D470,4)="HOLD",OR(A470="QTNP",A470="HOA THO",A470="YES VINA",A470="HUNG YEN",A470="TEX GIANG",A470="HUNG LONG"),LEFT(A470,5)="HANES",LEFT(A470,3)="ITG")</formula>
    </cfRule>
  </conditionalFormatting>
  <conditionalFormatting sqref="D470">
    <cfRule type="expression" dxfId="1609" priority="1606" stopIfTrue="1">
      <formula>OR(LEFT(D470,4)="KHTT",LEFT(D470,5)="10USD",RIGHT(D470,3)="TTC",LEFT(D470,3)="TNT")</formula>
    </cfRule>
    <cfRule type="expression" dxfId="1608" priority="1607" stopIfTrue="1">
      <formula>OR(LEFT(D470,3)="CTU",LEFT(D470,4)="HDON")</formula>
    </cfRule>
    <cfRule type="expression" dxfId="1607" priority="1608" stopIfTrue="1">
      <formula>OR(LEFT(D470,4)="HOLD",OR(A470="QTNP",A470="HOA THO",A470="YES VINA",A470="HUNG YEN",A470="TEX GIANG",A470="HUNG LONG"),LEFT(A470,5)="HANES",LEFT(A470,3)="ITG")</formula>
    </cfRule>
  </conditionalFormatting>
  <conditionalFormatting sqref="D469">
    <cfRule type="expression" dxfId="1606" priority="1603" stopIfTrue="1">
      <formula>OR(LEFT(D469,4)="KHTT",LEFT(D469,5)="10USD",RIGHT(D469,3)="TTC",LEFT(D469,3)="TNT")</formula>
    </cfRule>
    <cfRule type="expression" dxfId="1605" priority="1604" stopIfTrue="1">
      <formula>OR(LEFT(D469,3)="CTU",LEFT(D469,4)="HDON")</formula>
    </cfRule>
    <cfRule type="expression" dxfId="1604" priority="1605" stopIfTrue="1">
      <formula>OR(LEFT(D469,4)="HOLD",OR(A469="QTNP",A469="HOA THO",A469="YES VINA",A469="HUNG YEN",A469="TEX GIANG",A469="HUNG LONG"),LEFT(A469,5)="HANES",LEFT(A469,3)="ITG")</formula>
    </cfRule>
  </conditionalFormatting>
  <conditionalFormatting sqref="D469">
    <cfRule type="expression" dxfId="1603" priority="1600" stopIfTrue="1">
      <formula>OR(LEFT(D469,4)="KHTT",LEFT(D469,5)="10USD",RIGHT(D469,3)="TTC",LEFT(D469,3)="TNT")</formula>
    </cfRule>
    <cfRule type="expression" dxfId="1602" priority="1601" stopIfTrue="1">
      <formula>OR(LEFT(D469,3)="CTU",LEFT(D469,4)="HDON")</formula>
    </cfRule>
    <cfRule type="expression" dxfId="1601" priority="1602" stopIfTrue="1">
      <formula>OR(LEFT(D469,4)="HOLD",OR(A469="QTNP",A469="HOA THO",A469="YES VINA",A469="HUNG YEN",A469="TEX GIANG",A469="HUNG LONG"),LEFT(A469,5)="HANES",LEFT(A469,3)="ITG")</formula>
    </cfRule>
  </conditionalFormatting>
  <conditionalFormatting sqref="D470">
    <cfRule type="expression" dxfId="1600" priority="1597" stopIfTrue="1">
      <formula>OR(LEFT(D470,4)="KHTT",LEFT(D470,5)="10USD",RIGHT(D470,3)="TTC",LEFT(D470,3)="TNT")</formula>
    </cfRule>
    <cfRule type="expression" dxfId="1599" priority="1598" stopIfTrue="1">
      <formula>OR(LEFT(D470,3)="CTU",LEFT(D470,4)="HDON")</formula>
    </cfRule>
    <cfRule type="expression" dxfId="1598" priority="1599" stopIfTrue="1">
      <formula>OR(LEFT(D470,4)="HOLD",OR(A470="QTNP",A470="HOA THO",A470="YES VINA",A470="HUNG YEN",A470="TEX GIANG",A470="HUNG LONG"),LEFT(A470,5)="HANES",LEFT(A470,3)="ITG")</formula>
    </cfRule>
  </conditionalFormatting>
  <conditionalFormatting sqref="D470">
    <cfRule type="expression" dxfId="1597" priority="1594" stopIfTrue="1">
      <formula>OR(LEFT(D470,4)="KHTT",LEFT(D470,5)="10USD",RIGHT(D470,3)="TTC",LEFT(D470,3)="TNT")</formula>
    </cfRule>
    <cfRule type="expression" dxfId="1596" priority="1595" stopIfTrue="1">
      <formula>OR(LEFT(D470,3)="CTU",LEFT(D470,4)="HDON")</formula>
    </cfRule>
    <cfRule type="expression" dxfId="1595" priority="1596" stopIfTrue="1">
      <formula>OR(LEFT(D470,4)="HOLD",OR(A470="QTNP",A470="HOA THO",A470="YES VINA",A470="HUNG YEN",A470="TEX GIANG",A470="HUNG LONG"),LEFT(A470,5)="HANES",LEFT(A470,3)="ITG")</formula>
    </cfRule>
  </conditionalFormatting>
  <conditionalFormatting sqref="D470">
    <cfRule type="expression" dxfId="1594" priority="1591" stopIfTrue="1">
      <formula>OR(LEFT(D470,4)="KHTT",LEFT(D470,5)="10USD",RIGHT(D470,3)="TTC",LEFT(D470,3)="TNT")</formula>
    </cfRule>
    <cfRule type="expression" dxfId="1593" priority="1592" stopIfTrue="1">
      <formula>OR(LEFT(D470,3)="CTU",LEFT(D470,4)="HDON")</formula>
    </cfRule>
    <cfRule type="expression" dxfId="1592" priority="1593" stopIfTrue="1">
      <formula>OR(LEFT(D470,4)="HOLD",OR(A470="QTNP",A470="HOA THO",A470="YES VINA",A470="HUNG YEN",A470="TEX GIANG",A470="HUNG LONG"),LEFT(A470,5)="HANES",LEFT(A470,3)="ITG")</formula>
    </cfRule>
  </conditionalFormatting>
  <conditionalFormatting sqref="D470">
    <cfRule type="expression" dxfId="1591" priority="1588" stopIfTrue="1">
      <formula>OR(LEFT(D470,4)="KHTT",LEFT(D470,5)="10USD",RIGHT(D470,3)="TTC",LEFT(D470,3)="TNT")</formula>
    </cfRule>
    <cfRule type="expression" dxfId="1590" priority="1589" stopIfTrue="1">
      <formula>OR(LEFT(D470,3)="CTU",LEFT(D470,4)="HDON")</formula>
    </cfRule>
    <cfRule type="expression" dxfId="1589" priority="1590" stopIfTrue="1">
      <formula>OR(LEFT(D470,4)="HOLD",OR(A470="QTNP",A470="HOA THO",A470="YES VINA",A470="HUNG YEN",A470="TEX GIANG",A470="HUNG LONG"),LEFT(A470,5)="HANES",LEFT(A470,3)="ITG")</formula>
    </cfRule>
  </conditionalFormatting>
  <conditionalFormatting sqref="D469">
    <cfRule type="expression" dxfId="1588" priority="1585" stopIfTrue="1">
      <formula>OR(LEFT(D469,4)="KHTT",LEFT(D469,5)="10USD",RIGHT(D469,3)="TTC",LEFT(D469,3)="TNT")</formula>
    </cfRule>
    <cfRule type="expression" dxfId="1587" priority="1586" stopIfTrue="1">
      <formula>OR(LEFT(D469,3)="CTU",LEFT(D469,4)="HDON")</formula>
    </cfRule>
    <cfRule type="expression" dxfId="1586" priority="1587" stopIfTrue="1">
      <formula>OR(LEFT(D469,4)="HOLD",OR(A469="QTNP",A469="HOA THO",A469="YES VINA",A469="HUNG YEN",A469="TEX GIANG",A469="HUNG LONG"),LEFT(A469,5)="HANES",LEFT(A469,3)="ITG")</formula>
    </cfRule>
  </conditionalFormatting>
  <conditionalFormatting sqref="D469">
    <cfRule type="expression" dxfId="1585" priority="1582" stopIfTrue="1">
      <formula>OR(LEFT(D469,4)="KHTT",LEFT(D469,5)="10USD",RIGHT(D469,3)="TTC",LEFT(D469,3)="TNT")</formula>
    </cfRule>
    <cfRule type="expression" dxfId="1584" priority="1583" stopIfTrue="1">
      <formula>OR(LEFT(D469,3)="CTU",LEFT(D469,4)="HDON")</formula>
    </cfRule>
    <cfRule type="expression" dxfId="1583" priority="1584" stopIfTrue="1">
      <formula>OR(LEFT(D469,4)="HOLD",OR(A469="QTNP",A469="HOA THO",A469="YES VINA",A469="HUNG YEN",A469="TEX GIANG",A469="HUNG LONG"),LEFT(A469,5)="HANES",LEFT(A469,3)="ITG")</formula>
    </cfRule>
  </conditionalFormatting>
  <conditionalFormatting sqref="D470">
    <cfRule type="expression" dxfId="1582" priority="1579" stopIfTrue="1">
      <formula>OR(LEFT(D470,4)="KHTT",LEFT(D470,5)="10USD",RIGHT(D470,3)="TTC",LEFT(D470,3)="TNT")</formula>
    </cfRule>
    <cfRule type="expression" dxfId="1581" priority="1580" stopIfTrue="1">
      <formula>OR(LEFT(D470,3)="CTU",LEFT(D470,4)="HDON")</formula>
    </cfRule>
    <cfRule type="expression" dxfId="1580" priority="1581" stopIfTrue="1">
      <formula>OR(LEFT(D470,4)="HOLD",OR(A470="QTNP",A470="HOA THO",A470="YES VINA",A470="HUNG YEN",A470="TEX GIANG",A470="HUNG LONG"),LEFT(A470,5)="HANES",LEFT(A470,3)="ITG")</formula>
    </cfRule>
  </conditionalFormatting>
  <conditionalFormatting sqref="D470">
    <cfRule type="expression" dxfId="1579" priority="1576" stopIfTrue="1">
      <formula>OR(LEFT(D470,4)="KHTT",LEFT(D470,5)="10USD",RIGHT(D470,3)="TTC",LEFT(D470,3)="TNT")</formula>
    </cfRule>
    <cfRule type="expression" dxfId="1578" priority="1577" stopIfTrue="1">
      <formula>OR(LEFT(D470,3)="CTU",LEFT(D470,4)="HDON")</formula>
    </cfRule>
    <cfRule type="expression" dxfId="1577" priority="1578" stopIfTrue="1">
      <formula>OR(LEFT(D470,4)="HOLD",OR(A470="QTNP",A470="HOA THO",A470="YES VINA",A470="HUNG YEN",A470="TEX GIANG",A470="HUNG LONG"),LEFT(A470,5)="HANES",LEFT(A470,3)="ITG")</formula>
    </cfRule>
  </conditionalFormatting>
  <conditionalFormatting sqref="D470">
    <cfRule type="expression" dxfId="1576" priority="1573" stopIfTrue="1">
      <formula>OR(LEFT(D470,4)="KHTT",LEFT(D470,5)="10USD",RIGHT(D470,3)="TTC",LEFT(D470,3)="TNT")</formula>
    </cfRule>
    <cfRule type="expression" dxfId="1575" priority="1574" stopIfTrue="1">
      <formula>OR(LEFT(D470,3)="CTU",LEFT(D470,4)="HDON")</formula>
    </cfRule>
    <cfRule type="expression" dxfId="1574" priority="1575" stopIfTrue="1">
      <formula>OR(LEFT(D470,4)="HOLD",OR(A470="QTNP",A470="HOA THO",A470="YES VINA",A470="HUNG YEN",A470="TEX GIANG",A470="HUNG LONG"),LEFT(A470,5)="HANES",LEFT(A470,3)="ITG")</formula>
    </cfRule>
  </conditionalFormatting>
  <conditionalFormatting sqref="D470">
    <cfRule type="expression" dxfId="1573" priority="1570" stopIfTrue="1">
      <formula>OR(LEFT(D470,4)="KHTT",LEFT(D470,5)="10USD",RIGHT(D470,3)="TTC",LEFT(D470,3)="TNT")</formula>
    </cfRule>
    <cfRule type="expression" dxfId="1572" priority="1571" stopIfTrue="1">
      <formula>OR(LEFT(D470,3)="CTU",LEFT(D470,4)="HDON")</formula>
    </cfRule>
    <cfRule type="expression" dxfId="1571" priority="1572" stopIfTrue="1">
      <formula>OR(LEFT(D470,4)="HOLD",OR(A470="QTNP",A470="HOA THO",A470="YES VINA",A470="HUNG YEN",A470="TEX GIANG",A470="HUNG LONG"),LEFT(A470,5)="HANES",LEFT(A470,3)="ITG")</formula>
    </cfRule>
  </conditionalFormatting>
  <conditionalFormatting sqref="D469">
    <cfRule type="expression" dxfId="1570" priority="1567" stopIfTrue="1">
      <formula>OR(LEFT(D469,4)="KHTT",LEFT(D469,5)="10USD",RIGHT(D469,3)="TTC",LEFT(D469,3)="TNT")</formula>
    </cfRule>
    <cfRule type="expression" dxfId="1569" priority="1568" stopIfTrue="1">
      <formula>OR(LEFT(D469,3)="CTU",LEFT(D469,4)="HDON")</formula>
    </cfRule>
    <cfRule type="expression" dxfId="1568" priority="1569" stopIfTrue="1">
      <formula>OR(LEFT(D469,4)="HOLD",OR(A469="QTNP",A469="HOA THO",A469="YES VINA",A469="HUNG YEN",A469="TEX GIANG",A469="HUNG LONG"),LEFT(A469,5)="HANES",LEFT(A469,3)="ITG")</formula>
    </cfRule>
  </conditionalFormatting>
  <conditionalFormatting sqref="D469">
    <cfRule type="expression" dxfId="1567" priority="1564" stopIfTrue="1">
      <formula>OR(LEFT(D469,4)="KHTT",LEFT(D469,5)="10USD",RIGHT(D469,3)="TTC",LEFT(D469,3)="TNT")</formula>
    </cfRule>
    <cfRule type="expression" dxfId="1566" priority="1565" stopIfTrue="1">
      <formula>OR(LEFT(D469,3)="CTU",LEFT(D469,4)="HDON")</formula>
    </cfRule>
    <cfRule type="expression" dxfId="1565" priority="1566" stopIfTrue="1">
      <formula>OR(LEFT(D469,4)="HOLD",OR(A469="QTNP",A469="HOA THO",A469="YES VINA",A469="HUNG YEN",A469="TEX GIANG",A469="HUNG LONG"),LEFT(A469,5)="HANES",LEFT(A469,3)="ITG")</formula>
    </cfRule>
  </conditionalFormatting>
  <conditionalFormatting sqref="D470">
    <cfRule type="expression" dxfId="1564" priority="1561" stopIfTrue="1">
      <formula>OR(LEFT(D470,4)="KHTT",LEFT(D470,5)="10USD",RIGHT(D470,3)="TTC",LEFT(D470,3)="TNT")</formula>
    </cfRule>
    <cfRule type="expression" dxfId="1563" priority="1562" stopIfTrue="1">
      <formula>OR(LEFT(D470,3)="CTU",LEFT(D470,4)="HDON")</formula>
    </cfRule>
    <cfRule type="expression" dxfId="1562" priority="1563" stopIfTrue="1">
      <formula>OR(LEFT(D470,4)="HOLD",OR(A470="QTNP",A470="HOA THO",A470="YES VINA",A470="HUNG YEN",A470="TEX GIANG",A470="HUNG LONG"),LEFT(A470,5)="HANES",LEFT(A470,3)="ITG")</formula>
    </cfRule>
  </conditionalFormatting>
  <conditionalFormatting sqref="D470">
    <cfRule type="expression" dxfId="1561" priority="1558" stopIfTrue="1">
      <formula>OR(LEFT(D470,4)="KHTT",LEFT(D470,5)="10USD",RIGHT(D470,3)="TTC",LEFT(D470,3)="TNT")</formula>
    </cfRule>
    <cfRule type="expression" dxfId="1560" priority="1559" stopIfTrue="1">
      <formula>OR(LEFT(D470,3)="CTU",LEFT(D470,4)="HDON")</formula>
    </cfRule>
    <cfRule type="expression" dxfId="1559" priority="1560" stopIfTrue="1">
      <formula>OR(LEFT(D470,4)="HOLD",OR(A470="QTNP",A470="HOA THO",A470="YES VINA",A470="HUNG YEN",A470="TEX GIANG",A470="HUNG LONG"),LEFT(A470,5)="HANES",LEFT(A470,3)="ITG")</formula>
    </cfRule>
  </conditionalFormatting>
  <conditionalFormatting sqref="D470">
    <cfRule type="expression" dxfId="1558" priority="1555" stopIfTrue="1">
      <formula>OR(LEFT(D470,4)="KHTT",LEFT(D470,5)="10USD",RIGHT(D470,3)="TTC",LEFT(D470,3)="TNT")</formula>
    </cfRule>
    <cfRule type="expression" dxfId="1557" priority="1556" stopIfTrue="1">
      <formula>OR(LEFT(D470,3)="CTU",LEFT(D470,4)="HDON")</formula>
    </cfRule>
    <cfRule type="expression" dxfId="1556" priority="1557" stopIfTrue="1">
      <formula>OR(LEFT(D470,4)="HOLD",OR(A470="QTNP",A470="HOA THO",A470="YES VINA",A470="HUNG YEN",A470="TEX GIANG",A470="HUNG LONG"),LEFT(A470,5)="HANES",LEFT(A470,3)="ITG")</formula>
    </cfRule>
  </conditionalFormatting>
  <conditionalFormatting sqref="D470">
    <cfRule type="expression" dxfId="1555" priority="1552" stopIfTrue="1">
      <formula>OR(LEFT(D470,4)="KHTT",LEFT(D470,5)="10USD",RIGHT(D470,3)="TTC",LEFT(D470,3)="TNT")</formula>
    </cfRule>
    <cfRule type="expression" dxfId="1554" priority="1553" stopIfTrue="1">
      <formula>OR(LEFT(D470,3)="CTU",LEFT(D470,4)="HDON")</formula>
    </cfRule>
    <cfRule type="expression" dxfId="1553" priority="1554" stopIfTrue="1">
      <formula>OR(LEFT(D470,4)="HOLD",OR(A470="QTNP",A470="HOA THO",A470="YES VINA",A470="HUNG YEN",A470="TEX GIANG",A470="HUNG LONG"),LEFT(A470,5)="HANES",LEFT(A470,3)="ITG")</formula>
    </cfRule>
  </conditionalFormatting>
  <conditionalFormatting sqref="D469">
    <cfRule type="expression" dxfId="1552" priority="1549" stopIfTrue="1">
      <formula>OR(LEFT(D469,4)="KHTT",LEFT(D469,5)="10USD",RIGHT(D469,3)="TTC",LEFT(D469,3)="TNT")</formula>
    </cfRule>
    <cfRule type="expression" dxfId="1551" priority="1550" stopIfTrue="1">
      <formula>OR(LEFT(D469,3)="CTU",LEFT(D469,4)="HDON")</formula>
    </cfRule>
    <cfRule type="expression" dxfId="1550" priority="1551" stopIfTrue="1">
      <formula>OR(LEFT(D469,4)="HOLD",OR(A469="QTNP",A469="HOA THO",A469="YES VINA",A469="HUNG YEN",A469="TEX GIANG",A469="HUNG LONG"),LEFT(A469,5)="HANES",LEFT(A469,3)="ITG")</formula>
    </cfRule>
  </conditionalFormatting>
  <conditionalFormatting sqref="D469">
    <cfRule type="expression" dxfId="1549" priority="1546" stopIfTrue="1">
      <formula>OR(LEFT(D469,4)="KHTT",LEFT(D469,5)="10USD",RIGHT(D469,3)="TTC",LEFT(D469,3)="TNT")</formula>
    </cfRule>
    <cfRule type="expression" dxfId="1548" priority="1547" stopIfTrue="1">
      <formula>OR(LEFT(D469,3)="CTU",LEFT(D469,4)="HDON")</formula>
    </cfRule>
    <cfRule type="expression" dxfId="1547" priority="1548" stopIfTrue="1">
      <formula>OR(LEFT(D469,4)="HOLD",OR(A469="QTNP",A469="HOA THO",A469="YES VINA",A469="HUNG YEN",A469="TEX GIANG",A469="HUNG LONG"),LEFT(A469,5)="HANES",LEFT(A469,3)="ITG")</formula>
    </cfRule>
  </conditionalFormatting>
  <conditionalFormatting sqref="D470">
    <cfRule type="expression" dxfId="1546" priority="1543" stopIfTrue="1">
      <formula>OR(LEFT(D470,4)="KHTT",LEFT(D470,5)="10USD",RIGHT(D470,3)="TTC",LEFT(D470,3)="TNT")</formula>
    </cfRule>
    <cfRule type="expression" dxfId="1545" priority="1544" stopIfTrue="1">
      <formula>OR(LEFT(D470,3)="CTU",LEFT(D470,4)="HDON")</formula>
    </cfRule>
    <cfRule type="expression" dxfId="1544" priority="1545" stopIfTrue="1">
      <formula>OR(LEFT(D470,4)="HOLD",OR(A470="QTNP",A470="HOA THO",A470="YES VINA",A470="HUNG YEN",A470="TEX GIANG",A470="HUNG LONG"),LEFT(A470,5)="HANES",LEFT(A470,3)="ITG")</formula>
    </cfRule>
  </conditionalFormatting>
  <conditionalFormatting sqref="D470">
    <cfRule type="expression" dxfId="1543" priority="1540" stopIfTrue="1">
      <formula>OR(LEFT(D470,4)="KHTT",LEFT(D470,5)="10USD",RIGHT(D470,3)="TTC",LEFT(D470,3)="TNT")</formula>
    </cfRule>
    <cfRule type="expression" dxfId="1542" priority="1541" stopIfTrue="1">
      <formula>OR(LEFT(D470,3)="CTU",LEFT(D470,4)="HDON")</formula>
    </cfRule>
    <cfRule type="expression" dxfId="1541" priority="1542" stopIfTrue="1">
      <formula>OR(LEFT(D470,4)="HOLD",OR(A470="QTNP",A470="HOA THO",A470="YES VINA",A470="HUNG YEN",A470="TEX GIANG",A470="HUNG LONG"),LEFT(A470,5)="HANES",LEFT(A470,3)="ITG")</formula>
    </cfRule>
  </conditionalFormatting>
  <conditionalFormatting sqref="D470">
    <cfRule type="expression" dxfId="1540" priority="1537" stopIfTrue="1">
      <formula>OR(LEFT(D470,4)="KHTT",LEFT(D470,5)="10USD",RIGHT(D470,3)="TTC",LEFT(D470,3)="TNT")</formula>
    </cfRule>
    <cfRule type="expression" dxfId="1539" priority="1538" stopIfTrue="1">
      <formula>OR(LEFT(D470,3)="CTU",LEFT(D470,4)="HDON")</formula>
    </cfRule>
    <cfRule type="expression" dxfId="1538" priority="1539" stopIfTrue="1">
      <formula>OR(LEFT(D470,4)="HOLD",OR(A470="QTNP",A470="HOA THO",A470="YES VINA",A470="HUNG YEN",A470="TEX GIANG",A470="HUNG LONG"),LEFT(A470,5)="HANES",LEFT(A470,3)="ITG")</formula>
    </cfRule>
  </conditionalFormatting>
  <conditionalFormatting sqref="D470">
    <cfRule type="expression" dxfId="1537" priority="1534" stopIfTrue="1">
      <formula>OR(LEFT(D470,4)="KHTT",LEFT(D470,5)="10USD",RIGHT(D470,3)="TTC",LEFT(D470,3)="TNT")</formula>
    </cfRule>
    <cfRule type="expression" dxfId="1536" priority="1535" stopIfTrue="1">
      <formula>OR(LEFT(D470,3)="CTU",LEFT(D470,4)="HDON")</formula>
    </cfRule>
    <cfRule type="expression" dxfId="1535" priority="1536" stopIfTrue="1">
      <formula>OR(LEFT(D470,4)="HOLD",OR(A470="QTNP",A470="HOA THO",A470="YES VINA",A470="HUNG YEN",A470="TEX GIANG",A470="HUNG LONG"),LEFT(A470,5)="HANES",LEFT(A470,3)="ITG")</formula>
    </cfRule>
  </conditionalFormatting>
  <conditionalFormatting sqref="D469">
    <cfRule type="expression" dxfId="1534" priority="1531" stopIfTrue="1">
      <formula>OR(LEFT(D469,4)="KHTT",LEFT(D469,5)="10USD",RIGHT(D469,3)="TTC",LEFT(D469,3)="TNT")</formula>
    </cfRule>
    <cfRule type="expression" dxfId="1533" priority="1532" stopIfTrue="1">
      <formula>OR(LEFT(D469,3)="CTU",LEFT(D469,4)="HDON")</formula>
    </cfRule>
    <cfRule type="expression" dxfId="1532" priority="1533" stopIfTrue="1">
      <formula>OR(LEFT(D469,4)="HOLD",OR(A469="QTNP",A469="HOA THO",A469="YES VINA",A469="HUNG YEN",A469="TEX GIANG",A469="HUNG LONG"),LEFT(A469,5)="HANES",LEFT(A469,3)="ITG")</formula>
    </cfRule>
  </conditionalFormatting>
  <conditionalFormatting sqref="D469">
    <cfRule type="expression" dxfId="1531" priority="1528" stopIfTrue="1">
      <formula>OR(LEFT(D469,4)="KHTT",LEFT(D469,5)="10USD",RIGHT(D469,3)="TTC",LEFT(D469,3)="TNT")</formula>
    </cfRule>
    <cfRule type="expression" dxfId="1530" priority="1529" stopIfTrue="1">
      <formula>OR(LEFT(D469,3)="CTU",LEFT(D469,4)="HDON")</formula>
    </cfRule>
    <cfRule type="expression" dxfId="1529" priority="1530" stopIfTrue="1">
      <formula>OR(LEFT(D469,4)="HOLD",OR(A469="QTNP",A469="HOA THO",A469="YES VINA",A469="HUNG YEN",A469="TEX GIANG",A469="HUNG LONG"),LEFT(A469,5)="HANES",LEFT(A469,3)="ITG")</formula>
    </cfRule>
  </conditionalFormatting>
  <conditionalFormatting sqref="D470">
    <cfRule type="expression" dxfId="1528" priority="1525" stopIfTrue="1">
      <formula>OR(LEFT(D470,4)="KHTT",LEFT(D470,5)="10USD",RIGHT(D470,3)="TTC",LEFT(D470,3)="TNT")</formula>
    </cfRule>
    <cfRule type="expression" dxfId="1527" priority="1526" stopIfTrue="1">
      <formula>OR(LEFT(D470,3)="CTU",LEFT(D470,4)="HDON")</formula>
    </cfRule>
    <cfRule type="expression" dxfId="1526" priority="1527" stopIfTrue="1">
      <formula>OR(LEFT(D470,4)="HOLD",OR(A470="QTNP",A470="HOA THO",A470="YES VINA",A470="HUNG YEN",A470="TEX GIANG",A470="HUNG LONG"),LEFT(A470,5)="HANES",LEFT(A470,3)="ITG")</formula>
    </cfRule>
  </conditionalFormatting>
  <conditionalFormatting sqref="D470">
    <cfRule type="expression" dxfId="1525" priority="1522" stopIfTrue="1">
      <formula>OR(LEFT(D470,4)="KHTT",LEFT(D470,5)="10USD",RIGHT(D470,3)="TTC",LEFT(D470,3)="TNT")</formula>
    </cfRule>
    <cfRule type="expression" dxfId="1524" priority="1523" stopIfTrue="1">
      <formula>OR(LEFT(D470,3)="CTU",LEFT(D470,4)="HDON")</formula>
    </cfRule>
    <cfRule type="expression" dxfId="1523" priority="1524" stopIfTrue="1">
      <formula>OR(LEFT(D470,4)="HOLD",OR(A470="QTNP",A470="HOA THO",A470="YES VINA",A470="HUNG YEN",A470="TEX GIANG",A470="HUNG LONG"),LEFT(A470,5)="HANES",LEFT(A470,3)="ITG")</formula>
    </cfRule>
  </conditionalFormatting>
  <conditionalFormatting sqref="D470">
    <cfRule type="expression" dxfId="1522" priority="1519" stopIfTrue="1">
      <formula>OR(LEFT(D470,4)="KHTT",LEFT(D470,5)="10USD",RIGHT(D470,3)="TTC",LEFT(D470,3)="TNT")</formula>
    </cfRule>
    <cfRule type="expression" dxfId="1521" priority="1520" stopIfTrue="1">
      <formula>OR(LEFT(D470,3)="CTU",LEFT(D470,4)="HDON")</formula>
    </cfRule>
    <cfRule type="expression" dxfId="1520" priority="1521" stopIfTrue="1">
      <formula>OR(LEFT(D470,4)="HOLD",OR(A470="QTNP",A470="HOA THO",A470="YES VINA",A470="HUNG YEN",A470="TEX GIANG",A470="HUNG LONG"),LEFT(A470,5)="HANES",LEFT(A470,3)="ITG")</formula>
    </cfRule>
  </conditionalFormatting>
  <conditionalFormatting sqref="D470">
    <cfRule type="expression" dxfId="1519" priority="1516" stopIfTrue="1">
      <formula>OR(LEFT(D470,4)="KHTT",LEFT(D470,5)="10USD",RIGHT(D470,3)="TTC",LEFT(D470,3)="TNT")</formula>
    </cfRule>
    <cfRule type="expression" dxfId="1518" priority="1517" stopIfTrue="1">
      <formula>OR(LEFT(D470,3)="CTU",LEFT(D470,4)="HDON")</formula>
    </cfRule>
    <cfRule type="expression" dxfId="1517" priority="1518" stopIfTrue="1">
      <formula>OR(LEFT(D470,4)="HOLD",OR(A470="QTNP",A470="HOA THO",A470="YES VINA",A470="HUNG YEN",A470="TEX GIANG",A470="HUNG LONG"),LEFT(A470,5)="HANES",LEFT(A470,3)="ITG")</formula>
    </cfRule>
  </conditionalFormatting>
  <conditionalFormatting sqref="D469">
    <cfRule type="expression" dxfId="1516" priority="1513" stopIfTrue="1">
      <formula>OR(LEFT(D469,4)="KHTT",LEFT(D469,5)="10USD",RIGHT(D469,3)="TTC",LEFT(D469,3)="TNT")</formula>
    </cfRule>
    <cfRule type="expression" dxfId="1515" priority="1514" stopIfTrue="1">
      <formula>OR(LEFT(D469,3)="CTU",LEFT(D469,4)="HDON")</formula>
    </cfRule>
    <cfRule type="expression" dxfId="1514" priority="1515" stopIfTrue="1">
      <formula>OR(LEFT(D469,4)="HOLD",OR(A469="QTNP",A469="HOA THO",A469="YES VINA",A469="HUNG YEN",A469="TEX GIANG",A469="HUNG LONG"),LEFT(A469,5)="HANES",LEFT(A469,3)="ITG")</formula>
    </cfRule>
  </conditionalFormatting>
  <conditionalFormatting sqref="D469">
    <cfRule type="expression" dxfId="1513" priority="1510" stopIfTrue="1">
      <formula>OR(LEFT(D469,4)="KHTT",LEFT(D469,5)="10USD",RIGHT(D469,3)="TTC",LEFT(D469,3)="TNT")</formula>
    </cfRule>
    <cfRule type="expression" dxfId="1512" priority="1511" stopIfTrue="1">
      <formula>OR(LEFT(D469,3)="CTU",LEFT(D469,4)="HDON")</formula>
    </cfRule>
    <cfRule type="expression" dxfId="1511" priority="1512" stopIfTrue="1">
      <formula>OR(LEFT(D469,4)="HOLD",OR(A469="QTNP",A469="HOA THO",A469="YES VINA",A469="HUNG YEN",A469="TEX GIANG",A469="HUNG LONG"),LEFT(A469,5)="HANES",LEFT(A469,3)="ITG")</formula>
    </cfRule>
  </conditionalFormatting>
  <conditionalFormatting sqref="D470">
    <cfRule type="expression" dxfId="1510" priority="1507" stopIfTrue="1">
      <formula>OR(LEFT(D470,4)="KHTT",LEFT(D470,5)="10USD",RIGHT(D470,3)="TTC",LEFT(D470,3)="TNT")</formula>
    </cfRule>
    <cfRule type="expression" dxfId="1509" priority="1508" stopIfTrue="1">
      <formula>OR(LEFT(D470,3)="CTU",LEFT(D470,4)="HDON")</formula>
    </cfRule>
    <cfRule type="expression" dxfId="1508" priority="1509" stopIfTrue="1">
      <formula>OR(LEFT(D470,4)="HOLD",OR(A470="QTNP",A470="HOA THO",A470="YES VINA",A470="HUNG YEN",A470="TEX GIANG",A470="HUNG LONG"),LEFT(A470,5)="HANES",LEFT(A470,3)="ITG")</formula>
    </cfRule>
  </conditionalFormatting>
  <conditionalFormatting sqref="D470">
    <cfRule type="expression" dxfId="1507" priority="1504" stopIfTrue="1">
      <formula>OR(LEFT(D470,4)="KHTT",LEFT(D470,5)="10USD",RIGHT(D470,3)="TTC",LEFT(D470,3)="TNT")</formula>
    </cfRule>
    <cfRule type="expression" dxfId="1506" priority="1505" stopIfTrue="1">
      <formula>OR(LEFT(D470,3)="CTU",LEFT(D470,4)="HDON")</formula>
    </cfRule>
    <cfRule type="expression" dxfId="1505" priority="1506" stopIfTrue="1">
      <formula>OR(LEFT(D470,4)="HOLD",OR(A470="QTNP",A470="HOA THO",A470="YES VINA",A470="HUNG YEN",A470="TEX GIANG",A470="HUNG LONG"),LEFT(A470,5)="HANES",LEFT(A470,3)="ITG")</formula>
    </cfRule>
  </conditionalFormatting>
  <conditionalFormatting sqref="D470">
    <cfRule type="expression" dxfId="1504" priority="1501" stopIfTrue="1">
      <formula>OR(LEFT(D470,4)="KHTT",LEFT(D470,5)="10USD",RIGHT(D470,3)="TTC",LEFT(D470,3)="TNT")</formula>
    </cfRule>
    <cfRule type="expression" dxfId="1503" priority="1502" stopIfTrue="1">
      <formula>OR(LEFT(D470,3)="CTU",LEFT(D470,4)="HDON")</formula>
    </cfRule>
    <cfRule type="expression" dxfId="1502" priority="1503" stopIfTrue="1">
      <formula>OR(LEFT(D470,4)="HOLD",OR(A470="QTNP",A470="HOA THO",A470="YES VINA",A470="HUNG YEN",A470="TEX GIANG",A470="HUNG LONG"),LEFT(A470,5)="HANES",LEFT(A470,3)="ITG")</formula>
    </cfRule>
  </conditionalFormatting>
  <conditionalFormatting sqref="D470">
    <cfRule type="expression" dxfId="1501" priority="1498" stopIfTrue="1">
      <formula>OR(LEFT(D470,4)="KHTT",LEFT(D470,5)="10USD",RIGHT(D470,3)="TTC",LEFT(D470,3)="TNT")</formula>
    </cfRule>
    <cfRule type="expression" dxfId="1500" priority="1499" stopIfTrue="1">
      <formula>OR(LEFT(D470,3)="CTU",LEFT(D470,4)="HDON")</formula>
    </cfRule>
    <cfRule type="expression" dxfId="1499" priority="1500" stopIfTrue="1">
      <formula>OR(LEFT(D470,4)="HOLD",OR(A470="QTNP",A470="HOA THO",A470="YES VINA",A470="HUNG YEN",A470="TEX GIANG",A470="HUNG LONG"),LEFT(A470,5)="HANES",LEFT(A470,3)="ITG")</formula>
    </cfRule>
  </conditionalFormatting>
  <conditionalFormatting sqref="D469">
    <cfRule type="expression" dxfId="1498" priority="1495" stopIfTrue="1">
      <formula>OR(LEFT(D469,4)="KHTT",LEFT(D469,5)="10USD",RIGHT(D469,3)="TTC",LEFT(D469,3)="TNT")</formula>
    </cfRule>
    <cfRule type="expression" dxfId="1497" priority="1496" stopIfTrue="1">
      <formula>OR(LEFT(D469,3)="CTU",LEFT(D469,4)="HDON")</formula>
    </cfRule>
    <cfRule type="expression" dxfId="1496" priority="1497" stopIfTrue="1">
      <formula>OR(LEFT(D469,4)="HOLD",OR(A469="QTNP",A469="HOA THO",A469="YES VINA",A469="HUNG YEN",A469="TEX GIANG",A469="HUNG LONG"),LEFT(A469,5)="HANES",LEFT(A469,3)="ITG")</formula>
    </cfRule>
  </conditionalFormatting>
  <conditionalFormatting sqref="D469">
    <cfRule type="expression" dxfId="1495" priority="1492" stopIfTrue="1">
      <formula>OR(LEFT(D469,4)="KHTT",LEFT(D469,5)="10USD",RIGHT(D469,3)="TTC",LEFT(D469,3)="TNT")</formula>
    </cfRule>
    <cfRule type="expression" dxfId="1494" priority="1493" stopIfTrue="1">
      <formula>OR(LEFT(D469,3)="CTU",LEFT(D469,4)="HDON")</formula>
    </cfRule>
    <cfRule type="expression" dxfId="1493" priority="1494" stopIfTrue="1">
      <formula>OR(LEFT(D469,4)="HOLD",OR(A469="QTNP",A469="HOA THO",A469="YES VINA",A469="HUNG YEN",A469="TEX GIANG",A469="HUNG LONG"),LEFT(A469,5)="HANES",LEFT(A469,3)="ITG")</formula>
    </cfRule>
  </conditionalFormatting>
  <conditionalFormatting sqref="D470">
    <cfRule type="expression" dxfId="1492" priority="1489" stopIfTrue="1">
      <formula>OR(LEFT(D470,4)="KHTT",LEFT(D470,5)="10USD",RIGHT(D470,3)="TTC",LEFT(D470,3)="TNT")</formula>
    </cfRule>
    <cfRule type="expression" dxfId="1491" priority="1490" stopIfTrue="1">
      <formula>OR(LEFT(D470,3)="CTU",LEFT(D470,4)="HDON")</formula>
    </cfRule>
    <cfRule type="expression" dxfId="1490" priority="1491" stopIfTrue="1">
      <formula>OR(LEFT(D470,4)="HOLD",OR(A470="QTNP",A470="HOA THO",A470="YES VINA",A470="HUNG YEN",A470="TEX GIANG",A470="HUNG LONG"),LEFT(A470,5)="HANES",LEFT(A470,3)="ITG")</formula>
    </cfRule>
  </conditionalFormatting>
  <conditionalFormatting sqref="D470">
    <cfRule type="expression" dxfId="1489" priority="1486" stopIfTrue="1">
      <formula>OR(LEFT(D470,4)="KHTT",LEFT(D470,5)="10USD",RIGHT(D470,3)="TTC",LEFT(D470,3)="TNT")</formula>
    </cfRule>
    <cfRule type="expression" dxfId="1488" priority="1487" stopIfTrue="1">
      <formula>OR(LEFT(D470,3)="CTU",LEFT(D470,4)="HDON")</formula>
    </cfRule>
    <cfRule type="expression" dxfId="1487" priority="1488" stopIfTrue="1">
      <formula>OR(LEFT(D470,4)="HOLD",OR(A470="QTNP",A470="HOA THO",A470="YES VINA",A470="HUNG YEN",A470="TEX GIANG",A470="HUNG LONG"),LEFT(A470,5)="HANES",LEFT(A470,3)="ITG")</formula>
    </cfRule>
  </conditionalFormatting>
  <conditionalFormatting sqref="D470">
    <cfRule type="expression" dxfId="1486" priority="1483" stopIfTrue="1">
      <formula>OR(LEFT(D470,4)="KHTT",LEFT(D470,5)="10USD",RIGHT(D470,3)="TTC",LEFT(D470,3)="TNT")</formula>
    </cfRule>
    <cfRule type="expression" dxfId="1485" priority="1484" stopIfTrue="1">
      <formula>OR(LEFT(D470,3)="CTU",LEFT(D470,4)="HDON")</formula>
    </cfRule>
    <cfRule type="expression" dxfId="1484" priority="1485" stopIfTrue="1">
      <formula>OR(LEFT(D470,4)="HOLD",OR(A470="QTNP",A470="HOA THO",A470="YES VINA",A470="HUNG YEN",A470="TEX GIANG",A470="HUNG LONG"),LEFT(A470,5)="HANES",LEFT(A470,3)="ITG")</formula>
    </cfRule>
  </conditionalFormatting>
  <conditionalFormatting sqref="D470">
    <cfRule type="expression" dxfId="1483" priority="1480" stopIfTrue="1">
      <formula>OR(LEFT(D470,4)="KHTT",LEFT(D470,5)="10USD",RIGHT(D470,3)="TTC",LEFT(D470,3)="TNT")</formula>
    </cfRule>
    <cfRule type="expression" dxfId="1482" priority="1481" stopIfTrue="1">
      <formula>OR(LEFT(D470,3)="CTU",LEFT(D470,4)="HDON")</formula>
    </cfRule>
    <cfRule type="expression" dxfId="1481" priority="1482" stopIfTrue="1">
      <formula>OR(LEFT(D470,4)="HOLD",OR(A470="QTNP",A470="HOA THO",A470="YES VINA",A470="HUNG YEN",A470="TEX GIANG",A470="HUNG LONG"),LEFT(A470,5)="HANES",LEFT(A470,3)="ITG")</formula>
    </cfRule>
  </conditionalFormatting>
  <conditionalFormatting sqref="D469">
    <cfRule type="expression" dxfId="1480" priority="1477" stopIfTrue="1">
      <formula>OR(LEFT(D469,4)="KHTT",LEFT(D469,5)="10USD",RIGHT(D469,3)="TTC",LEFT(D469,3)="TNT")</formula>
    </cfRule>
    <cfRule type="expression" dxfId="1479" priority="1478" stopIfTrue="1">
      <formula>OR(LEFT(D469,3)="CTU",LEFT(D469,4)="HDON")</formula>
    </cfRule>
    <cfRule type="expression" dxfId="1478" priority="1479" stopIfTrue="1">
      <formula>OR(LEFT(D469,4)="HOLD",OR(A469="QTNP",A469="HOA THO",A469="YES VINA",A469="HUNG YEN",A469="TEX GIANG",A469="HUNG LONG"),LEFT(A469,5)="HANES",LEFT(A469,3)="ITG")</formula>
    </cfRule>
  </conditionalFormatting>
  <conditionalFormatting sqref="D469">
    <cfRule type="expression" dxfId="1477" priority="1474" stopIfTrue="1">
      <formula>OR(LEFT(D469,4)="KHTT",LEFT(D469,5)="10USD",RIGHT(D469,3)="TTC",LEFT(D469,3)="TNT")</formula>
    </cfRule>
    <cfRule type="expression" dxfId="1476" priority="1475" stopIfTrue="1">
      <formula>OR(LEFT(D469,3)="CTU",LEFT(D469,4)="HDON")</formula>
    </cfRule>
    <cfRule type="expression" dxfId="1475" priority="1476" stopIfTrue="1">
      <formula>OR(LEFT(D469,4)="HOLD",OR(A469="QTNP",A469="HOA THO",A469="YES VINA",A469="HUNG YEN",A469="TEX GIANG",A469="HUNG LONG"),LEFT(A469,5)="HANES",LEFT(A469,3)="ITG")</formula>
    </cfRule>
  </conditionalFormatting>
  <conditionalFormatting sqref="D470">
    <cfRule type="expression" dxfId="1474" priority="1471" stopIfTrue="1">
      <formula>OR(LEFT(D470,4)="KHTT",LEFT(D470,5)="10USD",RIGHT(D470,3)="TTC",LEFT(D470,3)="TNT")</formula>
    </cfRule>
    <cfRule type="expression" dxfId="1473" priority="1472" stopIfTrue="1">
      <formula>OR(LEFT(D470,3)="CTU",LEFT(D470,4)="HDON")</formula>
    </cfRule>
    <cfRule type="expression" dxfId="1472" priority="1473" stopIfTrue="1">
      <formula>OR(LEFT(D470,4)="HOLD",OR(A470="QTNP",A470="HOA THO",A470="YES VINA",A470="HUNG YEN",A470="TEX GIANG",A470="HUNG LONG"),LEFT(A470,5)="HANES",LEFT(A470,3)="ITG")</formula>
    </cfRule>
  </conditionalFormatting>
  <conditionalFormatting sqref="D470">
    <cfRule type="expression" dxfId="1471" priority="1468" stopIfTrue="1">
      <formula>OR(LEFT(D470,4)="KHTT",LEFT(D470,5)="10USD",RIGHT(D470,3)="TTC",LEFT(D470,3)="TNT")</formula>
    </cfRule>
    <cfRule type="expression" dxfId="1470" priority="1469" stopIfTrue="1">
      <formula>OR(LEFT(D470,3)="CTU",LEFT(D470,4)="HDON")</formula>
    </cfRule>
    <cfRule type="expression" dxfId="1469" priority="1470" stopIfTrue="1">
      <formula>OR(LEFT(D470,4)="HOLD",OR(A470="QTNP",A470="HOA THO",A470="YES VINA",A470="HUNG YEN",A470="TEX GIANG",A470="HUNG LONG"),LEFT(A470,5)="HANES",LEFT(A470,3)="ITG")</formula>
    </cfRule>
  </conditionalFormatting>
  <conditionalFormatting sqref="D470">
    <cfRule type="expression" dxfId="1468" priority="1465" stopIfTrue="1">
      <formula>OR(LEFT(D470,4)="KHTT",LEFT(D470,5)="10USD",RIGHT(D470,3)="TTC",LEFT(D470,3)="TNT")</formula>
    </cfRule>
    <cfRule type="expression" dxfId="1467" priority="1466" stopIfTrue="1">
      <formula>OR(LEFT(D470,3)="CTU",LEFT(D470,4)="HDON")</formula>
    </cfRule>
    <cfRule type="expression" dxfId="1466" priority="1467" stopIfTrue="1">
      <formula>OR(LEFT(D470,4)="HOLD",OR(A470="QTNP",A470="HOA THO",A470="YES VINA",A470="HUNG YEN",A470="TEX GIANG",A470="HUNG LONG"),LEFT(A470,5)="HANES",LEFT(A470,3)="ITG")</formula>
    </cfRule>
  </conditionalFormatting>
  <conditionalFormatting sqref="D470">
    <cfRule type="expression" dxfId="1465" priority="1462" stopIfTrue="1">
      <formula>OR(LEFT(D470,4)="KHTT",LEFT(D470,5)="10USD",RIGHT(D470,3)="TTC",LEFT(D470,3)="TNT")</formula>
    </cfRule>
    <cfRule type="expression" dxfId="1464" priority="1463" stopIfTrue="1">
      <formula>OR(LEFT(D470,3)="CTU",LEFT(D470,4)="HDON")</formula>
    </cfRule>
    <cfRule type="expression" dxfId="1463" priority="1464" stopIfTrue="1">
      <formula>OR(LEFT(D470,4)="HOLD",OR(A470="QTNP",A470="HOA THO",A470="YES VINA",A470="HUNG YEN",A470="TEX GIANG",A470="HUNG LONG"),LEFT(A470,5)="HANES",LEFT(A470,3)="ITG")</formula>
    </cfRule>
  </conditionalFormatting>
  <conditionalFormatting sqref="D469">
    <cfRule type="expression" dxfId="1462" priority="1459" stopIfTrue="1">
      <formula>OR(LEFT(D469,4)="KHTT",LEFT(D469,5)="10USD",RIGHT(D469,3)="TTC",LEFT(D469,3)="TNT")</formula>
    </cfRule>
    <cfRule type="expression" dxfId="1461" priority="1460" stopIfTrue="1">
      <formula>OR(LEFT(D469,3)="CTU",LEFT(D469,4)="HDON")</formula>
    </cfRule>
    <cfRule type="expression" dxfId="1460" priority="1461" stopIfTrue="1">
      <formula>OR(LEFT(D469,4)="HOLD",OR(A469="QTNP",A469="HOA THO",A469="YES VINA",A469="HUNG YEN",A469="TEX GIANG",A469="HUNG LONG"),LEFT(A469,5)="HANES",LEFT(A469,3)="ITG")</formula>
    </cfRule>
  </conditionalFormatting>
  <conditionalFormatting sqref="D469">
    <cfRule type="expression" dxfId="1459" priority="1456" stopIfTrue="1">
      <formula>OR(LEFT(D469,4)="KHTT",LEFT(D469,5)="10USD",RIGHT(D469,3)="TTC",LEFT(D469,3)="TNT")</formula>
    </cfRule>
    <cfRule type="expression" dxfId="1458" priority="1457" stopIfTrue="1">
      <formula>OR(LEFT(D469,3)="CTU",LEFT(D469,4)="HDON")</formula>
    </cfRule>
    <cfRule type="expression" dxfId="1457" priority="1458" stopIfTrue="1">
      <formula>OR(LEFT(D469,4)="HOLD",OR(A469="QTNP",A469="HOA THO",A469="YES VINA",A469="HUNG YEN",A469="TEX GIANG",A469="HUNG LONG"),LEFT(A469,5)="HANES",LEFT(A469,3)="ITG")</formula>
    </cfRule>
  </conditionalFormatting>
  <conditionalFormatting sqref="D470">
    <cfRule type="expression" dxfId="1456" priority="1453" stopIfTrue="1">
      <formula>OR(LEFT(D470,4)="KHTT",LEFT(D470,5)="10USD",RIGHT(D470,3)="TTC",LEFT(D470,3)="TNT")</formula>
    </cfRule>
    <cfRule type="expression" dxfId="1455" priority="1454" stopIfTrue="1">
      <formula>OR(LEFT(D470,3)="CTU",LEFT(D470,4)="HDON")</formula>
    </cfRule>
    <cfRule type="expression" dxfId="1454" priority="1455" stopIfTrue="1">
      <formula>OR(LEFT(D470,4)="HOLD",OR(A470="QTNP",A470="HOA THO",A470="YES VINA",A470="HUNG YEN",A470="TEX GIANG",A470="HUNG LONG"),LEFT(A470,5)="HANES",LEFT(A470,3)="ITG")</formula>
    </cfRule>
  </conditionalFormatting>
  <conditionalFormatting sqref="D470">
    <cfRule type="expression" dxfId="1453" priority="1450" stopIfTrue="1">
      <formula>OR(LEFT(D470,4)="KHTT",LEFT(D470,5)="10USD",RIGHT(D470,3)="TTC",LEFT(D470,3)="TNT")</formula>
    </cfRule>
    <cfRule type="expression" dxfId="1452" priority="1451" stopIfTrue="1">
      <formula>OR(LEFT(D470,3)="CTU",LEFT(D470,4)="HDON")</formula>
    </cfRule>
    <cfRule type="expression" dxfId="1451" priority="1452" stopIfTrue="1">
      <formula>OR(LEFT(D470,4)="HOLD",OR(A470="QTNP",A470="HOA THO",A470="YES VINA",A470="HUNG YEN",A470="TEX GIANG",A470="HUNG LONG"),LEFT(A470,5)="HANES",LEFT(A470,3)="ITG")</formula>
    </cfRule>
  </conditionalFormatting>
  <conditionalFormatting sqref="D470">
    <cfRule type="expression" dxfId="1450" priority="1447" stopIfTrue="1">
      <formula>OR(LEFT(D470,4)="KHTT",LEFT(D470,5)="10USD",RIGHT(D470,3)="TTC",LEFT(D470,3)="TNT")</formula>
    </cfRule>
    <cfRule type="expression" dxfId="1449" priority="1448" stopIfTrue="1">
      <formula>OR(LEFT(D470,3)="CTU",LEFT(D470,4)="HDON")</formula>
    </cfRule>
    <cfRule type="expression" dxfId="1448" priority="1449" stopIfTrue="1">
      <formula>OR(LEFT(D470,4)="HOLD",OR(A470="QTNP",A470="HOA THO",A470="YES VINA",A470="HUNG YEN",A470="TEX GIANG",A470="HUNG LONG"),LEFT(A470,5)="HANES",LEFT(A470,3)="ITG")</formula>
    </cfRule>
  </conditionalFormatting>
  <conditionalFormatting sqref="D470">
    <cfRule type="expression" dxfId="1447" priority="1444" stopIfTrue="1">
      <formula>OR(LEFT(D470,4)="KHTT",LEFT(D470,5)="10USD",RIGHT(D470,3)="TTC",LEFT(D470,3)="TNT")</formula>
    </cfRule>
    <cfRule type="expression" dxfId="1446" priority="1445" stopIfTrue="1">
      <formula>OR(LEFT(D470,3)="CTU",LEFT(D470,4)="HDON")</formula>
    </cfRule>
    <cfRule type="expression" dxfId="1445" priority="1446" stopIfTrue="1">
      <formula>OR(LEFT(D470,4)="HOLD",OR(A470="QTNP",A470="HOA THO",A470="YES VINA",A470="HUNG YEN",A470="TEX GIANG",A470="HUNG LONG"),LEFT(A470,5)="HANES",LEFT(A470,3)="ITG")</formula>
    </cfRule>
  </conditionalFormatting>
  <conditionalFormatting sqref="D469">
    <cfRule type="expression" dxfId="1444" priority="1441" stopIfTrue="1">
      <formula>OR(LEFT(D469,4)="KHTT",LEFT(D469,5)="10USD",RIGHT(D469,3)="TTC",LEFT(D469,3)="TNT")</formula>
    </cfRule>
    <cfRule type="expression" dxfId="1443" priority="1442" stopIfTrue="1">
      <formula>OR(LEFT(D469,3)="CTU",LEFT(D469,4)="HDON")</formula>
    </cfRule>
    <cfRule type="expression" dxfId="1442" priority="1443" stopIfTrue="1">
      <formula>OR(LEFT(D469,4)="HOLD",OR(A469="QTNP",A469="HOA THO",A469="YES VINA",A469="HUNG YEN",A469="TEX GIANG",A469="HUNG LONG"),LEFT(A469,5)="HANES",LEFT(A469,3)="ITG")</formula>
    </cfRule>
  </conditionalFormatting>
  <conditionalFormatting sqref="D469">
    <cfRule type="expression" dxfId="1441" priority="1438" stopIfTrue="1">
      <formula>OR(LEFT(D469,4)="KHTT",LEFT(D469,5)="10USD",RIGHT(D469,3)="TTC",LEFT(D469,3)="TNT")</formula>
    </cfRule>
    <cfRule type="expression" dxfId="1440" priority="1439" stopIfTrue="1">
      <formula>OR(LEFT(D469,3)="CTU",LEFT(D469,4)="HDON")</formula>
    </cfRule>
    <cfRule type="expression" dxfId="1439" priority="1440" stopIfTrue="1">
      <formula>OR(LEFT(D469,4)="HOLD",OR(A469="QTNP",A469="HOA THO",A469="YES VINA",A469="HUNG YEN",A469="TEX GIANG",A469="HUNG LONG"),LEFT(A469,5)="HANES",LEFT(A469,3)="ITG")</formula>
    </cfRule>
  </conditionalFormatting>
  <conditionalFormatting sqref="D470">
    <cfRule type="expression" dxfId="1438" priority="1435" stopIfTrue="1">
      <formula>OR(LEFT(D470,4)="KHTT",LEFT(D470,5)="10USD",RIGHT(D470,3)="TTC",LEFT(D470,3)="TNT")</formula>
    </cfRule>
    <cfRule type="expression" dxfId="1437" priority="1436" stopIfTrue="1">
      <formula>OR(LEFT(D470,3)="CTU",LEFT(D470,4)="HDON")</formula>
    </cfRule>
    <cfRule type="expression" dxfId="1436" priority="1437" stopIfTrue="1">
      <formula>OR(LEFT(D470,4)="HOLD",OR(A470="QTNP",A470="HOA THO",A470="YES VINA",A470="HUNG YEN",A470="TEX GIANG",A470="HUNG LONG"),LEFT(A470,5)="HANES",LEFT(A470,3)="ITG")</formula>
    </cfRule>
  </conditionalFormatting>
  <conditionalFormatting sqref="D470">
    <cfRule type="expression" dxfId="1435" priority="1432" stopIfTrue="1">
      <formula>OR(LEFT(D470,4)="KHTT",LEFT(D470,5)="10USD",RIGHT(D470,3)="TTC",LEFT(D470,3)="TNT")</formula>
    </cfRule>
    <cfRule type="expression" dxfId="1434" priority="1433" stopIfTrue="1">
      <formula>OR(LEFT(D470,3)="CTU",LEFT(D470,4)="HDON")</formula>
    </cfRule>
    <cfRule type="expression" dxfId="1433" priority="1434" stopIfTrue="1">
      <formula>OR(LEFT(D470,4)="HOLD",OR(A470="QTNP",A470="HOA THO",A470="YES VINA",A470="HUNG YEN",A470="TEX GIANG",A470="HUNG LONG"),LEFT(A470,5)="HANES",LEFT(A470,3)="ITG")</formula>
    </cfRule>
  </conditionalFormatting>
  <conditionalFormatting sqref="D470">
    <cfRule type="expression" dxfId="1432" priority="1429" stopIfTrue="1">
      <formula>OR(LEFT(D470,4)="KHTT",LEFT(D470,5)="10USD",RIGHT(D470,3)="TTC",LEFT(D470,3)="TNT")</formula>
    </cfRule>
    <cfRule type="expression" dxfId="1431" priority="1430" stopIfTrue="1">
      <formula>OR(LEFT(D470,3)="CTU",LEFT(D470,4)="HDON")</formula>
    </cfRule>
    <cfRule type="expression" dxfId="1430" priority="1431" stopIfTrue="1">
      <formula>OR(LEFT(D470,4)="HOLD",OR(A470="QTNP",A470="HOA THO",A470="YES VINA",A470="HUNG YEN",A470="TEX GIANG",A470="HUNG LONG"),LEFT(A470,5)="HANES",LEFT(A470,3)="ITG")</formula>
    </cfRule>
  </conditionalFormatting>
  <conditionalFormatting sqref="D470">
    <cfRule type="expression" dxfId="1429" priority="1426" stopIfTrue="1">
      <formula>OR(LEFT(D470,4)="KHTT",LEFT(D470,5)="10USD",RIGHT(D470,3)="TTC",LEFT(D470,3)="TNT")</formula>
    </cfRule>
    <cfRule type="expression" dxfId="1428" priority="1427" stopIfTrue="1">
      <formula>OR(LEFT(D470,3)="CTU",LEFT(D470,4)="HDON")</formula>
    </cfRule>
    <cfRule type="expression" dxfId="1427" priority="1428" stopIfTrue="1">
      <formula>OR(LEFT(D470,4)="HOLD",OR(A470="QTNP",A470="HOA THO",A470="YES VINA",A470="HUNG YEN",A470="TEX GIANG",A470="HUNG LONG"),LEFT(A470,5)="HANES",LEFT(A470,3)="ITG")</formula>
    </cfRule>
  </conditionalFormatting>
  <conditionalFormatting sqref="D469">
    <cfRule type="expression" dxfId="1426" priority="1423" stopIfTrue="1">
      <formula>OR(LEFT(D469,4)="KHTT",LEFT(D469,5)="10USD",RIGHT(D469,3)="TTC",LEFT(D469,3)="TNT")</formula>
    </cfRule>
    <cfRule type="expression" dxfId="1425" priority="1424" stopIfTrue="1">
      <formula>OR(LEFT(D469,3)="CTU",LEFT(D469,4)="HDON")</formula>
    </cfRule>
    <cfRule type="expression" dxfId="1424" priority="1425" stopIfTrue="1">
      <formula>OR(LEFT(D469,4)="HOLD",OR(A469="QTNP",A469="HOA THO",A469="YES VINA",A469="HUNG YEN",A469="TEX GIANG",A469="HUNG LONG"),LEFT(A469,5)="HANES",LEFT(A469,3)="ITG")</formula>
    </cfRule>
  </conditionalFormatting>
  <conditionalFormatting sqref="D469">
    <cfRule type="expression" dxfId="1423" priority="1420" stopIfTrue="1">
      <formula>OR(LEFT(D469,4)="KHTT",LEFT(D469,5)="10USD",RIGHT(D469,3)="TTC",LEFT(D469,3)="TNT")</formula>
    </cfRule>
    <cfRule type="expression" dxfId="1422" priority="1421" stopIfTrue="1">
      <formula>OR(LEFT(D469,3)="CTU",LEFT(D469,4)="HDON")</formula>
    </cfRule>
    <cfRule type="expression" dxfId="1421" priority="1422" stopIfTrue="1">
      <formula>OR(LEFT(D469,4)="HOLD",OR(A469="QTNP",A469="HOA THO",A469="YES VINA",A469="HUNG YEN",A469="TEX GIANG",A469="HUNG LONG"),LEFT(A469,5)="HANES",LEFT(A469,3)="ITG")</formula>
    </cfRule>
  </conditionalFormatting>
  <conditionalFormatting sqref="D470">
    <cfRule type="expression" dxfId="1420" priority="1417" stopIfTrue="1">
      <formula>OR(LEFT(D470,4)="KHTT",LEFT(D470,5)="10USD",RIGHT(D470,3)="TTC",LEFT(D470,3)="TNT")</formula>
    </cfRule>
    <cfRule type="expression" dxfId="1419" priority="1418" stopIfTrue="1">
      <formula>OR(LEFT(D470,3)="CTU",LEFT(D470,4)="HDON")</formula>
    </cfRule>
    <cfRule type="expression" dxfId="1418" priority="1419" stopIfTrue="1">
      <formula>OR(LEFT(D470,4)="HOLD",OR(A470="QTNP",A470="HOA THO",A470="YES VINA",A470="HUNG YEN",A470="TEX GIANG",A470="HUNG LONG"),LEFT(A470,5)="HANES",LEFT(A470,3)="ITG")</formula>
    </cfRule>
  </conditionalFormatting>
  <conditionalFormatting sqref="D470">
    <cfRule type="expression" dxfId="1417" priority="1414" stopIfTrue="1">
      <formula>OR(LEFT(D470,4)="KHTT",LEFT(D470,5)="10USD",RIGHT(D470,3)="TTC",LEFT(D470,3)="TNT")</formula>
    </cfRule>
    <cfRule type="expression" dxfId="1416" priority="1415" stopIfTrue="1">
      <formula>OR(LEFT(D470,3)="CTU",LEFT(D470,4)="HDON")</formula>
    </cfRule>
    <cfRule type="expression" dxfId="1415" priority="1416" stopIfTrue="1">
      <formula>OR(LEFT(D470,4)="HOLD",OR(A470="QTNP",A470="HOA THO",A470="YES VINA",A470="HUNG YEN",A470="TEX GIANG",A470="HUNG LONG"),LEFT(A470,5)="HANES",LEFT(A470,3)="ITG")</formula>
    </cfRule>
  </conditionalFormatting>
  <conditionalFormatting sqref="D470">
    <cfRule type="expression" dxfId="1414" priority="1411" stopIfTrue="1">
      <formula>OR(LEFT(D470,4)="KHTT",LEFT(D470,5)="10USD",RIGHT(D470,3)="TTC",LEFT(D470,3)="TNT")</formula>
    </cfRule>
    <cfRule type="expression" dxfId="1413" priority="1412" stopIfTrue="1">
      <formula>OR(LEFT(D470,3)="CTU",LEFT(D470,4)="HDON")</formula>
    </cfRule>
    <cfRule type="expression" dxfId="1412" priority="1413" stopIfTrue="1">
      <formula>OR(LEFT(D470,4)="HOLD",OR(A470="QTNP",A470="HOA THO",A470="YES VINA",A470="HUNG YEN",A470="TEX GIANG",A470="HUNG LONG"),LEFT(A470,5)="HANES",LEFT(A470,3)="ITG")</formula>
    </cfRule>
  </conditionalFormatting>
  <conditionalFormatting sqref="D470">
    <cfRule type="expression" dxfId="1411" priority="1408" stopIfTrue="1">
      <formula>OR(LEFT(D470,4)="KHTT",LEFT(D470,5)="10USD",RIGHT(D470,3)="TTC",LEFT(D470,3)="TNT")</formula>
    </cfRule>
    <cfRule type="expression" dxfId="1410" priority="1409" stopIfTrue="1">
      <formula>OR(LEFT(D470,3)="CTU",LEFT(D470,4)="HDON")</formula>
    </cfRule>
    <cfRule type="expression" dxfId="1409" priority="1410" stopIfTrue="1">
      <formula>OR(LEFT(D470,4)="HOLD",OR(A470="QTNP",A470="HOA THO",A470="YES VINA",A470="HUNG YEN",A470="TEX GIANG",A470="HUNG LONG"),LEFT(A470,5)="HANES",LEFT(A470,3)="ITG")</formula>
    </cfRule>
  </conditionalFormatting>
  <conditionalFormatting sqref="D469">
    <cfRule type="expression" dxfId="1408" priority="1405" stopIfTrue="1">
      <formula>OR(LEFT(D469,4)="KHTT",LEFT(D469,5)="10USD",RIGHT(D469,3)="TTC",LEFT(D469,3)="TNT")</formula>
    </cfRule>
    <cfRule type="expression" dxfId="1407" priority="1406" stopIfTrue="1">
      <formula>OR(LEFT(D469,3)="CTU",LEFT(D469,4)="HDON")</formula>
    </cfRule>
    <cfRule type="expression" dxfId="1406" priority="1407" stopIfTrue="1">
      <formula>OR(LEFT(D469,4)="HOLD",OR(A469="QTNP",A469="HOA THO",A469="YES VINA",A469="HUNG YEN",A469="TEX GIANG",A469="HUNG LONG"),LEFT(A469,5)="HANES",LEFT(A469,3)="ITG")</formula>
    </cfRule>
  </conditionalFormatting>
  <conditionalFormatting sqref="D469">
    <cfRule type="expression" dxfId="1405" priority="1402" stopIfTrue="1">
      <formula>OR(LEFT(D469,4)="KHTT",LEFT(D469,5)="10USD",RIGHT(D469,3)="TTC",LEFT(D469,3)="TNT")</formula>
    </cfRule>
    <cfRule type="expression" dxfId="1404" priority="1403" stopIfTrue="1">
      <formula>OR(LEFT(D469,3)="CTU",LEFT(D469,4)="HDON")</formula>
    </cfRule>
    <cfRule type="expression" dxfId="1403" priority="1404" stopIfTrue="1">
      <formula>OR(LEFT(D469,4)="HOLD",OR(A469="QTNP",A469="HOA THO",A469="YES VINA",A469="HUNG YEN",A469="TEX GIANG",A469="HUNG LONG"),LEFT(A469,5)="HANES",LEFT(A469,3)="ITG")</formula>
    </cfRule>
  </conditionalFormatting>
  <conditionalFormatting sqref="D470">
    <cfRule type="expression" dxfId="1402" priority="1399" stopIfTrue="1">
      <formula>OR(LEFT(D470,4)="KHTT",LEFT(D470,5)="10USD",RIGHT(D470,3)="TTC",LEFT(D470,3)="TNT")</formula>
    </cfRule>
    <cfRule type="expression" dxfId="1401" priority="1400" stopIfTrue="1">
      <formula>OR(LEFT(D470,3)="CTU",LEFT(D470,4)="HDON")</formula>
    </cfRule>
    <cfRule type="expression" dxfId="1400" priority="1401" stopIfTrue="1">
      <formula>OR(LEFT(D470,4)="HOLD",OR(A470="QTNP",A470="HOA THO",A470="YES VINA",A470="HUNG YEN",A470="TEX GIANG",A470="HUNG LONG"),LEFT(A470,5)="HANES",LEFT(A470,3)="ITG")</formula>
    </cfRule>
  </conditionalFormatting>
  <conditionalFormatting sqref="D470">
    <cfRule type="expression" dxfId="1399" priority="1396" stopIfTrue="1">
      <formula>OR(LEFT(D470,4)="KHTT",LEFT(D470,5)="10USD",RIGHT(D470,3)="TTC",LEFT(D470,3)="TNT")</formula>
    </cfRule>
    <cfRule type="expression" dxfId="1398" priority="1397" stopIfTrue="1">
      <formula>OR(LEFT(D470,3)="CTU",LEFT(D470,4)="HDON")</formula>
    </cfRule>
    <cfRule type="expression" dxfId="1397" priority="1398" stopIfTrue="1">
      <formula>OR(LEFT(D470,4)="HOLD",OR(A470="QTNP",A470="HOA THO",A470="YES VINA",A470="HUNG YEN",A470="TEX GIANG",A470="HUNG LONG"),LEFT(A470,5)="HANES",LEFT(A470,3)="ITG")</formula>
    </cfRule>
  </conditionalFormatting>
  <conditionalFormatting sqref="D470">
    <cfRule type="expression" dxfId="1396" priority="1393" stopIfTrue="1">
      <formula>OR(LEFT(D470,4)="KHTT",LEFT(D470,5)="10USD",RIGHT(D470,3)="TTC",LEFT(D470,3)="TNT")</formula>
    </cfRule>
    <cfRule type="expression" dxfId="1395" priority="1394" stopIfTrue="1">
      <formula>OR(LEFT(D470,3)="CTU",LEFT(D470,4)="HDON")</formula>
    </cfRule>
    <cfRule type="expression" dxfId="1394" priority="1395" stopIfTrue="1">
      <formula>OR(LEFT(D470,4)="HOLD",OR(A470="QTNP",A470="HOA THO",A470="YES VINA",A470="HUNG YEN",A470="TEX GIANG",A470="HUNG LONG"),LEFT(A470,5)="HANES",LEFT(A470,3)="ITG")</formula>
    </cfRule>
  </conditionalFormatting>
  <conditionalFormatting sqref="D470">
    <cfRule type="expression" dxfId="1393" priority="1390" stopIfTrue="1">
      <formula>OR(LEFT(D470,4)="KHTT",LEFT(D470,5)="10USD",RIGHT(D470,3)="TTC",LEFT(D470,3)="TNT")</formula>
    </cfRule>
    <cfRule type="expression" dxfId="1392" priority="1391" stopIfTrue="1">
      <formula>OR(LEFT(D470,3)="CTU",LEFT(D470,4)="HDON")</formula>
    </cfRule>
    <cfRule type="expression" dxfId="1391" priority="1392" stopIfTrue="1">
      <formula>OR(LEFT(D470,4)="HOLD",OR(A470="QTNP",A470="HOA THO",A470="YES VINA",A470="HUNG YEN",A470="TEX GIANG",A470="HUNG LONG"),LEFT(A470,5)="HANES",LEFT(A470,3)="ITG")</formula>
    </cfRule>
  </conditionalFormatting>
  <conditionalFormatting sqref="D469">
    <cfRule type="expression" dxfId="1390" priority="1387" stopIfTrue="1">
      <formula>OR(LEFT(D469,4)="KHTT",LEFT(D469,5)="10USD",RIGHT(D469,3)="TTC",LEFT(D469,3)="TNT")</formula>
    </cfRule>
    <cfRule type="expression" dxfId="1389" priority="1388" stopIfTrue="1">
      <formula>OR(LEFT(D469,3)="CTU",LEFT(D469,4)="HDON")</formula>
    </cfRule>
    <cfRule type="expression" dxfId="1388" priority="1389" stopIfTrue="1">
      <formula>OR(LEFT(D469,4)="HOLD",OR(A469="QTNP",A469="HOA THO",A469="YES VINA",A469="HUNG YEN",A469="TEX GIANG",A469="HUNG LONG"),LEFT(A469,5)="HANES",LEFT(A469,3)="ITG")</formula>
    </cfRule>
  </conditionalFormatting>
  <conditionalFormatting sqref="D469">
    <cfRule type="expression" dxfId="1387" priority="1384" stopIfTrue="1">
      <formula>OR(LEFT(D469,4)="KHTT",LEFT(D469,5)="10USD",RIGHT(D469,3)="TTC",LEFT(D469,3)="TNT")</formula>
    </cfRule>
    <cfRule type="expression" dxfId="1386" priority="1385" stopIfTrue="1">
      <formula>OR(LEFT(D469,3)="CTU",LEFT(D469,4)="HDON")</formula>
    </cfRule>
    <cfRule type="expression" dxfId="1385" priority="1386" stopIfTrue="1">
      <formula>OR(LEFT(D469,4)="HOLD",OR(A469="QTNP",A469="HOA THO",A469="YES VINA",A469="HUNG YEN",A469="TEX GIANG",A469="HUNG LONG"),LEFT(A469,5)="HANES",LEFT(A469,3)="ITG")</formula>
    </cfRule>
  </conditionalFormatting>
  <conditionalFormatting sqref="D470">
    <cfRule type="expression" dxfId="1384" priority="1381" stopIfTrue="1">
      <formula>OR(LEFT(D470,4)="KHTT",LEFT(D470,5)="10USD",RIGHT(D470,3)="TTC",LEFT(D470,3)="TNT")</formula>
    </cfRule>
    <cfRule type="expression" dxfId="1383" priority="1382" stopIfTrue="1">
      <formula>OR(LEFT(D470,3)="CTU",LEFT(D470,4)="HDON")</formula>
    </cfRule>
    <cfRule type="expression" dxfId="1382" priority="1383" stopIfTrue="1">
      <formula>OR(LEFT(D470,4)="HOLD",OR(A470="QTNP",A470="HOA THO",A470="YES VINA",A470="HUNG YEN",A470="TEX GIANG",A470="HUNG LONG"),LEFT(A470,5)="HANES",LEFT(A470,3)="ITG")</formula>
    </cfRule>
  </conditionalFormatting>
  <conditionalFormatting sqref="D470">
    <cfRule type="expression" dxfId="1381" priority="1378" stopIfTrue="1">
      <formula>OR(LEFT(D470,4)="KHTT",LEFT(D470,5)="10USD",RIGHT(D470,3)="TTC",LEFT(D470,3)="TNT")</formula>
    </cfRule>
    <cfRule type="expression" dxfId="1380" priority="1379" stopIfTrue="1">
      <formula>OR(LEFT(D470,3)="CTU",LEFT(D470,4)="HDON")</formula>
    </cfRule>
    <cfRule type="expression" dxfId="1379" priority="1380" stopIfTrue="1">
      <formula>OR(LEFT(D470,4)="HOLD",OR(A470="QTNP",A470="HOA THO",A470="YES VINA",A470="HUNG YEN",A470="TEX GIANG",A470="HUNG LONG"),LEFT(A470,5)="HANES",LEFT(A470,3)="ITG")</formula>
    </cfRule>
  </conditionalFormatting>
  <conditionalFormatting sqref="D470">
    <cfRule type="expression" dxfId="1378" priority="1375" stopIfTrue="1">
      <formula>OR(LEFT(D470,4)="KHTT",LEFT(D470,5)="10USD",RIGHT(D470,3)="TTC",LEFT(D470,3)="TNT")</formula>
    </cfRule>
    <cfRule type="expression" dxfId="1377" priority="1376" stopIfTrue="1">
      <formula>OR(LEFT(D470,3)="CTU",LEFT(D470,4)="HDON")</formula>
    </cfRule>
    <cfRule type="expression" dxfId="1376" priority="1377" stopIfTrue="1">
      <formula>OR(LEFT(D470,4)="HOLD",OR(A470="QTNP",A470="HOA THO",A470="YES VINA",A470="HUNG YEN",A470="TEX GIANG",A470="HUNG LONG"),LEFT(A470,5)="HANES",LEFT(A470,3)="ITG")</formula>
    </cfRule>
  </conditionalFormatting>
  <conditionalFormatting sqref="D470">
    <cfRule type="expression" dxfId="1375" priority="1372" stopIfTrue="1">
      <formula>OR(LEFT(D470,4)="KHTT",LEFT(D470,5)="10USD",RIGHT(D470,3)="TTC",LEFT(D470,3)="TNT")</formula>
    </cfRule>
    <cfRule type="expression" dxfId="1374" priority="1373" stopIfTrue="1">
      <formula>OR(LEFT(D470,3)="CTU",LEFT(D470,4)="HDON")</formula>
    </cfRule>
    <cfRule type="expression" dxfId="1373" priority="1374" stopIfTrue="1">
      <formula>OR(LEFT(D470,4)="HOLD",OR(A470="QTNP",A470="HOA THO",A470="YES VINA",A470="HUNG YEN",A470="TEX GIANG",A470="HUNG LONG"),LEFT(A470,5)="HANES",LEFT(A470,3)="ITG")</formula>
    </cfRule>
  </conditionalFormatting>
  <conditionalFormatting sqref="D469">
    <cfRule type="expression" dxfId="1372" priority="1369" stopIfTrue="1">
      <formula>OR(LEFT(D469,4)="KHTT",LEFT(D469,5)="10USD",RIGHT(D469,3)="TTC",LEFT(D469,3)="TNT")</formula>
    </cfRule>
    <cfRule type="expression" dxfId="1371" priority="1370" stopIfTrue="1">
      <formula>OR(LEFT(D469,3)="CTU",LEFT(D469,4)="HDON")</formula>
    </cfRule>
    <cfRule type="expression" dxfId="1370" priority="1371" stopIfTrue="1">
      <formula>OR(LEFT(D469,4)="HOLD",OR(A469="QTNP",A469="HOA THO",A469="YES VINA",A469="HUNG YEN",A469="TEX GIANG",A469="HUNG LONG"),LEFT(A469,5)="HANES",LEFT(A469,3)="ITG")</formula>
    </cfRule>
  </conditionalFormatting>
  <conditionalFormatting sqref="D469">
    <cfRule type="expression" dxfId="1369" priority="1366" stopIfTrue="1">
      <formula>OR(LEFT(D469,4)="KHTT",LEFT(D469,5)="10USD",RIGHT(D469,3)="TTC",LEFT(D469,3)="TNT")</formula>
    </cfRule>
    <cfRule type="expression" dxfId="1368" priority="1367" stopIfTrue="1">
      <formula>OR(LEFT(D469,3)="CTU",LEFT(D469,4)="HDON")</formula>
    </cfRule>
    <cfRule type="expression" dxfId="1367" priority="1368" stopIfTrue="1">
      <formula>OR(LEFT(D469,4)="HOLD",OR(A469="QTNP",A469="HOA THO",A469="YES VINA",A469="HUNG YEN",A469="TEX GIANG",A469="HUNG LONG"),LEFT(A469,5)="HANES",LEFT(A469,3)="ITG")</formula>
    </cfRule>
  </conditionalFormatting>
  <conditionalFormatting sqref="D470">
    <cfRule type="expression" dxfId="1366" priority="1363" stopIfTrue="1">
      <formula>OR(LEFT(D470,4)="KHTT",LEFT(D470,5)="10USD",RIGHT(D470,3)="TTC",LEFT(D470,3)="TNT")</formula>
    </cfRule>
    <cfRule type="expression" dxfId="1365" priority="1364" stopIfTrue="1">
      <formula>OR(LEFT(D470,3)="CTU",LEFT(D470,4)="HDON")</formula>
    </cfRule>
    <cfRule type="expression" dxfId="1364" priority="1365" stopIfTrue="1">
      <formula>OR(LEFT(D470,4)="HOLD",OR(A470="QTNP",A470="HOA THO",A470="YES VINA",A470="HUNG YEN",A470="TEX GIANG",A470="HUNG LONG"),LEFT(A470,5)="HANES",LEFT(A470,3)="ITG")</formula>
    </cfRule>
  </conditionalFormatting>
  <conditionalFormatting sqref="D470">
    <cfRule type="expression" dxfId="1363" priority="1360" stopIfTrue="1">
      <formula>OR(LEFT(D470,4)="KHTT",LEFT(D470,5)="10USD",RIGHT(D470,3)="TTC",LEFT(D470,3)="TNT")</formula>
    </cfRule>
    <cfRule type="expression" dxfId="1362" priority="1361" stopIfTrue="1">
      <formula>OR(LEFT(D470,3)="CTU",LEFT(D470,4)="HDON")</formula>
    </cfRule>
    <cfRule type="expression" dxfId="1361" priority="1362" stopIfTrue="1">
      <formula>OR(LEFT(D470,4)="HOLD",OR(A470="QTNP",A470="HOA THO",A470="YES VINA",A470="HUNG YEN",A470="TEX GIANG",A470="HUNG LONG"),LEFT(A470,5)="HANES",LEFT(A470,3)="ITG")</formula>
    </cfRule>
  </conditionalFormatting>
  <conditionalFormatting sqref="D470">
    <cfRule type="expression" dxfId="1360" priority="1357" stopIfTrue="1">
      <formula>OR(LEFT(D470,4)="KHTT",LEFT(D470,5)="10USD",RIGHT(D470,3)="TTC",LEFT(D470,3)="TNT")</formula>
    </cfRule>
    <cfRule type="expression" dxfId="1359" priority="1358" stopIfTrue="1">
      <formula>OR(LEFT(D470,3)="CTU",LEFT(D470,4)="HDON")</formula>
    </cfRule>
    <cfRule type="expression" dxfId="1358" priority="1359" stopIfTrue="1">
      <formula>OR(LEFT(D470,4)="HOLD",OR(A470="QTNP",A470="HOA THO",A470="YES VINA",A470="HUNG YEN",A470="TEX GIANG",A470="HUNG LONG"),LEFT(A470,5)="HANES",LEFT(A470,3)="ITG")</formula>
    </cfRule>
  </conditionalFormatting>
  <conditionalFormatting sqref="D470">
    <cfRule type="expression" dxfId="1357" priority="1354" stopIfTrue="1">
      <formula>OR(LEFT(D470,4)="KHTT",LEFT(D470,5)="10USD",RIGHT(D470,3)="TTC",LEFT(D470,3)="TNT")</formula>
    </cfRule>
    <cfRule type="expression" dxfId="1356" priority="1355" stopIfTrue="1">
      <formula>OR(LEFT(D470,3)="CTU",LEFT(D470,4)="HDON")</formula>
    </cfRule>
    <cfRule type="expression" dxfId="1355" priority="1356" stopIfTrue="1">
      <formula>OR(LEFT(D470,4)="HOLD",OR(A470="QTNP",A470="HOA THO",A470="YES VINA",A470="HUNG YEN",A470="TEX GIANG",A470="HUNG LONG"),LEFT(A470,5)="HANES",LEFT(A470,3)="ITG")</formula>
    </cfRule>
  </conditionalFormatting>
  <conditionalFormatting sqref="D469">
    <cfRule type="expression" dxfId="1354" priority="1351" stopIfTrue="1">
      <formula>OR(LEFT(D469,4)="KHTT",LEFT(D469,5)="10USD",RIGHT(D469,3)="TTC",LEFT(D469,3)="TNT")</formula>
    </cfRule>
    <cfRule type="expression" dxfId="1353" priority="1352" stopIfTrue="1">
      <formula>OR(LEFT(D469,3)="CTU",LEFT(D469,4)="HDON")</formula>
    </cfRule>
    <cfRule type="expression" dxfId="1352" priority="1353" stopIfTrue="1">
      <formula>OR(LEFT(D469,4)="HOLD",OR(A469="QTNP",A469="HOA THO",A469="YES VINA",A469="HUNG YEN",A469="TEX GIANG",A469="HUNG LONG"),LEFT(A469,5)="HANES",LEFT(A469,3)="ITG")</formula>
    </cfRule>
  </conditionalFormatting>
  <conditionalFormatting sqref="D469">
    <cfRule type="expression" dxfId="1351" priority="1348" stopIfTrue="1">
      <formula>OR(LEFT(D469,4)="KHTT",LEFT(D469,5)="10USD",RIGHT(D469,3)="TTC",LEFT(D469,3)="TNT")</formula>
    </cfRule>
    <cfRule type="expression" dxfId="1350" priority="1349" stopIfTrue="1">
      <formula>OR(LEFT(D469,3)="CTU",LEFT(D469,4)="HDON")</formula>
    </cfRule>
    <cfRule type="expression" dxfId="1349" priority="1350" stopIfTrue="1">
      <formula>OR(LEFT(D469,4)="HOLD",OR(A469="QTNP",A469="HOA THO",A469="YES VINA",A469="HUNG YEN",A469="TEX GIANG",A469="HUNG LONG"),LEFT(A469,5)="HANES",LEFT(A469,3)="ITG")</formula>
    </cfRule>
  </conditionalFormatting>
  <conditionalFormatting sqref="D470">
    <cfRule type="expression" dxfId="1348" priority="1345" stopIfTrue="1">
      <formula>OR(LEFT(D470,4)="KHTT",LEFT(D470,5)="10USD",RIGHT(D470,3)="TTC",LEFT(D470,3)="TNT")</formula>
    </cfRule>
    <cfRule type="expression" dxfId="1347" priority="1346" stopIfTrue="1">
      <formula>OR(LEFT(D470,3)="CTU",LEFT(D470,4)="HDON")</formula>
    </cfRule>
    <cfRule type="expression" dxfId="1346" priority="1347" stopIfTrue="1">
      <formula>OR(LEFT(D470,4)="HOLD",OR(A470="QTNP",A470="HOA THO",A470="YES VINA",A470="HUNG YEN",A470="TEX GIANG",A470="HUNG LONG"),LEFT(A470,5)="HANES",LEFT(A470,3)="ITG")</formula>
    </cfRule>
  </conditionalFormatting>
  <conditionalFormatting sqref="D470">
    <cfRule type="expression" dxfId="1345" priority="1342" stopIfTrue="1">
      <formula>OR(LEFT(D470,4)="KHTT",LEFT(D470,5)="10USD",RIGHT(D470,3)="TTC",LEFT(D470,3)="TNT")</formula>
    </cfRule>
    <cfRule type="expression" dxfId="1344" priority="1343" stopIfTrue="1">
      <formula>OR(LEFT(D470,3)="CTU",LEFT(D470,4)="HDON")</formula>
    </cfRule>
    <cfRule type="expression" dxfId="1343" priority="1344" stopIfTrue="1">
      <formula>OR(LEFT(D470,4)="HOLD",OR(A470="QTNP",A470="HOA THO",A470="YES VINA",A470="HUNG YEN",A470="TEX GIANG",A470="HUNG LONG"),LEFT(A470,5)="HANES",LEFT(A470,3)="ITG")</formula>
    </cfRule>
  </conditionalFormatting>
  <conditionalFormatting sqref="D470">
    <cfRule type="expression" dxfId="1342" priority="1339" stopIfTrue="1">
      <formula>OR(LEFT(D470,4)="KHTT",LEFT(D470,5)="10USD",RIGHT(D470,3)="TTC",LEFT(D470,3)="TNT")</formula>
    </cfRule>
    <cfRule type="expression" dxfId="1341" priority="1340" stopIfTrue="1">
      <formula>OR(LEFT(D470,3)="CTU",LEFT(D470,4)="HDON")</formula>
    </cfRule>
    <cfRule type="expression" dxfId="1340" priority="1341" stopIfTrue="1">
      <formula>OR(LEFT(D470,4)="HOLD",OR(A470="QTNP",A470="HOA THO",A470="YES VINA",A470="HUNG YEN",A470="TEX GIANG",A470="HUNG LONG"),LEFT(A470,5)="HANES",LEFT(A470,3)="ITG")</formula>
    </cfRule>
  </conditionalFormatting>
  <conditionalFormatting sqref="D470">
    <cfRule type="expression" dxfId="1339" priority="1336" stopIfTrue="1">
      <formula>OR(LEFT(D470,4)="KHTT",LEFT(D470,5)="10USD",RIGHT(D470,3)="TTC",LEFT(D470,3)="TNT")</formula>
    </cfRule>
    <cfRule type="expression" dxfId="1338" priority="1337" stopIfTrue="1">
      <formula>OR(LEFT(D470,3)="CTU",LEFT(D470,4)="HDON")</formula>
    </cfRule>
    <cfRule type="expression" dxfId="1337" priority="1338" stopIfTrue="1">
      <formula>OR(LEFT(D470,4)="HOLD",OR(A470="QTNP",A470="HOA THO",A470="YES VINA",A470="HUNG YEN",A470="TEX GIANG",A470="HUNG LONG"),LEFT(A470,5)="HANES",LEFT(A470,3)="ITG")</formula>
    </cfRule>
  </conditionalFormatting>
  <conditionalFormatting sqref="D469">
    <cfRule type="expression" dxfId="1336" priority="1333" stopIfTrue="1">
      <formula>OR(LEFT(D469,4)="KHTT",LEFT(D469,5)="10USD",RIGHT(D469,3)="TTC",LEFT(D469,3)="TNT")</formula>
    </cfRule>
    <cfRule type="expression" dxfId="1335" priority="1334" stopIfTrue="1">
      <formula>OR(LEFT(D469,3)="CTU",LEFT(D469,4)="HDON")</formula>
    </cfRule>
    <cfRule type="expression" dxfId="1334" priority="1335" stopIfTrue="1">
      <formula>OR(LEFT(D469,4)="HOLD",OR(A469="QTNP",A469="HOA THO",A469="YES VINA",A469="HUNG YEN",A469="TEX GIANG",A469="HUNG LONG"),LEFT(A469,5)="HANES",LEFT(A469,3)="ITG")</formula>
    </cfRule>
  </conditionalFormatting>
  <conditionalFormatting sqref="D469">
    <cfRule type="expression" dxfId="1333" priority="1330" stopIfTrue="1">
      <formula>OR(LEFT(D469,4)="KHTT",LEFT(D469,5)="10USD",RIGHT(D469,3)="TTC",LEFT(D469,3)="TNT")</formula>
    </cfRule>
    <cfRule type="expression" dxfId="1332" priority="1331" stopIfTrue="1">
      <formula>OR(LEFT(D469,3)="CTU",LEFT(D469,4)="HDON")</formula>
    </cfRule>
    <cfRule type="expression" dxfId="1331" priority="1332" stopIfTrue="1">
      <formula>OR(LEFT(D469,4)="HOLD",OR(A469="QTNP",A469="HOA THO",A469="YES VINA",A469="HUNG YEN",A469="TEX GIANG",A469="HUNG LONG"),LEFT(A469,5)="HANES",LEFT(A469,3)="ITG")</formula>
    </cfRule>
  </conditionalFormatting>
  <conditionalFormatting sqref="D470">
    <cfRule type="expression" dxfId="1330" priority="1327" stopIfTrue="1">
      <formula>OR(LEFT(D470,4)="KHTT",LEFT(D470,5)="10USD",RIGHT(D470,3)="TTC",LEFT(D470,3)="TNT")</formula>
    </cfRule>
    <cfRule type="expression" dxfId="1329" priority="1328" stopIfTrue="1">
      <formula>OR(LEFT(D470,3)="CTU",LEFT(D470,4)="HDON")</formula>
    </cfRule>
    <cfRule type="expression" dxfId="1328" priority="1329" stopIfTrue="1">
      <formula>OR(LEFT(D470,4)="HOLD",OR(A470="QTNP",A470="HOA THO",A470="YES VINA",A470="HUNG YEN",A470="TEX GIANG",A470="HUNG LONG"),LEFT(A470,5)="HANES",LEFT(A470,3)="ITG")</formula>
    </cfRule>
  </conditionalFormatting>
  <conditionalFormatting sqref="D470">
    <cfRule type="expression" dxfId="1327" priority="1324" stopIfTrue="1">
      <formula>OR(LEFT(D470,4)="KHTT",LEFT(D470,5)="10USD",RIGHT(D470,3)="TTC",LEFT(D470,3)="TNT")</formula>
    </cfRule>
    <cfRule type="expression" dxfId="1326" priority="1325" stopIfTrue="1">
      <formula>OR(LEFT(D470,3)="CTU",LEFT(D470,4)="HDON")</formula>
    </cfRule>
    <cfRule type="expression" dxfId="1325" priority="1326" stopIfTrue="1">
      <formula>OR(LEFT(D470,4)="HOLD",OR(A470="QTNP",A470="HOA THO",A470="YES VINA",A470="HUNG YEN",A470="TEX GIANG",A470="HUNG LONG"),LEFT(A470,5)="HANES",LEFT(A470,3)="ITG")</formula>
    </cfRule>
  </conditionalFormatting>
  <conditionalFormatting sqref="D470">
    <cfRule type="expression" dxfId="1324" priority="1321" stopIfTrue="1">
      <formula>OR(LEFT(D470,4)="KHTT",LEFT(D470,5)="10USD",RIGHT(D470,3)="TTC",LEFT(D470,3)="TNT")</formula>
    </cfRule>
    <cfRule type="expression" dxfId="1323" priority="1322" stopIfTrue="1">
      <formula>OR(LEFT(D470,3)="CTU",LEFT(D470,4)="HDON")</formula>
    </cfRule>
    <cfRule type="expression" dxfId="1322" priority="1323" stopIfTrue="1">
      <formula>OR(LEFT(D470,4)="HOLD",OR(A470="QTNP",A470="HOA THO",A470="YES VINA",A470="HUNG YEN",A470="TEX GIANG",A470="HUNG LONG"),LEFT(A470,5)="HANES",LEFT(A470,3)="ITG")</formula>
    </cfRule>
  </conditionalFormatting>
  <conditionalFormatting sqref="D470">
    <cfRule type="expression" dxfId="1321" priority="1318" stopIfTrue="1">
      <formula>OR(LEFT(D470,4)="KHTT",LEFT(D470,5)="10USD",RIGHT(D470,3)="TTC",LEFT(D470,3)="TNT")</formula>
    </cfRule>
    <cfRule type="expression" dxfId="1320" priority="1319" stopIfTrue="1">
      <formula>OR(LEFT(D470,3)="CTU",LEFT(D470,4)="HDON")</formula>
    </cfRule>
    <cfRule type="expression" dxfId="1319" priority="1320" stopIfTrue="1">
      <formula>OR(LEFT(D470,4)="HOLD",OR(A470="QTNP",A470="HOA THO",A470="YES VINA",A470="HUNG YEN",A470="TEX GIANG",A470="HUNG LONG"),LEFT(A470,5)="HANES",LEFT(A470,3)="ITG")</formula>
    </cfRule>
  </conditionalFormatting>
  <conditionalFormatting sqref="D469">
    <cfRule type="expression" dxfId="1318" priority="1315" stopIfTrue="1">
      <formula>OR(LEFT(D469,4)="KHTT",LEFT(D469,5)="10USD",RIGHT(D469,3)="TTC",LEFT(D469,3)="TNT")</formula>
    </cfRule>
    <cfRule type="expression" dxfId="1317" priority="1316" stopIfTrue="1">
      <formula>OR(LEFT(D469,3)="CTU",LEFT(D469,4)="HDON")</formula>
    </cfRule>
    <cfRule type="expression" dxfId="1316" priority="1317" stopIfTrue="1">
      <formula>OR(LEFT(D469,4)="HOLD",OR(A469="QTNP",A469="HOA THO",A469="YES VINA",A469="HUNG YEN",A469="TEX GIANG",A469="HUNG LONG"),LEFT(A469,5)="HANES",LEFT(A469,3)="ITG")</formula>
    </cfRule>
  </conditionalFormatting>
  <conditionalFormatting sqref="D469">
    <cfRule type="expression" dxfId="1315" priority="1312" stopIfTrue="1">
      <formula>OR(LEFT(D469,4)="KHTT",LEFT(D469,5)="10USD",RIGHT(D469,3)="TTC",LEFT(D469,3)="TNT")</formula>
    </cfRule>
    <cfRule type="expression" dxfId="1314" priority="1313" stopIfTrue="1">
      <formula>OR(LEFT(D469,3)="CTU",LEFT(D469,4)="HDON")</formula>
    </cfRule>
    <cfRule type="expression" dxfId="1313" priority="1314" stopIfTrue="1">
      <formula>OR(LEFT(D469,4)="HOLD",OR(A469="QTNP",A469="HOA THO",A469="YES VINA",A469="HUNG YEN",A469="TEX GIANG",A469="HUNG LONG"),LEFT(A469,5)="HANES",LEFT(A469,3)="ITG")</formula>
    </cfRule>
  </conditionalFormatting>
  <conditionalFormatting sqref="D470">
    <cfRule type="expression" dxfId="1312" priority="1309" stopIfTrue="1">
      <formula>OR(LEFT(D470,4)="KHTT",LEFT(D470,5)="10USD",RIGHT(D470,3)="TTC",LEFT(D470,3)="TNT")</formula>
    </cfRule>
    <cfRule type="expression" dxfId="1311" priority="1310" stopIfTrue="1">
      <formula>OR(LEFT(D470,3)="CTU",LEFT(D470,4)="HDON")</formula>
    </cfRule>
    <cfRule type="expression" dxfId="1310" priority="1311" stopIfTrue="1">
      <formula>OR(LEFT(D470,4)="HOLD",OR(A470="QTNP",A470="HOA THO",A470="YES VINA",A470="HUNG YEN",A470="TEX GIANG",A470="HUNG LONG"),LEFT(A470,5)="HANES",LEFT(A470,3)="ITG")</formula>
    </cfRule>
  </conditionalFormatting>
  <conditionalFormatting sqref="D470">
    <cfRule type="expression" dxfId="1309" priority="1306" stopIfTrue="1">
      <formula>OR(LEFT(D470,4)="KHTT",LEFT(D470,5)="10USD",RIGHT(D470,3)="TTC",LEFT(D470,3)="TNT")</formula>
    </cfRule>
    <cfRule type="expression" dxfId="1308" priority="1307" stopIfTrue="1">
      <formula>OR(LEFT(D470,3)="CTU",LEFT(D470,4)="HDON")</formula>
    </cfRule>
    <cfRule type="expression" dxfId="1307" priority="1308" stopIfTrue="1">
      <formula>OR(LEFT(D470,4)="HOLD",OR(A470="QTNP",A470="HOA THO",A470="YES VINA",A470="HUNG YEN",A470="TEX GIANG",A470="HUNG LONG"),LEFT(A470,5)="HANES",LEFT(A470,3)="ITG")</formula>
    </cfRule>
  </conditionalFormatting>
  <conditionalFormatting sqref="D470">
    <cfRule type="expression" dxfId="1306" priority="1303" stopIfTrue="1">
      <formula>OR(LEFT(D470,4)="KHTT",LEFT(D470,5)="10USD",RIGHT(D470,3)="TTC",LEFT(D470,3)="TNT")</formula>
    </cfRule>
    <cfRule type="expression" dxfId="1305" priority="1304" stopIfTrue="1">
      <formula>OR(LEFT(D470,3)="CTU",LEFT(D470,4)="HDON")</formula>
    </cfRule>
    <cfRule type="expression" dxfId="1304" priority="1305" stopIfTrue="1">
      <formula>OR(LEFT(D470,4)="HOLD",OR(A470="QTNP",A470="HOA THO",A470="YES VINA",A470="HUNG YEN",A470="TEX GIANG",A470="HUNG LONG"),LEFT(A470,5)="HANES",LEFT(A470,3)="ITG")</formula>
    </cfRule>
  </conditionalFormatting>
  <conditionalFormatting sqref="D470">
    <cfRule type="expression" dxfId="1303" priority="1300" stopIfTrue="1">
      <formula>OR(LEFT(D470,4)="KHTT",LEFT(D470,5)="10USD",RIGHT(D470,3)="TTC",LEFT(D470,3)="TNT")</formula>
    </cfRule>
    <cfRule type="expression" dxfId="1302" priority="1301" stopIfTrue="1">
      <formula>OR(LEFT(D470,3)="CTU",LEFT(D470,4)="HDON")</formula>
    </cfRule>
    <cfRule type="expression" dxfId="1301" priority="1302" stopIfTrue="1">
      <formula>OR(LEFT(D470,4)="HOLD",OR(A470="QTNP",A470="HOA THO",A470="YES VINA",A470="HUNG YEN",A470="TEX GIANG",A470="HUNG LONG"),LEFT(A470,5)="HANES",LEFT(A470,3)="ITG")</formula>
    </cfRule>
  </conditionalFormatting>
  <conditionalFormatting sqref="D469">
    <cfRule type="expression" dxfId="1300" priority="1297" stopIfTrue="1">
      <formula>OR(LEFT(D469,4)="KHTT",LEFT(D469,5)="10USD",RIGHT(D469,3)="TTC",LEFT(D469,3)="TNT")</formula>
    </cfRule>
    <cfRule type="expression" dxfId="1299" priority="1298" stopIfTrue="1">
      <formula>OR(LEFT(D469,3)="CTU",LEFT(D469,4)="HDON")</formula>
    </cfRule>
    <cfRule type="expression" dxfId="1298" priority="1299" stopIfTrue="1">
      <formula>OR(LEFT(D469,4)="HOLD",OR(A469="QTNP",A469="HOA THO",A469="YES VINA",A469="HUNG YEN",A469="TEX GIANG",A469="HUNG LONG"),LEFT(A469,5)="HANES",LEFT(A469,3)="ITG")</formula>
    </cfRule>
  </conditionalFormatting>
  <conditionalFormatting sqref="D469">
    <cfRule type="expression" dxfId="1297" priority="1294" stopIfTrue="1">
      <formula>OR(LEFT(D469,4)="KHTT",LEFT(D469,5)="10USD",RIGHT(D469,3)="TTC",LEFT(D469,3)="TNT")</formula>
    </cfRule>
    <cfRule type="expression" dxfId="1296" priority="1295" stopIfTrue="1">
      <formula>OR(LEFT(D469,3)="CTU",LEFT(D469,4)="HDON")</formula>
    </cfRule>
    <cfRule type="expression" dxfId="1295" priority="1296" stopIfTrue="1">
      <formula>OR(LEFT(D469,4)="HOLD",OR(A469="QTNP",A469="HOA THO",A469="YES VINA",A469="HUNG YEN",A469="TEX GIANG",A469="HUNG LONG"),LEFT(A469,5)="HANES",LEFT(A469,3)="ITG")</formula>
    </cfRule>
  </conditionalFormatting>
  <conditionalFormatting sqref="D470">
    <cfRule type="expression" dxfId="1294" priority="1291" stopIfTrue="1">
      <formula>OR(LEFT(D470,4)="KHTT",LEFT(D470,5)="10USD",RIGHT(D470,3)="TTC",LEFT(D470,3)="TNT")</formula>
    </cfRule>
    <cfRule type="expression" dxfId="1293" priority="1292" stopIfTrue="1">
      <formula>OR(LEFT(D470,3)="CTU",LEFT(D470,4)="HDON")</formula>
    </cfRule>
    <cfRule type="expression" dxfId="1292" priority="1293" stopIfTrue="1">
      <formula>OR(LEFT(D470,4)="HOLD",OR(A470="QTNP",A470="HOA THO",A470="YES VINA",A470="HUNG YEN",A470="TEX GIANG",A470="HUNG LONG"),LEFT(A470,5)="HANES",LEFT(A470,3)="ITG")</formula>
    </cfRule>
  </conditionalFormatting>
  <conditionalFormatting sqref="D470">
    <cfRule type="expression" dxfId="1291" priority="1288" stopIfTrue="1">
      <formula>OR(LEFT(D470,4)="KHTT",LEFT(D470,5)="10USD",RIGHT(D470,3)="TTC",LEFT(D470,3)="TNT")</formula>
    </cfRule>
    <cfRule type="expression" dxfId="1290" priority="1289" stopIfTrue="1">
      <formula>OR(LEFT(D470,3)="CTU",LEFT(D470,4)="HDON")</formula>
    </cfRule>
    <cfRule type="expression" dxfId="1289" priority="1290" stopIfTrue="1">
      <formula>OR(LEFT(D470,4)="HOLD",OR(A470="QTNP",A470="HOA THO",A470="YES VINA",A470="HUNG YEN",A470="TEX GIANG",A470="HUNG LONG"),LEFT(A470,5)="HANES",LEFT(A470,3)="ITG")</formula>
    </cfRule>
  </conditionalFormatting>
  <conditionalFormatting sqref="D470">
    <cfRule type="expression" dxfId="1288" priority="1285" stopIfTrue="1">
      <formula>OR(LEFT(D470,4)="KHTT",LEFT(D470,5)="10USD",RIGHT(D470,3)="TTC",LEFT(D470,3)="TNT")</formula>
    </cfRule>
    <cfRule type="expression" dxfId="1287" priority="1286" stopIfTrue="1">
      <formula>OR(LEFT(D470,3)="CTU",LEFT(D470,4)="HDON")</formula>
    </cfRule>
    <cfRule type="expression" dxfId="1286" priority="1287" stopIfTrue="1">
      <formula>OR(LEFT(D470,4)="HOLD",OR(A470="QTNP",A470="HOA THO",A470="YES VINA",A470="HUNG YEN",A470="TEX GIANG",A470="HUNG LONG"),LEFT(A470,5)="HANES",LEFT(A470,3)="ITG")</formula>
    </cfRule>
  </conditionalFormatting>
  <conditionalFormatting sqref="D470">
    <cfRule type="expression" dxfId="1285" priority="1282" stopIfTrue="1">
      <formula>OR(LEFT(D470,4)="KHTT",LEFT(D470,5)="10USD",RIGHT(D470,3)="TTC",LEFT(D470,3)="TNT")</formula>
    </cfRule>
    <cfRule type="expression" dxfId="1284" priority="1283" stopIfTrue="1">
      <formula>OR(LEFT(D470,3)="CTU",LEFT(D470,4)="HDON")</formula>
    </cfRule>
    <cfRule type="expression" dxfId="1283" priority="1284" stopIfTrue="1">
      <formula>OR(LEFT(D470,4)="HOLD",OR(A470="QTNP",A470="HOA THO",A470="YES VINA",A470="HUNG YEN",A470="TEX GIANG",A470="HUNG LONG"),LEFT(A470,5)="HANES",LEFT(A470,3)="ITG")</formula>
    </cfRule>
  </conditionalFormatting>
  <conditionalFormatting sqref="D469">
    <cfRule type="expression" dxfId="1282" priority="1279" stopIfTrue="1">
      <formula>OR(LEFT(D469,4)="KHTT",LEFT(D469,5)="10USD",RIGHT(D469,3)="TTC",LEFT(D469,3)="TNT")</formula>
    </cfRule>
    <cfRule type="expression" dxfId="1281" priority="1280" stopIfTrue="1">
      <formula>OR(LEFT(D469,3)="CTU",LEFT(D469,4)="HDON")</formula>
    </cfRule>
    <cfRule type="expression" dxfId="1280" priority="1281" stopIfTrue="1">
      <formula>OR(LEFT(D469,4)="HOLD",OR(A469="QTNP",A469="HOA THO",A469="YES VINA",A469="HUNG YEN",A469="TEX GIANG",A469="HUNG LONG"),LEFT(A469,5)="HANES",LEFT(A469,3)="ITG")</formula>
    </cfRule>
  </conditionalFormatting>
  <conditionalFormatting sqref="D469">
    <cfRule type="expression" dxfId="1279" priority="1276" stopIfTrue="1">
      <formula>OR(LEFT(D469,4)="KHTT",LEFT(D469,5)="10USD",RIGHT(D469,3)="TTC",LEFT(D469,3)="TNT")</formula>
    </cfRule>
    <cfRule type="expression" dxfId="1278" priority="1277" stopIfTrue="1">
      <formula>OR(LEFT(D469,3)="CTU",LEFT(D469,4)="HDON")</formula>
    </cfRule>
    <cfRule type="expression" dxfId="1277" priority="1278" stopIfTrue="1">
      <formula>OR(LEFT(D469,4)="HOLD",OR(A469="QTNP",A469="HOA THO",A469="YES VINA",A469="HUNG YEN",A469="TEX GIANG",A469="HUNG LONG"),LEFT(A469,5)="HANES",LEFT(A469,3)="ITG")</formula>
    </cfRule>
  </conditionalFormatting>
  <conditionalFormatting sqref="D470">
    <cfRule type="expression" dxfId="1276" priority="1273" stopIfTrue="1">
      <formula>OR(LEFT(D470,4)="KHTT",LEFT(D470,5)="10USD",RIGHT(D470,3)="TTC",LEFT(D470,3)="TNT")</formula>
    </cfRule>
    <cfRule type="expression" dxfId="1275" priority="1274" stopIfTrue="1">
      <formula>OR(LEFT(D470,3)="CTU",LEFT(D470,4)="HDON")</formula>
    </cfRule>
    <cfRule type="expression" dxfId="1274" priority="1275" stopIfTrue="1">
      <formula>OR(LEFT(D470,4)="HOLD",OR(A470="QTNP",A470="HOA THO",A470="YES VINA",A470="HUNG YEN",A470="TEX GIANG",A470="HUNG LONG"),LEFT(A470,5)="HANES",LEFT(A470,3)="ITG")</formula>
    </cfRule>
  </conditionalFormatting>
  <conditionalFormatting sqref="D470">
    <cfRule type="expression" dxfId="1273" priority="1270" stopIfTrue="1">
      <formula>OR(LEFT(D470,4)="KHTT",LEFT(D470,5)="10USD",RIGHT(D470,3)="TTC",LEFT(D470,3)="TNT")</formula>
    </cfRule>
    <cfRule type="expression" dxfId="1272" priority="1271" stopIfTrue="1">
      <formula>OR(LEFT(D470,3)="CTU",LEFT(D470,4)="HDON")</formula>
    </cfRule>
    <cfRule type="expression" dxfId="1271" priority="1272" stopIfTrue="1">
      <formula>OR(LEFT(D470,4)="HOLD",OR(A470="QTNP",A470="HOA THO",A470="YES VINA",A470="HUNG YEN",A470="TEX GIANG",A470="HUNG LONG"),LEFT(A470,5)="HANES",LEFT(A470,3)="ITG")</formula>
    </cfRule>
  </conditionalFormatting>
  <conditionalFormatting sqref="D470">
    <cfRule type="expression" dxfId="1270" priority="1267" stopIfTrue="1">
      <formula>OR(LEFT(D470,4)="KHTT",LEFT(D470,5)="10USD",RIGHT(D470,3)="TTC",LEFT(D470,3)="TNT")</formula>
    </cfRule>
    <cfRule type="expression" dxfId="1269" priority="1268" stopIfTrue="1">
      <formula>OR(LEFT(D470,3)="CTU",LEFT(D470,4)="HDON")</formula>
    </cfRule>
    <cfRule type="expression" dxfId="1268" priority="1269" stopIfTrue="1">
      <formula>OR(LEFT(D470,4)="HOLD",OR(A470="QTNP",A470="HOA THO",A470="YES VINA",A470="HUNG YEN",A470="TEX GIANG",A470="HUNG LONG"),LEFT(A470,5)="HANES",LEFT(A470,3)="ITG")</formula>
    </cfRule>
  </conditionalFormatting>
  <conditionalFormatting sqref="D470">
    <cfRule type="expression" dxfId="1267" priority="1264" stopIfTrue="1">
      <formula>OR(LEFT(D470,4)="KHTT",LEFT(D470,5)="10USD",RIGHT(D470,3)="TTC",LEFT(D470,3)="TNT")</formula>
    </cfRule>
    <cfRule type="expression" dxfId="1266" priority="1265" stopIfTrue="1">
      <formula>OR(LEFT(D470,3)="CTU",LEFT(D470,4)="HDON")</formula>
    </cfRule>
    <cfRule type="expression" dxfId="1265" priority="1266" stopIfTrue="1">
      <formula>OR(LEFT(D470,4)="HOLD",OR(A470="QTNP",A470="HOA THO",A470="YES VINA",A470="HUNG YEN",A470="TEX GIANG",A470="HUNG LONG"),LEFT(A470,5)="HANES",LEFT(A470,3)="ITG")</formula>
    </cfRule>
  </conditionalFormatting>
  <conditionalFormatting sqref="D469">
    <cfRule type="expression" dxfId="1264" priority="1261" stopIfTrue="1">
      <formula>OR(LEFT(D469,4)="KHTT",LEFT(D469,5)="10USD",RIGHT(D469,3)="TTC",LEFT(D469,3)="TNT")</formula>
    </cfRule>
    <cfRule type="expression" dxfId="1263" priority="1262" stopIfTrue="1">
      <formula>OR(LEFT(D469,3)="CTU",LEFT(D469,4)="HDON")</formula>
    </cfRule>
    <cfRule type="expression" dxfId="1262" priority="1263" stopIfTrue="1">
      <formula>OR(LEFT(D469,4)="HOLD",OR(A469="QTNP",A469="HOA THO",A469="YES VINA",A469="HUNG YEN",A469="TEX GIANG",A469="HUNG LONG"),LEFT(A469,5)="HANES",LEFT(A469,3)="ITG")</formula>
    </cfRule>
  </conditionalFormatting>
  <conditionalFormatting sqref="D469">
    <cfRule type="expression" dxfId="1261" priority="1258" stopIfTrue="1">
      <formula>OR(LEFT(D469,4)="KHTT",LEFT(D469,5)="10USD",RIGHT(D469,3)="TTC",LEFT(D469,3)="TNT")</formula>
    </cfRule>
    <cfRule type="expression" dxfId="1260" priority="1259" stopIfTrue="1">
      <formula>OR(LEFT(D469,3)="CTU",LEFT(D469,4)="HDON")</formula>
    </cfRule>
    <cfRule type="expression" dxfId="1259" priority="1260" stopIfTrue="1">
      <formula>OR(LEFT(D469,4)="HOLD",OR(A469="QTNP",A469="HOA THO",A469="YES VINA",A469="HUNG YEN",A469="TEX GIANG",A469="HUNG LONG"),LEFT(A469,5)="HANES",LEFT(A469,3)="ITG")</formula>
    </cfRule>
  </conditionalFormatting>
  <conditionalFormatting sqref="D470">
    <cfRule type="expression" dxfId="1258" priority="1255" stopIfTrue="1">
      <formula>OR(LEFT(D470,4)="KHTT",LEFT(D470,5)="10USD",RIGHT(D470,3)="TTC",LEFT(D470,3)="TNT")</formula>
    </cfRule>
    <cfRule type="expression" dxfId="1257" priority="1256" stopIfTrue="1">
      <formula>OR(LEFT(D470,3)="CTU",LEFT(D470,4)="HDON")</formula>
    </cfRule>
    <cfRule type="expression" dxfId="1256" priority="1257" stopIfTrue="1">
      <formula>OR(LEFT(D470,4)="HOLD",OR(A470="QTNP",A470="HOA THO",A470="YES VINA",A470="HUNG YEN",A470="TEX GIANG",A470="HUNG LONG"),LEFT(A470,5)="HANES",LEFT(A470,3)="ITG")</formula>
    </cfRule>
  </conditionalFormatting>
  <conditionalFormatting sqref="D470">
    <cfRule type="expression" dxfId="1255" priority="1252" stopIfTrue="1">
      <formula>OR(LEFT(D470,4)="KHTT",LEFT(D470,5)="10USD",RIGHT(D470,3)="TTC",LEFT(D470,3)="TNT")</formula>
    </cfRule>
    <cfRule type="expression" dxfId="1254" priority="1253" stopIfTrue="1">
      <formula>OR(LEFT(D470,3)="CTU",LEFT(D470,4)="HDON")</formula>
    </cfRule>
    <cfRule type="expression" dxfId="1253" priority="1254" stopIfTrue="1">
      <formula>OR(LEFT(D470,4)="HOLD",OR(A470="QTNP",A470="HOA THO",A470="YES VINA",A470="HUNG YEN",A470="TEX GIANG",A470="HUNG LONG"),LEFT(A470,5)="HANES",LEFT(A470,3)="ITG")</formula>
    </cfRule>
  </conditionalFormatting>
  <conditionalFormatting sqref="D470">
    <cfRule type="expression" dxfId="1252" priority="1249" stopIfTrue="1">
      <formula>OR(LEFT(D470,4)="KHTT",LEFT(D470,5)="10USD",RIGHT(D470,3)="TTC",LEFT(D470,3)="TNT")</formula>
    </cfRule>
    <cfRule type="expression" dxfId="1251" priority="1250" stopIfTrue="1">
      <formula>OR(LEFT(D470,3)="CTU",LEFT(D470,4)="HDON")</formula>
    </cfRule>
    <cfRule type="expression" dxfId="1250" priority="1251" stopIfTrue="1">
      <formula>OR(LEFT(D470,4)="HOLD",OR(A470="QTNP",A470="HOA THO",A470="YES VINA",A470="HUNG YEN",A470="TEX GIANG",A470="HUNG LONG"),LEFT(A470,5)="HANES",LEFT(A470,3)="ITG")</formula>
    </cfRule>
  </conditionalFormatting>
  <conditionalFormatting sqref="D470">
    <cfRule type="expression" dxfId="1249" priority="1246" stopIfTrue="1">
      <formula>OR(LEFT(D470,4)="KHTT",LEFT(D470,5)="10USD",RIGHT(D470,3)="TTC",LEFT(D470,3)="TNT")</formula>
    </cfRule>
    <cfRule type="expression" dxfId="1248" priority="1247" stopIfTrue="1">
      <formula>OR(LEFT(D470,3)="CTU",LEFT(D470,4)="HDON")</formula>
    </cfRule>
    <cfRule type="expression" dxfId="1247" priority="1248" stopIfTrue="1">
      <formula>OR(LEFT(D470,4)="HOLD",OR(A470="QTNP",A470="HOA THO",A470="YES VINA",A470="HUNG YEN",A470="TEX GIANG",A470="HUNG LONG"),LEFT(A470,5)="HANES",LEFT(A470,3)="ITG")</formula>
    </cfRule>
  </conditionalFormatting>
  <conditionalFormatting sqref="D469">
    <cfRule type="expression" dxfId="1246" priority="1243" stopIfTrue="1">
      <formula>OR(LEFT(D469,4)="KHTT",LEFT(D469,5)="10USD",RIGHT(D469,3)="TTC",LEFT(D469,3)="TNT")</formula>
    </cfRule>
    <cfRule type="expression" dxfId="1245" priority="1244" stopIfTrue="1">
      <formula>OR(LEFT(D469,3)="CTU",LEFT(D469,4)="HDON")</formula>
    </cfRule>
    <cfRule type="expression" dxfId="1244" priority="1245" stopIfTrue="1">
      <formula>OR(LEFT(D469,4)="HOLD",OR(A469="QTNP",A469="HOA THO",A469="YES VINA",A469="HUNG YEN",A469="TEX GIANG",A469="HUNG LONG"),LEFT(A469,5)="HANES",LEFT(A469,3)="ITG")</formula>
    </cfRule>
  </conditionalFormatting>
  <conditionalFormatting sqref="D469">
    <cfRule type="expression" dxfId="1243" priority="1240" stopIfTrue="1">
      <formula>OR(LEFT(D469,4)="KHTT",LEFT(D469,5)="10USD",RIGHT(D469,3)="TTC",LEFT(D469,3)="TNT")</formula>
    </cfRule>
    <cfRule type="expression" dxfId="1242" priority="1241" stopIfTrue="1">
      <formula>OR(LEFT(D469,3)="CTU",LEFT(D469,4)="HDON")</formula>
    </cfRule>
    <cfRule type="expression" dxfId="1241" priority="1242" stopIfTrue="1">
      <formula>OR(LEFT(D469,4)="HOLD",OR(A469="QTNP",A469="HOA THO",A469="YES VINA",A469="HUNG YEN",A469="TEX GIANG",A469="HUNG LONG"),LEFT(A469,5)="HANES",LEFT(A469,3)="ITG")</formula>
    </cfRule>
  </conditionalFormatting>
  <conditionalFormatting sqref="D470">
    <cfRule type="expression" dxfId="1240" priority="1237" stopIfTrue="1">
      <formula>OR(LEFT(D470,4)="KHTT",LEFT(D470,5)="10USD",RIGHT(D470,3)="TTC",LEFT(D470,3)="TNT")</formula>
    </cfRule>
    <cfRule type="expression" dxfId="1239" priority="1238" stopIfTrue="1">
      <formula>OR(LEFT(D470,3)="CTU",LEFT(D470,4)="HDON")</formula>
    </cfRule>
    <cfRule type="expression" dxfId="1238" priority="1239" stopIfTrue="1">
      <formula>OR(LEFT(D470,4)="HOLD",OR(A470="QTNP",A470="HOA THO",A470="YES VINA",A470="HUNG YEN",A470="TEX GIANG",A470="HUNG LONG"),LEFT(A470,5)="HANES",LEFT(A470,3)="ITG")</formula>
    </cfRule>
  </conditionalFormatting>
  <conditionalFormatting sqref="D470">
    <cfRule type="expression" dxfId="1237" priority="1234" stopIfTrue="1">
      <formula>OR(LEFT(D470,4)="KHTT",LEFT(D470,5)="10USD",RIGHT(D470,3)="TTC",LEFT(D470,3)="TNT")</formula>
    </cfRule>
    <cfRule type="expression" dxfId="1236" priority="1235" stopIfTrue="1">
      <formula>OR(LEFT(D470,3)="CTU",LEFT(D470,4)="HDON")</formula>
    </cfRule>
    <cfRule type="expression" dxfId="1235" priority="1236" stopIfTrue="1">
      <formula>OR(LEFT(D470,4)="HOLD",OR(A470="QTNP",A470="HOA THO",A470="YES VINA",A470="HUNG YEN",A470="TEX GIANG",A470="HUNG LONG"),LEFT(A470,5)="HANES",LEFT(A470,3)="ITG")</formula>
    </cfRule>
  </conditionalFormatting>
  <conditionalFormatting sqref="D470">
    <cfRule type="expression" dxfId="1234" priority="1231" stopIfTrue="1">
      <formula>OR(LEFT(D470,4)="KHTT",LEFT(D470,5)="10USD",RIGHT(D470,3)="TTC",LEFT(D470,3)="TNT")</formula>
    </cfRule>
    <cfRule type="expression" dxfId="1233" priority="1232" stopIfTrue="1">
      <formula>OR(LEFT(D470,3)="CTU",LEFT(D470,4)="HDON")</formula>
    </cfRule>
    <cfRule type="expression" dxfId="1232" priority="1233" stopIfTrue="1">
      <formula>OR(LEFT(D470,4)="HOLD",OR(A470="QTNP",A470="HOA THO",A470="YES VINA",A470="HUNG YEN",A470="TEX GIANG",A470="HUNG LONG"),LEFT(A470,5)="HANES",LEFT(A470,3)="ITG")</formula>
    </cfRule>
  </conditionalFormatting>
  <conditionalFormatting sqref="D470">
    <cfRule type="expression" dxfId="1231" priority="1228" stopIfTrue="1">
      <formula>OR(LEFT(D470,4)="KHTT",LEFT(D470,5)="10USD",RIGHT(D470,3)="TTC",LEFT(D470,3)="TNT")</formula>
    </cfRule>
    <cfRule type="expression" dxfId="1230" priority="1229" stopIfTrue="1">
      <formula>OR(LEFT(D470,3)="CTU",LEFT(D470,4)="HDON")</formula>
    </cfRule>
    <cfRule type="expression" dxfId="1229" priority="1230" stopIfTrue="1">
      <formula>OR(LEFT(D470,4)="HOLD",OR(A470="QTNP",A470="HOA THO",A470="YES VINA",A470="HUNG YEN",A470="TEX GIANG",A470="HUNG LONG"),LEFT(A470,5)="HANES",LEFT(A470,3)="ITG")</formula>
    </cfRule>
  </conditionalFormatting>
  <conditionalFormatting sqref="D469">
    <cfRule type="expression" dxfId="1228" priority="1225" stopIfTrue="1">
      <formula>OR(LEFT(D469,4)="KHTT",LEFT(D469,5)="10USD",RIGHT(D469,3)="TTC",LEFT(D469,3)="TNT")</formula>
    </cfRule>
    <cfRule type="expression" dxfId="1227" priority="1226" stopIfTrue="1">
      <formula>OR(LEFT(D469,3)="CTU",LEFT(D469,4)="HDON")</formula>
    </cfRule>
    <cfRule type="expression" dxfId="1226" priority="1227" stopIfTrue="1">
      <formula>OR(LEFT(D469,4)="HOLD",OR(A469="QTNP",A469="HOA THO",A469="YES VINA",A469="HUNG YEN",A469="TEX GIANG",A469="HUNG LONG"),LEFT(A469,5)="HANES",LEFT(A469,3)="ITG")</formula>
    </cfRule>
  </conditionalFormatting>
  <conditionalFormatting sqref="D469">
    <cfRule type="expression" dxfId="1225" priority="1222" stopIfTrue="1">
      <formula>OR(LEFT(D469,4)="KHTT",LEFT(D469,5)="10USD",RIGHT(D469,3)="TTC",LEFT(D469,3)="TNT")</formula>
    </cfRule>
    <cfRule type="expression" dxfId="1224" priority="1223" stopIfTrue="1">
      <formula>OR(LEFT(D469,3)="CTU",LEFT(D469,4)="HDON")</formula>
    </cfRule>
    <cfRule type="expression" dxfId="1223" priority="1224" stopIfTrue="1">
      <formula>OR(LEFT(D469,4)="HOLD",OR(A469="QTNP",A469="HOA THO",A469="YES VINA",A469="HUNG YEN",A469="TEX GIANG",A469="HUNG LONG"),LEFT(A469,5)="HANES",LEFT(A469,3)="ITG")</formula>
    </cfRule>
  </conditionalFormatting>
  <conditionalFormatting sqref="D470">
    <cfRule type="expression" dxfId="1222" priority="1219" stopIfTrue="1">
      <formula>OR(LEFT(D470,4)="KHTT",LEFT(D470,5)="10USD",RIGHT(D470,3)="TTC",LEFT(D470,3)="TNT")</formula>
    </cfRule>
    <cfRule type="expression" dxfId="1221" priority="1220" stopIfTrue="1">
      <formula>OR(LEFT(D470,3)="CTU",LEFT(D470,4)="HDON")</formula>
    </cfRule>
    <cfRule type="expression" dxfId="1220" priority="1221" stopIfTrue="1">
      <formula>OR(LEFT(D470,4)="HOLD",OR(A470="QTNP",A470="HOA THO",A470="YES VINA",A470="HUNG YEN",A470="TEX GIANG",A470="HUNG LONG"),LEFT(A470,5)="HANES",LEFT(A470,3)="ITG")</formula>
    </cfRule>
  </conditionalFormatting>
  <conditionalFormatting sqref="D470">
    <cfRule type="expression" dxfId="1219" priority="1216" stopIfTrue="1">
      <formula>OR(LEFT(D470,4)="KHTT",LEFT(D470,5)="10USD",RIGHT(D470,3)="TTC",LEFT(D470,3)="TNT")</formula>
    </cfRule>
    <cfRule type="expression" dxfId="1218" priority="1217" stopIfTrue="1">
      <formula>OR(LEFT(D470,3)="CTU",LEFT(D470,4)="HDON")</formula>
    </cfRule>
    <cfRule type="expression" dxfId="1217" priority="1218" stopIfTrue="1">
      <formula>OR(LEFT(D470,4)="HOLD",OR(A470="QTNP",A470="HOA THO",A470="YES VINA",A470="HUNG YEN",A470="TEX GIANG",A470="HUNG LONG"),LEFT(A470,5)="HANES",LEFT(A470,3)="ITG")</formula>
    </cfRule>
  </conditionalFormatting>
  <conditionalFormatting sqref="D470">
    <cfRule type="expression" dxfId="1216" priority="1213" stopIfTrue="1">
      <formula>OR(LEFT(D470,4)="KHTT",LEFT(D470,5)="10USD",RIGHT(D470,3)="TTC",LEFT(D470,3)="TNT")</formula>
    </cfRule>
    <cfRule type="expression" dxfId="1215" priority="1214" stopIfTrue="1">
      <formula>OR(LEFT(D470,3)="CTU",LEFT(D470,4)="HDON")</formula>
    </cfRule>
    <cfRule type="expression" dxfId="1214" priority="1215" stopIfTrue="1">
      <formula>OR(LEFT(D470,4)="HOLD",OR(A470="QTNP",A470="HOA THO",A470="YES VINA",A470="HUNG YEN",A470="TEX GIANG",A470="HUNG LONG"),LEFT(A470,5)="HANES",LEFT(A470,3)="ITG")</formula>
    </cfRule>
  </conditionalFormatting>
  <conditionalFormatting sqref="D470">
    <cfRule type="expression" dxfId="1213" priority="1210" stopIfTrue="1">
      <formula>OR(LEFT(D470,4)="KHTT",LEFT(D470,5)="10USD",RIGHT(D470,3)="TTC",LEFT(D470,3)="TNT")</formula>
    </cfRule>
    <cfRule type="expression" dxfId="1212" priority="1211" stopIfTrue="1">
      <formula>OR(LEFT(D470,3)="CTU",LEFT(D470,4)="HDON")</formula>
    </cfRule>
    <cfRule type="expression" dxfId="1211" priority="1212" stopIfTrue="1">
      <formula>OR(LEFT(D470,4)="HOLD",OR(A470="QTNP",A470="HOA THO",A470="YES VINA",A470="HUNG YEN",A470="TEX GIANG",A470="HUNG LONG"),LEFT(A470,5)="HANES",LEFT(A470,3)="ITG")</formula>
    </cfRule>
  </conditionalFormatting>
  <conditionalFormatting sqref="D469">
    <cfRule type="expression" dxfId="1210" priority="1207" stopIfTrue="1">
      <formula>OR(LEFT(D469,4)="KHTT",LEFT(D469,5)="10USD",RIGHT(D469,3)="TTC",LEFT(D469,3)="TNT")</formula>
    </cfRule>
    <cfRule type="expression" dxfId="1209" priority="1208" stopIfTrue="1">
      <formula>OR(LEFT(D469,3)="CTU",LEFT(D469,4)="HDON")</formula>
    </cfRule>
    <cfRule type="expression" dxfId="1208" priority="1209" stopIfTrue="1">
      <formula>OR(LEFT(D469,4)="HOLD",OR(A469="QTNP",A469="HOA THO",A469="YES VINA",A469="HUNG YEN",A469="TEX GIANG",A469="HUNG LONG"),LEFT(A469,5)="HANES",LEFT(A469,3)="ITG")</formula>
    </cfRule>
  </conditionalFormatting>
  <conditionalFormatting sqref="D469">
    <cfRule type="expression" dxfId="1207" priority="1204" stopIfTrue="1">
      <formula>OR(LEFT(D469,4)="KHTT",LEFT(D469,5)="10USD",RIGHT(D469,3)="TTC",LEFT(D469,3)="TNT")</formula>
    </cfRule>
    <cfRule type="expression" dxfId="1206" priority="1205" stopIfTrue="1">
      <formula>OR(LEFT(D469,3)="CTU",LEFT(D469,4)="HDON")</formula>
    </cfRule>
    <cfRule type="expression" dxfId="1205" priority="1206" stopIfTrue="1">
      <formula>OR(LEFT(D469,4)="HOLD",OR(A469="QTNP",A469="HOA THO",A469="YES VINA",A469="HUNG YEN",A469="TEX GIANG",A469="HUNG LONG"),LEFT(A469,5)="HANES",LEFT(A469,3)="ITG")</formula>
    </cfRule>
  </conditionalFormatting>
  <conditionalFormatting sqref="D470">
    <cfRule type="expression" dxfId="1204" priority="1201" stopIfTrue="1">
      <formula>OR(LEFT(D470,4)="KHTT",LEFT(D470,5)="10USD",RIGHT(D470,3)="TTC",LEFT(D470,3)="TNT")</formula>
    </cfRule>
    <cfRule type="expression" dxfId="1203" priority="1202" stopIfTrue="1">
      <formula>OR(LEFT(D470,3)="CTU",LEFT(D470,4)="HDON")</formula>
    </cfRule>
    <cfRule type="expression" dxfId="1202" priority="1203" stopIfTrue="1">
      <formula>OR(LEFT(D470,4)="HOLD",OR(A470="QTNP",A470="HOA THO",A470="YES VINA",A470="HUNG YEN",A470="TEX GIANG",A470="HUNG LONG"),LEFT(A470,5)="HANES",LEFT(A470,3)="ITG")</formula>
    </cfRule>
  </conditionalFormatting>
  <conditionalFormatting sqref="D470">
    <cfRule type="expression" dxfId="1201" priority="1198" stopIfTrue="1">
      <formula>OR(LEFT(D470,4)="KHTT",LEFT(D470,5)="10USD",RIGHT(D470,3)="TTC",LEFT(D470,3)="TNT")</formula>
    </cfRule>
    <cfRule type="expression" dxfId="1200" priority="1199" stopIfTrue="1">
      <formula>OR(LEFT(D470,3)="CTU",LEFT(D470,4)="HDON")</formula>
    </cfRule>
    <cfRule type="expression" dxfId="1199" priority="1200" stopIfTrue="1">
      <formula>OR(LEFT(D470,4)="HOLD",OR(A470="QTNP",A470="HOA THO",A470="YES VINA",A470="HUNG YEN",A470="TEX GIANG",A470="HUNG LONG"),LEFT(A470,5)="HANES",LEFT(A470,3)="ITG")</formula>
    </cfRule>
  </conditionalFormatting>
  <conditionalFormatting sqref="D470">
    <cfRule type="expression" dxfId="1198" priority="1195" stopIfTrue="1">
      <formula>OR(LEFT(D470,4)="KHTT",LEFT(D470,5)="10USD",RIGHT(D470,3)="TTC",LEFT(D470,3)="TNT")</formula>
    </cfRule>
    <cfRule type="expression" dxfId="1197" priority="1196" stopIfTrue="1">
      <formula>OR(LEFT(D470,3)="CTU",LEFT(D470,4)="HDON")</formula>
    </cfRule>
    <cfRule type="expression" dxfId="1196" priority="1197" stopIfTrue="1">
      <formula>OR(LEFT(D470,4)="HOLD",OR(A470="QTNP",A470="HOA THO",A470="YES VINA",A470="HUNG YEN",A470="TEX GIANG",A470="HUNG LONG"),LEFT(A470,5)="HANES",LEFT(A470,3)="ITG")</formula>
    </cfRule>
  </conditionalFormatting>
  <conditionalFormatting sqref="D470">
    <cfRule type="expression" dxfId="1195" priority="1192" stopIfTrue="1">
      <formula>OR(LEFT(D470,4)="KHTT",LEFT(D470,5)="10USD",RIGHT(D470,3)="TTC",LEFT(D470,3)="TNT")</formula>
    </cfRule>
    <cfRule type="expression" dxfId="1194" priority="1193" stopIfTrue="1">
      <formula>OR(LEFT(D470,3)="CTU",LEFT(D470,4)="HDON")</formula>
    </cfRule>
    <cfRule type="expression" dxfId="1193" priority="1194" stopIfTrue="1">
      <formula>OR(LEFT(D470,4)="HOLD",OR(A470="QTNP",A470="HOA THO",A470="YES VINA",A470="HUNG YEN",A470="TEX GIANG",A470="HUNG LONG"),LEFT(A470,5)="HANES",LEFT(A470,3)="ITG")</formula>
    </cfRule>
  </conditionalFormatting>
  <conditionalFormatting sqref="D469">
    <cfRule type="expression" dxfId="1192" priority="1189" stopIfTrue="1">
      <formula>OR(LEFT(D469,4)="KHTT",LEFT(D469,5)="10USD",RIGHT(D469,3)="TTC",LEFT(D469,3)="TNT")</formula>
    </cfRule>
    <cfRule type="expression" dxfId="1191" priority="1190" stopIfTrue="1">
      <formula>OR(LEFT(D469,3)="CTU",LEFT(D469,4)="HDON")</formula>
    </cfRule>
    <cfRule type="expression" dxfId="1190" priority="1191" stopIfTrue="1">
      <formula>OR(LEFT(D469,4)="HOLD",OR(A469="QTNP",A469="HOA THO",A469="YES VINA",A469="HUNG YEN",A469="TEX GIANG",A469="HUNG LONG"),LEFT(A469,5)="HANES",LEFT(A469,3)="ITG")</formula>
    </cfRule>
  </conditionalFormatting>
  <conditionalFormatting sqref="D469">
    <cfRule type="expression" dxfId="1189" priority="1186" stopIfTrue="1">
      <formula>OR(LEFT(D469,4)="KHTT",LEFT(D469,5)="10USD",RIGHT(D469,3)="TTC",LEFT(D469,3)="TNT")</formula>
    </cfRule>
    <cfRule type="expression" dxfId="1188" priority="1187" stopIfTrue="1">
      <formula>OR(LEFT(D469,3)="CTU",LEFT(D469,4)="HDON")</formula>
    </cfRule>
    <cfRule type="expression" dxfId="1187" priority="1188" stopIfTrue="1">
      <formula>OR(LEFT(D469,4)="HOLD",OR(A469="QTNP",A469="HOA THO",A469="YES VINA",A469="HUNG YEN",A469="TEX GIANG",A469="HUNG LONG"),LEFT(A469,5)="HANES",LEFT(A469,3)="ITG")</formula>
    </cfRule>
  </conditionalFormatting>
  <conditionalFormatting sqref="D470">
    <cfRule type="expression" dxfId="1186" priority="1183" stopIfTrue="1">
      <formula>OR(LEFT(D470,4)="KHTT",LEFT(D470,5)="10USD",RIGHT(D470,3)="TTC",LEFT(D470,3)="TNT")</formula>
    </cfRule>
    <cfRule type="expression" dxfId="1185" priority="1184" stopIfTrue="1">
      <formula>OR(LEFT(D470,3)="CTU",LEFT(D470,4)="HDON")</formula>
    </cfRule>
    <cfRule type="expression" dxfId="1184" priority="1185" stopIfTrue="1">
      <formula>OR(LEFT(D470,4)="HOLD",OR(A470="QTNP",A470="HOA THO",A470="YES VINA",A470="HUNG YEN",A470="TEX GIANG",A470="HUNG LONG"),LEFT(A470,5)="HANES",LEFT(A470,3)="ITG")</formula>
    </cfRule>
  </conditionalFormatting>
  <conditionalFormatting sqref="D470">
    <cfRule type="expression" dxfId="1183" priority="1180" stopIfTrue="1">
      <formula>OR(LEFT(D470,4)="KHTT",LEFT(D470,5)="10USD",RIGHT(D470,3)="TTC",LEFT(D470,3)="TNT")</formula>
    </cfRule>
    <cfRule type="expression" dxfId="1182" priority="1181" stopIfTrue="1">
      <formula>OR(LEFT(D470,3)="CTU",LEFT(D470,4)="HDON")</formula>
    </cfRule>
    <cfRule type="expression" dxfId="1181" priority="1182" stopIfTrue="1">
      <formula>OR(LEFT(D470,4)="HOLD",OR(A470="QTNP",A470="HOA THO",A470="YES VINA",A470="HUNG YEN",A470="TEX GIANG",A470="HUNG LONG"),LEFT(A470,5)="HANES",LEFT(A470,3)="ITG")</formula>
    </cfRule>
  </conditionalFormatting>
  <conditionalFormatting sqref="D470">
    <cfRule type="expression" dxfId="1180" priority="1177" stopIfTrue="1">
      <formula>OR(LEFT(D470,4)="KHTT",LEFT(D470,5)="10USD",RIGHT(D470,3)="TTC",LEFT(D470,3)="TNT")</formula>
    </cfRule>
    <cfRule type="expression" dxfId="1179" priority="1178" stopIfTrue="1">
      <formula>OR(LEFT(D470,3)="CTU",LEFT(D470,4)="HDON")</formula>
    </cfRule>
    <cfRule type="expression" dxfId="1178" priority="1179" stopIfTrue="1">
      <formula>OR(LEFT(D470,4)="HOLD",OR(A470="QTNP",A470="HOA THO",A470="YES VINA",A470="HUNG YEN",A470="TEX GIANG",A470="HUNG LONG"),LEFT(A470,5)="HANES",LEFT(A470,3)="ITG")</formula>
    </cfRule>
  </conditionalFormatting>
  <conditionalFormatting sqref="D470">
    <cfRule type="expression" dxfId="1177" priority="1174" stopIfTrue="1">
      <formula>OR(LEFT(D470,4)="KHTT",LEFT(D470,5)="10USD",RIGHT(D470,3)="TTC",LEFT(D470,3)="TNT")</formula>
    </cfRule>
    <cfRule type="expression" dxfId="1176" priority="1175" stopIfTrue="1">
      <formula>OR(LEFT(D470,3)="CTU",LEFT(D470,4)="HDON")</formula>
    </cfRule>
    <cfRule type="expression" dxfId="1175" priority="1176" stopIfTrue="1">
      <formula>OR(LEFT(D470,4)="HOLD",OR(A470="QTNP",A470="HOA THO",A470="YES VINA",A470="HUNG YEN",A470="TEX GIANG",A470="HUNG LONG"),LEFT(A470,5)="HANES",LEFT(A470,3)="ITG")</formula>
    </cfRule>
  </conditionalFormatting>
  <conditionalFormatting sqref="D469">
    <cfRule type="expression" dxfId="1174" priority="1171" stopIfTrue="1">
      <formula>OR(LEFT(D469,4)="KHTT",LEFT(D469,5)="10USD",RIGHT(D469,3)="TTC",LEFT(D469,3)="TNT")</formula>
    </cfRule>
    <cfRule type="expression" dxfId="1173" priority="1172" stopIfTrue="1">
      <formula>OR(LEFT(D469,3)="CTU",LEFT(D469,4)="HDON")</formula>
    </cfRule>
    <cfRule type="expression" dxfId="1172" priority="1173" stopIfTrue="1">
      <formula>OR(LEFT(D469,4)="HOLD",OR(A469="QTNP",A469="HOA THO",A469="YES VINA",A469="HUNG YEN",A469="TEX GIANG",A469="HUNG LONG"),LEFT(A469,5)="HANES",LEFT(A469,3)="ITG")</formula>
    </cfRule>
  </conditionalFormatting>
  <conditionalFormatting sqref="D469">
    <cfRule type="expression" dxfId="1171" priority="1168" stopIfTrue="1">
      <formula>OR(LEFT(D469,4)="KHTT",LEFT(D469,5)="10USD",RIGHT(D469,3)="TTC",LEFT(D469,3)="TNT")</formula>
    </cfRule>
    <cfRule type="expression" dxfId="1170" priority="1169" stopIfTrue="1">
      <formula>OR(LEFT(D469,3)="CTU",LEFT(D469,4)="HDON")</formula>
    </cfRule>
    <cfRule type="expression" dxfId="1169" priority="1170" stopIfTrue="1">
      <formula>OR(LEFT(D469,4)="HOLD",OR(A469="QTNP",A469="HOA THO",A469="YES VINA",A469="HUNG YEN",A469="TEX GIANG",A469="HUNG LONG"),LEFT(A469,5)="HANES",LEFT(A469,3)="ITG")</formula>
    </cfRule>
  </conditionalFormatting>
  <conditionalFormatting sqref="D470">
    <cfRule type="expression" dxfId="1168" priority="1165" stopIfTrue="1">
      <formula>OR(LEFT(D470,4)="KHTT",LEFT(D470,5)="10USD",RIGHT(D470,3)="TTC",LEFT(D470,3)="TNT")</formula>
    </cfRule>
    <cfRule type="expression" dxfId="1167" priority="1166" stopIfTrue="1">
      <formula>OR(LEFT(D470,3)="CTU",LEFT(D470,4)="HDON")</formula>
    </cfRule>
    <cfRule type="expression" dxfId="1166" priority="1167" stopIfTrue="1">
      <formula>OR(LEFT(D470,4)="HOLD",OR(A470="QTNP",A470="HOA THO",A470="YES VINA",A470="HUNG YEN",A470="TEX GIANG",A470="HUNG LONG"),LEFT(A470,5)="HANES",LEFT(A470,3)="ITG")</formula>
    </cfRule>
  </conditionalFormatting>
  <conditionalFormatting sqref="D470">
    <cfRule type="expression" dxfId="1165" priority="1162" stopIfTrue="1">
      <formula>OR(LEFT(D470,4)="KHTT",LEFT(D470,5)="10USD",RIGHT(D470,3)="TTC",LEFT(D470,3)="TNT")</formula>
    </cfRule>
    <cfRule type="expression" dxfId="1164" priority="1163" stopIfTrue="1">
      <formula>OR(LEFT(D470,3)="CTU",LEFT(D470,4)="HDON")</formula>
    </cfRule>
    <cfRule type="expression" dxfId="1163" priority="1164" stopIfTrue="1">
      <formula>OR(LEFT(D470,4)="HOLD",OR(A470="QTNP",A470="HOA THO",A470="YES VINA",A470="HUNG YEN",A470="TEX GIANG",A470="HUNG LONG"),LEFT(A470,5)="HANES",LEFT(A470,3)="ITG")</formula>
    </cfRule>
  </conditionalFormatting>
  <conditionalFormatting sqref="D470">
    <cfRule type="expression" dxfId="1162" priority="1159" stopIfTrue="1">
      <formula>OR(LEFT(D470,4)="KHTT",LEFT(D470,5)="10USD",RIGHT(D470,3)="TTC",LEFT(D470,3)="TNT")</formula>
    </cfRule>
    <cfRule type="expression" dxfId="1161" priority="1160" stopIfTrue="1">
      <formula>OR(LEFT(D470,3)="CTU",LEFT(D470,4)="HDON")</formula>
    </cfRule>
    <cfRule type="expression" dxfId="1160" priority="1161" stopIfTrue="1">
      <formula>OR(LEFT(D470,4)="HOLD",OR(A470="QTNP",A470="HOA THO",A470="YES VINA",A470="HUNG YEN",A470="TEX GIANG",A470="HUNG LONG"),LEFT(A470,5)="HANES",LEFT(A470,3)="ITG")</formula>
    </cfRule>
  </conditionalFormatting>
  <conditionalFormatting sqref="D470">
    <cfRule type="expression" dxfId="1159" priority="1156" stopIfTrue="1">
      <formula>OR(LEFT(D470,4)="KHTT",LEFT(D470,5)="10USD",RIGHT(D470,3)="TTC",LEFT(D470,3)="TNT")</formula>
    </cfRule>
    <cfRule type="expression" dxfId="1158" priority="1157" stopIfTrue="1">
      <formula>OR(LEFT(D470,3)="CTU",LEFT(D470,4)="HDON")</formula>
    </cfRule>
    <cfRule type="expression" dxfId="1157" priority="1158" stopIfTrue="1">
      <formula>OR(LEFT(D470,4)="HOLD",OR(A470="QTNP",A470="HOA THO",A470="YES VINA",A470="HUNG YEN",A470="TEX GIANG",A470="HUNG LONG"),LEFT(A470,5)="HANES",LEFT(A470,3)="ITG")</formula>
    </cfRule>
  </conditionalFormatting>
  <conditionalFormatting sqref="D469">
    <cfRule type="expression" dxfId="1156" priority="1153" stopIfTrue="1">
      <formula>OR(LEFT(D469,4)="KHTT",LEFT(D469,5)="10USD",RIGHT(D469,3)="TTC",LEFT(D469,3)="TNT")</formula>
    </cfRule>
    <cfRule type="expression" dxfId="1155" priority="1154" stopIfTrue="1">
      <formula>OR(LEFT(D469,3)="CTU",LEFT(D469,4)="HDON")</formula>
    </cfRule>
    <cfRule type="expression" dxfId="1154" priority="1155" stopIfTrue="1">
      <formula>OR(LEFT(D469,4)="HOLD",OR(A469="QTNP",A469="HOA THO",A469="YES VINA",A469="HUNG YEN",A469="TEX GIANG",A469="HUNG LONG"),LEFT(A469,5)="HANES",LEFT(A469,3)="ITG")</formula>
    </cfRule>
  </conditionalFormatting>
  <conditionalFormatting sqref="D469">
    <cfRule type="expression" dxfId="1153" priority="1150" stopIfTrue="1">
      <formula>OR(LEFT(D469,4)="KHTT",LEFT(D469,5)="10USD",RIGHT(D469,3)="TTC",LEFT(D469,3)="TNT")</formula>
    </cfRule>
    <cfRule type="expression" dxfId="1152" priority="1151" stopIfTrue="1">
      <formula>OR(LEFT(D469,3)="CTU",LEFT(D469,4)="HDON")</formula>
    </cfRule>
    <cfRule type="expression" dxfId="1151" priority="1152" stopIfTrue="1">
      <formula>OR(LEFT(D469,4)="HOLD",OR(A469="QTNP",A469="HOA THO",A469="YES VINA",A469="HUNG YEN",A469="TEX GIANG",A469="HUNG LONG"),LEFT(A469,5)="HANES",LEFT(A469,3)="ITG")</formula>
    </cfRule>
  </conditionalFormatting>
  <conditionalFormatting sqref="D470">
    <cfRule type="expression" dxfId="1150" priority="1147" stopIfTrue="1">
      <formula>OR(LEFT(D470,4)="KHTT",LEFT(D470,5)="10USD",RIGHT(D470,3)="TTC",LEFT(D470,3)="TNT")</formula>
    </cfRule>
    <cfRule type="expression" dxfId="1149" priority="1148" stopIfTrue="1">
      <formula>OR(LEFT(D470,3)="CTU",LEFT(D470,4)="HDON")</formula>
    </cfRule>
    <cfRule type="expression" dxfId="1148" priority="1149" stopIfTrue="1">
      <formula>OR(LEFT(D470,4)="HOLD",OR(A470="QTNP",A470="HOA THO",A470="YES VINA",A470="HUNG YEN",A470="TEX GIANG",A470="HUNG LONG"),LEFT(A470,5)="HANES",LEFT(A470,3)="ITG")</formula>
    </cfRule>
  </conditionalFormatting>
  <conditionalFormatting sqref="D470">
    <cfRule type="expression" dxfId="1147" priority="1144" stopIfTrue="1">
      <formula>OR(LEFT(D470,4)="KHTT",LEFT(D470,5)="10USD",RIGHT(D470,3)="TTC",LEFT(D470,3)="TNT")</formula>
    </cfRule>
    <cfRule type="expression" dxfId="1146" priority="1145" stopIfTrue="1">
      <formula>OR(LEFT(D470,3)="CTU",LEFT(D470,4)="HDON")</formula>
    </cfRule>
    <cfRule type="expression" dxfId="1145" priority="1146" stopIfTrue="1">
      <formula>OR(LEFT(D470,4)="HOLD",OR(A470="QTNP",A470="HOA THO",A470="YES VINA",A470="HUNG YEN",A470="TEX GIANG",A470="HUNG LONG"),LEFT(A470,5)="HANES",LEFT(A470,3)="ITG")</formula>
    </cfRule>
  </conditionalFormatting>
  <conditionalFormatting sqref="D470">
    <cfRule type="expression" dxfId="1144" priority="1141" stopIfTrue="1">
      <formula>OR(LEFT(D470,4)="KHTT",LEFT(D470,5)="10USD",RIGHT(D470,3)="TTC",LEFT(D470,3)="TNT")</formula>
    </cfRule>
    <cfRule type="expression" dxfId="1143" priority="1142" stopIfTrue="1">
      <formula>OR(LEFT(D470,3)="CTU",LEFT(D470,4)="HDON")</formula>
    </cfRule>
    <cfRule type="expression" dxfId="1142" priority="1143" stopIfTrue="1">
      <formula>OR(LEFT(D470,4)="HOLD",OR(A470="QTNP",A470="HOA THO",A470="YES VINA",A470="HUNG YEN",A470="TEX GIANG",A470="HUNG LONG"),LEFT(A470,5)="HANES",LEFT(A470,3)="ITG")</formula>
    </cfRule>
  </conditionalFormatting>
  <conditionalFormatting sqref="D470">
    <cfRule type="expression" dxfId="1141" priority="1138" stopIfTrue="1">
      <formula>OR(LEFT(D470,4)="KHTT",LEFT(D470,5)="10USD",RIGHT(D470,3)="TTC",LEFT(D470,3)="TNT")</formula>
    </cfRule>
    <cfRule type="expression" dxfId="1140" priority="1139" stopIfTrue="1">
      <formula>OR(LEFT(D470,3)="CTU",LEFT(D470,4)="HDON")</formula>
    </cfRule>
    <cfRule type="expression" dxfId="1139" priority="1140" stopIfTrue="1">
      <formula>OR(LEFT(D470,4)="HOLD",OR(A470="QTNP",A470="HOA THO",A470="YES VINA",A470="HUNG YEN",A470="TEX GIANG",A470="HUNG LONG"),LEFT(A470,5)="HANES",LEFT(A470,3)="ITG")</formula>
    </cfRule>
  </conditionalFormatting>
  <conditionalFormatting sqref="D469">
    <cfRule type="expression" dxfId="1138" priority="1135" stopIfTrue="1">
      <formula>OR(LEFT(D469,4)="KHTT",LEFT(D469,5)="10USD",RIGHT(D469,3)="TTC",LEFT(D469,3)="TNT")</formula>
    </cfRule>
    <cfRule type="expression" dxfId="1137" priority="1136" stopIfTrue="1">
      <formula>OR(LEFT(D469,3)="CTU",LEFT(D469,4)="HDON")</formula>
    </cfRule>
    <cfRule type="expression" dxfId="1136" priority="1137" stopIfTrue="1">
      <formula>OR(LEFT(D469,4)="HOLD",OR(A469="QTNP",A469="HOA THO",A469="YES VINA",A469="HUNG YEN",A469="TEX GIANG",A469="HUNG LONG"),LEFT(A469,5)="HANES",LEFT(A469,3)="ITG")</formula>
    </cfRule>
  </conditionalFormatting>
  <conditionalFormatting sqref="D469">
    <cfRule type="expression" dxfId="1135" priority="1132" stopIfTrue="1">
      <formula>OR(LEFT(D469,4)="KHTT",LEFT(D469,5)="10USD",RIGHT(D469,3)="TTC",LEFT(D469,3)="TNT")</formula>
    </cfRule>
    <cfRule type="expression" dxfId="1134" priority="1133" stopIfTrue="1">
      <formula>OR(LEFT(D469,3)="CTU",LEFT(D469,4)="HDON")</formula>
    </cfRule>
    <cfRule type="expression" dxfId="1133" priority="1134" stopIfTrue="1">
      <formula>OR(LEFT(D469,4)="HOLD",OR(A469="QTNP",A469="HOA THO",A469="YES VINA",A469="HUNG YEN",A469="TEX GIANG",A469="HUNG LONG"),LEFT(A469,5)="HANES",LEFT(A469,3)="ITG")</formula>
    </cfRule>
  </conditionalFormatting>
  <conditionalFormatting sqref="D470">
    <cfRule type="expression" dxfId="1132" priority="1129" stopIfTrue="1">
      <formula>OR(LEFT(D470,4)="KHTT",LEFT(D470,5)="10USD",RIGHT(D470,3)="TTC",LEFT(D470,3)="TNT")</formula>
    </cfRule>
    <cfRule type="expression" dxfId="1131" priority="1130" stopIfTrue="1">
      <formula>OR(LEFT(D470,3)="CTU",LEFT(D470,4)="HDON")</formula>
    </cfRule>
    <cfRule type="expression" dxfId="1130" priority="1131" stopIfTrue="1">
      <formula>OR(LEFT(D470,4)="HOLD",OR(A470="QTNP",A470="HOA THO",A470="YES VINA",A470="HUNG YEN",A470="TEX GIANG",A470="HUNG LONG"),LEFT(A470,5)="HANES",LEFT(A470,3)="ITG")</formula>
    </cfRule>
  </conditionalFormatting>
  <conditionalFormatting sqref="D470">
    <cfRule type="expression" dxfId="1129" priority="1126" stopIfTrue="1">
      <formula>OR(LEFT(D470,4)="KHTT",LEFT(D470,5)="10USD",RIGHT(D470,3)="TTC",LEFT(D470,3)="TNT")</formula>
    </cfRule>
    <cfRule type="expression" dxfId="1128" priority="1127" stopIfTrue="1">
      <formula>OR(LEFT(D470,3)="CTU",LEFT(D470,4)="HDON")</formula>
    </cfRule>
    <cfRule type="expression" dxfId="1127" priority="1128" stopIfTrue="1">
      <formula>OR(LEFT(D470,4)="HOLD",OR(A470="QTNP",A470="HOA THO",A470="YES VINA",A470="HUNG YEN",A470="TEX GIANG",A470="HUNG LONG"),LEFT(A470,5)="HANES",LEFT(A470,3)="ITG")</formula>
    </cfRule>
  </conditionalFormatting>
  <conditionalFormatting sqref="D470">
    <cfRule type="expression" dxfId="1126" priority="1123" stopIfTrue="1">
      <formula>OR(LEFT(D470,4)="KHTT",LEFT(D470,5)="10USD",RIGHT(D470,3)="TTC",LEFT(D470,3)="TNT")</formula>
    </cfRule>
    <cfRule type="expression" dxfId="1125" priority="1124" stopIfTrue="1">
      <formula>OR(LEFT(D470,3)="CTU",LEFT(D470,4)="HDON")</formula>
    </cfRule>
    <cfRule type="expression" dxfId="1124" priority="1125" stopIfTrue="1">
      <formula>OR(LEFT(D470,4)="HOLD",OR(A470="QTNP",A470="HOA THO",A470="YES VINA",A470="HUNG YEN",A470="TEX GIANG",A470="HUNG LONG"),LEFT(A470,5)="HANES",LEFT(A470,3)="ITG")</formula>
    </cfRule>
  </conditionalFormatting>
  <conditionalFormatting sqref="D470">
    <cfRule type="expression" dxfId="1123" priority="1120" stopIfTrue="1">
      <formula>OR(LEFT(D470,4)="KHTT",LEFT(D470,5)="10USD",RIGHT(D470,3)="TTC",LEFT(D470,3)="TNT")</formula>
    </cfRule>
    <cfRule type="expression" dxfId="1122" priority="1121" stopIfTrue="1">
      <formula>OR(LEFT(D470,3)="CTU",LEFT(D470,4)="HDON")</formula>
    </cfRule>
    <cfRule type="expression" dxfId="1121" priority="1122" stopIfTrue="1">
      <formula>OR(LEFT(D470,4)="HOLD",OR(A470="QTNP",A470="HOA THO",A470="YES VINA",A470="HUNG YEN",A470="TEX GIANG",A470="HUNG LONG"),LEFT(A470,5)="HANES",LEFT(A470,3)="ITG")</formula>
    </cfRule>
  </conditionalFormatting>
  <conditionalFormatting sqref="D469">
    <cfRule type="expression" dxfId="1120" priority="1117" stopIfTrue="1">
      <formula>OR(LEFT(D469,4)="KHTT",LEFT(D469,5)="10USD",RIGHT(D469,3)="TTC",LEFT(D469,3)="TNT")</formula>
    </cfRule>
    <cfRule type="expression" dxfId="1119" priority="1118" stopIfTrue="1">
      <formula>OR(LEFT(D469,3)="CTU",LEFT(D469,4)="HDON")</formula>
    </cfRule>
    <cfRule type="expression" dxfId="1118" priority="1119" stopIfTrue="1">
      <formula>OR(LEFT(D469,4)="HOLD",OR(A469="QTNP",A469="HOA THO",A469="YES VINA",A469="HUNG YEN",A469="TEX GIANG",A469="HUNG LONG"),LEFT(A469,5)="HANES",LEFT(A469,3)="ITG")</formula>
    </cfRule>
  </conditionalFormatting>
  <conditionalFormatting sqref="D469">
    <cfRule type="expression" dxfId="1117" priority="1114" stopIfTrue="1">
      <formula>OR(LEFT(D469,4)="KHTT",LEFT(D469,5)="10USD",RIGHT(D469,3)="TTC",LEFT(D469,3)="TNT")</formula>
    </cfRule>
    <cfRule type="expression" dxfId="1116" priority="1115" stopIfTrue="1">
      <formula>OR(LEFT(D469,3)="CTU",LEFT(D469,4)="HDON")</formula>
    </cfRule>
    <cfRule type="expression" dxfId="1115" priority="1116" stopIfTrue="1">
      <formula>OR(LEFT(D469,4)="HOLD",OR(A469="QTNP",A469="HOA THO",A469="YES VINA",A469="HUNG YEN",A469="TEX GIANG",A469="HUNG LONG"),LEFT(A469,5)="HANES",LEFT(A469,3)="ITG")</formula>
    </cfRule>
  </conditionalFormatting>
  <conditionalFormatting sqref="D470">
    <cfRule type="expression" dxfId="1114" priority="1111" stopIfTrue="1">
      <formula>OR(LEFT(D470,4)="KHTT",LEFT(D470,5)="10USD",RIGHT(D470,3)="TTC",LEFT(D470,3)="TNT")</formula>
    </cfRule>
    <cfRule type="expression" dxfId="1113" priority="1112" stopIfTrue="1">
      <formula>OR(LEFT(D470,3)="CTU",LEFT(D470,4)="HDON")</formula>
    </cfRule>
    <cfRule type="expression" dxfId="1112" priority="1113" stopIfTrue="1">
      <formula>OR(LEFT(D470,4)="HOLD",OR(A470="QTNP",A470="HOA THO",A470="YES VINA",A470="HUNG YEN",A470="TEX GIANG",A470="HUNG LONG"),LEFT(A470,5)="HANES",LEFT(A470,3)="ITG")</formula>
    </cfRule>
  </conditionalFormatting>
  <conditionalFormatting sqref="D470">
    <cfRule type="expression" dxfId="1111" priority="1108" stopIfTrue="1">
      <formula>OR(LEFT(D470,4)="KHTT",LEFT(D470,5)="10USD",RIGHT(D470,3)="TTC",LEFT(D470,3)="TNT")</formula>
    </cfRule>
    <cfRule type="expression" dxfId="1110" priority="1109" stopIfTrue="1">
      <formula>OR(LEFT(D470,3)="CTU",LEFT(D470,4)="HDON")</formula>
    </cfRule>
    <cfRule type="expression" dxfId="1109" priority="1110" stopIfTrue="1">
      <formula>OR(LEFT(D470,4)="HOLD",OR(A470="QTNP",A470="HOA THO",A470="YES VINA",A470="HUNG YEN",A470="TEX GIANG",A470="HUNG LONG"),LEFT(A470,5)="HANES",LEFT(A470,3)="ITG")</formula>
    </cfRule>
  </conditionalFormatting>
  <conditionalFormatting sqref="D470">
    <cfRule type="expression" dxfId="1108" priority="1105" stopIfTrue="1">
      <formula>OR(LEFT(D470,4)="KHTT",LEFT(D470,5)="10USD",RIGHT(D470,3)="TTC",LEFT(D470,3)="TNT")</formula>
    </cfRule>
    <cfRule type="expression" dxfId="1107" priority="1106" stopIfTrue="1">
      <formula>OR(LEFT(D470,3)="CTU",LEFT(D470,4)="HDON")</formula>
    </cfRule>
    <cfRule type="expression" dxfId="1106" priority="1107" stopIfTrue="1">
      <formula>OR(LEFT(D470,4)="HOLD",OR(A470="QTNP",A470="HOA THO",A470="YES VINA",A470="HUNG YEN",A470="TEX GIANG",A470="HUNG LONG"),LEFT(A470,5)="HANES",LEFT(A470,3)="ITG")</formula>
    </cfRule>
  </conditionalFormatting>
  <conditionalFormatting sqref="D470">
    <cfRule type="expression" dxfId="1105" priority="1102" stopIfTrue="1">
      <formula>OR(LEFT(D470,4)="KHTT",LEFT(D470,5)="10USD",RIGHT(D470,3)="TTC",LEFT(D470,3)="TNT")</formula>
    </cfRule>
    <cfRule type="expression" dxfId="1104" priority="1103" stopIfTrue="1">
      <formula>OR(LEFT(D470,3)="CTU",LEFT(D470,4)="HDON")</formula>
    </cfRule>
    <cfRule type="expression" dxfId="1103" priority="1104" stopIfTrue="1">
      <formula>OR(LEFT(D470,4)="HOLD",OR(A470="QTNP",A470="HOA THO",A470="YES VINA",A470="HUNG YEN",A470="TEX GIANG",A470="HUNG LONG"),LEFT(A470,5)="HANES",LEFT(A470,3)="ITG")</formula>
    </cfRule>
  </conditionalFormatting>
  <conditionalFormatting sqref="D469">
    <cfRule type="expression" dxfId="1102" priority="1099" stopIfTrue="1">
      <formula>OR(LEFT(D469,4)="KHTT",LEFT(D469,5)="10USD",RIGHT(D469,3)="TTC",LEFT(D469,3)="TNT")</formula>
    </cfRule>
    <cfRule type="expression" dxfId="1101" priority="1100" stopIfTrue="1">
      <formula>OR(LEFT(D469,3)="CTU",LEFT(D469,4)="HDON")</formula>
    </cfRule>
    <cfRule type="expression" dxfId="1100" priority="1101" stopIfTrue="1">
      <formula>OR(LEFT(D469,4)="HOLD",OR(A469="QTNP",A469="HOA THO",A469="YES VINA",A469="HUNG YEN",A469="TEX GIANG",A469="HUNG LONG"),LEFT(A469,5)="HANES",LEFT(A469,3)="ITG")</formula>
    </cfRule>
  </conditionalFormatting>
  <conditionalFormatting sqref="D469">
    <cfRule type="expression" dxfId="1099" priority="1096" stopIfTrue="1">
      <formula>OR(LEFT(D469,4)="KHTT",LEFT(D469,5)="10USD",RIGHT(D469,3)="TTC",LEFT(D469,3)="TNT")</formula>
    </cfRule>
    <cfRule type="expression" dxfId="1098" priority="1097" stopIfTrue="1">
      <formula>OR(LEFT(D469,3)="CTU",LEFT(D469,4)="HDON")</formula>
    </cfRule>
    <cfRule type="expression" dxfId="1097" priority="1098" stopIfTrue="1">
      <formula>OR(LEFT(D469,4)="HOLD",OR(A469="QTNP",A469="HOA THO",A469="YES VINA",A469="HUNG YEN",A469="TEX GIANG",A469="HUNG LONG"),LEFT(A469,5)="HANES",LEFT(A469,3)="ITG")</formula>
    </cfRule>
  </conditionalFormatting>
  <conditionalFormatting sqref="D470">
    <cfRule type="expression" dxfId="1096" priority="1093" stopIfTrue="1">
      <formula>OR(LEFT(D470,4)="KHTT",LEFT(D470,5)="10USD",RIGHT(D470,3)="TTC",LEFT(D470,3)="TNT")</formula>
    </cfRule>
    <cfRule type="expression" dxfId="1095" priority="1094" stopIfTrue="1">
      <formula>OR(LEFT(D470,3)="CTU",LEFT(D470,4)="HDON")</formula>
    </cfRule>
    <cfRule type="expression" dxfId="1094" priority="1095" stopIfTrue="1">
      <formula>OR(LEFT(D470,4)="HOLD",OR(A470="QTNP",A470="HOA THO",A470="YES VINA",A470="HUNG YEN",A470="TEX GIANG",A470="HUNG LONG"),LEFT(A470,5)="HANES",LEFT(A470,3)="ITG")</formula>
    </cfRule>
  </conditionalFormatting>
  <conditionalFormatting sqref="D470">
    <cfRule type="expression" dxfId="1093" priority="1090" stopIfTrue="1">
      <formula>OR(LEFT(D470,4)="KHTT",LEFT(D470,5)="10USD",RIGHT(D470,3)="TTC",LEFT(D470,3)="TNT")</formula>
    </cfRule>
    <cfRule type="expression" dxfId="1092" priority="1091" stopIfTrue="1">
      <formula>OR(LEFT(D470,3)="CTU",LEFT(D470,4)="HDON")</formula>
    </cfRule>
    <cfRule type="expression" dxfId="1091" priority="1092" stopIfTrue="1">
      <formula>OR(LEFT(D470,4)="HOLD",OR(A470="QTNP",A470="HOA THO",A470="YES VINA",A470="HUNG YEN",A470="TEX GIANG",A470="HUNG LONG"),LEFT(A470,5)="HANES",LEFT(A470,3)="ITG")</formula>
    </cfRule>
  </conditionalFormatting>
  <conditionalFormatting sqref="D470">
    <cfRule type="expression" dxfId="1090" priority="1087" stopIfTrue="1">
      <formula>OR(LEFT(D470,4)="KHTT",LEFT(D470,5)="10USD",RIGHT(D470,3)="TTC",LEFT(D470,3)="TNT")</formula>
    </cfRule>
    <cfRule type="expression" dxfId="1089" priority="1088" stopIfTrue="1">
      <formula>OR(LEFT(D470,3)="CTU",LEFT(D470,4)="HDON")</formula>
    </cfRule>
    <cfRule type="expression" dxfId="1088" priority="1089" stopIfTrue="1">
      <formula>OR(LEFT(D470,4)="HOLD",OR(A470="QTNP",A470="HOA THO",A470="YES VINA",A470="HUNG YEN",A470="TEX GIANG",A470="HUNG LONG"),LEFT(A470,5)="HANES",LEFT(A470,3)="ITG")</formula>
    </cfRule>
  </conditionalFormatting>
  <conditionalFormatting sqref="D470">
    <cfRule type="expression" dxfId="1087" priority="1084" stopIfTrue="1">
      <formula>OR(LEFT(D470,4)="KHTT",LEFT(D470,5)="10USD",RIGHT(D470,3)="TTC",LEFT(D470,3)="TNT")</formula>
    </cfRule>
    <cfRule type="expression" dxfId="1086" priority="1085" stopIfTrue="1">
      <formula>OR(LEFT(D470,3)="CTU",LEFT(D470,4)="HDON")</formula>
    </cfRule>
    <cfRule type="expression" dxfId="1085" priority="1086" stopIfTrue="1">
      <formula>OR(LEFT(D470,4)="HOLD",OR(A470="QTNP",A470="HOA THO",A470="YES VINA",A470="HUNG YEN",A470="TEX GIANG",A470="HUNG LONG"),LEFT(A470,5)="HANES",LEFT(A470,3)="ITG")</formula>
    </cfRule>
  </conditionalFormatting>
  <conditionalFormatting sqref="D469">
    <cfRule type="expression" dxfId="1084" priority="1081" stopIfTrue="1">
      <formula>OR(LEFT(D469,4)="KHTT",LEFT(D469,5)="10USD",RIGHT(D469,3)="TTC",LEFT(D469,3)="TNT")</formula>
    </cfRule>
    <cfRule type="expression" dxfId="1083" priority="1082" stopIfTrue="1">
      <formula>OR(LEFT(D469,3)="CTU",LEFT(D469,4)="HDON")</formula>
    </cfRule>
    <cfRule type="expression" dxfId="1082" priority="1083" stopIfTrue="1">
      <formula>OR(LEFT(D469,4)="HOLD",OR(A469="QTNP",A469="HOA THO",A469="YES VINA",A469="HUNG YEN",A469="TEX GIANG",A469="HUNG LONG"),LEFT(A469,5)="HANES",LEFT(A469,3)="ITG")</formula>
    </cfRule>
  </conditionalFormatting>
  <conditionalFormatting sqref="D469">
    <cfRule type="expression" dxfId="1081" priority="1078" stopIfTrue="1">
      <formula>OR(LEFT(D469,4)="KHTT",LEFT(D469,5)="10USD",RIGHT(D469,3)="TTC",LEFT(D469,3)="TNT")</formula>
    </cfRule>
    <cfRule type="expression" dxfId="1080" priority="1079" stopIfTrue="1">
      <formula>OR(LEFT(D469,3)="CTU",LEFT(D469,4)="HDON")</formula>
    </cfRule>
    <cfRule type="expression" dxfId="1079" priority="1080" stopIfTrue="1">
      <formula>OR(LEFT(D469,4)="HOLD",OR(A469="QTNP",A469="HOA THO",A469="YES VINA",A469="HUNG YEN",A469="TEX GIANG",A469="HUNG LONG"),LEFT(A469,5)="HANES",LEFT(A469,3)="ITG")</formula>
    </cfRule>
  </conditionalFormatting>
  <conditionalFormatting sqref="D470">
    <cfRule type="expression" dxfId="1078" priority="1075" stopIfTrue="1">
      <formula>OR(LEFT(D470,4)="KHTT",LEFT(D470,5)="10USD",RIGHT(D470,3)="TTC",LEFT(D470,3)="TNT")</formula>
    </cfRule>
    <cfRule type="expression" dxfId="1077" priority="1076" stopIfTrue="1">
      <formula>OR(LEFT(D470,3)="CTU",LEFT(D470,4)="HDON")</formula>
    </cfRule>
    <cfRule type="expression" dxfId="1076" priority="1077" stopIfTrue="1">
      <formula>OR(LEFT(D470,4)="HOLD",OR(A470="QTNP",A470="HOA THO",A470="YES VINA",A470="HUNG YEN",A470="TEX GIANG",A470="HUNG LONG"),LEFT(A470,5)="HANES",LEFT(A470,3)="ITG")</formula>
    </cfRule>
  </conditionalFormatting>
  <conditionalFormatting sqref="D470">
    <cfRule type="expression" dxfId="1075" priority="1072" stopIfTrue="1">
      <formula>OR(LEFT(D470,4)="KHTT",LEFT(D470,5)="10USD",RIGHT(D470,3)="TTC",LEFT(D470,3)="TNT")</formula>
    </cfRule>
    <cfRule type="expression" dxfId="1074" priority="1073" stopIfTrue="1">
      <formula>OR(LEFT(D470,3)="CTU",LEFT(D470,4)="HDON")</formula>
    </cfRule>
    <cfRule type="expression" dxfId="1073" priority="1074" stopIfTrue="1">
      <formula>OR(LEFT(D470,4)="HOLD",OR(A470="QTNP",A470="HOA THO",A470="YES VINA",A470="HUNG YEN",A470="TEX GIANG",A470="HUNG LONG"),LEFT(A470,5)="HANES",LEFT(A470,3)="ITG")</formula>
    </cfRule>
  </conditionalFormatting>
  <conditionalFormatting sqref="D470">
    <cfRule type="expression" dxfId="1072" priority="1069" stopIfTrue="1">
      <formula>OR(LEFT(D470,4)="KHTT",LEFT(D470,5)="10USD",RIGHT(D470,3)="TTC",LEFT(D470,3)="TNT")</formula>
    </cfRule>
    <cfRule type="expression" dxfId="1071" priority="1070" stopIfTrue="1">
      <formula>OR(LEFT(D470,3)="CTU",LEFT(D470,4)="HDON")</formula>
    </cfRule>
    <cfRule type="expression" dxfId="1070" priority="1071" stopIfTrue="1">
      <formula>OR(LEFT(D470,4)="HOLD",OR(A470="QTNP",A470="HOA THO",A470="YES VINA",A470="HUNG YEN",A470="TEX GIANG",A470="HUNG LONG"),LEFT(A470,5)="HANES",LEFT(A470,3)="ITG")</formula>
    </cfRule>
  </conditionalFormatting>
  <conditionalFormatting sqref="D470">
    <cfRule type="expression" dxfId="1069" priority="1066" stopIfTrue="1">
      <formula>OR(LEFT(D470,4)="KHTT",LEFT(D470,5)="10USD",RIGHT(D470,3)="TTC",LEFT(D470,3)="TNT")</formula>
    </cfRule>
    <cfRule type="expression" dxfId="1068" priority="1067" stopIfTrue="1">
      <formula>OR(LEFT(D470,3)="CTU",LEFT(D470,4)="HDON")</formula>
    </cfRule>
    <cfRule type="expression" dxfId="1067" priority="1068" stopIfTrue="1">
      <formula>OR(LEFT(D470,4)="HOLD",OR(A470="QTNP",A470="HOA THO",A470="YES VINA",A470="HUNG YEN",A470="TEX GIANG",A470="HUNG LONG"),LEFT(A470,5)="HANES",LEFT(A470,3)="ITG")</formula>
    </cfRule>
  </conditionalFormatting>
  <conditionalFormatting sqref="D469">
    <cfRule type="expression" dxfId="1066" priority="1063" stopIfTrue="1">
      <formula>OR(LEFT(D469,4)="KHTT",LEFT(D469,5)="10USD",RIGHT(D469,3)="TTC",LEFT(D469,3)="TNT")</formula>
    </cfRule>
    <cfRule type="expression" dxfId="1065" priority="1064" stopIfTrue="1">
      <formula>OR(LEFT(D469,3)="CTU",LEFT(D469,4)="HDON")</formula>
    </cfRule>
    <cfRule type="expression" dxfId="1064" priority="1065" stopIfTrue="1">
      <formula>OR(LEFT(D469,4)="HOLD",OR(A469="QTNP",A469="HOA THO",A469="YES VINA",A469="HUNG YEN",A469="TEX GIANG",A469="HUNG LONG"),LEFT(A469,5)="HANES",LEFT(A469,3)="ITG")</formula>
    </cfRule>
  </conditionalFormatting>
  <conditionalFormatting sqref="D469">
    <cfRule type="expression" dxfId="1063" priority="1060" stopIfTrue="1">
      <formula>OR(LEFT(D469,4)="KHTT",LEFT(D469,5)="10USD",RIGHT(D469,3)="TTC",LEFT(D469,3)="TNT")</formula>
    </cfRule>
    <cfRule type="expression" dxfId="1062" priority="1061" stopIfTrue="1">
      <formula>OR(LEFT(D469,3)="CTU",LEFT(D469,4)="HDON")</formula>
    </cfRule>
    <cfRule type="expression" dxfId="1061" priority="1062" stopIfTrue="1">
      <formula>OR(LEFT(D469,4)="HOLD",OR(A469="QTNP",A469="HOA THO",A469="YES VINA",A469="HUNG YEN",A469="TEX GIANG",A469="HUNG LONG"),LEFT(A469,5)="HANES",LEFT(A469,3)="ITG")</formula>
    </cfRule>
  </conditionalFormatting>
  <conditionalFormatting sqref="D470">
    <cfRule type="expression" dxfId="1060" priority="1057" stopIfTrue="1">
      <formula>OR(LEFT(D470,4)="KHTT",LEFT(D470,5)="10USD",RIGHT(D470,3)="TTC",LEFT(D470,3)="TNT")</formula>
    </cfRule>
    <cfRule type="expression" dxfId="1059" priority="1058" stopIfTrue="1">
      <formula>OR(LEFT(D470,3)="CTU",LEFT(D470,4)="HDON")</formula>
    </cfRule>
    <cfRule type="expression" dxfId="1058" priority="1059" stopIfTrue="1">
      <formula>OR(LEFT(D470,4)="HOLD",OR(A470="QTNP",A470="HOA THO",A470="YES VINA",A470="HUNG YEN",A470="TEX GIANG",A470="HUNG LONG"),LEFT(A470,5)="HANES",LEFT(A470,3)="ITG")</formula>
    </cfRule>
  </conditionalFormatting>
  <conditionalFormatting sqref="D470">
    <cfRule type="expression" dxfId="1057" priority="1054" stopIfTrue="1">
      <formula>OR(LEFT(D470,4)="KHTT",LEFT(D470,5)="10USD",RIGHT(D470,3)="TTC",LEFT(D470,3)="TNT")</formula>
    </cfRule>
    <cfRule type="expression" dxfId="1056" priority="1055" stopIfTrue="1">
      <formula>OR(LEFT(D470,3)="CTU",LEFT(D470,4)="HDON")</formula>
    </cfRule>
    <cfRule type="expression" dxfId="1055" priority="1056" stopIfTrue="1">
      <formula>OR(LEFT(D470,4)="HOLD",OR(A470="QTNP",A470="HOA THO",A470="YES VINA",A470="HUNG YEN",A470="TEX GIANG",A470="HUNG LONG"),LEFT(A470,5)="HANES",LEFT(A470,3)="ITG")</formula>
    </cfRule>
  </conditionalFormatting>
  <conditionalFormatting sqref="D470">
    <cfRule type="expression" dxfId="1054" priority="1051" stopIfTrue="1">
      <formula>OR(LEFT(D470,4)="KHTT",LEFT(D470,5)="10USD",RIGHT(D470,3)="TTC",LEFT(D470,3)="TNT")</formula>
    </cfRule>
    <cfRule type="expression" dxfId="1053" priority="1052" stopIfTrue="1">
      <formula>OR(LEFT(D470,3)="CTU",LEFT(D470,4)="HDON")</formula>
    </cfRule>
    <cfRule type="expression" dxfId="1052" priority="1053" stopIfTrue="1">
      <formula>OR(LEFT(D470,4)="HOLD",OR(A470="QTNP",A470="HOA THO",A470="YES VINA",A470="HUNG YEN",A470="TEX GIANG",A470="HUNG LONG"),LEFT(A470,5)="HANES",LEFT(A470,3)="ITG")</formula>
    </cfRule>
  </conditionalFormatting>
  <conditionalFormatting sqref="D470">
    <cfRule type="expression" dxfId="1051" priority="1048" stopIfTrue="1">
      <formula>OR(LEFT(D470,4)="KHTT",LEFT(D470,5)="10USD",RIGHT(D470,3)="TTC",LEFT(D470,3)="TNT")</formula>
    </cfRule>
    <cfRule type="expression" dxfId="1050" priority="1049" stopIfTrue="1">
      <formula>OR(LEFT(D470,3)="CTU",LEFT(D470,4)="HDON")</formula>
    </cfRule>
    <cfRule type="expression" dxfId="1049" priority="1050" stopIfTrue="1">
      <formula>OR(LEFT(D470,4)="HOLD",OR(A470="QTNP",A470="HOA THO",A470="YES VINA",A470="HUNG YEN",A470="TEX GIANG",A470="HUNG LONG"),LEFT(A470,5)="HANES",LEFT(A470,3)="ITG")</formula>
    </cfRule>
  </conditionalFormatting>
  <conditionalFormatting sqref="D469">
    <cfRule type="expression" dxfId="1048" priority="1045" stopIfTrue="1">
      <formula>OR(LEFT(D469,4)="KHTT",LEFT(D469,5)="10USD",RIGHT(D469,3)="TTC",LEFT(D469,3)="TNT")</formula>
    </cfRule>
    <cfRule type="expression" dxfId="1047" priority="1046" stopIfTrue="1">
      <formula>OR(LEFT(D469,3)="CTU",LEFT(D469,4)="HDON")</formula>
    </cfRule>
    <cfRule type="expression" dxfId="1046" priority="1047" stopIfTrue="1">
      <formula>OR(LEFT(D469,4)="HOLD",OR(A469="QTNP",A469="HOA THO",A469="YES VINA",A469="HUNG YEN",A469="TEX GIANG",A469="HUNG LONG"),LEFT(A469,5)="HANES",LEFT(A469,3)="ITG")</formula>
    </cfRule>
  </conditionalFormatting>
  <conditionalFormatting sqref="D469">
    <cfRule type="expression" dxfId="1045" priority="1042" stopIfTrue="1">
      <formula>OR(LEFT(D469,4)="KHTT",LEFT(D469,5)="10USD",RIGHT(D469,3)="TTC",LEFT(D469,3)="TNT")</formula>
    </cfRule>
    <cfRule type="expression" dxfId="1044" priority="1043" stopIfTrue="1">
      <formula>OR(LEFT(D469,3)="CTU",LEFT(D469,4)="HDON")</formula>
    </cfRule>
    <cfRule type="expression" dxfId="1043" priority="1044" stopIfTrue="1">
      <formula>OR(LEFT(D469,4)="HOLD",OR(A469="QTNP",A469="HOA THO",A469="YES VINA",A469="HUNG YEN",A469="TEX GIANG",A469="HUNG LONG"),LEFT(A469,5)="HANES",LEFT(A469,3)="ITG")</formula>
    </cfRule>
  </conditionalFormatting>
  <conditionalFormatting sqref="D470">
    <cfRule type="expression" dxfId="1042" priority="1039" stopIfTrue="1">
      <formula>OR(LEFT(D470,4)="KHTT",LEFT(D470,5)="10USD",RIGHT(D470,3)="TTC",LEFT(D470,3)="TNT")</formula>
    </cfRule>
    <cfRule type="expression" dxfId="1041" priority="1040" stopIfTrue="1">
      <formula>OR(LEFT(D470,3)="CTU",LEFT(D470,4)="HDON")</formula>
    </cfRule>
    <cfRule type="expression" dxfId="1040" priority="1041" stopIfTrue="1">
      <formula>OR(LEFT(D470,4)="HOLD",OR(A470="QTNP",A470="HOA THO",A470="YES VINA",A470="HUNG YEN",A470="TEX GIANG",A470="HUNG LONG"),LEFT(A470,5)="HANES",LEFT(A470,3)="ITG")</formula>
    </cfRule>
  </conditionalFormatting>
  <conditionalFormatting sqref="D470">
    <cfRule type="expression" dxfId="1039" priority="1036" stopIfTrue="1">
      <formula>OR(LEFT(D470,4)="KHTT",LEFT(D470,5)="10USD",RIGHT(D470,3)="TTC",LEFT(D470,3)="TNT")</formula>
    </cfRule>
    <cfRule type="expression" dxfId="1038" priority="1037" stopIfTrue="1">
      <formula>OR(LEFT(D470,3)="CTU",LEFT(D470,4)="HDON")</formula>
    </cfRule>
    <cfRule type="expression" dxfId="1037" priority="1038" stopIfTrue="1">
      <formula>OR(LEFT(D470,4)="HOLD",OR(A470="QTNP",A470="HOA THO",A470="YES VINA",A470="HUNG YEN",A470="TEX GIANG",A470="HUNG LONG"),LEFT(A470,5)="HANES",LEFT(A470,3)="ITG")</formula>
    </cfRule>
  </conditionalFormatting>
  <conditionalFormatting sqref="D470">
    <cfRule type="expression" dxfId="1036" priority="1033" stopIfTrue="1">
      <formula>OR(LEFT(D470,4)="KHTT",LEFT(D470,5)="10USD",RIGHT(D470,3)="TTC",LEFT(D470,3)="TNT")</formula>
    </cfRule>
    <cfRule type="expression" dxfId="1035" priority="1034" stopIfTrue="1">
      <formula>OR(LEFT(D470,3)="CTU",LEFT(D470,4)="HDON")</formula>
    </cfRule>
    <cfRule type="expression" dxfId="1034" priority="1035" stopIfTrue="1">
      <formula>OR(LEFT(D470,4)="HOLD",OR(A470="QTNP",A470="HOA THO",A470="YES VINA",A470="HUNG YEN",A470="TEX GIANG",A470="HUNG LONG"),LEFT(A470,5)="HANES",LEFT(A470,3)="ITG")</formula>
    </cfRule>
  </conditionalFormatting>
  <conditionalFormatting sqref="D470">
    <cfRule type="expression" dxfId="1033" priority="1030" stopIfTrue="1">
      <formula>OR(LEFT(D470,4)="KHTT",LEFT(D470,5)="10USD",RIGHT(D470,3)="TTC",LEFT(D470,3)="TNT")</formula>
    </cfRule>
    <cfRule type="expression" dxfId="1032" priority="1031" stopIfTrue="1">
      <formula>OR(LEFT(D470,3)="CTU",LEFT(D470,4)="HDON")</formula>
    </cfRule>
    <cfRule type="expression" dxfId="1031" priority="1032" stopIfTrue="1">
      <formula>OR(LEFT(D470,4)="HOLD",OR(A470="QTNP",A470="HOA THO",A470="YES VINA",A470="HUNG YEN",A470="TEX GIANG",A470="HUNG LONG"),LEFT(A470,5)="HANES",LEFT(A470,3)="ITG")</formula>
    </cfRule>
  </conditionalFormatting>
  <conditionalFormatting sqref="D469">
    <cfRule type="expression" dxfId="1030" priority="1027" stopIfTrue="1">
      <formula>OR(LEFT(D469,4)="KHTT",LEFT(D469,5)="10USD",RIGHT(D469,3)="TTC",LEFT(D469,3)="TNT")</formula>
    </cfRule>
    <cfRule type="expression" dxfId="1029" priority="1028" stopIfTrue="1">
      <formula>OR(LEFT(D469,3)="CTU",LEFT(D469,4)="HDON")</formula>
    </cfRule>
    <cfRule type="expression" dxfId="1028" priority="1029" stopIfTrue="1">
      <formula>OR(LEFT(D469,4)="HOLD",OR(A469="QTNP",A469="HOA THO",A469="YES VINA",A469="HUNG YEN",A469="TEX GIANG",A469="HUNG LONG"),LEFT(A469,5)="HANES",LEFT(A469,3)="ITG")</formula>
    </cfRule>
  </conditionalFormatting>
  <conditionalFormatting sqref="D469">
    <cfRule type="expression" dxfId="1027" priority="1024" stopIfTrue="1">
      <formula>OR(LEFT(D469,4)="KHTT",LEFT(D469,5)="10USD",RIGHT(D469,3)="TTC",LEFT(D469,3)="TNT")</formula>
    </cfRule>
    <cfRule type="expression" dxfId="1026" priority="1025" stopIfTrue="1">
      <formula>OR(LEFT(D469,3)="CTU",LEFT(D469,4)="HDON")</formula>
    </cfRule>
    <cfRule type="expression" dxfId="1025" priority="1026" stopIfTrue="1">
      <formula>OR(LEFT(D469,4)="HOLD",OR(A469="QTNP",A469="HOA THO",A469="YES VINA",A469="HUNG YEN",A469="TEX GIANG",A469="HUNG LONG"),LEFT(A469,5)="HANES",LEFT(A469,3)="ITG")</formula>
    </cfRule>
  </conditionalFormatting>
  <conditionalFormatting sqref="D470">
    <cfRule type="expression" dxfId="1024" priority="1021" stopIfTrue="1">
      <formula>OR(LEFT(D470,4)="KHTT",LEFT(D470,5)="10USD",RIGHT(D470,3)="TTC",LEFT(D470,3)="TNT")</formula>
    </cfRule>
    <cfRule type="expression" dxfId="1023" priority="1022" stopIfTrue="1">
      <formula>OR(LEFT(D470,3)="CTU",LEFT(D470,4)="HDON")</formula>
    </cfRule>
    <cfRule type="expression" dxfId="1022" priority="1023" stopIfTrue="1">
      <formula>OR(LEFT(D470,4)="HOLD",OR(A470="QTNP",A470="HOA THO",A470="YES VINA",A470="HUNG YEN",A470="TEX GIANG",A470="HUNG LONG"),LEFT(A470,5)="HANES",LEFT(A470,3)="ITG")</formula>
    </cfRule>
  </conditionalFormatting>
  <conditionalFormatting sqref="D470">
    <cfRule type="expression" dxfId="1021" priority="1018" stopIfTrue="1">
      <formula>OR(LEFT(D470,4)="KHTT",LEFT(D470,5)="10USD",RIGHT(D470,3)="TTC",LEFT(D470,3)="TNT")</formula>
    </cfRule>
    <cfRule type="expression" dxfId="1020" priority="1019" stopIfTrue="1">
      <formula>OR(LEFT(D470,3)="CTU",LEFT(D470,4)="HDON")</formula>
    </cfRule>
    <cfRule type="expression" dxfId="1019" priority="1020" stopIfTrue="1">
      <formula>OR(LEFT(D470,4)="HOLD",OR(A470="QTNP",A470="HOA THO",A470="YES VINA",A470="HUNG YEN",A470="TEX GIANG",A470="HUNG LONG"),LEFT(A470,5)="HANES",LEFT(A470,3)="ITG")</formula>
    </cfRule>
  </conditionalFormatting>
  <conditionalFormatting sqref="D470">
    <cfRule type="expression" dxfId="1018" priority="1015" stopIfTrue="1">
      <formula>OR(LEFT(D470,4)="KHTT",LEFT(D470,5)="10USD",RIGHT(D470,3)="TTC",LEFT(D470,3)="TNT")</formula>
    </cfRule>
    <cfRule type="expression" dxfId="1017" priority="1016" stopIfTrue="1">
      <formula>OR(LEFT(D470,3)="CTU",LEFT(D470,4)="HDON")</formula>
    </cfRule>
    <cfRule type="expression" dxfId="1016" priority="1017" stopIfTrue="1">
      <formula>OR(LEFT(D470,4)="HOLD",OR(A470="QTNP",A470="HOA THO",A470="YES VINA",A470="HUNG YEN",A470="TEX GIANG",A470="HUNG LONG"),LEFT(A470,5)="HANES",LEFT(A470,3)="ITG")</formula>
    </cfRule>
  </conditionalFormatting>
  <conditionalFormatting sqref="D470">
    <cfRule type="expression" dxfId="1015" priority="1012" stopIfTrue="1">
      <formula>OR(LEFT(D470,4)="KHTT",LEFT(D470,5)="10USD",RIGHT(D470,3)="TTC",LEFT(D470,3)="TNT")</formula>
    </cfRule>
    <cfRule type="expression" dxfId="1014" priority="1013" stopIfTrue="1">
      <formula>OR(LEFT(D470,3)="CTU",LEFT(D470,4)="HDON")</formula>
    </cfRule>
    <cfRule type="expression" dxfId="1013" priority="1014" stopIfTrue="1">
      <formula>OR(LEFT(D470,4)="HOLD",OR(A470="QTNP",A470="HOA THO",A470="YES VINA",A470="HUNG YEN",A470="TEX GIANG",A470="HUNG LONG"),LEFT(A470,5)="HANES",LEFT(A470,3)="ITG")</formula>
    </cfRule>
  </conditionalFormatting>
  <conditionalFormatting sqref="D469">
    <cfRule type="expression" dxfId="1012" priority="1009" stopIfTrue="1">
      <formula>OR(LEFT(D469,4)="KHTT",LEFT(D469,5)="10USD",RIGHT(D469,3)="TTC",LEFT(D469,3)="TNT")</formula>
    </cfRule>
    <cfRule type="expression" dxfId="1011" priority="1010" stopIfTrue="1">
      <formula>OR(LEFT(D469,3)="CTU",LEFT(D469,4)="HDON")</formula>
    </cfRule>
    <cfRule type="expression" dxfId="1010" priority="1011" stopIfTrue="1">
      <formula>OR(LEFT(D469,4)="HOLD",OR(A469="QTNP",A469="HOA THO",A469="YES VINA",A469="HUNG YEN",A469="TEX GIANG",A469="HUNG LONG"),LEFT(A469,5)="HANES",LEFT(A469,3)="ITG")</formula>
    </cfRule>
  </conditionalFormatting>
  <conditionalFormatting sqref="D469">
    <cfRule type="expression" dxfId="1009" priority="1006" stopIfTrue="1">
      <formula>OR(LEFT(D469,4)="KHTT",LEFT(D469,5)="10USD",RIGHT(D469,3)="TTC",LEFT(D469,3)="TNT")</formula>
    </cfRule>
    <cfRule type="expression" dxfId="1008" priority="1007" stopIfTrue="1">
      <formula>OR(LEFT(D469,3)="CTU",LEFT(D469,4)="HDON")</formula>
    </cfRule>
    <cfRule type="expression" dxfId="1007" priority="1008" stopIfTrue="1">
      <formula>OR(LEFT(D469,4)="HOLD",OR(A469="QTNP",A469="HOA THO",A469="YES VINA",A469="HUNG YEN",A469="TEX GIANG",A469="HUNG LONG"),LEFT(A469,5)="HANES",LEFT(A469,3)="ITG")</formula>
    </cfRule>
  </conditionalFormatting>
  <conditionalFormatting sqref="D470">
    <cfRule type="expression" dxfId="1006" priority="1003" stopIfTrue="1">
      <formula>OR(LEFT(D470,4)="KHTT",LEFT(D470,5)="10USD",RIGHT(D470,3)="TTC",LEFT(D470,3)="TNT")</formula>
    </cfRule>
    <cfRule type="expression" dxfId="1005" priority="1004" stopIfTrue="1">
      <formula>OR(LEFT(D470,3)="CTU",LEFT(D470,4)="HDON")</formula>
    </cfRule>
    <cfRule type="expression" dxfId="1004" priority="1005" stopIfTrue="1">
      <formula>OR(LEFT(D470,4)="HOLD",OR(A470="QTNP",A470="HOA THO",A470="YES VINA",A470="HUNG YEN",A470="TEX GIANG",A470="HUNG LONG"),LEFT(A470,5)="HANES",LEFT(A470,3)="ITG")</formula>
    </cfRule>
  </conditionalFormatting>
  <conditionalFormatting sqref="D470">
    <cfRule type="expression" dxfId="1003" priority="1000" stopIfTrue="1">
      <formula>OR(LEFT(D470,4)="KHTT",LEFT(D470,5)="10USD",RIGHT(D470,3)="TTC",LEFT(D470,3)="TNT")</formula>
    </cfRule>
    <cfRule type="expression" dxfId="1002" priority="1001" stopIfTrue="1">
      <formula>OR(LEFT(D470,3)="CTU",LEFT(D470,4)="HDON")</formula>
    </cfRule>
    <cfRule type="expression" dxfId="1001" priority="1002" stopIfTrue="1">
      <formula>OR(LEFT(D470,4)="HOLD",OR(A470="QTNP",A470="HOA THO",A470="YES VINA",A470="HUNG YEN",A470="TEX GIANG",A470="HUNG LONG"),LEFT(A470,5)="HANES",LEFT(A470,3)="ITG")</formula>
    </cfRule>
  </conditionalFormatting>
  <conditionalFormatting sqref="D470">
    <cfRule type="expression" dxfId="1000" priority="997" stopIfTrue="1">
      <formula>OR(LEFT(D470,4)="KHTT",LEFT(D470,5)="10USD",RIGHT(D470,3)="TTC",LEFT(D470,3)="TNT")</formula>
    </cfRule>
    <cfRule type="expression" dxfId="999" priority="998" stopIfTrue="1">
      <formula>OR(LEFT(D470,3)="CTU",LEFT(D470,4)="HDON")</formula>
    </cfRule>
    <cfRule type="expression" dxfId="998" priority="999" stopIfTrue="1">
      <formula>OR(LEFT(D470,4)="HOLD",OR(A470="QTNP",A470="HOA THO",A470="YES VINA",A470="HUNG YEN",A470="TEX GIANG",A470="HUNG LONG"),LEFT(A470,5)="HANES",LEFT(A470,3)="ITG")</formula>
    </cfRule>
  </conditionalFormatting>
  <conditionalFormatting sqref="D470">
    <cfRule type="expression" dxfId="997" priority="994" stopIfTrue="1">
      <formula>OR(LEFT(D470,4)="KHTT",LEFT(D470,5)="10USD",RIGHT(D470,3)="TTC",LEFT(D470,3)="TNT")</formula>
    </cfRule>
    <cfRule type="expression" dxfId="996" priority="995" stopIfTrue="1">
      <formula>OR(LEFT(D470,3)="CTU",LEFT(D470,4)="HDON")</formula>
    </cfRule>
    <cfRule type="expression" dxfId="995" priority="996" stopIfTrue="1">
      <formula>OR(LEFT(D470,4)="HOLD",OR(A470="QTNP",A470="HOA THO",A470="YES VINA",A470="HUNG YEN",A470="TEX GIANG",A470="HUNG LONG"),LEFT(A470,5)="HANES",LEFT(A470,3)="ITG")</formula>
    </cfRule>
  </conditionalFormatting>
  <conditionalFormatting sqref="D469">
    <cfRule type="expression" dxfId="994" priority="991" stopIfTrue="1">
      <formula>OR(LEFT(D469,4)="KHTT",LEFT(D469,5)="10USD",RIGHT(D469,3)="TTC",LEFT(D469,3)="TNT")</formula>
    </cfRule>
    <cfRule type="expression" dxfId="993" priority="992" stopIfTrue="1">
      <formula>OR(LEFT(D469,3)="CTU",LEFT(D469,4)="HDON")</formula>
    </cfRule>
    <cfRule type="expression" dxfId="992" priority="993" stopIfTrue="1">
      <formula>OR(LEFT(D469,4)="HOLD",OR(A469="QTNP",A469="HOA THO",A469="YES VINA",A469="HUNG YEN",A469="TEX GIANG",A469="HUNG LONG"),LEFT(A469,5)="HANES",LEFT(A469,3)="ITG")</formula>
    </cfRule>
  </conditionalFormatting>
  <conditionalFormatting sqref="D469">
    <cfRule type="expression" dxfId="991" priority="988" stopIfTrue="1">
      <formula>OR(LEFT(D469,4)="KHTT",LEFT(D469,5)="10USD",RIGHT(D469,3)="TTC",LEFT(D469,3)="TNT")</formula>
    </cfRule>
    <cfRule type="expression" dxfId="990" priority="989" stopIfTrue="1">
      <formula>OR(LEFT(D469,3)="CTU",LEFT(D469,4)="HDON")</formula>
    </cfRule>
    <cfRule type="expression" dxfId="989" priority="990" stopIfTrue="1">
      <formula>OR(LEFT(D469,4)="HOLD",OR(A469="QTNP",A469="HOA THO",A469="YES VINA",A469="HUNG YEN",A469="TEX GIANG",A469="HUNG LONG"),LEFT(A469,5)="HANES",LEFT(A469,3)="ITG")</formula>
    </cfRule>
  </conditionalFormatting>
  <conditionalFormatting sqref="D470">
    <cfRule type="expression" dxfId="988" priority="985" stopIfTrue="1">
      <formula>OR(LEFT(D470,4)="KHTT",LEFT(D470,5)="10USD",RIGHT(D470,3)="TTC",LEFT(D470,3)="TNT")</formula>
    </cfRule>
    <cfRule type="expression" dxfId="987" priority="986" stopIfTrue="1">
      <formula>OR(LEFT(D470,3)="CTU",LEFT(D470,4)="HDON")</formula>
    </cfRule>
    <cfRule type="expression" dxfId="986" priority="987" stopIfTrue="1">
      <formula>OR(LEFT(D470,4)="HOLD",OR(A470="QTNP",A470="HOA THO",A470="YES VINA",A470="HUNG YEN",A470="TEX GIANG",A470="HUNG LONG"),LEFT(A470,5)="HANES",LEFT(A470,3)="ITG")</formula>
    </cfRule>
  </conditionalFormatting>
  <conditionalFormatting sqref="D470">
    <cfRule type="expression" dxfId="985" priority="982" stopIfTrue="1">
      <formula>OR(LEFT(D470,4)="KHTT",LEFT(D470,5)="10USD",RIGHT(D470,3)="TTC",LEFT(D470,3)="TNT")</formula>
    </cfRule>
    <cfRule type="expression" dxfId="984" priority="983" stopIfTrue="1">
      <formula>OR(LEFT(D470,3)="CTU",LEFT(D470,4)="HDON")</formula>
    </cfRule>
    <cfRule type="expression" dxfId="983" priority="984" stopIfTrue="1">
      <formula>OR(LEFT(D470,4)="HOLD",OR(A470="QTNP",A470="HOA THO",A470="YES VINA",A470="HUNG YEN",A470="TEX GIANG",A470="HUNG LONG"),LEFT(A470,5)="HANES",LEFT(A470,3)="ITG")</formula>
    </cfRule>
  </conditionalFormatting>
  <conditionalFormatting sqref="D470">
    <cfRule type="expression" dxfId="982" priority="979" stopIfTrue="1">
      <formula>OR(LEFT(D470,4)="KHTT",LEFT(D470,5)="10USD",RIGHT(D470,3)="TTC",LEFT(D470,3)="TNT")</formula>
    </cfRule>
    <cfRule type="expression" dxfId="981" priority="980" stopIfTrue="1">
      <formula>OR(LEFT(D470,3)="CTU",LEFT(D470,4)="HDON")</formula>
    </cfRule>
    <cfRule type="expression" dxfId="980" priority="981" stopIfTrue="1">
      <formula>OR(LEFT(D470,4)="HOLD",OR(A470="QTNP",A470="HOA THO",A470="YES VINA",A470="HUNG YEN",A470="TEX GIANG",A470="HUNG LONG"),LEFT(A470,5)="HANES",LEFT(A470,3)="ITG")</formula>
    </cfRule>
  </conditionalFormatting>
  <conditionalFormatting sqref="D470">
    <cfRule type="expression" dxfId="979" priority="976" stopIfTrue="1">
      <formula>OR(LEFT(D470,4)="KHTT",LEFT(D470,5)="10USD",RIGHT(D470,3)="TTC",LEFT(D470,3)="TNT")</formula>
    </cfRule>
    <cfRule type="expression" dxfId="978" priority="977" stopIfTrue="1">
      <formula>OR(LEFT(D470,3)="CTU",LEFT(D470,4)="HDON")</formula>
    </cfRule>
    <cfRule type="expression" dxfId="977" priority="978" stopIfTrue="1">
      <formula>OR(LEFT(D470,4)="HOLD",OR(A470="QTNP",A470="HOA THO",A470="YES VINA",A470="HUNG YEN",A470="TEX GIANG",A470="HUNG LONG"),LEFT(A470,5)="HANES",LEFT(A470,3)="ITG")</formula>
    </cfRule>
  </conditionalFormatting>
  <conditionalFormatting sqref="D469">
    <cfRule type="expression" dxfId="976" priority="973" stopIfTrue="1">
      <formula>OR(LEFT(D469,4)="KHTT",LEFT(D469,5)="10USD",RIGHT(D469,3)="TTC",LEFT(D469,3)="TNT")</formula>
    </cfRule>
    <cfRule type="expression" dxfId="975" priority="974" stopIfTrue="1">
      <formula>OR(LEFT(D469,3)="CTU",LEFT(D469,4)="HDON")</formula>
    </cfRule>
    <cfRule type="expression" dxfId="974" priority="975" stopIfTrue="1">
      <formula>OR(LEFT(D469,4)="HOLD",OR(A469="QTNP",A469="HOA THO",A469="YES VINA",A469="HUNG YEN",A469="TEX GIANG",A469="HUNG LONG"),LEFT(A469,5)="HANES",LEFT(A469,3)="ITG")</formula>
    </cfRule>
  </conditionalFormatting>
  <conditionalFormatting sqref="D469">
    <cfRule type="expression" dxfId="973" priority="970" stopIfTrue="1">
      <formula>OR(LEFT(D469,4)="KHTT",LEFT(D469,5)="10USD",RIGHT(D469,3)="TTC",LEFT(D469,3)="TNT")</formula>
    </cfRule>
    <cfRule type="expression" dxfId="972" priority="971" stopIfTrue="1">
      <formula>OR(LEFT(D469,3)="CTU",LEFT(D469,4)="HDON")</formula>
    </cfRule>
    <cfRule type="expression" dxfId="971" priority="972" stopIfTrue="1">
      <formula>OR(LEFT(D469,4)="HOLD",OR(A469="QTNP",A469="HOA THO",A469="YES VINA",A469="HUNG YEN",A469="TEX GIANG",A469="HUNG LONG"),LEFT(A469,5)="HANES",LEFT(A469,3)="ITG")</formula>
    </cfRule>
  </conditionalFormatting>
  <conditionalFormatting sqref="D470">
    <cfRule type="expression" dxfId="970" priority="967" stopIfTrue="1">
      <formula>OR(LEFT(D470,4)="KHTT",LEFT(D470,5)="10USD",RIGHT(D470,3)="TTC",LEFT(D470,3)="TNT")</formula>
    </cfRule>
    <cfRule type="expression" dxfId="969" priority="968" stopIfTrue="1">
      <formula>OR(LEFT(D470,3)="CTU",LEFT(D470,4)="HDON")</formula>
    </cfRule>
    <cfRule type="expression" dxfId="968" priority="969" stopIfTrue="1">
      <formula>OR(LEFT(D470,4)="HOLD",OR(A470="QTNP",A470="HOA THO",A470="YES VINA",A470="HUNG YEN",A470="TEX GIANG",A470="HUNG LONG"),LEFT(A470,5)="HANES",LEFT(A470,3)="ITG")</formula>
    </cfRule>
  </conditionalFormatting>
  <conditionalFormatting sqref="D470">
    <cfRule type="expression" dxfId="967" priority="964" stopIfTrue="1">
      <formula>OR(LEFT(D470,4)="KHTT",LEFT(D470,5)="10USD",RIGHT(D470,3)="TTC",LEFT(D470,3)="TNT")</formula>
    </cfRule>
    <cfRule type="expression" dxfId="966" priority="965" stopIfTrue="1">
      <formula>OR(LEFT(D470,3)="CTU",LEFT(D470,4)="HDON")</formula>
    </cfRule>
    <cfRule type="expression" dxfId="965" priority="966" stopIfTrue="1">
      <formula>OR(LEFT(D470,4)="HOLD",OR(A470="QTNP",A470="HOA THO",A470="YES VINA",A470="HUNG YEN",A470="TEX GIANG",A470="HUNG LONG"),LEFT(A470,5)="HANES",LEFT(A470,3)="ITG")</formula>
    </cfRule>
  </conditionalFormatting>
  <conditionalFormatting sqref="D470">
    <cfRule type="expression" dxfId="964" priority="961" stopIfTrue="1">
      <formula>OR(LEFT(D470,4)="KHTT",LEFT(D470,5)="10USD",RIGHT(D470,3)="TTC",LEFT(D470,3)="TNT")</formula>
    </cfRule>
    <cfRule type="expression" dxfId="963" priority="962" stopIfTrue="1">
      <formula>OR(LEFT(D470,3)="CTU",LEFT(D470,4)="HDON")</formula>
    </cfRule>
    <cfRule type="expression" dxfId="962" priority="963" stopIfTrue="1">
      <formula>OR(LEFT(D470,4)="HOLD",OR(A470="QTNP",A470="HOA THO",A470="YES VINA",A470="HUNG YEN",A470="TEX GIANG",A470="HUNG LONG"),LEFT(A470,5)="HANES",LEFT(A470,3)="ITG")</formula>
    </cfRule>
  </conditionalFormatting>
  <conditionalFormatting sqref="D470">
    <cfRule type="expression" dxfId="961" priority="958" stopIfTrue="1">
      <formula>OR(LEFT(D470,4)="KHTT",LEFT(D470,5)="10USD",RIGHT(D470,3)="TTC",LEFT(D470,3)="TNT")</formula>
    </cfRule>
    <cfRule type="expression" dxfId="960" priority="959" stopIfTrue="1">
      <formula>OR(LEFT(D470,3)="CTU",LEFT(D470,4)="HDON")</formula>
    </cfRule>
    <cfRule type="expression" dxfId="959" priority="960" stopIfTrue="1">
      <formula>OR(LEFT(D470,4)="HOLD",OR(A470="QTNP",A470="HOA THO",A470="YES VINA",A470="HUNG YEN",A470="TEX GIANG",A470="HUNG LONG"),LEFT(A470,5)="HANES",LEFT(A470,3)="ITG")</formula>
    </cfRule>
  </conditionalFormatting>
  <conditionalFormatting sqref="D469">
    <cfRule type="expression" dxfId="958" priority="955" stopIfTrue="1">
      <formula>OR(LEFT(D469,4)="KHTT",LEFT(D469,5)="10USD",RIGHT(D469,3)="TTC",LEFT(D469,3)="TNT")</formula>
    </cfRule>
    <cfRule type="expression" dxfId="957" priority="956" stopIfTrue="1">
      <formula>OR(LEFT(D469,3)="CTU",LEFT(D469,4)="HDON")</formula>
    </cfRule>
    <cfRule type="expression" dxfId="956" priority="957" stopIfTrue="1">
      <formula>OR(LEFT(D469,4)="HOLD",OR(A469="QTNP",A469="HOA THO",A469="YES VINA",A469="HUNG YEN",A469="TEX GIANG",A469="HUNG LONG"),LEFT(A469,5)="HANES",LEFT(A469,3)="ITG")</formula>
    </cfRule>
  </conditionalFormatting>
  <conditionalFormatting sqref="D469">
    <cfRule type="expression" dxfId="955" priority="952" stopIfTrue="1">
      <formula>OR(LEFT(D469,4)="KHTT",LEFT(D469,5)="10USD",RIGHT(D469,3)="TTC",LEFT(D469,3)="TNT")</formula>
    </cfRule>
    <cfRule type="expression" dxfId="954" priority="953" stopIfTrue="1">
      <formula>OR(LEFT(D469,3)="CTU",LEFT(D469,4)="HDON")</formula>
    </cfRule>
    <cfRule type="expression" dxfId="953" priority="954" stopIfTrue="1">
      <formula>OR(LEFT(D469,4)="HOLD",OR(A469="QTNP",A469="HOA THO",A469="YES VINA",A469="HUNG YEN",A469="TEX GIANG",A469="HUNG LONG"),LEFT(A469,5)="HANES",LEFT(A469,3)="ITG")</formula>
    </cfRule>
  </conditionalFormatting>
  <conditionalFormatting sqref="D470">
    <cfRule type="expression" dxfId="952" priority="949" stopIfTrue="1">
      <formula>OR(LEFT(D470,4)="KHTT",LEFT(D470,5)="10USD",RIGHT(D470,3)="TTC",LEFT(D470,3)="TNT")</formula>
    </cfRule>
    <cfRule type="expression" dxfId="951" priority="950" stopIfTrue="1">
      <formula>OR(LEFT(D470,3)="CTU",LEFT(D470,4)="HDON")</formula>
    </cfRule>
    <cfRule type="expression" dxfId="950" priority="951" stopIfTrue="1">
      <formula>OR(LEFT(D470,4)="HOLD",OR(A470="QTNP",A470="HOA THO",A470="YES VINA",A470="HUNG YEN",A470="TEX GIANG",A470="HUNG LONG"),LEFT(A470,5)="HANES",LEFT(A470,3)="ITG")</formula>
    </cfRule>
  </conditionalFormatting>
  <conditionalFormatting sqref="D470">
    <cfRule type="expression" dxfId="949" priority="946" stopIfTrue="1">
      <formula>OR(LEFT(D470,4)="KHTT",LEFT(D470,5)="10USD",RIGHT(D470,3)="TTC",LEFT(D470,3)="TNT")</formula>
    </cfRule>
    <cfRule type="expression" dxfId="948" priority="947" stopIfTrue="1">
      <formula>OR(LEFT(D470,3)="CTU",LEFT(D470,4)="HDON")</formula>
    </cfRule>
    <cfRule type="expression" dxfId="947" priority="948" stopIfTrue="1">
      <formula>OR(LEFT(D470,4)="HOLD",OR(A470="QTNP",A470="HOA THO",A470="YES VINA",A470="HUNG YEN",A470="TEX GIANG",A470="HUNG LONG"),LEFT(A470,5)="HANES",LEFT(A470,3)="ITG")</formula>
    </cfRule>
  </conditionalFormatting>
  <conditionalFormatting sqref="D470">
    <cfRule type="expression" dxfId="946" priority="943" stopIfTrue="1">
      <formula>OR(LEFT(D470,4)="KHTT",LEFT(D470,5)="10USD",RIGHT(D470,3)="TTC",LEFT(D470,3)="TNT")</formula>
    </cfRule>
    <cfRule type="expression" dxfId="945" priority="944" stopIfTrue="1">
      <formula>OR(LEFT(D470,3)="CTU",LEFT(D470,4)="HDON")</formula>
    </cfRule>
    <cfRule type="expression" dxfId="944" priority="945" stopIfTrue="1">
      <formula>OR(LEFT(D470,4)="HOLD",OR(A470="QTNP",A470="HOA THO",A470="YES VINA",A470="HUNG YEN",A470="TEX GIANG",A470="HUNG LONG"),LEFT(A470,5)="HANES",LEFT(A470,3)="ITG")</formula>
    </cfRule>
  </conditionalFormatting>
  <conditionalFormatting sqref="D470">
    <cfRule type="expression" dxfId="943" priority="940" stopIfTrue="1">
      <formula>OR(LEFT(D470,4)="KHTT",LEFT(D470,5)="10USD",RIGHT(D470,3)="TTC",LEFT(D470,3)="TNT")</formula>
    </cfRule>
    <cfRule type="expression" dxfId="942" priority="941" stopIfTrue="1">
      <formula>OR(LEFT(D470,3)="CTU",LEFT(D470,4)="HDON")</formula>
    </cfRule>
    <cfRule type="expression" dxfId="941" priority="942" stopIfTrue="1">
      <formula>OR(LEFT(D470,4)="HOLD",OR(A470="QTNP",A470="HOA THO",A470="YES VINA",A470="HUNG YEN",A470="TEX GIANG",A470="HUNG LONG"),LEFT(A470,5)="HANES",LEFT(A470,3)="ITG")</formula>
    </cfRule>
  </conditionalFormatting>
  <conditionalFormatting sqref="D469">
    <cfRule type="expression" dxfId="940" priority="937" stopIfTrue="1">
      <formula>OR(LEFT(D469,4)="KHTT",LEFT(D469,5)="10USD",RIGHT(D469,3)="TTC",LEFT(D469,3)="TNT")</formula>
    </cfRule>
    <cfRule type="expression" dxfId="939" priority="938" stopIfTrue="1">
      <formula>OR(LEFT(D469,3)="CTU",LEFT(D469,4)="HDON")</formula>
    </cfRule>
    <cfRule type="expression" dxfId="938" priority="939" stopIfTrue="1">
      <formula>OR(LEFT(D469,4)="HOLD",OR(A469="QTNP",A469="HOA THO",A469="YES VINA",A469="HUNG YEN",A469="TEX GIANG",A469="HUNG LONG"),LEFT(A469,5)="HANES",LEFT(A469,3)="ITG")</formula>
    </cfRule>
  </conditionalFormatting>
  <conditionalFormatting sqref="D469">
    <cfRule type="expression" dxfId="937" priority="934" stopIfTrue="1">
      <formula>OR(LEFT(D469,4)="KHTT",LEFT(D469,5)="10USD",RIGHT(D469,3)="TTC",LEFT(D469,3)="TNT")</formula>
    </cfRule>
    <cfRule type="expression" dxfId="936" priority="935" stopIfTrue="1">
      <formula>OR(LEFT(D469,3)="CTU",LEFT(D469,4)="HDON")</formula>
    </cfRule>
    <cfRule type="expression" dxfId="935" priority="936" stopIfTrue="1">
      <formula>OR(LEFT(D469,4)="HOLD",OR(A469="QTNP",A469="HOA THO",A469="YES VINA",A469="HUNG YEN",A469="TEX GIANG",A469="HUNG LONG"),LEFT(A469,5)="HANES",LEFT(A469,3)="ITG")</formula>
    </cfRule>
  </conditionalFormatting>
  <conditionalFormatting sqref="D470">
    <cfRule type="expression" dxfId="934" priority="931" stopIfTrue="1">
      <formula>OR(LEFT(D470,4)="KHTT",LEFT(D470,5)="10USD",RIGHT(D470,3)="TTC",LEFT(D470,3)="TNT")</formula>
    </cfRule>
    <cfRule type="expression" dxfId="933" priority="932" stopIfTrue="1">
      <formula>OR(LEFT(D470,3)="CTU",LEFT(D470,4)="HDON")</formula>
    </cfRule>
    <cfRule type="expression" dxfId="932" priority="933" stopIfTrue="1">
      <formula>OR(LEFT(D470,4)="HOLD",OR(A470="QTNP",A470="HOA THO",A470="YES VINA",A470="HUNG YEN",A470="TEX GIANG",A470="HUNG LONG"),LEFT(A470,5)="HANES",LEFT(A470,3)="ITG")</formula>
    </cfRule>
  </conditionalFormatting>
  <conditionalFormatting sqref="D470">
    <cfRule type="expression" dxfId="931" priority="928" stopIfTrue="1">
      <formula>OR(LEFT(D470,4)="KHTT",LEFT(D470,5)="10USD",RIGHT(D470,3)="TTC",LEFT(D470,3)="TNT")</formula>
    </cfRule>
    <cfRule type="expression" dxfId="930" priority="929" stopIfTrue="1">
      <formula>OR(LEFT(D470,3)="CTU",LEFT(D470,4)="HDON")</formula>
    </cfRule>
    <cfRule type="expression" dxfId="929" priority="930" stopIfTrue="1">
      <formula>OR(LEFT(D470,4)="HOLD",OR(A470="QTNP",A470="HOA THO",A470="YES VINA",A470="HUNG YEN",A470="TEX GIANG",A470="HUNG LONG"),LEFT(A470,5)="HANES",LEFT(A470,3)="ITG")</formula>
    </cfRule>
  </conditionalFormatting>
  <conditionalFormatting sqref="D470">
    <cfRule type="expression" dxfId="928" priority="925" stopIfTrue="1">
      <formula>OR(LEFT(D470,4)="KHTT",LEFT(D470,5)="10USD",RIGHT(D470,3)="TTC",LEFT(D470,3)="TNT")</formula>
    </cfRule>
    <cfRule type="expression" dxfId="927" priority="926" stopIfTrue="1">
      <formula>OR(LEFT(D470,3)="CTU",LEFT(D470,4)="HDON")</formula>
    </cfRule>
    <cfRule type="expression" dxfId="926" priority="927" stopIfTrue="1">
      <formula>OR(LEFT(D470,4)="HOLD",OR(A470="QTNP",A470="HOA THO",A470="YES VINA",A470="HUNG YEN",A470="TEX GIANG",A470="HUNG LONG"),LEFT(A470,5)="HANES",LEFT(A470,3)="ITG")</formula>
    </cfRule>
  </conditionalFormatting>
  <conditionalFormatting sqref="D470">
    <cfRule type="expression" dxfId="925" priority="922" stopIfTrue="1">
      <formula>OR(LEFT(D470,4)="KHTT",LEFT(D470,5)="10USD",RIGHT(D470,3)="TTC",LEFT(D470,3)="TNT")</formula>
    </cfRule>
    <cfRule type="expression" dxfId="924" priority="923" stopIfTrue="1">
      <formula>OR(LEFT(D470,3)="CTU",LEFT(D470,4)="HDON")</formula>
    </cfRule>
    <cfRule type="expression" dxfId="923" priority="924" stopIfTrue="1">
      <formula>OR(LEFT(D470,4)="HOLD",OR(A470="QTNP",A470="HOA THO",A470="YES VINA",A470="HUNG YEN",A470="TEX GIANG",A470="HUNG LONG"),LEFT(A470,5)="HANES",LEFT(A470,3)="ITG")</formula>
    </cfRule>
  </conditionalFormatting>
  <conditionalFormatting sqref="D469">
    <cfRule type="expression" dxfId="922" priority="919" stopIfTrue="1">
      <formula>OR(LEFT(D469,4)="KHTT",LEFT(D469,5)="10USD",RIGHT(D469,3)="TTC",LEFT(D469,3)="TNT")</formula>
    </cfRule>
    <cfRule type="expression" dxfId="921" priority="920" stopIfTrue="1">
      <formula>OR(LEFT(D469,3)="CTU",LEFT(D469,4)="HDON")</formula>
    </cfRule>
    <cfRule type="expression" dxfId="920" priority="921" stopIfTrue="1">
      <formula>OR(LEFT(D469,4)="HOLD",OR(A469="QTNP",A469="HOA THO",A469="YES VINA",A469="HUNG YEN",A469="TEX GIANG",A469="HUNG LONG"),LEFT(A469,5)="HANES",LEFT(A469,3)="ITG")</formula>
    </cfRule>
  </conditionalFormatting>
  <conditionalFormatting sqref="D469">
    <cfRule type="expression" dxfId="919" priority="916" stopIfTrue="1">
      <formula>OR(LEFT(D469,4)="KHTT",LEFT(D469,5)="10USD",RIGHT(D469,3)="TTC",LEFT(D469,3)="TNT")</formula>
    </cfRule>
    <cfRule type="expression" dxfId="918" priority="917" stopIfTrue="1">
      <formula>OR(LEFT(D469,3)="CTU",LEFT(D469,4)="HDON")</formula>
    </cfRule>
    <cfRule type="expression" dxfId="917" priority="918" stopIfTrue="1">
      <formula>OR(LEFT(D469,4)="HOLD",OR(A469="QTNP",A469="HOA THO",A469="YES VINA",A469="HUNG YEN",A469="TEX GIANG",A469="HUNG LONG"),LEFT(A469,5)="HANES",LEFT(A469,3)="ITG")</formula>
    </cfRule>
  </conditionalFormatting>
  <conditionalFormatting sqref="D470">
    <cfRule type="expression" dxfId="916" priority="913" stopIfTrue="1">
      <formula>OR(LEFT(D470,4)="KHTT",LEFT(D470,5)="10USD",RIGHT(D470,3)="TTC",LEFT(D470,3)="TNT")</formula>
    </cfRule>
    <cfRule type="expression" dxfId="915" priority="914" stopIfTrue="1">
      <formula>OR(LEFT(D470,3)="CTU",LEFT(D470,4)="HDON")</formula>
    </cfRule>
    <cfRule type="expression" dxfId="914" priority="915" stopIfTrue="1">
      <formula>OR(LEFT(D470,4)="HOLD",OR(A470="QTNP",A470="HOA THO",A470="YES VINA",A470="HUNG YEN",A470="TEX GIANG",A470="HUNG LONG"),LEFT(A470,5)="HANES",LEFT(A470,3)="ITG")</formula>
    </cfRule>
  </conditionalFormatting>
  <conditionalFormatting sqref="D470">
    <cfRule type="expression" dxfId="913" priority="910" stopIfTrue="1">
      <formula>OR(LEFT(D470,4)="KHTT",LEFT(D470,5)="10USD",RIGHT(D470,3)="TTC",LEFT(D470,3)="TNT")</formula>
    </cfRule>
    <cfRule type="expression" dxfId="912" priority="911" stopIfTrue="1">
      <formula>OR(LEFT(D470,3)="CTU",LEFT(D470,4)="HDON")</formula>
    </cfRule>
    <cfRule type="expression" dxfId="911" priority="912" stopIfTrue="1">
      <formula>OR(LEFT(D470,4)="HOLD",OR(A470="QTNP",A470="HOA THO",A470="YES VINA",A470="HUNG YEN",A470="TEX GIANG",A470="HUNG LONG"),LEFT(A470,5)="HANES",LEFT(A470,3)="ITG")</formula>
    </cfRule>
  </conditionalFormatting>
  <conditionalFormatting sqref="D470">
    <cfRule type="expression" dxfId="910" priority="907" stopIfTrue="1">
      <formula>OR(LEFT(D470,4)="KHTT",LEFT(D470,5)="10USD",RIGHT(D470,3)="TTC",LEFT(D470,3)="TNT")</formula>
    </cfRule>
    <cfRule type="expression" dxfId="909" priority="908" stopIfTrue="1">
      <formula>OR(LEFT(D470,3)="CTU",LEFT(D470,4)="HDON")</formula>
    </cfRule>
    <cfRule type="expression" dxfId="908" priority="909" stopIfTrue="1">
      <formula>OR(LEFT(D470,4)="HOLD",OR(A470="QTNP",A470="HOA THO",A470="YES VINA",A470="HUNG YEN",A470="TEX GIANG",A470="HUNG LONG"),LEFT(A470,5)="HANES",LEFT(A470,3)="ITG")</formula>
    </cfRule>
  </conditionalFormatting>
  <conditionalFormatting sqref="D470">
    <cfRule type="expression" dxfId="907" priority="904" stopIfTrue="1">
      <formula>OR(LEFT(D470,4)="KHTT",LEFT(D470,5)="10USD",RIGHT(D470,3)="TTC",LEFT(D470,3)="TNT")</formula>
    </cfRule>
    <cfRule type="expression" dxfId="906" priority="905" stopIfTrue="1">
      <formula>OR(LEFT(D470,3)="CTU",LEFT(D470,4)="HDON")</formula>
    </cfRule>
    <cfRule type="expression" dxfId="905" priority="906" stopIfTrue="1">
      <formula>OR(LEFT(D470,4)="HOLD",OR(A470="QTNP",A470="HOA THO",A470="YES VINA",A470="HUNG YEN",A470="TEX GIANG",A470="HUNG LONG"),LEFT(A470,5)="HANES",LEFT(A470,3)="ITG")</formula>
    </cfRule>
  </conditionalFormatting>
  <conditionalFormatting sqref="D469">
    <cfRule type="expression" dxfId="904" priority="901" stopIfTrue="1">
      <formula>OR(LEFT(D469,4)="KHTT",LEFT(D469,5)="10USD",RIGHT(D469,3)="TTC",LEFT(D469,3)="TNT")</formula>
    </cfRule>
    <cfRule type="expression" dxfId="903" priority="902" stopIfTrue="1">
      <formula>OR(LEFT(D469,3)="CTU",LEFT(D469,4)="HDON")</formula>
    </cfRule>
    <cfRule type="expression" dxfId="902" priority="903" stopIfTrue="1">
      <formula>OR(LEFT(D469,4)="HOLD",OR(A469="QTNP",A469="HOA THO",A469="YES VINA",A469="HUNG YEN",A469="TEX GIANG",A469="HUNG LONG"),LEFT(A469,5)="HANES",LEFT(A469,3)="ITG")</formula>
    </cfRule>
  </conditionalFormatting>
  <conditionalFormatting sqref="D469">
    <cfRule type="expression" dxfId="901" priority="898" stopIfTrue="1">
      <formula>OR(LEFT(D469,4)="KHTT",LEFT(D469,5)="10USD",RIGHT(D469,3)="TTC",LEFT(D469,3)="TNT")</formula>
    </cfRule>
    <cfRule type="expression" dxfId="900" priority="899" stopIfTrue="1">
      <formula>OR(LEFT(D469,3)="CTU",LEFT(D469,4)="HDON")</formula>
    </cfRule>
    <cfRule type="expression" dxfId="899" priority="900" stopIfTrue="1">
      <formula>OR(LEFT(D469,4)="HOLD",OR(A469="QTNP",A469="HOA THO",A469="YES VINA",A469="HUNG YEN",A469="TEX GIANG",A469="HUNG LONG"),LEFT(A469,5)="HANES",LEFT(A469,3)="ITG")</formula>
    </cfRule>
  </conditionalFormatting>
  <conditionalFormatting sqref="D470">
    <cfRule type="expression" dxfId="898" priority="895" stopIfTrue="1">
      <formula>OR(LEFT(D470,4)="KHTT",LEFT(D470,5)="10USD",RIGHT(D470,3)="TTC",LEFT(D470,3)="TNT")</formula>
    </cfRule>
    <cfRule type="expression" dxfId="897" priority="896" stopIfTrue="1">
      <formula>OR(LEFT(D470,3)="CTU",LEFT(D470,4)="HDON")</formula>
    </cfRule>
    <cfRule type="expression" dxfId="896" priority="897" stopIfTrue="1">
      <formula>OR(LEFT(D470,4)="HOLD",OR(A470="QTNP",A470="HOA THO",A470="YES VINA",A470="HUNG YEN",A470="TEX GIANG",A470="HUNG LONG"),LEFT(A470,5)="HANES",LEFT(A470,3)="ITG")</formula>
    </cfRule>
  </conditionalFormatting>
  <conditionalFormatting sqref="D470">
    <cfRule type="expression" dxfId="895" priority="892" stopIfTrue="1">
      <formula>OR(LEFT(D470,4)="KHTT",LEFT(D470,5)="10USD",RIGHT(D470,3)="TTC",LEFT(D470,3)="TNT")</formula>
    </cfRule>
    <cfRule type="expression" dxfId="894" priority="893" stopIfTrue="1">
      <formula>OR(LEFT(D470,3)="CTU",LEFT(D470,4)="HDON")</formula>
    </cfRule>
    <cfRule type="expression" dxfId="893" priority="894" stopIfTrue="1">
      <formula>OR(LEFT(D470,4)="HOLD",OR(A470="QTNP",A470="HOA THO",A470="YES VINA",A470="HUNG YEN",A470="TEX GIANG",A470="HUNG LONG"),LEFT(A470,5)="HANES",LEFT(A470,3)="ITG")</formula>
    </cfRule>
  </conditionalFormatting>
  <conditionalFormatting sqref="D470">
    <cfRule type="expression" dxfId="892" priority="889" stopIfTrue="1">
      <formula>OR(LEFT(D470,4)="KHTT",LEFT(D470,5)="10USD",RIGHT(D470,3)="TTC",LEFT(D470,3)="TNT")</formula>
    </cfRule>
    <cfRule type="expression" dxfId="891" priority="890" stopIfTrue="1">
      <formula>OR(LEFT(D470,3)="CTU",LEFT(D470,4)="HDON")</formula>
    </cfRule>
    <cfRule type="expression" dxfId="890" priority="891" stopIfTrue="1">
      <formula>OR(LEFT(D470,4)="HOLD",OR(A470="QTNP",A470="HOA THO",A470="YES VINA",A470="HUNG YEN",A470="TEX GIANG",A470="HUNG LONG"),LEFT(A470,5)="HANES",LEFT(A470,3)="ITG")</formula>
    </cfRule>
  </conditionalFormatting>
  <conditionalFormatting sqref="D470">
    <cfRule type="expression" dxfId="889" priority="886" stopIfTrue="1">
      <formula>OR(LEFT(D470,4)="KHTT",LEFT(D470,5)="10USD",RIGHT(D470,3)="TTC",LEFT(D470,3)="TNT")</formula>
    </cfRule>
    <cfRule type="expression" dxfId="888" priority="887" stopIfTrue="1">
      <formula>OR(LEFT(D470,3)="CTU",LEFT(D470,4)="HDON")</formula>
    </cfRule>
    <cfRule type="expression" dxfId="887" priority="888" stopIfTrue="1">
      <formula>OR(LEFT(D470,4)="HOLD",OR(A470="QTNP",A470="HOA THO",A470="YES VINA",A470="HUNG YEN",A470="TEX GIANG",A470="HUNG LONG"),LEFT(A470,5)="HANES",LEFT(A470,3)="ITG")</formula>
    </cfRule>
  </conditionalFormatting>
  <conditionalFormatting sqref="D469">
    <cfRule type="expression" dxfId="886" priority="883" stopIfTrue="1">
      <formula>OR(LEFT(D469,4)="KHTT",LEFT(D469,5)="10USD",RIGHT(D469,3)="TTC",LEFT(D469,3)="TNT")</formula>
    </cfRule>
    <cfRule type="expression" dxfId="885" priority="884" stopIfTrue="1">
      <formula>OR(LEFT(D469,3)="CTU",LEFT(D469,4)="HDON")</formula>
    </cfRule>
    <cfRule type="expression" dxfId="884" priority="885" stopIfTrue="1">
      <formula>OR(LEFT(D469,4)="HOLD",OR(A469="QTNP",A469="HOA THO",A469="YES VINA",A469="HUNG YEN",A469="TEX GIANG",A469="HUNG LONG"),LEFT(A469,5)="HANES",LEFT(A469,3)="ITG")</formula>
    </cfRule>
  </conditionalFormatting>
  <conditionalFormatting sqref="D469">
    <cfRule type="expression" dxfId="883" priority="880" stopIfTrue="1">
      <formula>OR(LEFT(D469,4)="KHTT",LEFT(D469,5)="10USD",RIGHT(D469,3)="TTC",LEFT(D469,3)="TNT")</formula>
    </cfRule>
    <cfRule type="expression" dxfId="882" priority="881" stopIfTrue="1">
      <formula>OR(LEFT(D469,3)="CTU",LEFT(D469,4)="HDON")</formula>
    </cfRule>
    <cfRule type="expression" dxfId="881" priority="882" stopIfTrue="1">
      <formula>OR(LEFT(D469,4)="HOLD",OR(A469="QTNP",A469="HOA THO",A469="YES VINA",A469="HUNG YEN",A469="TEX GIANG",A469="HUNG LONG"),LEFT(A469,5)="HANES",LEFT(A469,3)="ITG")</formula>
    </cfRule>
  </conditionalFormatting>
  <conditionalFormatting sqref="D470">
    <cfRule type="expression" dxfId="880" priority="877" stopIfTrue="1">
      <formula>OR(LEFT(D470,4)="KHTT",LEFT(D470,5)="10USD",RIGHT(D470,3)="TTC",LEFT(D470,3)="TNT")</formula>
    </cfRule>
    <cfRule type="expression" dxfId="879" priority="878" stopIfTrue="1">
      <formula>OR(LEFT(D470,3)="CTU",LEFT(D470,4)="HDON")</formula>
    </cfRule>
    <cfRule type="expression" dxfId="878" priority="879" stopIfTrue="1">
      <formula>OR(LEFT(D470,4)="HOLD",OR(A470="QTNP",A470="HOA THO",A470="YES VINA",A470="HUNG YEN",A470="TEX GIANG",A470="HUNG LONG"),LEFT(A470,5)="HANES",LEFT(A470,3)="ITG")</formula>
    </cfRule>
  </conditionalFormatting>
  <conditionalFormatting sqref="D470">
    <cfRule type="expression" dxfId="877" priority="874" stopIfTrue="1">
      <formula>OR(LEFT(D470,4)="KHTT",LEFT(D470,5)="10USD",RIGHT(D470,3)="TTC",LEFT(D470,3)="TNT")</formula>
    </cfRule>
    <cfRule type="expression" dxfId="876" priority="875" stopIfTrue="1">
      <formula>OR(LEFT(D470,3)="CTU",LEFT(D470,4)="HDON")</formula>
    </cfRule>
    <cfRule type="expression" dxfId="875" priority="876" stopIfTrue="1">
      <formula>OR(LEFT(D470,4)="HOLD",OR(A470="QTNP",A470="HOA THO",A470="YES VINA",A470="HUNG YEN",A470="TEX GIANG",A470="HUNG LONG"),LEFT(A470,5)="HANES",LEFT(A470,3)="ITG")</formula>
    </cfRule>
  </conditionalFormatting>
  <conditionalFormatting sqref="D470">
    <cfRule type="expression" dxfId="874" priority="871" stopIfTrue="1">
      <formula>OR(LEFT(D470,4)="KHTT",LEFT(D470,5)="10USD",RIGHT(D470,3)="TTC",LEFT(D470,3)="TNT")</formula>
    </cfRule>
    <cfRule type="expression" dxfId="873" priority="872" stopIfTrue="1">
      <formula>OR(LEFT(D470,3)="CTU",LEFT(D470,4)="HDON")</formula>
    </cfRule>
    <cfRule type="expression" dxfId="872" priority="873" stopIfTrue="1">
      <formula>OR(LEFT(D470,4)="HOLD",OR(A470="QTNP",A470="HOA THO",A470="YES VINA",A470="HUNG YEN",A470="TEX GIANG",A470="HUNG LONG"),LEFT(A470,5)="HANES",LEFT(A470,3)="ITG")</formula>
    </cfRule>
  </conditionalFormatting>
  <conditionalFormatting sqref="D470">
    <cfRule type="expression" dxfId="871" priority="868" stopIfTrue="1">
      <formula>OR(LEFT(D470,4)="KHTT",LEFT(D470,5)="10USD",RIGHT(D470,3)="TTC",LEFT(D470,3)="TNT")</formula>
    </cfRule>
    <cfRule type="expression" dxfId="870" priority="869" stopIfTrue="1">
      <formula>OR(LEFT(D470,3)="CTU",LEFT(D470,4)="HDON")</formula>
    </cfRule>
    <cfRule type="expression" dxfId="869" priority="870" stopIfTrue="1">
      <formula>OR(LEFT(D470,4)="HOLD",OR(A470="QTNP",A470="HOA THO",A470="YES VINA",A470="HUNG YEN",A470="TEX GIANG",A470="HUNG LONG"),LEFT(A470,5)="HANES",LEFT(A470,3)="ITG")</formula>
    </cfRule>
  </conditionalFormatting>
  <conditionalFormatting sqref="D469">
    <cfRule type="expression" dxfId="868" priority="865" stopIfTrue="1">
      <formula>OR(LEFT(D469,4)="KHTT",LEFT(D469,5)="10USD",RIGHT(D469,3)="TTC",LEFT(D469,3)="TNT")</formula>
    </cfRule>
    <cfRule type="expression" dxfId="867" priority="866" stopIfTrue="1">
      <formula>OR(LEFT(D469,3)="CTU",LEFT(D469,4)="HDON")</formula>
    </cfRule>
    <cfRule type="expression" dxfId="866" priority="867" stopIfTrue="1">
      <formula>OR(LEFT(D469,4)="HOLD",OR(A469="QTNP",A469="HOA THO",A469="YES VINA",A469="HUNG YEN",A469="TEX GIANG",A469="HUNG LONG"),LEFT(A469,5)="HANES",LEFT(A469,3)="ITG")</formula>
    </cfRule>
  </conditionalFormatting>
  <conditionalFormatting sqref="D469">
    <cfRule type="expression" dxfId="865" priority="862" stopIfTrue="1">
      <formula>OR(LEFT(D469,4)="KHTT",LEFT(D469,5)="10USD",RIGHT(D469,3)="TTC",LEFT(D469,3)="TNT")</formula>
    </cfRule>
    <cfRule type="expression" dxfId="864" priority="863" stopIfTrue="1">
      <formula>OR(LEFT(D469,3)="CTU",LEFT(D469,4)="HDON")</formula>
    </cfRule>
    <cfRule type="expression" dxfId="863" priority="864" stopIfTrue="1">
      <formula>OR(LEFT(D469,4)="HOLD",OR(A469="QTNP",A469="HOA THO",A469="YES VINA",A469="HUNG YEN",A469="TEX GIANG",A469="HUNG LONG"),LEFT(A469,5)="HANES",LEFT(A469,3)="ITG")</formula>
    </cfRule>
  </conditionalFormatting>
  <conditionalFormatting sqref="D470">
    <cfRule type="expression" dxfId="862" priority="859" stopIfTrue="1">
      <formula>OR(LEFT(D470,4)="KHTT",LEFT(D470,5)="10USD",RIGHT(D470,3)="TTC",LEFT(D470,3)="TNT")</formula>
    </cfRule>
    <cfRule type="expression" dxfId="861" priority="860" stopIfTrue="1">
      <formula>OR(LEFT(D470,3)="CTU",LEFT(D470,4)="HDON")</formula>
    </cfRule>
    <cfRule type="expression" dxfId="860" priority="861" stopIfTrue="1">
      <formula>OR(LEFT(D470,4)="HOLD",OR(A470="QTNP",A470="HOA THO",A470="YES VINA",A470="HUNG YEN",A470="TEX GIANG",A470="HUNG LONG"),LEFT(A470,5)="HANES",LEFT(A470,3)="ITG")</formula>
    </cfRule>
  </conditionalFormatting>
  <conditionalFormatting sqref="D470">
    <cfRule type="expression" dxfId="859" priority="856" stopIfTrue="1">
      <formula>OR(LEFT(D470,4)="KHTT",LEFT(D470,5)="10USD",RIGHT(D470,3)="TTC",LEFT(D470,3)="TNT")</formula>
    </cfRule>
    <cfRule type="expression" dxfId="858" priority="857" stopIfTrue="1">
      <formula>OR(LEFT(D470,3)="CTU",LEFT(D470,4)="HDON")</formula>
    </cfRule>
    <cfRule type="expression" dxfId="857" priority="858" stopIfTrue="1">
      <formula>OR(LEFT(D470,4)="HOLD",OR(A470="QTNP",A470="HOA THO",A470="YES VINA",A470="HUNG YEN",A470="TEX GIANG",A470="HUNG LONG"),LEFT(A470,5)="HANES",LEFT(A470,3)="ITG")</formula>
    </cfRule>
  </conditionalFormatting>
  <conditionalFormatting sqref="D470">
    <cfRule type="expression" dxfId="856" priority="853" stopIfTrue="1">
      <formula>OR(LEFT(D470,4)="KHTT",LEFT(D470,5)="10USD",RIGHT(D470,3)="TTC",LEFT(D470,3)="TNT")</formula>
    </cfRule>
    <cfRule type="expression" dxfId="855" priority="854" stopIfTrue="1">
      <formula>OR(LEFT(D470,3)="CTU",LEFT(D470,4)="HDON")</formula>
    </cfRule>
    <cfRule type="expression" dxfId="854" priority="855" stopIfTrue="1">
      <formula>OR(LEFT(D470,4)="HOLD",OR(A470="QTNP",A470="HOA THO",A470="YES VINA",A470="HUNG YEN",A470="TEX GIANG",A470="HUNG LONG"),LEFT(A470,5)="HANES",LEFT(A470,3)="ITG")</formula>
    </cfRule>
  </conditionalFormatting>
  <conditionalFormatting sqref="D470">
    <cfRule type="expression" dxfId="853" priority="850" stopIfTrue="1">
      <formula>OR(LEFT(D470,4)="KHTT",LEFT(D470,5)="10USD",RIGHT(D470,3)="TTC",LEFT(D470,3)="TNT")</formula>
    </cfRule>
    <cfRule type="expression" dxfId="852" priority="851" stopIfTrue="1">
      <formula>OR(LEFT(D470,3)="CTU",LEFT(D470,4)="HDON")</formula>
    </cfRule>
    <cfRule type="expression" dxfId="851" priority="852" stopIfTrue="1">
      <formula>OR(LEFT(D470,4)="HOLD",OR(A470="QTNP",A470="HOA THO",A470="YES VINA",A470="HUNG YEN",A470="TEX GIANG",A470="HUNG LONG"),LEFT(A470,5)="HANES",LEFT(A470,3)="ITG")</formula>
    </cfRule>
  </conditionalFormatting>
  <conditionalFormatting sqref="D469">
    <cfRule type="expression" dxfId="850" priority="847" stopIfTrue="1">
      <formula>OR(LEFT(D469,4)="KHTT",LEFT(D469,5)="10USD",RIGHT(D469,3)="TTC",LEFT(D469,3)="TNT")</formula>
    </cfRule>
    <cfRule type="expression" dxfId="849" priority="848" stopIfTrue="1">
      <formula>OR(LEFT(D469,3)="CTU",LEFT(D469,4)="HDON")</formula>
    </cfRule>
    <cfRule type="expression" dxfId="848" priority="849" stopIfTrue="1">
      <formula>OR(LEFT(D469,4)="HOLD",OR(A469="QTNP",A469="HOA THO",A469="YES VINA",A469="HUNG YEN",A469="TEX GIANG",A469="HUNG LONG"),LEFT(A469,5)="HANES",LEFT(A469,3)="ITG")</formula>
    </cfRule>
  </conditionalFormatting>
  <conditionalFormatting sqref="D469">
    <cfRule type="expression" dxfId="847" priority="844" stopIfTrue="1">
      <formula>OR(LEFT(D469,4)="KHTT",LEFT(D469,5)="10USD",RIGHT(D469,3)="TTC",LEFT(D469,3)="TNT")</formula>
    </cfRule>
    <cfRule type="expression" dxfId="846" priority="845" stopIfTrue="1">
      <formula>OR(LEFT(D469,3)="CTU",LEFT(D469,4)="HDON")</formula>
    </cfRule>
    <cfRule type="expression" dxfId="845" priority="846" stopIfTrue="1">
      <formula>OR(LEFT(D469,4)="HOLD",OR(A469="QTNP",A469="HOA THO",A469="YES VINA",A469="HUNG YEN",A469="TEX GIANG",A469="HUNG LONG"),LEFT(A469,5)="HANES",LEFT(A469,3)="ITG")</formula>
    </cfRule>
  </conditionalFormatting>
  <conditionalFormatting sqref="D470">
    <cfRule type="expression" dxfId="844" priority="841" stopIfTrue="1">
      <formula>OR(LEFT(D470,4)="KHTT",LEFT(D470,5)="10USD",RIGHT(D470,3)="TTC",LEFT(D470,3)="TNT")</formula>
    </cfRule>
    <cfRule type="expression" dxfId="843" priority="842" stopIfTrue="1">
      <formula>OR(LEFT(D470,3)="CTU",LEFT(D470,4)="HDON")</formula>
    </cfRule>
    <cfRule type="expression" dxfId="842" priority="843" stopIfTrue="1">
      <formula>OR(LEFT(D470,4)="HOLD",OR(A470="QTNP",A470="HOA THO",A470="YES VINA",A470="HUNG YEN",A470="TEX GIANG",A470="HUNG LONG"),LEFT(A470,5)="HANES",LEFT(A470,3)="ITG")</formula>
    </cfRule>
  </conditionalFormatting>
  <conditionalFormatting sqref="D470">
    <cfRule type="expression" dxfId="841" priority="838" stopIfTrue="1">
      <formula>OR(LEFT(D470,4)="KHTT",LEFT(D470,5)="10USD",RIGHT(D470,3)="TTC",LEFT(D470,3)="TNT")</formula>
    </cfRule>
    <cfRule type="expression" dxfId="840" priority="839" stopIfTrue="1">
      <formula>OR(LEFT(D470,3)="CTU",LEFT(D470,4)="HDON")</formula>
    </cfRule>
    <cfRule type="expression" dxfId="839" priority="840" stopIfTrue="1">
      <formula>OR(LEFT(D470,4)="HOLD",OR(A470="QTNP",A470="HOA THO",A470="YES VINA",A470="HUNG YEN",A470="TEX GIANG",A470="HUNG LONG"),LEFT(A470,5)="HANES",LEFT(A470,3)="ITG")</formula>
    </cfRule>
  </conditionalFormatting>
  <conditionalFormatting sqref="D470">
    <cfRule type="expression" dxfId="838" priority="835" stopIfTrue="1">
      <formula>OR(LEFT(D470,4)="KHTT",LEFT(D470,5)="10USD",RIGHT(D470,3)="TTC",LEFT(D470,3)="TNT")</formula>
    </cfRule>
    <cfRule type="expression" dxfId="837" priority="836" stopIfTrue="1">
      <formula>OR(LEFT(D470,3)="CTU",LEFT(D470,4)="HDON")</formula>
    </cfRule>
    <cfRule type="expression" dxfId="836" priority="837" stopIfTrue="1">
      <formula>OR(LEFT(D470,4)="HOLD",OR(A470="QTNP",A470="HOA THO",A470="YES VINA",A470="HUNG YEN",A470="TEX GIANG",A470="HUNG LONG"),LEFT(A470,5)="HANES",LEFT(A470,3)="ITG")</formula>
    </cfRule>
  </conditionalFormatting>
  <conditionalFormatting sqref="D470">
    <cfRule type="expression" dxfId="835" priority="832" stopIfTrue="1">
      <formula>OR(LEFT(D470,4)="KHTT",LEFT(D470,5)="10USD",RIGHT(D470,3)="TTC",LEFT(D470,3)="TNT")</formula>
    </cfRule>
    <cfRule type="expression" dxfId="834" priority="833" stopIfTrue="1">
      <formula>OR(LEFT(D470,3)="CTU",LEFT(D470,4)="HDON")</formula>
    </cfRule>
    <cfRule type="expression" dxfId="833" priority="834" stopIfTrue="1">
      <formula>OR(LEFT(D470,4)="HOLD",OR(A470="QTNP",A470="HOA THO",A470="YES VINA",A470="HUNG YEN",A470="TEX GIANG",A470="HUNG LONG"),LEFT(A470,5)="HANES",LEFT(A470,3)="ITG")</formula>
    </cfRule>
  </conditionalFormatting>
  <conditionalFormatting sqref="D469">
    <cfRule type="expression" dxfId="832" priority="829" stopIfTrue="1">
      <formula>OR(LEFT(D469,4)="KHTT",LEFT(D469,5)="10USD",RIGHT(D469,3)="TTC",LEFT(D469,3)="TNT")</formula>
    </cfRule>
    <cfRule type="expression" dxfId="831" priority="830" stopIfTrue="1">
      <formula>OR(LEFT(D469,3)="CTU",LEFT(D469,4)="HDON")</formula>
    </cfRule>
    <cfRule type="expression" dxfId="830" priority="831" stopIfTrue="1">
      <formula>OR(LEFT(D469,4)="HOLD",OR(A469="QTNP",A469="HOA THO",A469="YES VINA",A469="HUNG YEN",A469="TEX GIANG",A469="HUNG LONG"),LEFT(A469,5)="HANES",LEFT(A469,3)="ITG")</formula>
    </cfRule>
  </conditionalFormatting>
  <conditionalFormatting sqref="D469">
    <cfRule type="expression" dxfId="829" priority="826" stopIfTrue="1">
      <formula>OR(LEFT(D469,4)="KHTT",LEFT(D469,5)="10USD",RIGHT(D469,3)="TTC",LEFT(D469,3)="TNT")</formula>
    </cfRule>
    <cfRule type="expression" dxfId="828" priority="827" stopIfTrue="1">
      <formula>OR(LEFT(D469,3)="CTU",LEFT(D469,4)="HDON")</formula>
    </cfRule>
    <cfRule type="expression" dxfId="827" priority="828" stopIfTrue="1">
      <formula>OR(LEFT(D469,4)="HOLD",OR(A469="QTNP",A469="HOA THO",A469="YES VINA",A469="HUNG YEN",A469="TEX GIANG",A469="HUNG LONG"),LEFT(A469,5)="HANES",LEFT(A469,3)="ITG")</formula>
    </cfRule>
  </conditionalFormatting>
  <conditionalFormatting sqref="D470">
    <cfRule type="expression" dxfId="826" priority="823" stopIfTrue="1">
      <formula>OR(LEFT(D470,4)="KHTT",LEFT(D470,5)="10USD",RIGHT(D470,3)="TTC",LEFT(D470,3)="TNT")</formula>
    </cfRule>
    <cfRule type="expression" dxfId="825" priority="824" stopIfTrue="1">
      <formula>OR(LEFT(D470,3)="CTU",LEFT(D470,4)="HDON")</formula>
    </cfRule>
    <cfRule type="expression" dxfId="824" priority="825" stopIfTrue="1">
      <formula>OR(LEFT(D470,4)="HOLD",OR(A470="QTNP",A470="HOA THO",A470="YES VINA",A470="HUNG YEN",A470="TEX GIANG",A470="HUNG LONG"),LEFT(A470,5)="HANES",LEFT(A470,3)="ITG")</formula>
    </cfRule>
  </conditionalFormatting>
  <conditionalFormatting sqref="D470">
    <cfRule type="expression" dxfId="823" priority="820" stopIfTrue="1">
      <formula>OR(LEFT(D470,4)="KHTT",LEFT(D470,5)="10USD",RIGHT(D470,3)="TTC",LEFT(D470,3)="TNT")</formula>
    </cfRule>
    <cfRule type="expression" dxfId="822" priority="821" stopIfTrue="1">
      <formula>OR(LEFT(D470,3)="CTU",LEFT(D470,4)="HDON")</formula>
    </cfRule>
    <cfRule type="expression" dxfId="821" priority="822" stopIfTrue="1">
      <formula>OR(LEFT(D470,4)="HOLD",OR(A470="QTNP",A470="HOA THO",A470="YES VINA",A470="HUNG YEN",A470="TEX GIANG",A470="HUNG LONG"),LEFT(A470,5)="HANES",LEFT(A470,3)="ITG")</formula>
    </cfRule>
  </conditionalFormatting>
  <conditionalFormatting sqref="D470">
    <cfRule type="expression" dxfId="820" priority="817" stopIfTrue="1">
      <formula>OR(LEFT(D470,4)="KHTT",LEFT(D470,5)="10USD",RIGHT(D470,3)="TTC",LEFT(D470,3)="TNT")</formula>
    </cfRule>
    <cfRule type="expression" dxfId="819" priority="818" stopIfTrue="1">
      <formula>OR(LEFT(D470,3)="CTU",LEFT(D470,4)="HDON")</formula>
    </cfRule>
    <cfRule type="expression" dxfId="818" priority="819" stopIfTrue="1">
      <formula>OR(LEFT(D470,4)="HOLD",OR(A470="QTNP",A470="HOA THO",A470="YES VINA",A470="HUNG YEN",A470="TEX GIANG",A470="HUNG LONG"),LEFT(A470,5)="HANES",LEFT(A470,3)="ITG")</formula>
    </cfRule>
  </conditionalFormatting>
  <conditionalFormatting sqref="D470">
    <cfRule type="expression" dxfId="817" priority="814" stopIfTrue="1">
      <formula>OR(LEFT(D470,4)="KHTT",LEFT(D470,5)="10USD",RIGHT(D470,3)="TTC",LEFT(D470,3)="TNT")</formula>
    </cfRule>
    <cfRule type="expression" dxfId="816" priority="815" stopIfTrue="1">
      <formula>OR(LEFT(D470,3)="CTU",LEFT(D470,4)="HDON")</formula>
    </cfRule>
    <cfRule type="expression" dxfId="815" priority="816" stopIfTrue="1">
      <formula>OR(LEFT(D470,4)="HOLD",OR(A470="QTNP",A470="HOA THO",A470="YES VINA",A470="HUNG YEN",A470="TEX GIANG",A470="HUNG LONG"),LEFT(A470,5)="HANES",LEFT(A470,3)="ITG")</formula>
    </cfRule>
  </conditionalFormatting>
  <conditionalFormatting sqref="D469">
    <cfRule type="expression" dxfId="814" priority="811" stopIfTrue="1">
      <formula>OR(LEFT(D469,4)="KHTT",LEFT(D469,5)="10USD",RIGHT(D469,3)="TTC",LEFT(D469,3)="TNT")</formula>
    </cfRule>
    <cfRule type="expression" dxfId="813" priority="812" stopIfTrue="1">
      <formula>OR(LEFT(D469,3)="CTU",LEFT(D469,4)="HDON")</formula>
    </cfRule>
    <cfRule type="expression" dxfId="812" priority="813" stopIfTrue="1">
      <formula>OR(LEFT(D469,4)="HOLD",OR(A469="QTNP",A469="HOA THO",A469="YES VINA",A469="HUNG YEN",A469="TEX GIANG",A469="HUNG LONG"),LEFT(A469,5)="HANES",LEFT(A469,3)="ITG")</formula>
    </cfRule>
  </conditionalFormatting>
  <conditionalFormatting sqref="D469">
    <cfRule type="expression" dxfId="811" priority="808" stopIfTrue="1">
      <formula>OR(LEFT(D469,4)="KHTT",LEFT(D469,5)="10USD",RIGHT(D469,3)="TTC",LEFT(D469,3)="TNT")</formula>
    </cfRule>
    <cfRule type="expression" dxfId="810" priority="809" stopIfTrue="1">
      <formula>OR(LEFT(D469,3)="CTU",LEFT(D469,4)="HDON")</formula>
    </cfRule>
    <cfRule type="expression" dxfId="809" priority="810" stopIfTrue="1">
      <formula>OR(LEFT(D469,4)="HOLD",OR(A469="QTNP",A469="HOA THO",A469="YES VINA",A469="HUNG YEN",A469="TEX GIANG",A469="HUNG LONG"),LEFT(A469,5)="HANES",LEFT(A469,3)="ITG")</formula>
    </cfRule>
  </conditionalFormatting>
  <conditionalFormatting sqref="D470">
    <cfRule type="expression" dxfId="808" priority="805" stopIfTrue="1">
      <formula>OR(LEFT(D470,4)="KHTT",LEFT(D470,5)="10USD",RIGHT(D470,3)="TTC",LEFT(D470,3)="TNT")</formula>
    </cfRule>
    <cfRule type="expression" dxfId="807" priority="806" stopIfTrue="1">
      <formula>OR(LEFT(D470,3)="CTU",LEFT(D470,4)="HDON")</formula>
    </cfRule>
    <cfRule type="expression" dxfId="806" priority="807" stopIfTrue="1">
      <formula>OR(LEFT(D470,4)="HOLD",OR(A470="QTNP",A470="HOA THO",A470="YES VINA",A470="HUNG YEN",A470="TEX GIANG",A470="HUNG LONG"),LEFT(A470,5)="HANES",LEFT(A470,3)="ITG")</formula>
    </cfRule>
  </conditionalFormatting>
  <conditionalFormatting sqref="D470">
    <cfRule type="expression" dxfId="805" priority="802" stopIfTrue="1">
      <formula>OR(LEFT(D470,4)="KHTT",LEFT(D470,5)="10USD",RIGHT(D470,3)="TTC",LEFT(D470,3)="TNT")</formula>
    </cfRule>
    <cfRule type="expression" dxfId="804" priority="803" stopIfTrue="1">
      <formula>OR(LEFT(D470,3)="CTU",LEFT(D470,4)="HDON")</formula>
    </cfRule>
    <cfRule type="expression" dxfId="803" priority="804" stopIfTrue="1">
      <formula>OR(LEFT(D470,4)="HOLD",OR(A470="QTNP",A470="HOA THO",A470="YES VINA",A470="HUNG YEN",A470="TEX GIANG",A470="HUNG LONG"),LEFT(A470,5)="HANES",LEFT(A470,3)="ITG")</formula>
    </cfRule>
  </conditionalFormatting>
  <conditionalFormatting sqref="D470">
    <cfRule type="expression" dxfId="802" priority="799" stopIfTrue="1">
      <formula>OR(LEFT(D470,4)="KHTT",LEFT(D470,5)="10USD",RIGHT(D470,3)="TTC",LEFT(D470,3)="TNT")</formula>
    </cfRule>
    <cfRule type="expression" dxfId="801" priority="800" stopIfTrue="1">
      <formula>OR(LEFT(D470,3)="CTU",LEFT(D470,4)="HDON")</formula>
    </cfRule>
    <cfRule type="expression" dxfId="800" priority="801" stopIfTrue="1">
      <formula>OR(LEFT(D470,4)="HOLD",OR(A470="QTNP",A470="HOA THO",A470="YES VINA",A470="HUNG YEN",A470="TEX GIANG",A470="HUNG LONG"),LEFT(A470,5)="HANES",LEFT(A470,3)="ITG")</formula>
    </cfRule>
  </conditionalFormatting>
  <conditionalFormatting sqref="D470">
    <cfRule type="expression" dxfId="799" priority="796" stopIfTrue="1">
      <formula>OR(LEFT(D470,4)="KHTT",LEFT(D470,5)="10USD",RIGHT(D470,3)="TTC",LEFT(D470,3)="TNT")</formula>
    </cfRule>
    <cfRule type="expression" dxfId="798" priority="797" stopIfTrue="1">
      <formula>OR(LEFT(D470,3)="CTU",LEFT(D470,4)="HDON")</formula>
    </cfRule>
    <cfRule type="expression" dxfId="797" priority="798" stopIfTrue="1">
      <formula>OR(LEFT(D470,4)="HOLD",OR(A470="QTNP",A470="HOA THO",A470="YES VINA",A470="HUNG YEN",A470="TEX GIANG",A470="HUNG LONG"),LEFT(A470,5)="HANES",LEFT(A470,3)="ITG")</formula>
    </cfRule>
  </conditionalFormatting>
  <conditionalFormatting sqref="D469">
    <cfRule type="expression" dxfId="796" priority="793" stopIfTrue="1">
      <formula>OR(LEFT(D469,4)="KHTT",LEFT(D469,5)="10USD",RIGHT(D469,3)="TTC",LEFT(D469,3)="TNT")</formula>
    </cfRule>
    <cfRule type="expression" dxfId="795" priority="794" stopIfTrue="1">
      <formula>OR(LEFT(D469,3)="CTU",LEFT(D469,4)="HDON")</formula>
    </cfRule>
    <cfRule type="expression" dxfId="794" priority="795" stopIfTrue="1">
      <formula>OR(LEFT(D469,4)="HOLD",OR(A469="QTNP",A469="HOA THO",A469="YES VINA",A469="HUNG YEN",A469="TEX GIANG",A469="HUNG LONG"),LEFT(A469,5)="HANES",LEFT(A469,3)="ITG")</formula>
    </cfRule>
  </conditionalFormatting>
  <conditionalFormatting sqref="D469">
    <cfRule type="expression" dxfId="793" priority="790" stopIfTrue="1">
      <formula>OR(LEFT(D469,4)="KHTT",LEFT(D469,5)="10USD",RIGHT(D469,3)="TTC",LEFT(D469,3)="TNT")</formula>
    </cfRule>
    <cfRule type="expression" dxfId="792" priority="791" stopIfTrue="1">
      <formula>OR(LEFT(D469,3)="CTU",LEFT(D469,4)="HDON")</formula>
    </cfRule>
    <cfRule type="expression" dxfId="791" priority="792" stopIfTrue="1">
      <formula>OR(LEFT(D469,4)="HOLD",OR(A469="QTNP",A469="HOA THO",A469="YES VINA",A469="HUNG YEN",A469="TEX GIANG",A469="HUNG LONG"),LEFT(A469,5)="HANES",LEFT(A469,3)="ITG")</formula>
    </cfRule>
  </conditionalFormatting>
  <conditionalFormatting sqref="D470">
    <cfRule type="expression" dxfId="790" priority="787" stopIfTrue="1">
      <formula>OR(LEFT(D470,4)="KHTT",LEFT(D470,5)="10USD",RIGHT(D470,3)="TTC",LEFT(D470,3)="TNT")</formula>
    </cfRule>
    <cfRule type="expression" dxfId="789" priority="788" stopIfTrue="1">
      <formula>OR(LEFT(D470,3)="CTU",LEFT(D470,4)="HDON")</formula>
    </cfRule>
    <cfRule type="expression" dxfId="788" priority="789" stopIfTrue="1">
      <formula>OR(LEFT(D470,4)="HOLD",OR(A470="QTNP",A470="HOA THO",A470="YES VINA",A470="HUNG YEN",A470="TEX GIANG",A470="HUNG LONG"),LEFT(A470,5)="HANES",LEFT(A470,3)="ITG")</formula>
    </cfRule>
  </conditionalFormatting>
  <conditionalFormatting sqref="D470">
    <cfRule type="expression" dxfId="787" priority="784" stopIfTrue="1">
      <formula>OR(LEFT(D470,4)="KHTT",LEFT(D470,5)="10USD",RIGHT(D470,3)="TTC",LEFT(D470,3)="TNT")</formula>
    </cfRule>
    <cfRule type="expression" dxfId="786" priority="785" stopIfTrue="1">
      <formula>OR(LEFT(D470,3)="CTU",LEFT(D470,4)="HDON")</formula>
    </cfRule>
    <cfRule type="expression" dxfId="785" priority="786" stopIfTrue="1">
      <formula>OR(LEFT(D470,4)="HOLD",OR(A470="QTNP",A470="HOA THO",A470="YES VINA",A470="HUNG YEN",A470="TEX GIANG",A470="HUNG LONG"),LEFT(A470,5)="HANES",LEFT(A470,3)="ITG")</formula>
    </cfRule>
  </conditionalFormatting>
  <conditionalFormatting sqref="D470">
    <cfRule type="expression" dxfId="784" priority="781" stopIfTrue="1">
      <formula>OR(LEFT(D470,4)="KHTT",LEFT(D470,5)="10USD",RIGHT(D470,3)="TTC",LEFT(D470,3)="TNT")</formula>
    </cfRule>
    <cfRule type="expression" dxfId="783" priority="782" stopIfTrue="1">
      <formula>OR(LEFT(D470,3)="CTU",LEFT(D470,4)="HDON")</formula>
    </cfRule>
    <cfRule type="expression" dxfId="782" priority="783" stopIfTrue="1">
      <formula>OR(LEFT(D470,4)="HOLD",OR(A470="QTNP",A470="HOA THO",A470="YES VINA",A470="HUNG YEN",A470="TEX GIANG",A470="HUNG LONG"),LEFT(A470,5)="HANES",LEFT(A470,3)="ITG")</formula>
    </cfRule>
  </conditionalFormatting>
  <conditionalFormatting sqref="D470">
    <cfRule type="expression" dxfId="781" priority="778" stopIfTrue="1">
      <formula>OR(LEFT(D470,4)="KHTT",LEFT(D470,5)="10USD",RIGHT(D470,3)="TTC",LEFT(D470,3)="TNT")</formula>
    </cfRule>
    <cfRule type="expression" dxfId="780" priority="779" stopIfTrue="1">
      <formula>OR(LEFT(D470,3)="CTU",LEFT(D470,4)="HDON")</formula>
    </cfRule>
    <cfRule type="expression" dxfId="779" priority="780" stopIfTrue="1">
      <formula>OR(LEFT(D470,4)="HOLD",OR(A470="QTNP",A470="HOA THO",A470="YES VINA",A470="HUNG YEN",A470="TEX GIANG",A470="HUNG LONG"),LEFT(A470,5)="HANES",LEFT(A470,3)="ITG")</formula>
    </cfRule>
  </conditionalFormatting>
  <conditionalFormatting sqref="D469">
    <cfRule type="expression" dxfId="778" priority="775" stopIfTrue="1">
      <formula>OR(LEFT(D469,4)="KHTT",LEFT(D469,5)="10USD",RIGHT(D469,3)="TTC",LEFT(D469,3)="TNT")</formula>
    </cfRule>
    <cfRule type="expression" dxfId="777" priority="776" stopIfTrue="1">
      <formula>OR(LEFT(D469,3)="CTU",LEFT(D469,4)="HDON")</formula>
    </cfRule>
    <cfRule type="expression" dxfId="776" priority="777" stopIfTrue="1">
      <formula>OR(LEFT(D469,4)="HOLD",OR(A469="QTNP",A469="HOA THO",A469="YES VINA",A469="HUNG YEN",A469="TEX GIANG",A469="HUNG LONG"),LEFT(A469,5)="HANES",LEFT(A469,3)="ITG")</formula>
    </cfRule>
  </conditionalFormatting>
  <conditionalFormatting sqref="D469">
    <cfRule type="expression" dxfId="775" priority="772" stopIfTrue="1">
      <formula>OR(LEFT(D469,4)="KHTT",LEFT(D469,5)="10USD",RIGHT(D469,3)="TTC",LEFT(D469,3)="TNT")</formula>
    </cfRule>
    <cfRule type="expression" dxfId="774" priority="773" stopIfTrue="1">
      <formula>OR(LEFT(D469,3)="CTU",LEFT(D469,4)="HDON")</formula>
    </cfRule>
    <cfRule type="expression" dxfId="773" priority="774" stopIfTrue="1">
      <formula>OR(LEFT(D469,4)="HOLD",OR(A469="QTNP",A469="HOA THO",A469="YES VINA",A469="HUNG YEN",A469="TEX GIANG",A469="HUNG LONG"),LEFT(A469,5)="HANES",LEFT(A469,3)="ITG")</formula>
    </cfRule>
  </conditionalFormatting>
  <conditionalFormatting sqref="D470">
    <cfRule type="expression" dxfId="772" priority="769" stopIfTrue="1">
      <formula>OR(LEFT(D470,4)="KHTT",LEFT(D470,5)="10USD",RIGHT(D470,3)="TTC",LEFT(D470,3)="TNT")</formula>
    </cfRule>
    <cfRule type="expression" dxfId="771" priority="770" stopIfTrue="1">
      <formula>OR(LEFT(D470,3)="CTU",LEFT(D470,4)="HDON")</formula>
    </cfRule>
    <cfRule type="expression" dxfId="770" priority="771" stopIfTrue="1">
      <formula>OR(LEFT(D470,4)="HOLD",OR(A470="QTNP",A470="HOA THO",A470="YES VINA",A470="HUNG YEN",A470="TEX GIANG",A470="HUNG LONG"),LEFT(A470,5)="HANES",LEFT(A470,3)="ITG")</formula>
    </cfRule>
  </conditionalFormatting>
  <conditionalFormatting sqref="D470">
    <cfRule type="expression" dxfId="769" priority="766" stopIfTrue="1">
      <formula>OR(LEFT(D470,4)="KHTT",LEFT(D470,5)="10USD",RIGHT(D470,3)="TTC",LEFT(D470,3)="TNT")</formula>
    </cfRule>
    <cfRule type="expression" dxfId="768" priority="767" stopIfTrue="1">
      <formula>OR(LEFT(D470,3)="CTU",LEFT(D470,4)="HDON")</formula>
    </cfRule>
    <cfRule type="expression" dxfId="767" priority="768" stopIfTrue="1">
      <formula>OR(LEFT(D470,4)="HOLD",OR(A470="QTNP",A470="HOA THO",A470="YES VINA",A470="HUNG YEN",A470="TEX GIANG",A470="HUNG LONG"),LEFT(A470,5)="HANES",LEFT(A470,3)="ITG")</formula>
    </cfRule>
  </conditionalFormatting>
  <conditionalFormatting sqref="D470">
    <cfRule type="expression" dxfId="766" priority="763" stopIfTrue="1">
      <formula>OR(LEFT(D470,4)="KHTT",LEFT(D470,5)="10USD",RIGHT(D470,3)="TTC",LEFT(D470,3)="TNT")</formula>
    </cfRule>
    <cfRule type="expression" dxfId="765" priority="764" stopIfTrue="1">
      <formula>OR(LEFT(D470,3)="CTU",LEFT(D470,4)="HDON")</formula>
    </cfRule>
    <cfRule type="expression" dxfId="764" priority="765" stopIfTrue="1">
      <formula>OR(LEFT(D470,4)="HOLD",OR(A470="QTNP",A470="HOA THO",A470="YES VINA",A470="HUNG YEN",A470="TEX GIANG",A470="HUNG LONG"),LEFT(A470,5)="HANES",LEFT(A470,3)="ITG")</formula>
    </cfRule>
  </conditionalFormatting>
  <conditionalFormatting sqref="D470">
    <cfRule type="expression" dxfId="763" priority="760" stopIfTrue="1">
      <formula>OR(LEFT(D470,4)="KHTT",LEFT(D470,5)="10USD",RIGHT(D470,3)="TTC",LEFT(D470,3)="TNT")</formula>
    </cfRule>
    <cfRule type="expression" dxfId="762" priority="761" stopIfTrue="1">
      <formula>OR(LEFT(D470,3)="CTU",LEFT(D470,4)="HDON")</formula>
    </cfRule>
    <cfRule type="expression" dxfId="761" priority="762" stopIfTrue="1">
      <formula>OR(LEFT(D470,4)="HOLD",OR(A470="QTNP",A470="HOA THO",A470="YES VINA",A470="HUNG YEN",A470="TEX GIANG",A470="HUNG LONG"),LEFT(A470,5)="HANES",LEFT(A470,3)="ITG")</formula>
    </cfRule>
  </conditionalFormatting>
  <conditionalFormatting sqref="D469">
    <cfRule type="expression" dxfId="760" priority="757" stopIfTrue="1">
      <formula>OR(LEFT(D469,4)="KHTT",LEFT(D469,5)="10USD",RIGHT(D469,3)="TTC",LEFT(D469,3)="TNT")</formula>
    </cfRule>
    <cfRule type="expression" dxfId="759" priority="758" stopIfTrue="1">
      <formula>OR(LEFT(D469,3)="CTU",LEFT(D469,4)="HDON")</formula>
    </cfRule>
    <cfRule type="expression" dxfId="758" priority="759" stopIfTrue="1">
      <formula>OR(LEFT(D469,4)="HOLD",OR(A469="QTNP",A469="HOA THO",A469="YES VINA",A469="HUNG YEN",A469="TEX GIANG",A469="HUNG LONG"),LEFT(A469,5)="HANES",LEFT(A469,3)="ITG")</formula>
    </cfRule>
  </conditionalFormatting>
  <conditionalFormatting sqref="D469">
    <cfRule type="expression" dxfId="757" priority="754" stopIfTrue="1">
      <formula>OR(LEFT(D469,4)="KHTT",LEFT(D469,5)="10USD",RIGHT(D469,3)="TTC",LEFT(D469,3)="TNT")</formula>
    </cfRule>
    <cfRule type="expression" dxfId="756" priority="755" stopIfTrue="1">
      <formula>OR(LEFT(D469,3)="CTU",LEFT(D469,4)="HDON")</formula>
    </cfRule>
    <cfRule type="expression" dxfId="755" priority="756" stopIfTrue="1">
      <formula>OR(LEFT(D469,4)="HOLD",OR(A469="QTNP",A469="HOA THO",A469="YES VINA",A469="HUNG YEN",A469="TEX GIANG",A469="HUNG LONG"),LEFT(A469,5)="HANES",LEFT(A469,3)="ITG")</formula>
    </cfRule>
  </conditionalFormatting>
  <conditionalFormatting sqref="D470">
    <cfRule type="expression" dxfId="754" priority="751" stopIfTrue="1">
      <formula>OR(LEFT(D470,4)="KHTT",LEFT(D470,5)="10USD",RIGHT(D470,3)="TTC",LEFT(D470,3)="TNT")</formula>
    </cfRule>
    <cfRule type="expression" dxfId="753" priority="752" stopIfTrue="1">
      <formula>OR(LEFT(D470,3)="CTU",LEFT(D470,4)="HDON")</formula>
    </cfRule>
    <cfRule type="expression" dxfId="752" priority="753" stopIfTrue="1">
      <formula>OR(LEFT(D470,4)="HOLD",OR(A470="QTNP",A470="HOA THO",A470="YES VINA",A470="HUNG YEN",A470="TEX GIANG",A470="HUNG LONG"),LEFT(A470,5)="HANES",LEFT(A470,3)="ITG")</formula>
    </cfRule>
  </conditionalFormatting>
  <conditionalFormatting sqref="D470">
    <cfRule type="expression" dxfId="751" priority="748" stopIfTrue="1">
      <formula>OR(LEFT(D470,4)="KHTT",LEFT(D470,5)="10USD",RIGHT(D470,3)="TTC",LEFT(D470,3)="TNT")</formula>
    </cfRule>
    <cfRule type="expression" dxfId="750" priority="749" stopIfTrue="1">
      <formula>OR(LEFT(D470,3)="CTU",LEFT(D470,4)="HDON")</formula>
    </cfRule>
    <cfRule type="expression" dxfId="749" priority="750" stopIfTrue="1">
      <formula>OR(LEFT(D470,4)="HOLD",OR(A470="QTNP",A470="HOA THO",A470="YES VINA",A470="HUNG YEN",A470="TEX GIANG",A470="HUNG LONG"),LEFT(A470,5)="HANES",LEFT(A470,3)="ITG")</formula>
    </cfRule>
  </conditionalFormatting>
  <conditionalFormatting sqref="D470">
    <cfRule type="expression" dxfId="748" priority="745" stopIfTrue="1">
      <formula>OR(LEFT(D470,4)="KHTT",LEFT(D470,5)="10USD",RIGHT(D470,3)="TTC",LEFT(D470,3)="TNT")</formula>
    </cfRule>
    <cfRule type="expression" dxfId="747" priority="746" stopIfTrue="1">
      <formula>OR(LEFT(D470,3)="CTU",LEFT(D470,4)="HDON")</formula>
    </cfRule>
    <cfRule type="expression" dxfId="746" priority="747" stopIfTrue="1">
      <formula>OR(LEFT(D470,4)="HOLD",OR(A470="QTNP",A470="HOA THO",A470="YES VINA",A470="HUNG YEN",A470="TEX GIANG",A470="HUNG LONG"),LEFT(A470,5)="HANES",LEFT(A470,3)="ITG")</formula>
    </cfRule>
  </conditionalFormatting>
  <conditionalFormatting sqref="D470">
    <cfRule type="expression" dxfId="745" priority="742" stopIfTrue="1">
      <formula>OR(LEFT(D470,4)="KHTT",LEFT(D470,5)="10USD",RIGHT(D470,3)="TTC",LEFT(D470,3)="TNT")</formula>
    </cfRule>
    <cfRule type="expression" dxfId="744" priority="743" stopIfTrue="1">
      <formula>OR(LEFT(D470,3)="CTU",LEFT(D470,4)="HDON")</formula>
    </cfRule>
    <cfRule type="expression" dxfId="743" priority="744" stopIfTrue="1">
      <formula>OR(LEFT(D470,4)="HOLD",OR(A470="QTNP",A470="HOA THO",A470="YES VINA",A470="HUNG YEN",A470="TEX GIANG",A470="HUNG LONG"),LEFT(A470,5)="HANES",LEFT(A470,3)="ITG")</formula>
    </cfRule>
  </conditionalFormatting>
  <conditionalFormatting sqref="D469">
    <cfRule type="expression" dxfId="742" priority="739" stopIfTrue="1">
      <formula>OR(LEFT(D469,4)="KHTT",LEFT(D469,5)="10USD",RIGHT(D469,3)="TTC",LEFT(D469,3)="TNT")</formula>
    </cfRule>
    <cfRule type="expression" dxfId="741" priority="740" stopIfTrue="1">
      <formula>OR(LEFT(D469,3)="CTU",LEFT(D469,4)="HDON")</formula>
    </cfRule>
    <cfRule type="expression" dxfId="740" priority="741" stopIfTrue="1">
      <formula>OR(LEFT(D469,4)="HOLD",OR(A469="QTNP",A469="HOA THO",A469="YES VINA",A469="HUNG YEN",A469="TEX GIANG",A469="HUNG LONG"),LEFT(A469,5)="HANES",LEFT(A469,3)="ITG")</formula>
    </cfRule>
  </conditionalFormatting>
  <conditionalFormatting sqref="D469">
    <cfRule type="expression" dxfId="739" priority="736" stopIfTrue="1">
      <formula>OR(LEFT(D469,4)="KHTT",LEFT(D469,5)="10USD",RIGHT(D469,3)="TTC",LEFT(D469,3)="TNT")</formula>
    </cfRule>
    <cfRule type="expression" dxfId="738" priority="737" stopIfTrue="1">
      <formula>OR(LEFT(D469,3)="CTU",LEFT(D469,4)="HDON")</formula>
    </cfRule>
    <cfRule type="expression" dxfId="737" priority="738" stopIfTrue="1">
      <formula>OR(LEFT(D469,4)="HOLD",OR(A469="QTNP",A469="HOA THO",A469="YES VINA",A469="HUNG YEN",A469="TEX GIANG",A469="HUNG LONG"),LEFT(A469,5)="HANES",LEFT(A469,3)="ITG")</formula>
    </cfRule>
  </conditionalFormatting>
  <conditionalFormatting sqref="D470">
    <cfRule type="expression" dxfId="736" priority="733" stopIfTrue="1">
      <formula>OR(LEFT(D470,4)="KHTT",LEFT(D470,5)="10USD",RIGHT(D470,3)="TTC",LEFT(D470,3)="TNT")</formula>
    </cfRule>
    <cfRule type="expression" dxfId="735" priority="734" stopIfTrue="1">
      <formula>OR(LEFT(D470,3)="CTU",LEFT(D470,4)="HDON")</formula>
    </cfRule>
    <cfRule type="expression" dxfId="734" priority="735" stopIfTrue="1">
      <formula>OR(LEFT(D470,4)="HOLD",OR(A470="QTNP",A470="HOA THO",A470="YES VINA",A470="HUNG YEN",A470="TEX GIANG",A470="HUNG LONG"),LEFT(A470,5)="HANES",LEFT(A470,3)="ITG")</formula>
    </cfRule>
  </conditionalFormatting>
  <conditionalFormatting sqref="D470">
    <cfRule type="expression" dxfId="733" priority="730" stopIfTrue="1">
      <formula>OR(LEFT(D470,4)="KHTT",LEFT(D470,5)="10USD",RIGHT(D470,3)="TTC",LEFT(D470,3)="TNT")</formula>
    </cfRule>
    <cfRule type="expression" dxfId="732" priority="731" stopIfTrue="1">
      <formula>OR(LEFT(D470,3)="CTU",LEFT(D470,4)="HDON")</formula>
    </cfRule>
    <cfRule type="expression" dxfId="731" priority="732" stopIfTrue="1">
      <formula>OR(LEFT(D470,4)="HOLD",OR(A470="QTNP",A470="HOA THO",A470="YES VINA",A470="HUNG YEN",A470="TEX GIANG",A470="HUNG LONG"),LEFT(A470,5)="HANES",LEFT(A470,3)="ITG")</formula>
    </cfRule>
  </conditionalFormatting>
  <conditionalFormatting sqref="D470">
    <cfRule type="expression" dxfId="730" priority="727" stopIfTrue="1">
      <formula>OR(LEFT(D470,4)="KHTT",LEFT(D470,5)="10USD",RIGHT(D470,3)="TTC",LEFT(D470,3)="TNT")</formula>
    </cfRule>
    <cfRule type="expression" dxfId="729" priority="728" stopIfTrue="1">
      <formula>OR(LEFT(D470,3)="CTU",LEFT(D470,4)="HDON")</formula>
    </cfRule>
    <cfRule type="expression" dxfId="728" priority="729" stopIfTrue="1">
      <formula>OR(LEFT(D470,4)="HOLD",OR(A470="QTNP",A470="HOA THO",A470="YES VINA",A470="HUNG YEN",A470="TEX GIANG",A470="HUNG LONG"),LEFT(A470,5)="HANES",LEFT(A470,3)="ITG")</formula>
    </cfRule>
  </conditionalFormatting>
  <conditionalFormatting sqref="D470">
    <cfRule type="expression" dxfId="727" priority="724" stopIfTrue="1">
      <formula>OR(LEFT(D470,4)="KHTT",LEFT(D470,5)="10USD",RIGHT(D470,3)="TTC",LEFT(D470,3)="TNT")</formula>
    </cfRule>
    <cfRule type="expression" dxfId="726" priority="725" stopIfTrue="1">
      <formula>OR(LEFT(D470,3)="CTU",LEFT(D470,4)="HDON")</formula>
    </cfRule>
    <cfRule type="expression" dxfId="725" priority="726" stopIfTrue="1">
      <formula>OR(LEFT(D470,4)="HOLD",OR(A470="QTNP",A470="HOA THO",A470="YES VINA",A470="HUNG YEN",A470="TEX GIANG",A470="HUNG LONG"),LEFT(A470,5)="HANES",LEFT(A470,3)="ITG")</formula>
    </cfRule>
  </conditionalFormatting>
  <conditionalFormatting sqref="D469">
    <cfRule type="expression" dxfId="724" priority="721" stopIfTrue="1">
      <formula>OR(LEFT(D469,4)="KHTT",LEFT(D469,5)="10USD",RIGHT(D469,3)="TTC",LEFT(D469,3)="TNT")</formula>
    </cfRule>
    <cfRule type="expression" dxfId="723" priority="722" stopIfTrue="1">
      <formula>OR(LEFT(D469,3)="CTU",LEFT(D469,4)="HDON")</formula>
    </cfRule>
    <cfRule type="expression" dxfId="722" priority="723" stopIfTrue="1">
      <formula>OR(LEFT(D469,4)="HOLD",OR(A469="QTNP",A469="HOA THO",A469="YES VINA",A469="HUNG YEN",A469="TEX GIANG",A469="HUNG LONG"),LEFT(A469,5)="HANES",LEFT(A469,3)="ITG")</formula>
    </cfRule>
  </conditionalFormatting>
  <conditionalFormatting sqref="D469">
    <cfRule type="expression" dxfId="721" priority="718" stopIfTrue="1">
      <formula>OR(LEFT(D469,4)="KHTT",LEFT(D469,5)="10USD",RIGHT(D469,3)="TTC",LEFT(D469,3)="TNT")</formula>
    </cfRule>
    <cfRule type="expression" dxfId="720" priority="719" stopIfTrue="1">
      <formula>OR(LEFT(D469,3)="CTU",LEFT(D469,4)="HDON")</formula>
    </cfRule>
    <cfRule type="expression" dxfId="719" priority="720" stopIfTrue="1">
      <formula>OR(LEFT(D469,4)="HOLD",OR(A469="QTNP",A469="HOA THO",A469="YES VINA",A469="HUNG YEN",A469="TEX GIANG",A469="HUNG LONG"),LEFT(A469,5)="HANES",LEFT(A469,3)="ITG")</formula>
    </cfRule>
  </conditionalFormatting>
  <conditionalFormatting sqref="D470">
    <cfRule type="expression" dxfId="718" priority="715" stopIfTrue="1">
      <formula>OR(LEFT(D470,4)="KHTT",LEFT(D470,5)="10USD",RIGHT(D470,3)="TTC",LEFT(D470,3)="TNT")</formula>
    </cfRule>
    <cfRule type="expression" dxfId="717" priority="716" stopIfTrue="1">
      <formula>OR(LEFT(D470,3)="CTU",LEFT(D470,4)="HDON")</formula>
    </cfRule>
    <cfRule type="expression" dxfId="716" priority="717" stopIfTrue="1">
      <formula>OR(LEFT(D470,4)="HOLD",OR(A470="QTNP",A470="HOA THO",A470="YES VINA",A470="HUNG YEN",A470="TEX GIANG",A470="HUNG LONG"),LEFT(A470,5)="HANES",LEFT(A470,3)="ITG")</formula>
    </cfRule>
  </conditionalFormatting>
  <conditionalFormatting sqref="D470">
    <cfRule type="expression" dxfId="715" priority="712" stopIfTrue="1">
      <formula>OR(LEFT(D470,4)="KHTT",LEFT(D470,5)="10USD",RIGHT(D470,3)="TTC",LEFT(D470,3)="TNT")</formula>
    </cfRule>
    <cfRule type="expression" dxfId="714" priority="713" stopIfTrue="1">
      <formula>OR(LEFT(D470,3)="CTU",LEFT(D470,4)="HDON")</formula>
    </cfRule>
    <cfRule type="expression" dxfId="713" priority="714" stopIfTrue="1">
      <formula>OR(LEFT(D470,4)="HOLD",OR(A470="QTNP",A470="HOA THO",A470="YES VINA",A470="HUNG YEN",A470="TEX GIANG",A470="HUNG LONG"),LEFT(A470,5)="HANES",LEFT(A470,3)="ITG")</formula>
    </cfRule>
  </conditionalFormatting>
  <conditionalFormatting sqref="D470">
    <cfRule type="expression" dxfId="712" priority="709" stopIfTrue="1">
      <formula>OR(LEFT(D470,4)="KHTT",LEFT(D470,5)="10USD",RIGHT(D470,3)="TTC",LEFT(D470,3)="TNT")</formula>
    </cfRule>
    <cfRule type="expression" dxfId="711" priority="710" stopIfTrue="1">
      <formula>OR(LEFT(D470,3)="CTU",LEFT(D470,4)="HDON")</formula>
    </cfRule>
    <cfRule type="expression" dxfId="710" priority="711" stopIfTrue="1">
      <formula>OR(LEFT(D470,4)="HOLD",OR(A470="QTNP",A470="HOA THO",A470="YES VINA",A470="HUNG YEN",A470="TEX GIANG",A470="HUNG LONG"),LEFT(A470,5)="HANES",LEFT(A470,3)="ITG")</formula>
    </cfRule>
  </conditionalFormatting>
  <conditionalFormatting sqref="D470">
    <cfRule type="expression" dxfId="709" priority="706" stopIfTrue="1">
      <formula>OR(LEFT(D470,4)="KHTT",LEFT(D470,5)="10USD",RIGHT(D470,3)="TTC",LEFT(D470,3)="TNT")</formula>
    </cfRule>
    <cfRule type="expression" dxfId="708" priority="707" stopIfTrue="1">
      <formula>OR(LEFT(D470,3)="CTU",LEFT(D470,4)="HDON")</formula>
    </cfRule>
    <cfRule type="expression" dxfId="707" priority="708" stopIfTrue="1">
      <formula>OR(LEFT(D470,4)="HOLD",OR(A470="QTNP",A470="HOA THO",A470="YES VINA",A470="HUNG YEN",A470="TEX GIANG",A470="HUNG LONG"),LEFT(A470,5)="HANES",LEFT(A470,3)="ITG")</formula>
    </cfRule>
  </conditionalFormatting>
  <conditionalFormatting sqref="D469">
    <cfRule type="expression" dxfId="706" priority="703" stopIfTrue="1">
      <formula>OR(LEFT(D469,4)="KHTT",LEFT(D469,5)="10USD",RIGHT(D469,3)="TTC",LEFT(D469,3)="TNT")</formula>
    </cfRule>
    <cfRule type="expression" dxfId="705" priority="704" stopIfTrue="1">
      <formula>OR(LEFT(D469,3)="CTU",LEFT(D469,4)="HDON")</formula>
    </cfRule>
    <cfRule type="expression" dxfId="704" priority="705" stopIfTrue="1">
      <formula>OR(LEFT(D469,4)="HOLD",OR(A469="QTNP",A469="HOA THO",A469="YES VINA",A469="HUNG YEN",A469="TEX GIANG",A469="HUNG LONG"),LEFT(A469,5)="HANES",LEFT(A469,3)="ITG")</formula>
    </cfRule>
  </conditionalFormatting>
  <conditionalFormatting sqref="D469">
    <cfRule type="expression" dxfId="703" priority="700" stopIfTrue="1">
      <formula>OR(LEFT(D469,4)="KHTT",LEFT(D469,5)="10USD",RIGHT(D469,3)="TTC",LEFT(D469,3)="TNT")</formula>
    </cfRule>
    <cfRule type="expression" dxfId="702" priority="701" stopIfTrue="1">
      <formula>OR(LEFT(D469,3)="CTU",LEFT(D469,4)="HDON")</formula>
    </cfRule>
    <cfRule type="expression" dxfId="701" priority="702" stopIfTrue="1">
      <formula>OR(LEFT(D469,4)="HOLD",OR(A469="QTNP",A469="HOA THO",A469="YES VINA",A469="HUNG YEN",A469="TEX GIANG",A469="HUNG LONG"),LEFT(A469,5)="HANES",LEFT(A469,3)="ITG")</formula>
    </cfRule>
  </conditionalFormatting>
  <conditionalFormatting sqref="D470">
    <cfRule type="expression" dxfId="700" priority="697" stopIfTrue="1">
      <formula>OR(LEFT(D470,4)="KHTT",LEFT(D470,5)="10USD",RIGHT(D470,3)="TTC",LEFT(D470,3)="TNT")</formula>
    </cfRule>
    <cfRule type="expression" dxfId="699" priority="698" stopIfTrue="1">
      <formula>OR(LEFT(D470,3)="CTU",LEFT(D470,4)="HDON")</formula>
    </cfRule>
    <cfRule type="expression" dxfId="698" priority="699" stopIfTrue="1">
      <formula>OR(LEFT(D470,4)="HOLD",OR(A470="QTNP",A470="HOA THO",A470="YES VINA",A470="HUNG YEN",A470="TEX GIANG",A470="HUNG LONG"),LEFT(A470,5)="HANES",LEFT(A470,3)="ITG")</formula>
    </cfRule>
  </conditionalFormatting>
  <conditionalFormatting sqref="D470">
    <cfRule type="expression" dxfId="697" priority="694" stopIfTrue="1">
      <formula>OR(LEFT(D470,4)="KHTT",LEFT(D470,5)="10USD",RIGHT(D470,3)="TTC",LEFT(D470,3)="TNT")</formula>
    </cfRule>
    <cfRule type="expression" dxfId="696" priority="695" stopIfTrue="1">
      <formula>OR(LEFT(D470,3)="CTU",LEFT(D470,4)="HDON")</formula>
    </cfRule>
    <cfRule type="expression" dxfId="695" priority="696" stopIfTrue="1">
      <formula>OR(LEFT(D470,4)="HOLD",OR(A470="QTNP",A470="HOA THO",A470="YES VINA",A470="HUNG YEN",A470="TEX GIANG",A470="HUNG LONG"),LEFT(A470,5)="HANES",LEFT(A470,3)="ITG")</formula>
    </cfRule>
  </conditionalFormatting>
  <conditionalFormatting sqref="D470">
    <cfRule type="expression" dxfId="694" priority="691" stopIfTrue="1">
      <formula>OR(LEFT(D470,4)="KHTT",LEFT(D470,5)="10USD",RIGHT(D470,3)="TTC",LEFT(D470,3)="TNT")</formula>
    </cfRule>
    <cfRule type="expression" dxfId="693" priority="692" stopIfTrue="1">
      <formula>OR(LEFT(D470,3)="CTU",LEFT(D470,4)="HDON")</formula>
    </cfRule>
    <cfRule type="expression" dxfId="692" priority="693" stopIfTrue="1">
      <formula>OR(LEFT(D470,4)="HOLD",OR(A470="QTNP",A470="HOA THO",A470="YES VINA",A470="HUNG YEN",A470="TEX GIANG",A470="HUNG LONG"),LEFT(A470,5)="HANES",LEFT(A470,3)="ITG")</formula>
    </cfRule>
  </conditionalFormatting>
  <conditionalFormatting sqref="D470">
    <cfRule type="expression" dxfId="691" priority="688" stopIfTrue="1">
      <formula>OR(LEFT(D470,4)="KHTT",LEFT(D470,5)="10USD",RIGHT(D470,3)="TTC",LEFT(D470,3)="TNT")</formula>
    </cfRule>
    <cfRule type="expression" dxfId="690" priority="689" stopIfTrue="1">
      <formula>OR(LEFT(D470,3)="CTU",LEFT(D470,4)="HDON")</formula>
    </cfRule>
    <cfRule type="expression" dxfId="689" priority="690" stopIfTrue="1">
      <formula>OR(LEFT(D470,4)="HOLD",OR(A470="QTNP",A470="HOA THO",A470="YES VINA",A470="HUNG YEN",A470="TEX GIANG",A470="HUNG LONG"),LEFT(A470,5)="HANES",LEFT(A470,3)="ITG")</formula>
    </cfRule>
  </conditionalFormatting>
  <conditionalFormatting sqref="D469">
    <cfRule type="expression" dxfId="688" priority="685" stopIfTrue="1">
      <formula>OR(LEFT(D469,4)="KHTT",LEFT(D469,5)="10USD",RIGHT(D469,3)="TTC",LEFT(D469,3)="TNT")</formula>
    </cfRule>
    <cfRule type="expression" dxfId="687" priority="686" stopIfTrue="1">
      <formula>OR(LEFT(D469,3)="CTU",LEFT(D469,4)="HDON")</formula>
    </cfRule>
    <cfRule type="expression" dxfId="686" priority="687" stopIfTrue="1">
      <formula>OR(LEFT(D469,4)="HOLD",OR(A469="QTNP",A469="HOA THO",A469="YES VINA",A469="HUNG YEN",A469="TEX GIANG",A469="HUNG LONG"),LEFT(A469,5)="HANES",LEFT(A469,3)="ITG")</formula>
    </cfRule>
  </conditionalFormatting>
  <conditionalFormatting sqref="D469">
    <cfRule type="expression" dxfId="685" priority="682" stopIfTrue="1">
      <formula>OR(LEFT(D469,4)="KHTT",LEFT(D469,5)="10USD",RIGHT(D469,3)="TTC",LEFT(D469,3)="TNT")</formula>
    </cfRule>
    <cfRule type="expression" dxfId="684" priority="683" stopIfTrue="1">
      <formula>OR(LEFT(D469,3)="CTU",LEFT(D469,4)="HDON")</formula>
    </cfRule>
    <cfRule type="expression" dxfId="683" priority="684" stopIfTrue="1">
      <formula>OR(LEFT(D469,4)="HOLD",OR(A469="QTNP",A469="HOA THO",A469="YES VINA",A469="HUNG YEN",A469="TEX GIANG",A469="HUNG LONG"),LEFT(A469,5)="HANES",LEFT(A469,3)="ITG")</formula>
    </cfRule>
  </conditionalFormatting>
  <conditionalFormatting sqref="D470">
    <cfRule type="expression" dxfId="682" priority="679" stopIfTrue="1">
      <formula>OR(LEFT(D470,4)="KHTT",LEFT(D470,5)="10USD",RIGHT(D470,3)="TTC",LEFT(D470,3)="TNT")</formula>
    </cfRule>
    <cfRule type="expression" dxfId="681" priority="680" stopIfTrue="1">
      <formula>OR(LEFT(D470,3)="CTU",LEFT(D470,4)="HDON")</formula>
    </cfRule>
    <cfRule type="expression" dxfId="680" priority="681" stopIfTrue="1">
      <formula>OR(LEFT(D470,4)="HOLD",OR(A470="QTNP",A470="HOA THO",A470="YES VINA",A470="HUNG YEN",A470="TEX GIANG",A470="HUNG LONG"),LEFT(A470,5)="HANES",LEFT(A470,3)="ITG")</formula>
    </cfRule>
  </conditionalFormatting>
  <conditionalFormatting sqref="D470">
    <cfRule type="expression" dxfId="679" priority="676" stopIfTrue="1">
      <formula>OR(LEFT(D470,4)="KHTT",LEFT(D470,5)="10USD",RIGHT(D470,3)="TTC",LEFT(D470,3)="TNT")</formula>
    </cfRule>
    <cfRule type="expression" dxfId="678" priority="677" stopIfTrue="1">
      <formula>OR(LEFT(D470,3)="CTU",LEFT(D470,4)="HDON")</formula>
    </cfRule>
    <cfRule type="expression" dxfId="677" priority="678" stopIfTrue="1">
      <formula>OR(LEFT(D470,4)="HOLD",OR(A470="QTNP",A470="HOA THO",A470="YES VINA",A470="HUNG YEN",A470="TEX GIANG",A470="HUNG LONG"),LEFT(A470,5)="HANES",LEFT(A470,3)="ITG")</formula>
    </cfRule>
  </conditionalFormatting>
  <conditionalFormatting sqref="D470">
    <cfRule type="expression" dxfId="676" priority="673" stopIfTrue="1">
      <formula>OR(LEFT(D470,4)="KHTT",LEFT(D470,5)="10USD",RIGHT(D470,3)="TTC",LEFT(D470,3)="TNT")</formula>
    </cfRule>
    <cfRule type="expression" dxfId="675" priority="674" stopIfTrue="1">
      <formula>OR(LEFT(D470,3)="CTU",LEFT(D470,4)="HDON")</formula>
    </cfRule>
    <cfRule type="expression" dxfId="674" priority="675" stopIfTrue="1">
      <formula>OR(LEFT(D470,4)="HOLD",OR(A470="QTNP",A470="HOA THO",A470="YES VINA",A470="HUNG YEN",A470="TEX GIANG",A470="HUNG LONG"),LEFT(A470,5)="HANES",LEFT(A470,3)="ITG")</formula>
    </cfRule>
  </conditionalFormatting>
  <conditionalFormatting sqref="D470">
    <cfRule type="expression" dxfId="673" priority="670" stopIfTrue="1">
      <formula>OR(LEFT(D470,4)="KHTT",LEFT(D470,5)="10USD",RIGHT(D470,3)="TTC",LEFT(D470,3)="TNT")</formula>
    </cfRule>
    <cfRule type="expression" dxfId="672" priority="671" stopIfTrue="1">
      <formula>OR(LEFT(D470,3)="CTU",LEFT(D470,4)="HDON")</formula>
    </cfRule>
    <cfRule type="expression" dxfId="671" priority="672" stopIfTrue="1">
      <formula>OR(LEFT(D470,4)="HOLD",OR(A470="QTNP",A470="HOA THO",A470="YES VINA",A470="HUNG YEN",A470="TEX GIANG",A470="HUNG LONG"),LEFT(A470,5)="HANES",LEFT(A470,3)="ITG")</formula>
    </cfRule>
  </conditionalFormatting>
  <conditionalFormatting sqref="D469">
    <cfRule type="expression" dxfId="670" priority="667" stopIfTrue="1">
      <formula>OR(LEFT(D469,4)="KHTT",LEFT(D469,5)="10USD",RIGHT(D469,3)="TTC",LEFT(D469,3)="TNT")</formula>
    </cfRule>
    <cfRule type="expression" dxfId="669" priority="668" stopIfTrue="1">
      <formula>OR(LEFT(D469,3)="CTU",LEFT(D469,4)="HDON")</formula>
    </cfRule>
    <cfRule type="expression" dxfId="668" priority="669" stopIfTrue="1">
      <formula>OR(LEFT(D469,4)="HOLD",OR(A469="QTNP",A469="HOA THO",A469="YES VINA",A469="HUNG YEN",A469="TEX GIANG",A469="HUNG LONG"),LEFT(A469,5)="HANES",LEFT(A469,3)="ITG")</formula>
    </cfRule>
  </conditionalFormatting>
  <conditionalFormatting sqref="D469">
    <cfRule type="expression" dxfId="667" priority="664" stopIfTrue="1">
      <formula>OR(LEFT(D469,4)="KHTT",LEFT(D469,5)="10USD",RIGHT(D469,3)="TTC",LEFT(D469,3)="TNT")</formula>
    </cfRule>
    <cfRule type="expression" dxfId="666" priority="665" stopIfTrue="1">
      <formula>OR(LEFT(D469,3)="CTU",LEFT(D469,4)="HDON")</formula>
    </cfRule>
    <cfRule type="expression" dxfId="665" priority="666" stopIfTrue="1">
      <formula>OR(LEFT(D469,4)="HOLD",OR(A469="QTNP",A469="HOA THO",A469="YES VINA",A469="HUNG YEN",A469="TEX GIANG",A469="HUNG LONG"),LEFT(A469,5)="HANES",LEFT(A469,3)="ITG")</formula>
    </cfRule>
  </conditionalFormatting>
  <conditionalFormatting sqref="D470">
    <cfRule type="expression" dxfId="664" priority="661" stopIfTrue="1">
      <formula>OR(LEFT(D470,4)="KHTT",LEFT(D470,5)="10USD",RIGHT(D470,3)="TTC",LEFT(D470,3)="TNT")</formula>
    </cfRule>
    <cfRule type="expression" dxfId="663" priority="662" stopIfTrue="1">
      <formula>OR(LEFT(D470,3)="CTU",LEFT(D470,4)="HDON")</formula>
    </cfRule>
    <cfRule type="expression" dxfId="662" priority="663" stopIfTrue="1">
      <formula>OR(LEFT(D470,4)="HOLD",OR(A470="QTNP",A470="HOA THO",A470="YES VINA",A470="HUNG YEN",A470="TEX GIANG",A470="HUNG LONG"),LEFT(A470,5)="HANES",LEFT(A470,3)="ITG")</formula>
    </cfRule>
  </conditionalFormatting>
  <conditionalFormatting sqref="D470">
    <cfRule type="expression" dxfId="661" priority="658" stopIfTrue="1">
      <formula>OR(LEFT(D470,4)="KHTT",LEFT(D470,5)="10USD",RIGHT(D470,3)="TTC",LEFT(D470,3)="TNT")</formula>
    </cfRule>
    <cfRule type="expression" dxfId="660" priority="659" stopIfTrue="1">
      <formula>OR(LEFT(D470,3)="CTU",LEFT(D470,4)="HDON")</formula>
    </cfRule>
    <cfRule type="expression" dxfId="659" priority="660" stopIfTrue="1">
      <formula>OR(LEFT(D470,4)="HOLD",OR(A470="QTNP",A470="HOA THO",A470="YES VINA",A470="HUNG YEN",A470="TEX GIANG",A470="HUNG LONG"),LEFT(A470,5)="HANES",LEFT(A470,3)="ITG")</formula>
    </cfRule>
  </conditionalFormatting>
  <conditionalFormatting sqref="D470">
    <cfRule type="expression" dxfId="658" priority="655" stopIfTrue="1">
      <formula>OR(LEFT(D470,4)="KHTT",LEFT(D470,5)="10USD",RIGHT(D470,3)="TTC",LEFT(D470,3)="TNT")</formula>
    </cfRule>
    <cfRule type="expression" dxfId="657" priority="656" stopIfTrue="1">
      <formula>OR(LEFT(D470,3)="CTU",LEFT(D470,4)="HDON")</formula>
    </cfRule>
    <cfRule type="expression" dxfId="656" priority="657" stopIfTrue="1">
      <formula>OR(LEFT(D470,4)="HOLD",OR(A470="QTNP",A470="HOA THO",A470="YES VINA",A470="HUNG YEN",A470="TEX GIANG",A470="HUNG LONG"),LEFT(A470,5)="HANES",LEFT(A470,3)="ITG")</formula>
    </cfRule>
  </conditionalFormatting>
  <conditionalFormatting sqref="D470">
    <cfRule type="expression" dxfId="655" priority="652" stopIfTrue="1">
      <formula>OR(LEFT(D470,4)="KHTT",LEFT(D470,5)="10USD",RIGHT(D470,3)="TTC",LEFT(D470,3)="TNT")</formula>
    </cfRule>
    <cfRule type="expression" dxfId="654" priority="653" stopIfTrue="1">
      <formula>OR(LEFT(D470,3)="CTU",LEFT(D470,4)="HDON")</formula>
    </cfRule>
    <cfRule type="expression" dxfId="653" priority="654" stopIfTrue="1">
      <formula>OR(LEFT(D470,4)="HOLD",OR(A470="QTNP",A470="HOA THO",A470="YES VINA",A470="HUNG YEN",A470="TEX GIANG",A470="HUNG LONG"),LEFT(A470,5)="HANES",LEFT(A470,3)="ITG")</formula>
    </cfRule>
  </conditionalFormatting>
  <conditionalFormatting sqref="D469">
    <cfRule type="expression" dxfId="652" priority="649" stopIfTrue="1">
      <formula>OR(LEFT(D469,4)="KHTT",LEFT(D469,5)="10USD",RIGHT(D469,3)="TTC",LEFT(D469,3)="TNT")</formula>
    </cfRule>
    <cfRule type="expression" dxfId="651" priority="650" stopIfTrue="1">
      <formula>OR(LEFT(D469,3)="CTU",LEFT(D469,4)="HDON")</formula>
    </cfRule>
    <cfRule type="expression" dxfId="650" priority="651" stopIfTrue="1">
      <formula>OR(LEFT(D469,4)="HOLD",OR(A469="QTNP",A469="HOA THO",A469="YES VINA",A469="HUNG YEN",A469="TEX GIANG",A469="HUNG LONG"),LEFT(A469,5)="HANES",LEFT(A469,3)="ITG")</formula>
    </cfRule>
  </conditionalFormatting>
  <conditionalFormatting sqref="D469">
    <cfRule type="expression" dxfId="649" priority="646" stopIfTrue="1">
      <formula>OR(LEFT(D469,4)="KHTT",LEFT(D469,5)="10USD",RIGHT(D469,3)="TTC",LEFT(D469,3)="TNT")</formula>
    </cfRule>
    <cfRule type="expression" dxfId="648" priority="647" stopIfTrue="1">
      <formula>OR(LEFT(D469,3)="CTU",LEFT(D469,4)="HDON")</formula>
    </cfRule>
    <cfRule type="expression" dxfId="647" priority="648" stopIfTrue="1">
      <formula>OR(LEFT(D469,4)="HOLD",OR(A469="QTNP",A469="HOA THO",A469="YES VINA",A469="HUNG YEN",A469="TEX GIANG",A469="HUNG LONG"),LEFT(A469,5)="HANES",LEFT(A469,3)="ITG")</formula>
    </cfRule>
  </conditionalFormatting>
  <conditionalFormatting sqref="D470">
    <cfRule type="expression" dxfId="646" priority="643" stopIfTrue="1">
      <formula>OR(LEFT(D470,4)="KHTT",LEFT(D470,5)="10USD",RIGHT(D470,3)="TTC",LEFT(D470,3)="TNT")</formula>
    </cfRule>
    <cfRule type="expression" dxfId="645" priority="644" stopIfTrue="1">
      <formula>OR(LEFT(D470,3)="CTU",LEFT(D470,4)="HDON")</formula>
    </cfRule>
    <cfRule type="expression" dxfId="644" priority="645" stopIfTrue="1">
      <formula>OR(LEFT(D470,4)="HOLD",OR(A470="QTNP",A470="HOA THO",A470="YES VINA",A470="HUNG YEN",A470="TEX GIANG",A470="HUNG LONG"),LEFT(A470,5)="HANES",LEFT(A470,3)="ITG")</formula>
    </cfRule>
  </conditionalFormatting>
  <conditionalFormatting sqref="D470">
    <cfRule type="expression" dxfId="643" priority="640" stopIfTrue="1">
      <formula>OR(LEFT(D470,4)="KHTT",LEFT(D470,5)="10USD",RIGHT(D470,3)="TTC",LEFT(D470,3)="TNT")</formula>
    </cfRule>
    <cfRule type="expression" dxfId="642" priority="641" stopIfTrue="1">
      <formula>OR(LEFT(D470,3)="CTU",LEFT(D470,4)="HDON")</formula>
    </cfRule>
    <cfRule type="expression" dxfId="641" priority="642" stopIfTrue="1">
      <formula>OR(LEFT(D470,4)="HOLD",OR(A470="QTNP",A470="HOA THO",A470="YES VINA",A470="HUNG YEN",A470="TEX GIANG",A470="HUNG LONG"),LEFT(A470,5)="HANES",LEFT(A470,3)="ITG")</formula>
    </cfRule>
  </conditionalFormatting>
  <conditionalFormatting sqref="D470">
    <cfRule type="expression" dxfId="640" priority="637" stopIfTrue="1">
      <formula>OR(LEFT(D470,4)="KHTT",LEFT(D470,5)="10USD",RIGHT(D470,3)="TTC",LEFT(D470,3)="TNT")</formula>
    </cfRule>
    <cfRule type="expression" dxfId="639" priority="638" stopIfTrue="1">
      <formula>OR(LEFT(D470,3)="CTU",LEFT(D470,4)="HDON")</formula>
    </cfRule>
    <cfRule type="expression" dxfId="638" priority="639" stopIfTrue="1">
      <formula>OR(LEFT(D470,4)="HOLD",OR(A470="QTNP",A470="HOA THO",A470="YES VINA",A470="HUNG YEN",A470="TEX GIANG",A470="HUNG LONG"),LEFT(A470,5)="HANES",LEFT(A470,3)="ITG")</formula>
    </cfRule>
  </conditionalFormatting>
  <conditionalFormatting sqref="D470">
    <cfRule type="expression" dxfId="637" priority="634" stopIfTrue="1">
      <formula>OR(LEFT(D470,4)="KHTT",LEFT(D470,5)="10USD",RIGHT(D470,3)="TTC",LEFT(D470,3)="TNT")</formula>
    </cfRule>
    <cfRule type="expression" dxfId="636" priority="635" stopIfTrue="1">
      <formula>OR(LEFT(D470,3)="CTU",LEFT(D470,4)="HDON")</formula>
    </cfRule>
    <cfRule type="expression" dxfId="635" priority="636" stopIfTrue="1">
      <formula>OR(LEFT(D470,4)="HOLD",OR(A470="QTNP",A470="HOA THO",A470="YES VINA",A470="HUNG YEN",A470="TEX GIANG",A470="HUNG LONG"),LEFT(A470,5)="HANES",LEFT(A470,3)="ITG")</formula>
    </cfRule>
  </conditionalFormatting>
  <conditionalFormatting sqref="D469">
    <cfRule type="expression" dxfId="634" priority="631" stopIfTrue="1">
      <formula>OR(LEFT(D469,4)="KHTT",LEFT(D469,5)="10USD",RIGHT(D469,3)="TTC",LEFT(D469,3)="TNT")</formula>
    </cfRule>
    <cfRule type="expression" dxfId="633" priority="632" stopIfTrue="1">
      <formula>OR(LEFT(D469,3)="CTU",LEFT(D469,4)="HDON")</formula>
    </cfRule>
    <cfRule type="expression" dxfId="632" priority="633" stopIfTrue="1">
      <formula>OR(LEFT(D469,4)="HOLD",OR(A469="QTNP",A469="HOA THO",A469="YES VINA",A469="HUNG YEN",A469="TEX GIANG",A469="HUNG LONG"),LEFT(A469,5)="HANES",LEFT(A469,3)="ITG")</formula>
    </cfRule>
  </conditionalFormatting>
  <conditionalFormatting sqref="D469">
    <cfRule type="expression" dxfId="631" priority="628" stopIfTrue="1">
      <formula>OR(LEFT(D469,4)="KHTT",LEFT(D469,5)="10USD",RIGHT(D469,3)="TTC",LEFT(D469,3)="TNT")</formula>
    </cfRule>
    <cfRule type="expression" dxfId="630" priority="629" stopIfTrue="1">
      <formula>OR(LEFT(D469,3)="CTU",LEFT(D469,4)="HDON")</formula>
    </cfRule>
    <cfRule type="expression" dxfId="629" priority="630" stopIfTrue="1">
      <formula>OR(LEFT(D469,4)="HOLD",OR(A469="QTNP",A469="HOA THO",A469="YES VINA",A469="HUNG YEN",A469="TEX GIANG",A469="HUNG LONG"),LEFT(A469,5)="HANES",LEFT(A469,3)="ITG")</formula>
    </cfRule>
  </conditionalFormatting>
  <conditionalFormatting sqref="D469">
    <cfRule type="expression" dxfId="628" priority="625" stopIfTrue="1">
      <formula>OR(LEFT(D469,4)="KHTT",LEFT(D469,5)="10USD",RIGHT(D469,3)="TTC",LEFT(D469,3)="TNT")</formula>
    </cfRule>
    <cfRule type="expression" dxfId="627" priority="626" stopIfTrue="1">
      <formula>OR(LEFT(D469,3)="CTU",LEFT(D469,4)="HDON")</formula>
    </cfRule>
    <cfRule type="expression" dxfId="626" priority="627" stopIfTrue="1">
      <formula>OR(LEFT(D469,4)="HOLD",OR(A469="QTNP",A469="HOA THO",A469="YES VINA",A469="HUNG YEN",A469="TEX GIANG",A469="HUNG LONG"),LEFT(A469,5)="HANES",LEFT(A469,3)="ITG")</formula>
    </cfRule>
  </conditionalFormatting>
  <conditionalFormatting sqref="D469">
    <cfRule type="expression" dxfId="625" priority="622" stopIfTrue="1">
      <formula>OR(LEFT(D469,4)="KHTT",LEFT(D469,5)="10USD",RIGHT(D469,3)="TTC",LEFT(D469,3)="TNT")</formula>
    </cfRule>
    <cfRule type="expression" dxfId="624" priority="623" stopIfTrue="1">
      <formula>OR(LEFT(D469,3)="CTU",LEFT(D469,4)="HDON")</formula>
    </cfRule>
    <cfRule type="expression" dxfId="623" priority="624" stopIfTrue="1">
      <formula>OR(LEFT(D469,4)="HOLD",OR(A469="QTNP",A469="HOA THO",A469="YES VINA",A469="HUNG YEN",A469="TEX GIANG",A469="HUNG LONG"),LEFT(A469,5)="HANES",LEFT(A469,3)="ITG")</formula>
    </cfRule>
  </conditionalFormatting>
  <conditionalFormatting sqref="D469">
    <cfRule type="expression" dxfId="622" priority="619" stopIfTrue="1">
      <formula>OR(LEFT(D469,4)="KHTT",LEFT(D469,5)="10USD",RIGHT(D469,3)="TTC",LEFT(D469,3)="TNT")</formula>
    </cfRule>
    <cfRule type="expression" dxfId="621" priority="620" stopIfTrue="1">
      <formula>OR(LEFT(D469,3)="CTU",LEFT(D469,4)="HDON")</formula>
    </cfRule>
    <cfRule type="expression" dxfId="620" priority="621" stopIfTrue="1">
      <formula>OR(LEFT(D469,4)="HOLD",OR(A469="QTNP",A469="HOA THO",A469="YES VINA",A469="HUNG YEN",A469="TEX GIANG",A469="HUNG LONG"),LEFT(A469,5)="HANES",LEFT(A469,3)="ITG")</formula>
    </cfRule>
  </conditionalFormatting>
  <conditionalFormatting sqref="D469">
    <cfRule type="expression" dxfId="619" priority="616" stopIfTrue="1">
      <formula>OR(LEFT(D469,4)="KHTT",LEFT(D469,5)="10USD",RIGHT(D469,3)="TTC",LEFT(D469,3)="TNT")</formula>
    </cfRule>
    <cfRule type="expression" dxfId="618" priority="617" stopIfTrue="1">
      <formula>OR(LEFT(D469,3)="CTU",LEFT(D469,4)="HDON")</formula>
    </cfRule>
    <cfRule type="expression" dxfId="617" priority="618" stopIfTrue="1">
      <formula>OR(LEFT(D469,4)="HOLD",OR(A469="QTNP",A469="HOA THO",A469="YES VINA",A469="HUNG YEN",A469="TEX GIANG",A469="HUNG LONG"),LEFT(A469,5)="HANES",LEFT(A469,3)="ITG")</formula>
    </cfRule>
  </conditionalFormatting>
  <conditionalFormatting sqref="D469">
    <cfRule type="expression" dxfId="616" priority="613" stopIfTrue="1">
      <formula>OR(LEFT(D469,4)="KHTT",LEFT(D469,5)="10USD",RIGHT(D469,3)="TTC",LEFT(D469,3)="TNT")</formula>
    </cfRule>
    <cfRule type="expression" dxfId="615" priority="614" stopIfTrue="1">
      <formula>OR(LEFT(D469,3)="CTU",LEFT(D469,4)="HDON")</formula>
    </cfRule>
    <cfRule type="expression" dxfId="614" priority="615" stopIfTrue="1">
      <formula>OR(LEFT(D469,4)="HOLD",OR(A469="QTNP",A469="HOA THO",A469="YES VINA",A469="HUNG YEN",A469="TEX GIANG",A469="HUNG LONG"),LEFT(A469,5)="HANES",LEFT(A469,3)="ITG")</formula>
    </cfRule>
  </conditionalFormatting>
  <conditionalFormatting sqref="D469">
    <cfRule type="expression" dxfId="613" priority="610" stopIfTrue="1">
      <formula>OR(LEFT(D469,4)="KHTT",LEFT(D469,5)="10USD",RIGHT(D469,3)="TTC",LEFT(D469,3)="TNT")</formula>
    </cfRule>
    <cfRule type="expression" dxfId="612" priority="611" stopIfTrue="1">
      <formula>OR(LEFT(D469,3)="CTU",LEFT(D469,4)="HDON")</formula>
    </cfRule>
    <cfRule type="expression" dxfId="611" priority="612" stopIfTrue="1">
      <formula>OR(LEFT(D469,4)="HOLD",OR(A469="QTNP",A469="HOA THO",A469="YES VINA",A469="HUNG YEN",A469="TEX GIANG",A469="HUNG LONG"),LEFT(A469,5)="HANES",LEFT(A469,3)="ITG")</formula>
    </cfRule>
  </conditionalFormatting>
  <conditionalFormatting sqref="D469">
    <cfRule type="expression" dxfId="610" priority="607" stopIfTrue="1">
      <formula>OR(LEFT(D469,4)="KHTT",LEFT(D469,5)="10USD",RIGHT(D469,3)="TTC",LEFT(D469,3)="TNT")</formula>
    </cfRule>
    <cfRule type="expression" dxfId="609" priority="608" stopIfTrue="1">
      <formula>OR(LEFT(D469,3)="CTU",LEFT(D469,4)="HDON")</formula>
    </cfRule>
    <cfRule type="expression" dxfId="608" priority="609" stopIfTrue="1">
      <formula>OR(LEFT(D469,4)="HOLD",OR(A469="QTNP",A469="HOA THO",A469="YES VINA",A469="HUNG YEN",A469="TEX GIANG",A469="HUNG LONG"),LEFT(A469,5)="HANES",LEFT(A469,3)="ITG")</formula>
    </cfRule>
  </conditionalFormatting>
  <conditionalFormatting sqref="D469">
    <cfRule type="expression" dxfId="607" priority="604" stopIfTrue="1">
      <formula>OR(LEFT(D469,4)="KHTT",LEFT(D469,5)="10USD",RIGHT(D469,3)="TTC",LEFT(D469,3)="TNT")</formula>
    </cfRule>
    <cfRule type="expression" dxfId="606" priority="605" stopIfTrue="1">
      <formula>OR(LEFT(D469,3)="CTU",LEFT(D469,4)="HDON")</formula>
    </cfRule>
    <cfRule type="expression" dxfId="605" priority="606" stopIfTrue="1">
      <formula>OR(LEFT(D469,4)="HOLD",OR(A469="QTNP",A469="HOA THO",A469="YES VINA",A469="HUNG YEN",A469="TEX GIANG",A469="HUNG LONG"),LEFT(A469,5)="HANES",LEFT(A469,3)="ITG")</formula>
    </cfRule>
  </conditionalFormatting>
  <conditionalFormatting sqref="D469">
    <cfRule type="expression" dxfId="604" priority="601" stopIfTrue="1">
      <formula>OR(LEFT(D469,4)="KHTT",LEFT(D469,5)="10USD",RIGHT(D469,3)="TTC",LEFT(D469,3)="TNT")</formula>
    </cfRule>
    <cfRule type="expression" dxfId="603" priority="602" stopIfTrue="1">
      <formula>OR(LEFT(D469,3)="CTU",LEFT(D469,4)="HDON")</formula>
    </cfRule>
    <cfRule type="expression" dxfId="602" priority="603" stopIfTrue="1">
      <formula>OR(LEFT(D469,4)="HOLD",OR(A469="QTNP",A469="HOA THO",A469="YES VINA",A469="HUNG YEN",A469="TEX GIANG",A469="HUNG LONG"),LEFT(A469,5)="HANES",LEFT(A469,3)="ITG")</formula>
    </cfRule>
  </conditionalFormatting>
  <conditionalFormatting sqref="D469">
    <cfRule type="expression" dxfId="601" priority="598" stopIfTrue="1">
      <formula>OR(LEFT(D469,4)="KHTT",LEFT(D469,5)="10USD",RIGHT(D469,3)="TTC",LEFT(D469,3)="TNT")</formula>
    </cfRule>
    <cfRule type="expression" dxfId="600" priority="599" stopIfTrue="1">
      <formula>OR(LEFT(D469,3)="CTU",LEFT(D469,4)="HDON")</formula>
    </cfRule>
    <cfRule type="expression" dxfId="599" priority="600" stopIfTrue="1">
      <formula>OR(LEFT(D469,4)="HOLD",OR(A469="QTNP",A469="HOA THO",A469="YES VINA",A469="HUNG YEN",A469="TEX GIANG",A469="HUNG LONG"),LEFT(A469,5)="HANES",LEFT(A469,3)="ITG")</formula>
    </cfRule>
  </conditionalFormatting>
  <conditionalFormatting sqref="D469">
    <cfRule type="expression" dxfId="598" priority="595" stopIfTrue="1">
      <formula>OR(LEFT(D469,4)="KHTT",LEFT(D469,5)="10USD",RIGHT(D469,3)="TTC",LEFT(D469,3)="TNT")</formula>
    </cfRule>
    <cfRule type="expression" dxfId="597" priority="596" stopIfTrue="1">
      <formula>OR(LEFT(D469,3)="CTU",LEFT(D469,4)="HDON")</formula>
    </cfRule>
    <cfRule type="expression" dxfId="596" priority="597" stopIfTrue="1">
      <formula>OR(LEFT(D469,4)="HOLD",OR(A469="QTNP",A469="HOA THO",A469="YES VINA",A469="HUNG YEN",A469="TEX GIANG",A469="HUNG LONG"),LEFT(A469,5)="HANES",LEFT(A469,3)="ITG")</formula>
    </cfRule>
  </conditionalFormatting>
  <conditionalFormatting sqref="D469">
    <cfRule type="expression" dxfId="595" priority="592" stopIfTrue="1">
      <formula>OR(LEFT(D469,4)="KHTT",LEFT(D469,5)="10USD",RIGHT(D469,3)="TTC",LEFT(D469,3)="TNT")</formula>
    </cfRule>
    <cfRule type="expression" dxfId="594" priority="593" stopIfTrue="1">
      <formula>OR(LEFT(D469,3)="CTU",LEFT(D469,4)="HDON")</formula>
    </cfRule>
    <cfRule type="expression" dxfId="593" priority="594" stopIfTrue="1">
      <formula>OR(LEFT(D469,4)="HOLD",OR(A469="QTNP",A469="HOA THO",A469="YES VINA",A469="HUNG YEN",A469="TEX GIANG",A469="HUNG LONG"),LEFT(A469,5)="HANES",LEFT(A469,3)="ITG")</formula>
    </cfRule>
  </conditionalFormatting>
  <conditionalFormatting sqref="D469">
    <cfRule type="expression" dxfId="592" priority="589" stopIfTrue="1">
      <formula>OR(LEFT(D469,4)="KHTT",LEFT(D469,5)="10USD",RIGHT(D469,3)="TTC",LEFT(D469,3)="TNT")</formula>
    </cfRule>
    <cfRule type="expression" dxfId="591" priority="590" stopIfTrue="1">
      <formula>OR(LEFT(D469,3)="CTU",LEFT(D469,4)="HDON")</formula>
    </cfRule>
    <cfRule type="expression" dxfId="590" priority="591" stopIfTrue="1">
      <formula>OR(LEFT(D469,4)="HOLD",OR(A469="QTNP",A469="HOA THO",A469="YES VINA",A469="HUNG YEN",A469="TEX GIANG",A469="HUNG LONG"),LEFT(A469,5)="HANES",LEFT(A469,3)="ITG")</formula>
    </cfRule>
  </conditionalFormatting>
  <conditionalFormatting sqref="D469">
    <cfRule type="expression" dxfId="589" priority="586" stopIfTrue="1">
      <formula>OR(LEFT(D469,4)="KHTT",LEFT(D469,5)="10USD",RIGHT(D469,3)="TTC",LEFT(D469,3)="TNT")</formula>
    </cfRule>
    <cfRule type="expression" dxfId="588" priority="587" stopIfTrue="1">
      <formula>OR(LEFT(D469,3)="CTU",LEFT(D469,4)="HDON")</formula>
    </cfRule>
    <cfRule type="expression" dxfId="587" priority="588" stopIfTrue="1">
      <formula>OR(LEFT(D469,4)="HOLD",OR(A469="QTNP",A469="HOA THO",A469="YES VINA",A469="HUNG YEN",A469="TEX GIANG",A469="HUNG LONG"),LEFT(A469,5)="HANES",LEFT(A469,3)="ITG")</formula>
    </cfRule>
  </conditionalFormatting>
  <conditionalFormatting sqref="D469">
    <cfRule type="expression" dxfId="586" priority="583" stopIfTrue="1">
      <formula>OR(LEFT(D469,4)="KHTT",LEFT(D469,5)="10USD",RIGHT(D469,3)="TTC",LEFT(D469,3)="TNT")</formula>
    </cfRule>
    <cfRule type="expression" dxfId="585" priority="584" stopIfTrue="1">
      <formula>OR(LEFT(D469,3)="CTU",LEFT(D469,4)="HDON")</formula>
    </cfRule>
    <cfRule type="expression" dxfId="584" priority="585" stopIfTrue="1">
      <formula>OR(LEFT(D469,4)="HOLD",OR(A469="QTNP",A469="HOA THO",A469="YES VINA",A469="HUNG YEN",A469="TEX GIANG",A469="HUNG LONG"),LEFT(A469,5)="HANES",LEFT(A469,3)="ITG")</formula>
    </cfRule>
  </conditionalFormatting>
  <conditionalFormatting sqref="D469">
    <cfRule type="expression" dxfId="583" priority="580" stopIfTrue="1">
      <formula>OR(LEFT(D469,4)="KHTT",LEFT(D469,5)="10USD",RIGHT(D469,3)="TTC",LEFT(D469,3)="TNT")</formula>
    </cfRule>
    <cfRule type="expression" dxfId="582" priority="581" stopIfTrue="1">
      <formula>OR(LEFT(D469,3)="CTU",LEFT(D469,4)="HDON")</formula>
    </cfRule>
    <cfRule type="expression" dxfId="581" priority="582" stopIfTrue="1">
      <formula>OR(LEFT(D469,4)="HOLD",OR(A469="QTNP",A469="HOA THO",A469="YES VINA",A469="HUNG YEN",A469="TEX GIANG",A469="HUNG LONG"),LEFT(A469,5)="HANES",LEFT(A469,3)="ITG")</formula>
    </cfRule>
  </conditionalFormatting>
  <conditionalFormatting sqref="D469">
    <cfRule type="expression" dxfId="580" priority="577" stopIfTrue="1">
      <formula>OR(LEFT(D469,4)="KHTT",LEFT(D469,5)="10USD",RIGHT(D469,3)="TTC",LEFT(D469,3)="TNT")</formula>
    </cfRule>
    <cfRule type="expression" dxfId="579" priority="578" stopIfTrue="1">
      <formula>OR(LEFT(D469,3)="CTU",LEFT(D469,4)="HDON")</formula>
    </cfRule>
    <cfRule type="expression" dxfId="578" priority="579" stopIfTrue="1">
      <formula>OR(LEFT(D469,4)="HOLD",OR(A469="QTNP",A469="HOA THO",A469="YES VINA",A469="HUNG YEN",A469="TEX GIANG",A469="HUNG LONG"),LEFT(A469,5)="HANES",LEFT(A469,3)="ITG")</formula>
    </cfRule>
  </conditionalFormatting>
  <conditionalFormatting sqref="D469">
    <cfRule type="expression" dxfId="577" priority="574" stopIfTrue="1">
      <formula>OR(LEFT(D469,4)="KHTT",LEFT(D469,5)="10USD",RIGHT(D469,3)="TTC",LEFT(D469,3)="TNT")</formula>
    </cfRule>
    <cfRule type="expression" dxfId="576" priority="575" stopIfTrue="1">
      <formula>OR(LEFT(D469,3)="CTU",LEFT(D469,4)="HDON")</formula>
    </cfRule>
    <cfRule type="expression" dxfId="575" priority="576" stopIfTrue="1">
      <formula>OR(LEFT(D469,4)="HOLD",OR(A469="QTNP",A469="HOA THO",A469="YES VINA",A469="HUNG YEN",A469="TEX GIANG",A469="HUNG LONG"),LEFT(A469,5)="HANES",LEFT(A469,3)="ITG")</formula>
    </cfRule>
  </conditionalFormatting>
  <conditionalFormatting sqref="D469">
    <cfRule type="expression" dxfId="574" priority="571" stopIfTrue="1">
      <formula>OR(LEFT(D469,4)="KHTT",LEFT(D469,5)="10USD",RIGHT(D469,3)="TTC",LEFT(D469,3)="TNT")</formula>
    </cfRule>
    <cfRule type="expression" dxfId="573" priority="572" stopIfTrue="1">
      <formula>OR(LEFT(D469,3)="CTU",LEFT(D469,4)="HDON")</formula>
    </cfRule>
    <cfRule type="expression" dxfId="572" priority="573" stopIfTrue="1">
      <formula>OR(LEFT(D469,4)="HOLD",OR(A469="QTNP",A469="HOA THO",A469="YES VINA",A469="HUNG YEN",A469="TEX GIANG",A469="HUNG LONG"),LEFT(A469,5)="HANES",LEFT(A469,3)="ITG")</formula>
    </cfRule>
  </conditionalFormatting>
  <conditionalFormatting sqref="D469">
    <cfRule type="expression" dxfId="571" priority="568" stopIfTrue="1">
      <formula>OR(LEFT(D469,4)="KHTT",LEFT(D469,5)="10USD",RIGHT(D469,3)="TTC",LEFT(D469,3)="TNT")</formula>
    </cfRule>
    <cfRule type="expression" dxfId="570" priority="569" stopIfTrue="1">
      <formula>OR(LEFT(D469,3)="CTU",LEFT(D469,4)="HDON")</formula>
    </cfRule>
    <cfRule type="expression" dxfId="569" priority="570" stopIfTrue="1">
      <formula>OR(LEFT(D469,4)="HOLD",OR(A469="QTNP",A469="HOA THO",A469="YES VINA",A469="HUNG YEN",A469="TEX GIANG",A469="HUNG LONG"),LEFT(A469,5)="HANES",LEFT(A469,3)="ITG")</formula>
    </cfRule>
  </conditionalFormatting>
  <conditionalFormatting sqref="D469">
    <cfRule type="expression" dxfId="568" priority="565" stopIfTrue="1">
      <formula>OR(LEFT(D469,4)="KHTT",LEFT(D469,5)="10USD",RIGHT(D469,3)="TTC",LEFT(D469,3)="TNT")</formula>
    </cfRule>
    <cfRule type="expression" dxfId="567" priority="566" stopIfTrue="1">
      <formula>OR(LEFT(D469,3)="CTU",LEFT(D469,4)="HDON")</formula>
    </cfRule>
    <cfRule type="expression" dxfId="566" priority="567" stopIfTrue="1">
      <formula>OR(LEFT(D469,4)="HOLD",OR(A469="QTNP",A469="HOA THO",A469="YES VINA",A469="HUNG YEN",A469="TEX GIANG",A469="HUNG LONG"),LEFT(A469,5)="HANES",LEFT(A469,3)="ITG")</formula>
    </cfRule>
  </conditionalFormatting>
  <conditionalFormatting sqref="D469">
    <cfRule type="expression" dxfId="565" priority="562" stopIfTrue="1">
      <formula>OR(LEFT(D469,4)="KHTT",LEFT(D469,5)="10USD",RIGHT(D469,3)="TTC",LEFT(D469,3)="TNT")</formula>
    </cfRule>
    <cfRule type="expression" dxfId="564" priority="563" stopIfTrue="1">
      <formula>OR(LEFT(D469,3)="CTU",LEFT(D469,4)="HDON")</formula>
    </cfRule>
    <cfRule type="expression" dxfId="563" priority="564" stopIfTrue="1">
      <formula>OR(LEFT(D469,4)="HOLD",OR(A469="QTNP",A469="HOA THO",A469="YES VINA",A469="HUNG YEN",A469="TEX GIANG",A469="HUNG LONG"),LEFT(A469,5)="HANES",LEFT(A469,3)="ITG")</formula>
    </cfRule>
  </conditionalFormatting>
  <conditionalFormatting sqref="D469">
    <cfRule type="expression" dxfId="562" priority="559" stopIfTrue="1">
      <formula>OR(LEFT(D469,4)="KHTT",LEFT(D469,5)="10USD",RIGHT(D469,3)="TTC",LEFT(D469,3)="TNT")</formula>
    </cfRule>
    <cfRule type="expression" dxfId="561" priority="560" stopIfTrue="1">
      <formula>OR(LEFT(D469,3)="CTU",LEFT(D469,4)="HDON")</formula>
    </cfRule>
    <cfRule type="expression" dxfId="560" priority="561" stopIfTrue="1">
      <formula>OR(LEFT(D469,4)="HOLD",OR(A469="QTNP",A469="HOA THO",A469="YES VINA",A469="HUNG YEN",A469="TEX GIANG",A469="HUNG LONG"),LEFT(A469,5)="HANES",LEFT(A469,3)="ITG")</formula>
    </cfRule>
  </conditionalFormatting>
  <conditionalFormatting sqref="D469">
    <cfRule type="expression" dxfId="559" priority="556" stopIfTrue="1">
      <formula>OR(LEFT(D469,4)="KHTT",LEFT(D469,5)="10USD",RIGHT(D469,3)="TTC",LEFT(D469,3)="TNT")</formula>
    </cfRule>
    <cfRule type="expression" dxfId="558" priority="557" stopIfTrue="1">
      <formula>OR(LEFT(D469,3)="CTU",LEFT(D469,4)="HDON")</formula>
    </cfRule>
    <cfRule type="expression" dxfId="557" priority="558" stopIfTrue="1">
      <formula>OR(LEFT(D469,4)="HOLD",OR(A469="QTNP",A469="HOA THO",A469="YES VINA",A469="HUNG YEN",A469="TEX GIANG",A469="HUNG LONG"),LEFT(A469,5)="HANES",LEFT(A469,3)="ITG")</formula>
    </cfRule>
  </conditionalFormatting>
  <conditionalFormatting sqref="D469">
    <cfRule type="expression" dxfId="556" priority="553" stopIfTrue="1">
      <formula>OR(LEFT(D469,4)="KHTT",LEFT(D469,5)="10USD",RIGHT(D469,3)="TTC",LEFT(D469,3)="TNT")</formula>
    </cfRule>
    <cfRule type="expression" dxfId="555" priority="554" stopIfTrue="1">
      <formula>OR(LEFT(D469,3)="CTU",LEFT(D469,4)="HDON")</formula>
    </cfRule>
    <cfRule type="expression" dxfId="554" priority="555" stopIfTrue="1">
      <formula>OR(LEFT(D469,4)="HOLD",OR(A469="QTNP",A469="HOA THO",A469="YES VINA",A469="HUNG YEN",A469="TEX GIANG",A469="HUNG LONG"),LEFT(A469,5)="HANES",LEFT(A469,3)="ITG")</formula>
    </cfRule>
  </conditionalFormatting>
  <conditionalFormatting sqref="D469">
    <cfRule type="expression" dxfId="553" priority="550" stopIfTrue="1">
      <formula>OR(LEFT(D469,4)="KHTT",LEFT(D469,5)="10USD",RIGHT(D469,3)="TTC",LEFT(D469,3)="TNT")</formula>
    </cfRule>
    <cfRule type="expression" dxfId="552" priority="551" stopIfTrue="1">
      <formula>OR(LEFT(D469,3)="CTU",LEFT(D469,4)="HDON")</formula>
    </cfRule>
    <cfRule type="expression" dxfId="551" priority="552" stopIfTrue="1">
      <formula>OR(LEFT(D469,4)="HOLD",OR(A469="QTNP",A469="HOA THO",A469="YES VINA",A469="HUNG YEN",A469="TEX GIANG",A469="HUNG LONG"),LEFT(A469,5)="HANES",LEFT(A469,3)="ITG")</formula>
    </cfRule>
  </conditionalFormatting>
  <conditionalFormatting sqref="D469">
    <cfRule type="expression" dxfId="550" priority="547" stopIfTrue="1">
      <formula>OR(LEFT(D469,4)="KHTT",LEFT(D469,5)="10USD",RIGHT(D469,3)="TTC",LEFT(D469,3)="TNT")</formula>
    </cfRule>
    <cfRule type="expression" dxfId="549" priority="548" stopIfTrue="1">
      <formula>OR(LEFT(D469,3)="CTU",LEFT(D469,4)="HDON")</formula>
    </cfRule>
    <cfRule type="expression" dxfId="548" priority="549" stopIfTrue="1">
      <formula>OR(LEFT(D469,4)="HOLD",OR(A469="QTNP",A469="HOA THO",A469="YES VINA",A469="HUNG YEN",A469="TEX GIANG",A469="HUNG LONG"),LEFT(A469,5)="HANES",LEFT(A469,3)="ITG")</formula>
    </cfRule>
  </conditionalFormatting>
  <conditionalFormatting sqref="D469">
    <cfRule type="expression" dxfId="547" priority="544" stopIfTrue="1">
      <formula>OR(LEFT(D469,4)="KHTT",LEFT(D469,5)="10USD",RIGHT(D469,3)="TTC",LEFT(D469,3)="TNT")</formula>
    </cfRule>
    <cfRule type="expression" dxfId="546" priority="545" stopIfTrue="1">
      <formula>OR(LEFT(D469,3)="CTU",LEFT(D469,4)="HDON")</formula>
    </cfRule>
    <cfRule type="expression" dxfId="545" priority="546" stopIfTrue="1">
      <formula>OR(LEFT(D469,4)="HOLD",OR(A469="QTNP",A469="HOA THO",A469="YES VINA",A469="HUNG YEN",A469="TEX GIANG",A469="HUNG LONG"),LEFT(A469,5)="HANES",LEFT(A469,3)="ITG")</formula>
    </cfRule>
  </conditionalFormatting>
  <conditionalFormatting sqref="D469">
    <cfRule type="expression" dxfId="544" priority="541" stopIfTrue="1">
      <formula>OR(LEFT(D469,4)="KHTT",LEFT(D469,5)="10USD",RIGHT(D469,3)="TTC",LEFT(D469,3)="TNT")</formula>
    </cfRule>
    <cfRule type="expression" dxfId="543" priority="542" stopIfTrue="1">
      <formula>OR(LEFT(D469,3)="CTU",LEFT(D469,4)="HDON")</formula>
    </cfRule>
    <cfRule type="expression" dxfId="542" priority="543" stopIfTrue="1">
      <formula>OR(LEFT(D469,4)="HOLD",OR(A469="QTNP",A469="HOA THO",A469="YES VINA",A469="HUNG YEN",A469="TEX GIANG",A469="HUNG LONG"),LEFT(A469,5)="HANES",LEFT(A469,3)="ITG")</formula>
    </cfRule>
  </conditionalFormatting>
  <conditionalFormatting sqref="D469">
    <cfRule type="expression" dxfId="541" priority="538" stopIfTrue="1">
      <formula>OR(LEFT(D469,4)="KHTT",LEFT(D469,5)="10USD",RIGHT(D469,3)="TTC",LEFT(D469,3)="TNT")</formula>
    </cfRule>
    <cfRule type="expression" dxfId="540" priority="539" stopIfTrue="1">
      <formula>OR(LEFT(D469,3)="CTU",LEFT(D469,4)="HDON")</formula>
    </cfRule>
    <cfRule type="expression" dxfId="539" priority="540" stopIfTrue="1">
      <formula>OR(LEFT(D469,4)="HOLD",OR(A469="QTNP",A469="HOA THO",A469="YES VINA",A469="HUNG YEN",A469="TEX GIANG",A469="HUNG LONG"),LEFT(A469,5)="HANES",LEFT(A469,3)="ITG")</formula>
    </cfRule>
  </conditionalFormatting>
  <conditionalFormatting sqref="D469">
    <cfRule type="expression" dxfId="538" priority="535" stopIfTrue="1">
      <formula>OR(LEFT(D469,4)="KHTT",LEFT(D469,5)="10USD",RIGHT(D469,3)="TTC",LEFT(D469,3)="TNT")</formula>
    </cfRule>
    <cfRule type="expression" dxfId="537" priority="536" stopIfTrue="1">
      <formula>OR(LEFT(D469,3)="CTU",LEFT(D469,4)="HDON")</formula>
    </cfRule>
    <cfRule type="expression" dxfId="536" priority="537" stopIfTrue="1">
      <formula>OR(LEFT(D469,4)="HOLD",OR(A469="QTNP",A469="HOA THO",A469="YES VINA",A469="HUNG YEN",A469="TEX GIANG",A469="HUNG LONG"),LEFT(A469,5)="HANES",LEFT(A469,3)="ITG")</formula>
    </cfRule>
  </conditionalFormatting>
  <conditionalFormatting sqref="D469">
    <cfRule type="expression" dxfId="535" priority="532" stopIfTrue="1">
      <formula>OR(LEFT(D469,4)="KHTT",LEFT(D469,5)="10USD",RIGHT(D469,3)="TTC",LEFT(D469,3)="TNT")</formula>
    </cfRule>
    <cfRule type="expression" dxfId="534" priority="533" stopIfTrue="1">
      <formula>OR(LEFT(D469,3)="CTU",LEFT(D469,4)="HDON")</formula>
    </cfRule>
    <cfRule type="expression" dxfId="533" priority="534" stopIfTrue="1">
      <formula>OR(LEFT(D469,4)="HOLD",OR(A469="QTNP",A469="HOA THO",A469="YES VINA",A469="HUNG YEN",A469="TEX GIANG",A469="HUNG LONG"),LEFT(A469,5)="HANES",LEFT(A469,3)="ITG")</formula>
    </cfRule>
  </conditionalFormatting>
  <conditionalFormatting sqref="D469">
    <cfRule type="expression" dxfId="532" priority="529" stopIfTrue="1">
      <formula>OR(LEFT(D469,4)="KHTT",LEFT(D469,5)="10USD",RIGHT(D469,3)="TTC",LEFT(D469,3)="TNT")</formula>
    </cfRule>
    <cfRule type="expression" dxfId="531" priority="530" stopIfTrue="1">
      <formula>OR(LEFT(D469,3)="CTU",LEFT(D469,4)="HDON")</formula>
    </cfRule>
    <cfRule type="expression" dxfId="530" priority="531" stopIfTrue="1">
      <formula>OR(LEFT(D469,4)="HOLD",OR(A469="QTNP",A469="HOA THO",A469="YES VINA",A469="HUNG YEN",A469="TEX GIANG",A469="HUNG LONG"),LEFT(A469,5)="HANES",LEFT(A469,3)="ITG")</formula>
    </cfRule>
  </conditionalFormatting>
  <conditionalFormatting sqref="D469">
    <cfRule type="expression" dxfId="529" priority="526" stopIfTrue="1">
      <formula>OR(LEFT(D469,4)="KHTT",LEFT(D469,5)="10USD",RIGHT(D469,3)="TTC",LEFT(D469,3)="TNT")</formula>
    </cfRule>
    <cfRule type="expression" dxfId="528" priority="527" stopIfTrue="1">
      <formula>OR(LEFT(D469,3)="CTU",LEFT(D469,4)="HDON")</formula>
    </cfRule>
    <cfRule type="expression" dxfId="527" priority="528" stopIfTrue="1">
      <formula>OR(LEFT(D469,4)="HOLD",OR(A469="QTNP",A469="HOA THO",A469="YES VINA",A469="HUNG YEN",A469="TEX GIANG",A469="HUNG LONG"),LEFT(A469,5)="HANES",LEFT(A469,3)="ITG")</formula>
    </cfRule>
  </conditionalFormatting>
  <conditionalFormatting sqref="D469">
    <cfRule type="expression" dxfId="526" priority="523" stopIfTrue="1">
      <formula>OR(LEFT(D469,4)="KHTT",LEFT(D469,5)="10USD",RIGHT(D469,3)="TTC",LEFT(D469,3)="TNT")</formula>
    </cfRule>
    <cfRule type="expression" dxfId="525" priority="524" stopIfTrue="1">
      <formula>OR(LEFT(D469,3)="CTU",LEFT(D469,4)="HDON")</formula>
    </cfRule>
    <cfRule type="expression" dxfId="524" priority="525" stopIfTrue="1">
      <formula>OR(LEFT(D469,4)="HOLD",OR(A469="QTNP",A469="HOA THO",A469="YES VINA",A469="HUNG YEN",A469="TEX GIANG",A469="HUNG LONG"),LEFT(A469,5)="HANES",LEFT(A469,3)="ITG")</formula>
    </cfRule>
  </conditionalFormatting>
  <conditionalFormatting sqref="D469">
    <cfRule type="expression" dxfId="523" priority="520" stopIfTrue="1">
      <formula>OR(LEFT(D469,4)="KHTT",LEFT(D469,5)="10USD",RIGHT(D469,3)="TTC",LEFT(D469,3)="TNT")</formula>
    </cfRule>
    <cfRule type="expression" dxfId="522" priority="521" stopIfTrue="1">
      <formula>OR(LEFT(D469,3)="CTU",LEFT(D469,4)="HDON")</formula>
    </cfRule>
    <cfRule type="expression" dxfId="521" priority="522" stopIfTrue="1">
      <formula>OR(LEFT(D469,4)="HOLD",OR(A469="QTNP",A469="HOA THO",A469="YES VINA",A469="HUNG YEN",A469="TEX GIANG",A469="HUNG LONG"),LEFT(A469,5)="HANES",LEFT(A469,3)="ITG")</formula>
    </cfRule>
  </conditionalFormatting>
  <conditionalFormatting sqref="D469">
    <cfRule type="expression" dxfId="520" priority="517" stopIfTrue="1">
      <formula>OR(LEFT(D469,4)="KHTT",LEFT(D469,5)="10USD",RIGHT(D469,3)="TTC",LEFT(D469,3)="TNT")</formula>
    </cfRule>
    <cfRule type="expression" dxfId="519" priority="518" stopIfTrue="1">
      <formula>OR(LEFT(D469,3)="CTU",LEFT(D469,4)="HDON")</formula>
    </cfRule>
    <cfRule type="expression" dxfId="518" priority="519" stopIfTrue="1">
      <formula>OR(LEFT(D469,4)="HOLD",OR(A469="QTNP",A469="HOA THO",A469="YES VINA",A469="HUNG YEN",A469="TEX GIANG",A469="HUNG LONG"),LEFT(A469,5)="HANES",LEFT(A469,3)="ITG")</formula>
    </cfRule>
  </conditionalFormatting>
  <conditionalFormatting sqref="D469">
    <cfRule type="expression" dxfId="517" priority="514" stopIfTrue="1">
      <formula>OR(LEFT(D469,4)="KHTT",LEFT(D469,5)="10USD",RIGHT(D469,3)="TTC",LEFT(D469,3)="TNT")</formula>
    </cfRule>
    <cfRule type="expression" dxfId="516" priority="515" stopIfTrue="1">
      <formula>OR(LEFT(D469,3)="CTU",LEFT(D469,4)="HDON")</formula>
    </cfRule>
    <cfRule type="expression" dxfId="515" priority="516" stopIfTrue="1">
      <formula>OR(LEFT(D469,4)="HOLD",OR(A469="QTNP",A469="HOA THO",A469="YES VINA",A469="HUNG YEN",A469="TEX GIANG",A469="HUNG LONG"),LEFT(A469,5)="HANES",LEFT(A469,3)="ITG")</formula>
    </cfRule>
  </conditionalFormatting>
  <conditionalFormatting sqref="D469">
    <cfRule type="expression" dxfId="514" priority="511" stopIfTrue="1">
      <formula>OR(LEFT(D469,4)="KHTT",LEFT(D469,5)="10USD",RIGHT(D469,3)="TTC",LEFT(D469,3)="TNT")</formula>
    </cfRule>
    <cfRule type="expression" dxfId="513" priority="512" stopIfTrue="1">
      <formula>OR(LEFT(D469,3)="CTU",LEFT(D469,4)="HDON")</formula>
    </cfRule>
    <cfRule type="expression" dxfId="512" priority="513" stopIfTrue="1">
      <formula>OR(LEFT(D469,4)="HOLD",OR(A469="QTNP",A469="HOA THO",A469="YES VINA",A469="HUNG YEN",A469="TEX GIANG",A469="HUNG LONG"),LEFT(A469,5)="HANES",LEFT(A469,3)="ITG")</formula>
    </cfRule>
  </conditionalFormatting>
  <conditionalFormatting sqref="D469">
    <cfRule type="expression" dxfId="511" priority="508" stopIfTrue="1">
      <formula>OR(LEFT(D469,4)="KHTT",LEFT(D469,5)="10USD",RIGHT(D469,3)="TTC",LEFT(D469,3)="TNT")</formula>
    </cfRule>
    <cfRule type="expression" dxfId="510" priority="509" stopIfTrue="1">
      <formula>OR(LEFT(D469,3)="CTU",LEFT(D469,4)="HDON")</formula>
    </cfRule>
    <cfRule type="expression" dxfId="509" priority="510" stopIfTrue="1">
      <formula>OR(LEFT(D469,4)="HOLD",OR(A469="QTNP",A469="HOA THO",A469="YES VINA",A469="HUNG YEN",A469="TEX GIANG",A469="HUNG LONG"),LEFT(A469,5)="HANES",LEFT(A469,3)="ITG")</formula>
    </cfRule>
  </conditionalFormatting>
  <conditionalFormatting sqref="D469">
    <cfRule type="expression" dxfId="508" priority="505" stopIfTrue="1">
      <formula>OR(LEFT(D469,4)="KHTT",LEFT(D469,5)="10USD",RIGHT(D469,3)="TTC",LEFT(D469,3)="TNT")</formula>
    </cfRule>
    <cfRule type="expression" dxfId="507" priority="506" stopIfTrue="1">
      <formula>OR(LEFT(D469,3)="CTU",LEFT(D469,4)="HDON")</formula>
    </cfRule>
    <cfRule type="expression" dxfId="506" priority="507" stopIfTrue="1">
      <formula>OR(LEFT(D469,4)="HOLD",OR(A469="QTNP",A469="HOA THO",A469="YES VINA",A469="HUNG YEN",A469="TEX GIANG",A469="HUNG LONG"),LEFT(A469,5)="HANES",LEFT(A469,3)="ITG")</formula>
    </cfRule>
  </conditionalFormatting>
  <conditionalFormatting sqref="D469">
    <cfRule type="expression" dxfId="505" priority="502" stopIfTrue="1">
      <formula>OR(LEFT(D469,4)="KHTT",LEFT(D469,5)="10USD",RIGHT(D469,3)="TTC",LEFT(D469,3)="TNT")</formula>
    </cfRule>
    <cfRule type="expression" dxfId="504" priority="503" stopIfTrue="1">
      <formula>OR(LEFT(D469,3)="CTU",LEFT(D469,4)="HDON")</formula>
    </cfRule>
    <cfRule type="expression" dxfId="503" priority="504" stopIfTrue="1">
      <formula>OR(LEFT(D469,4)="HOLD",OR(A469="QTNP",A469="HOA THO",A469="YES VINA",A469="HUNG YEN",A469="TEX GIANG",A469="HUNG LONG"),LEFT(A469,5)="HANES",LEFT(A469,3)="ITG")</formula>
    </cfRule>
  </conditionalFormatting>
  <conditionalFormatting sqref="D469">
    <cfRule type="expression" dxfId="502" priority="499" stopIfTrue="1">
      <formula>OR(LEFT(D469,4)="KHTT",LEFT(D469,5)="10USD",RIGHT(D469,3)="TTC",LEFT(D469,3)="TNT")</formula>
    </cfRule>
    <cfRule type="expression" dxfId="501" priority="500" stopIfTrue="1">
      <formula>OR(LEFT(D469,3)="CTU",LEFT(D469,4)="HDON")</formula>
    </cfRule>
    <cfRule type="expression" dxfId="500" priority="501" stopIfTrue="1">
      <formula>OR(LEFT(D469,4)="HOLD",OR(A469="QTNP",A469="HOA THO",A469="YES VINA",A469="HUNG YEN",A469="TEX GIANG",A469="HUNG LONG"),LEFT(A469,5)="HANES",LEFT(A469,3)="ITG")</formula>
    </cfRule>
  </conditionalFormatting>
  <conditionalFormatting sqref="D469">
    <cfRule type="expression" dxfId="499" priority="496" stopIfTrue="1">
      <formula>OR(LEFT(D469,4)="KHTT",LEFT(D469,5)="10USD",RIGHT(D469,3)="TTC",LEFT(D469,3)="TNT")</formula>
    </cfRule>
    <cfRule type="expression" dxfId="498" priority="497" stopIfTrue="1">
      <formula>OR(LEFT(D469,3)="CTU",LEFT(D469,4)="HDON")</formula>
    </cfRule>
    <cfRule type="expression" dxfId="497" priority="498" stopIfTrue="1">
      <formula>OR(LEFT(D469,4)="HOLD",OR(A469="QTNP",A469="HOA THO",A469="YES VINA",A469="HUNG YEN",A469="TEX GIANG",A469="HUNG LONG"),LEFT(A469,5)="HANES",LEFT(A469,3)="ITG")</formula>
    </cfRule>
  </conditionalFormatting>
  <conditionalFormatting sqref="D469">
    <cfRule type="expression" dxfId="496" priority="493" stopIfTrue="1">
      <formula>OR(LEFT(D469,4)="KHTT",LEFT(D469,5)="10USD",RIGHT(D469,3)="TTC",LEFT(D469,3)="TNT")</formula>
    </cfRule>
    <cfRule type="expression" dxfId="495" priority="494" stopIfTrue="1">
      <formula>OR(LEFT(D469,3)="CTU",LEFT(D469,4)="HDON")</formula>
    </cfRule>
    <cfRule type="expression" dxfId="494" priority="495" stopIfTrue="1">
      <formula>OR(LEFT(D469,4)="HOLD",OR(A469="QTNP",A469="HOA THO",A469="YES VINA",A469="HUNG YEN",A469="TEX GIANG",A469="HUNG LONG"),LEFT(A469,5)="HANES",LEFT(A469,3)="ITG")</formula>
    </cfRule>
  </conditionalFormatting>
  <conditionalFormatting sqref="D469">
    <cfRule type="expression" dxfId="493" priority="490" stopIfTrue="1">
      <formula>OR(LEFT(D469,4)="KHTT",LEFT(D469,5)="10USD",RIGHT(D469,3)="TTC",LEFT(D469,3)="TNT")</formula>
    </cfRule>
    <cfRule type="expression" dxfId="492" priority="491" stopIfTrue="1">
      <formula>OR(LEFT(D469,3)="CTU",LEFT(D469,4)="HDON")</formula>
    </cfRule>
    <cfRule type="expression" dxfId="491" priority="492" stopIfTrue="1">
      <formula>OR(LEFT(D469,4)="HOLD",OR(A469="QTNP",A469="HOA THO",A469="YES VINA",A469="HUNG YEN",A469="TEX GIANG",A469="HUNG LONG"),LEFT(A469,5)="HANES",LEFT(A469,3)="ITG")</formula>
    </cfRule>
  </conditionalFormatting>
  <conditionalFormatting sqref="D469">
    <cfRule type="expression" dxfId="490" priority="487" stopIfTrue="1">
      <formula>OR(LEFT(D469,4)="KHTT",LEFT(D469,5)="10USD",RIGHT(D469,3)="TTC",LEFT(D469,3)="TNT")</formula>
    </cfRule>
    <cfRule type="expression" dxfId="489" priority="488" stopIfTrue="1">
      <formula>OR(LEFT(D469,3)="CTU",LEFT(D469,4)="HDON")</formula>
    </cfRule>
    <cfRule type="expression" dxfId="488" priority="489" stopIfTrue="1">
      <formula>OR(LEFT(D469,4)="HOLD",OR(A469="QTNP",A469="HOA THO",A469="YES VINA",A469="HUNG YEN",A469="TEX GIANG",A469="HUNG LONG"),LEFT(A469,5)="HANES",LEFT(A469,3)="ITG")</formula>
    </cfRule>
  </conditionalFormatting>
  <conditionalFormatting sqref="D469">
    <cfRule type="expression" dxfId="487" priority="484" stopIfTrue="1">
      <formula>OR(LEFT(D469,4)="KHTT",LEFT(D469,5)="10USD",RIGHT(D469,3)="TTC",LEFT(D469,3)="TNT")</formula>
    </cfRule>
    <cfRule type="expression" dxfId="486" priority="485" stopIfTrue="1">
      <formula>OR(LEFT(D469,3)="CTU",LEFT(D469,4)="HDON")</formula>
    </cfRule>
    <cfRule type="expression" dxfId="485" priority="486" stopIfTrue="1">
      <formula>OR(LEFT(D469,4)="HOLD",OR(A469="QTNP",A469="HOA THO",A469="YES VINA",A469="HUNG YEN",A469="TEX GIANG",A469="HUNG LONG"),LEFT(A469,5)="HANES",LEFT(A469,3)="ITG")</formula>
    </cfRule>
  </conditionalFormatting>
  <conditionalFormatting sqref="D469">
    <cfRule type="expression" dxfId="484" priority="481" stopIfTrue="1">
      <formula>OR(LEFT(D469,4)="KHTT",LEFT(D469,5)="10USD",RIGHT(D469,3)="TTC",LEFT(D469,3)="TNT")</formula>
    </cfRule>
    <cfRule type="expression" dxfId="483" priority="482" stopIfTrue="1">
      <formula>OR(LEFT(D469,3)="CTU",LEFT(D469,4)="HDON")</formula>
    </cfRule>
    <cfRule type="expression" dxfId="482" priority="483" stopIfTrue="1">
      <formula>OR(LEFT(D469,4)="HOLD",OR(A469="QTNP",A469="HOA THO",A469="YES VINA",A469="HUNG YEN",A469="TEX GIANG",A469="HUNG LONG"),LEFT(A469,5)="HANES",LEFT(A469,3)="ITG")</formula>
    </cfRule>
  </conditionalFormatting>
  <conditionalFormatting sqref="D469">
    <cfRule type="expression" dxfId="481" priority="478" stopIfTrue="1">
      <formula>OR(LEFT(D469,4)="KHTT",LEFT(D469,5)="10USD",RIGHT(D469,3)="TTC",LEFT(D469,3)="TNT")</formula>
    </cfRule>
    <cfRule type="expression" dxfId="480" priority="479" stopIfTrue="1">
      <formula>OR(LEFT(D469,3)="CTU",LEFT(D469,4)="HDON")</formula>
    </cfRule>
    <cfRule type="expression" dxfId="479" priority="480" stopIfTrue="1">
      <formula>OR(LEFT(D469,4)="HOLD",OR(A469="QTNP",A469="HOA THO",A469="YES VINA",A469="HUNG YEN",A469="TEX GIANG",A469="HUNG LONG"),LEFT(A469,5)="HANES",LEFT(A469,3)="ITG")</formula>
    </cfRule>
  </conditionalFormatting>
  <conditionalFormatting sqref="D469">
    <cfRule type="expression" dxfId="478" priority="475" stopIfTrue="1">
      <formula>OR(LEFT(D469,4)="KHTT",LEFT(D469,5)="10USD",RIGHT(D469,3)="TTC",LEFT(D469,3)="TNT")</formula>
    </cfRule>
    <cfRule type="expression" dxfId="477" priority="476" stopIfTrue="1">
      <formula>OR(LEFT(D469,3)="CTU",LEFT(D469,4)="HDON")</formula>
    </cfRule>
    <cfRule type="expression" dxfId="476" priority="477" stopIfTrue="1">
      <formula>OR(LEFT(D469,4)="HOLD",OR(A469="QTNP",A469="HOA THO",A469="YES VINA",A469="HUNG YEN",A469="TEX GIANG",A469="HUNG LONG"),LEFT(A469,5)="HANES",LEFT(A469,3)="ITG")</formula>
    </cfRule>
  </conditionalFormatting>
  <conditionalFormatting sqref="D469">
    <cfRule type="expression" dxfId="475" priority="472" stopIfTrue="1">
      <formula>OR(LEFT(D469,4)="KHTT",LEFT(D469,5)="10USD",RIGHT(D469,3)="TTC",LEFT(D469,3)="TNT")</formula>
    </cfRule>
    <cfRule type="expression" dxfId="474" priority="473" stopIfTrue="1">
      <formula>OR(LEFT(D469,3)="CTU",LEFT(D469,4)="HDON")</formula>
    </cfRule>
    <cfRule type="expression" dxfId="473" priority="474" stopIfTrue="1">
      <formula>OR(LEFT(D469,4)="HOLD",OR(A469="QTNP",A469="HOA THO",A469="YES VINA",A469="HUNG YEN",A469="TEX GIANG",A469="HUNG LONG"),LEFT(A469,5)="HANES",LEFT(A469,3)="ITG")</formula>
    </cfRule>
  </conditionalFormatting>
  <conditionalFormatting sqref="D469">
    <cfRule type="expression" dxfId="472" priority="469" stopIfTrue="1">
      <formula>OR(LEFT(D469,4)="KHTT",LEFT(D469,5)="10USD",RIGHT(D469,3)="TTC",LEFT(D469,3)="TNT")</formula>
    </cfRule>
    <cfRule type="expression" dxfId="471" priority="470" stopIfTrue="1">
      <formula>OR(LEFT(D469,3)="CTU",LEFT(D469,4)="HDON")</formula>
    </cfRule>
    <cfRule type="expression" dxfId="470" priority="471" stopIfTrue="1">
      <formula>OR(LEFT(D469,4)="HOLD",OR(A469="QTNP",A469="HOA THO",A469="YES VINA",A469="HUNG YEN",A469="TEX GIANG",A469="HUNG LONG"),LEFT(A469,5)="HANES",LEFT(A469,3)="ITG")</formula>
    </cfRule>
  </conditionalFormatting>
  <conditionalFormatting sqref="D469">
    <cfRule type="expression" dxfId="469" priority="466" stopIfTrue="1">
      <formula>OR(LEFT(D469,4)="KHTT",LEFT(D469,5)="10USD",RIGHT(D469,3)="TTC",LEFT(D469,3)="TNT")</formula>
    </cfRule>
    <cfRule type="expression" dxfId="468" priority="467" stopIfTrue="1">
      <formula>OR(LEFT(D469,3)="CTU",LEFT(D469,4)="HDON")</formula>
    </cfRule>
    <cfRule type="expression" dxfId="467" priority="468" stopIfTrue="1">
      <formula>OR(LEFT(D469,4)="HOLD",OR(A469="QTNP",A469="HOA THO",A469="YES VINA",A469="HUNG YEN",A469="TEX GIANG",A469="HUNG LONG"),LEFT(A469,5)="HANES",LEFT(A469,3)="ITG")</formula>
    </cfRule>
  </conditionalFormatting>
  <conditionalFormatting sqref="D469">
    <cfRule type="expression" dxfId="466" priority="463" stopIfTrue="1">
      <formula>OR(LEFT(D469,4)="KHTT",LEFT(D469,5)="10USD",RIGHT(D469,3)="TTC",LEFT(D469,3)="TNT")</formula>
    </cfRule>
    <cfRule type="expression" dxfId="465" priority="464" stopIfTrue="1">
      <formula>OR(LEFT(D469,3)="CTU",LEFT(D469,4)="HDON")</formula>
    </cfRule>
    <cfRule type="expression" dxfId="464" priority="465" stopIfTrue="1">
      <formula>OR(LEFT(D469,4)="HOLD",OR(A469="QTNP",A469="HOA THO",A469="YES VINA",A469="HUNG YEN",A469="TEX GIANG",A469="HUNG LONG"),LEFT(A469,5)="HANES",LEFT(A469,3)="ITG")</formula>
    </cfRule>
  </conditionalFormatting>
  <conditionalFormatting sqref="D469">
    <cfRule type="expression" dxfId="463" priority="460" stopIfTrue="1">
      <formula>OR(LEFT(D469,4)="KHTT",LEFT(D469,5)="10USD",RIGHT(D469,3)="TTC",LEFT(D469,3)="TNT")</formula>
    </cfRule>
    <cfRule type="expression" dxfId="462" priority="461" stopIfTrue="1">
      <formula>OR(LEFT(D469,3)="CTU",LEFT(D469,4)="HDON")</formula>
    </cfRule>
    <cfRule type="expression" dxfId="461" priority="462" stopIfTrue="1">
      <formula>OR(LEFT(D469,4)="HOLD",OR(A469="QTNP",A469="HOA THO",A469="YES VINA",A469="HUNG YEN",A469="TEX GIANG",A469="HUNG LONG"),LEFT(A469,5)="HANES",LEFT(A469,3)="ITG")</formula>
    </cfRule>
  </conditionalFormatting>
  <conditionalFormatting sqref="D469">
    <cfRule type="expression" dxfId="460" priority="457" stopIfTrue="1">
      <formula>OR(LEFT(D469,4)="KHTT",LEFT(D469,5)="10USD",RIGHT(D469,3)="TTC",LEFT(D469,3)="TNT")</formula>
    </cfRule>
    <cfRule type="expression" dxfId="459" priority="458" stopIfTrue="1">
      <formula>OR(LEFT(D469,3)="CTU",LEFT(D469,4)="HDON")</formula>
    </cfRule>
    <cfRule type="expression" dxfId="458" priority="459" stopIfTrue="1">
      <formula>OR(LEFT(D469,4)="HOLD",OR(A469="QTNP",A469="HOA THO",A469="YES VINA",A469="HUNG YEN",A469="TEX GIANG",A469="HUNG LONG"),LEFT(A469,5)="HANES",LEFT(A469,3)="ITG")</formula>
    </cfRule>
  </conditionalFormatting>
  <conditionalFormatting sqref="D469">
    <cfRule type="expression" dxfId="457" priority="454" stopIfTrue="1">
      <formula>OR(LEFT(D469,4)="KHTT",LEFT(D469,5)="10USD",RIGHT(D469,3)="TTC",LEFT(D469,3)="TNT")</formula>
    </cfRule>
    <cfRule type="expression" dxfId="456" priority="455" stopIfTrue="1">
      <formula>OR(LEFT(D469,3)="CTU",LEFT(D469,4)="HDON")</formula>
    </cfRule>
    <cfRule type="expression" dxfId="455" priority="456" stopIfTrue="1">
      <formula>OR(LEFT(D469,4)="HOLD",OR(A469="QTNP",A469="HOA THO",A469="YES VINA",A469="HUNG YEN",A469="TEX GIANG",A469="HUNG LONG"),LEFT(A469,5)="HANES",LEFT(A469,3)="ITG")</formula>
    </cfRule>
  </conditionalFormatting>
  <conditionalFormatting sqref="D469">
    <cfRule type="expression" dxfId="454" priority="451" stopIfTrue="1">
      <formula>OR(LEFT(D469,4)="KHTT",LEFT(D469,5)="10USD",RIGHT(D469,3)="TTC",LEFT(D469,3)="TNT")</formula>
    </cfRule>
    <cfRule type="expression" dxfId="453" priority="452" stopIfTrue="1">
      <formula>OR(LEFT(D469,3)="CTU",LEFT(D469,4)="HDON")</formula>
    </cfRule>
    <cfRule type="expression" dxfId="452" priority="453" stopIfTrue="1">
      <formula>OR(LEFT(D469,4)="HOLD",OR(A469="QTNP",A469="HOA THO",A469="YES VINA",A469="HUNG YEN",A469="TEX GIANG",A469="HUNG LONG"),LEFT(A469,5)="HANES",LEFT(A469,3)="ITG")</formula>
    </cfRule>
  </conditionalFormatting>
  <conditionalFormatting sqref="D469">
    <cfRule type="expression" dxfId="451" priority="448" stopIfTrue="1">
      <formula>OR(LEFT(D469,4)="KHTT",LEFT(D469,5)="10USD",RIGHT(D469,3)="TTC",LEFT(D469,3)="TNT")</formula>
    </cfRule>
    <cfRule type="expression" dxfId="450" priority="449" stopIfTrue="1">
      <formula>OR(LEFT(D469,3)="CTU",LEFT(D469,4)="HDON")</formula>
    </cfRule>
    <cfRule type="expression" dxfId="449" priority="450" stopIfTrue="1">
      <formula>OR(LEFT(D469,4)="HOLD",OR(A469="QTNP",A469="HOA THO",A469="YES VINA",A469="HUNG YEN",A469="TEX GIANG",A469="HUNG LONG"),LEFT(A469,5)="HANES",LEFT(A469,3)="ITG")</formula>
    </cfRule>
  </conditionalFormatting>
  <conditionalFormatting sqref="D469">
    <cfRule type="expression" dxfId="448" priority="445" stopIfTrue="1">
      <formula>OR(LEFT(D469,4)="KHTT",LEFT(D469,5)="10USD",RIGHT(D469,3)="TTC",LEFT(D469,3)="TNT")</formula>
    </cfRule>
    <cfRule type="expression" dxfId="447" priority="446" stopIfTrue="1">
      <formula>OR(LEFT(D469,3)="CTU",LEFT(D469,4)="HDON")</formula>
    </cfRule>
    <cfRule type="expression" dxfId="446" priority="447" stopIfTrue="1">
      <formula>OR(LEFT(D469,4)="HOLD",OR(A469="QTNP",A469="HOA THO",A469="YES VINA",A469="HUNG YEN",A469="TEX GIANG",A469="HUNG LONG"),LEFT(A469,5)="HANES",LEFT(A469,3)="ITG")</formula>
    </cfRule>
  </conditionalFormatting>
  <conditionalFormatting sqref="D469">
    <cfRule type="expression" dxfId="445" priority="442" stopIfTrue="1">
      <formula>OR(LEFT(D469,4)="KHTT",LEFT(D469,5)="10USD",RIGHT(D469,3)="TTC",LEFT(D469,3)="TNT")</formula>
    </cfRule>
    <cfRule type="expression" dxfId="444" priority="443" stopIfTrue="1">
      <formula>OR(LEFT(D469,3)="CTU",LEFT(D469,4)="HDON")</formula>
    </cfRule>
    <cfRule type="expression" dxfId="443" priority="444" stopIfTrue="1">
      <formula>OR(LEFT(D469,4)="HOLD",OR(A469="QTNP",A469="HOA THO",A469="YES VINA",A469="HUNG YEN",A469="TEX GIANG",A469="HUNG LONG"),LEFT(A469,5)="HANES",LEFT(A469,3)="ITG")</formula>
    </cfRule>
  </conditionalFormatting>
  <conditionalFormatting sqref="D469">
    <cfRule type="expression" dxfId="442" priority="439" stopIfTrue="1">
      <formula>OR(LEFT(D469,4)="KHTT",LEFT(D469,5)="10USD",RIGHT(D469,3)="TTC",LEFT(D469,3)="TNT")</formula>
    </cfRule>
    <cfRule type="expression" dxfId="441" priority="440" stopIfTrue="1">
      <formula>OR(LEFT(D469,3)="CTU",LEFT(D469,4)="HDON")</formula>
    </cfRule>
    <cfRule type="expression" dxfId="440" priority="441" stopIfTrue="1">
      <formula>OR(LEFT(D469,4)="HOLD",OR(A469="QTNP",A469="HOA THO",A469="YES VINA",A469="HUNG YEN",A469="TEX GIANG",A469="HUNG LONG"),LEFT(A469,5)="HANES",LEFT(A469,3)="ITG")</formula>
    </cfRule>
  </conditionalFormatting>
  <conditionalFormatting sqref="D469">
    <cfRule type="expression" dxfId="439" priority="436" stopIfTrue="1">
      <formula>OR(LEFT(D469,4)="KHTT",LEFT(D469,5)="10USD",RIGHT(D469,3)="TTC",LEFT(D469,3)="TNT")</formula>
    </cfRule>
    <cfRule type="expression" dxfId="438" priority="437" stopIfTrue="1">
      <formula>OR(LEFT(D469,3)="CTU",LEFT(D469,4)="HDON")</formula>
    </cfRule>
    <cfRule type="expression" dxfId="437" priority="438" stopIfTrue="1">
      <formula>OR(LEFT(D469,4)="HOLD",OR(A469="QTNP",A469="HOA THO",A469="YES VINA",A469="HUNG YEN",A469="TEX GIANG",A469="HUNG LONG"),LEFT(A469,5)="HANES",LEFT(A469,3)="ITG")</formula>
    </cfRule>
  </conditionalFormatting>
  <conditionalFormatting sqref="D469">
    <cfRule type="expression" dxfId="436" priority="433" stopIfTrue="1">
      <formula>OR(LEFT(D469,4)="KHTT",LEFT(D469,5)="10USD",RIGHT(D469,3)="TTC",LEFT(D469,3)="TNT")</formula>
    </cfRule>
    <cfRule type="expression" dxfId="435" priority="434" stopIfTrue="1">
      <formula>OR(LEFT(D469,3)="CTU",LEFT(D469,4)="HDON")</formula>
    </cfRule>
    <cfRule type="expression" dxfId="434" priority="435" stopIfTrue="1">
      <formula>OR(LEFT(D469,4)="HOLD",OR(A469="QTNP",A469="HOA THO",A469="YES VINA",A469="HUNG YEN",A469="TEX GIANG",A469="HUNG LONG"),LEFT(A469,5)="HANES",LEFT(A469,3)="ITG")</formula>
    </cfRule>
  </conditionalFormatting>
  <conditionalFormatting sqref="D469">
    <cfRule type="expression" dxfId="433" priority="430" stopIfTrue="1">
      <formula>OR(LEFT(D469,4)="KHTT",LEFT(D469,5)="10USD",RIGHT(D469,3)="TTC",LEFT(D469,3)="TNT")</formula>
    </cfRule>
    <cfRule type="expression" dxfId="432" priority="431" stopIfTrue="1">
      <formula>OR(LEFT(D469,3)="CTU",LEFT(D469,4)="HDON")</formula>
    </cfRule>
    <cfRule type="expression" dxfId="431" priority="432" stopIfTrue="1">
      <formula>OR(LEFT(D469,4)="HOLD",OR(A469="QTNP",A469="HOA THO",A469="YES VINA",A469="HUNG YEN",A469="TEX GIANG",A469="HUNG LONG"),LEFT(A469,5)="HANES",LEFT(A469,3)="ITG")</formula>
    </cfRule>
  </conditionalFormatting>
  <conditionalFormatting sqref="D469">
    <cfRule type="expression" dxfId="430" priority="427" stopIfTrue="1">
      <formula>OR(LEFT(D469,4)="KHTT",LEFT(D469,5)="10USD",RIGHT(D469,3)="TTC",LEFT(D469,3)="TNT")</formula>
    </cfRule>
    <cfRule type="expression" dxfId="429" priority="428" stopIfTrue="1">
      <formula>OR(LEFT(D469,3)="CTU",LEFT(D469,4)="HDON")</formula>
    </cfRule>
    <cfRule type="expression" dxfId="428" priority="429" stopIfTrue="1">
      <formula>OR(LEFT(D469,4)="HOLD",OR(A469="QTNP",A469="HOA THO",A469="YES VINA",A469="HUNG YEN",A469="TEX GIANG",A469="HUNG LONG"),LEFT(A469,5)="HANES",LEFT(A469,3)="ITG")</formula>
    </cfRule>
  </conditionalFormatting>
  <conditionalFormatting sqref="D469">
    <cfRule type="expression" dxfId="427" priority="424" stopIfTrue="1">
      <formula>OR(LEFT(D469,4)="KHTT",LEFT(D469,5)="10USD",RIGHT(D469,3)="TTC",LEFT(D469,3)="TNT")</formula>
    </cfRule>
    <cfRule type="expression" dxfId="426" priority="425" stopIfTrue="1">
      <formula>OR(LEFT(D469,3)="CTU",LEFT(D469,4)="HDON")</formula>
    </cfRule>
    <cfRule type="expression" dxfId="425" priority="426" stopIfTrue="1">
      <formula>OR(LEFT(D469,4)="HOLD",OR(A469="QTNP",A469="HOA THO",A469="YES VINA",A469="HUNG YEN",A469="TEX GIANG",A469="HUNG LONG"),LEFT(A469,5)="HANES",LEFT(A469,3)="ITG")</formula>
    </cfRule>
  </conditionalFormatting>
  <conditionalFormatting sqref="D469">
    <cfRule type="expression" dxfId="424" priority="421" stopIfTrue="1">
      <formula>OR(LEFT(D469,4)="KHTT",LEFT(D469,5)="10USD",RIGHT(D469,3)="TTC",LEFT(D469,3)="TNT")</formula>
    </cfRule>
    <cfRule type="expression" dxfId="423" priority="422" stopIfTrue="1">
      <formula>OR(LEFT(D469,3)="CTU",LEFT(D469,4)="HDON")</formula>
    </cfRule>
    <cfRule type="expression" dxfId="422" priority="423" stopIfTrue="1">
      <formula>OR(LEFT(D469,4)="HOLD",OR(A469="QTNP",A469="HOA THO",A469="YES VINA",A469="HUNG YEN",A469="TEX GIANG",A469="HUNG LONG"),LEFT(A469,5)="HANES",LEFT(A469,3)="ITG")</formula>
    </cfRule>
  </conditionalFormatting>
  <conditionalFormatting sqref="D469">
    <cfRule type="expression" dxfId="421" priority="418" stopIfTrue="1">
      <formula>OR(LEFT(D469,4)="KHTT",LEFT(D469,5)="10USD",RIGHT(D469,3)="TTC",LEFT(D469,3)="TNT")</formula>
    </cfRule>
    <cfRule type="expression" dxfId="420" priority="419" stopIfTrue="1">
      <formula>OR(LEFT(D469,3)="CTU",LEFT(D469,4)="HDON")</formula>
    </cfRule>
    <cfRule type="expression" dxfId="419" priority="420" stopIfTrue="1">
      <formula>OR(LEFT(D469,4)="HOLD",OR(A469="QTNP",A469="HOA THO",A469="YES VINA",A469="HUNG YEN",A469="TEX GIANG",A469="HUNG LONG"),LEFT(A469,5)="HANES",LEFT(A469,3)="ITG")</formula>
    </cfRule>
  </conditionalFormatting>
  <conditionalFormatting sqref="D469">
    <cfRule type="expression" dxfId="418" priority="415" stopIfTrue="1">
      <formula>OR(LEFT(D469,4)="KHTT",LEFT(D469,5)="10USD",RIGHT(D469,3)="TTC",LEFT(D469,3)="TNT")</formula>
    </cfRule>
    <cfRule type="expression" dxfId="417" priority="416" stopIfTrue="1">
      <formula>OR(LEFT(D469,3)="CTU",LEFT(D469,4)="HDON")</formula>
    </cfRule>
    <cfRule type="expression" dxfId="416" priority="417" stopIfTrue="1">
      <formula>OR(LEFT(D469,4)="HOLD",OR(A469="QTNP",A469="HOA THO",A469="YES VINA",A469="HUNG YEN",A469="TEX GIANG",A469="HUNG LONG"),LEFT(A469,5)="HANES",LEFT(A469,3)="ITG")</formula>
    </cfRule>
  </conditionalFormatting>
  <conditionalFormatting sqref="D469">
    <cfRule type="expression" dxfId="415" priority="412" stopIfTrue="1">
      <formula>OR(LEFT(D469,4)="KHTT",LEFT(D469,5)="10USD",RIGHT(D469,3)="TTC",LEFT(D469,3)="TNT")</formula>
    </cfRule>
    <cfRule type="expression" dxfId="414" priority="413" stopIfTrue="1">
      <formula>OR(LEFT(D469,3)="CTU",LEFT(D469,4)="HDON")</formula>
    </cfRule>
    <cfRule type="expression" dxfId="413" priority="414" stopIfTrue="1">
      <formula>OR(LEFT(D469,4)="HOLD",OR(A469="QTNP",A469="HOA THO",A469="YES VINA",A469="HUNG YEN",A469="TEX GIANG",A469="HUNG LONG"),LEFT(A469,5)="HANES",LEFT(A469,3)="ITG")</formula>
    </cfRule>
  </conditionalFormatting>
  <conditionalFormatting sqref="D469">
    <cfRule type="expression" dxfId="412" priority="409" stopIfTrue="1">
      <formula>OR(LEFT(D469,4)="KHTT",LEFT(D469,5)="10USD",RIGHT(D469,3)="TTC",LEFT(D469,3)="TNT")</formula>
    </cfRule>
    <cfRule type="expression" dxfId="411" priority="410" stopIfTrue="1">
      <formula>OR(LEFT(D469,3)="CTU",LEFT(D469,4)="HDON")</formula>
    </cfRule>
    <cfRule type="expression" dxfId="410" priority="411" stopIfTrue="1">
      <formula>OR(LEFT(D469,4)="HOLD",OR(A469="QTNP",A469="HOA THO",A469="YES VINA",A469="HUNG YEN",A469="TEX GIANG",A469="HUNG LONG"),LEFT(A469,5)="HANES",LEFT(A469,3)="ITG")</formula>
    </cfRule>
  </conditionalFormatting>
  <conditionalFormatting sqref="D469">
    <cfRule type="expression" dxfId="409" priority="406" stopIfTrue="1">
      <formula>OR(LEFT(D469,4)="KHTT",LEFT(D469,5)="10USD",RIGHT(D469,3)="TTC",LEFT(D469,3)="TNT")</formula>
    </cfRule>
    <cfRule type="expression" dxfId="408" priority="407" stopIfTrue="1">
      <formula>OR(LEFT(D469,3)="CTU",LEFT(D469,4)="HDON")</formula>
    </cfRule>
    <cfRule type="expression" dxfId="407" priority="408" stopIfTrue="1">
      <formula>OR(LEFT(D469,4)="HOLD",OR(A469="QTNP",A469="HOA THO",A469="YES VINA",A469="HUNG YEN",A469="TEX GIANG",A469="HUNG LONG"),LEFT(A469,5)="HANES",LEFT(A469,3)="ITG")</formula>
    </cfRule>
  </conditionalFormatting>
  <conditionalFormatting sqref="D469">
    <cfRule type="expression" dxfId="406" priority="403" stopIfTrue="1">
      <formula>OR(LEFT(D469,4)="KHTT",LEFT(D469,5)="10USD",RIGHT(D469,3)="TTC",LEFT(D469,3)="TNT")</formula>
    </cfRule>
    <cfRule type="expression" dxfId="405" priority="404" stopIfTrue="1">
      <formula>OR(LEFT(D469,3)="CTU",LEFT(D469,4)="HDON")</formula>
    </cfRule>
    <cfRule type="expression" dxfId="404" priority="405" stopIfTrue="1">
      <formula>OR(LEFT(D469,4)="HOLD",OR(A469="QTNP",A469="HOA THO",A469="YES VINA",A469="HUNG YEN",A469="TEX GIANG",A469="HUNG LONG"),LEFT(A469,5)="HANES",LEFT(A469,3)="ITG")</formula>
    </cfRule>
  </conditionalFormatting>
  <conditionalFormatting sqref="D469">
    <cfRule type="expression" dxfId="403" priority="400" stopIfTrue="1">
      <formula>OR(LEFT(D469,4)="KHTT",LEFT(D469,5)="10USD",RIGHT(D469,3)="TTC",LEFT(D469,3)="TNT")</formula>
    </cfRule>
    <cfRule type="expression" dxfId="402" priority="401" stopIfTrue="1">
      <formula>OR(LEFT(D469,3)="CTU",LEFT(D469,4)="HDON")</formula>
    </cfRule>
    <cfRule type="expression" dxfId="401" priority="402" stopIfTrue="1">
      <formula>OR(LEFT(D469,4)="HOLD",OR(A469="QTNP",A469="HOA THO",A469="YES VINA",A469="HUNG YEN",A469="TEX GIANG",A469="HUNG LONG"),LEFT(A469,5)="HANES",LEFT(A469,3)="ITG")</formula>
    </cfRule>
  </conditionalFormatting>
  <conditionalFormatting sqref="D469">
    <cfRule type="expression" dxfId="400" priority="397" stopIfTrue="1">
      <formula>OR(LEFT(D469,4)="KHTT",LEFT(D469,5)="10USD",RIGHT(D469,3)="TTC",LEFT(D469,3)="TNT")</formula>
    </cfRule>
    <cfRule type="expression" dxfId="399" priority="398" stopIfTrue="1">
      <formula>OR(LEFT(D469,3)="CTU",LEFT(D469,4)="HDON")</formula>
    </cfRule>
    <cfRule type="expression" dxfId="398" priority="399" stopIfTrue="1">
      <formula>OR(LEFT(D469,4)="HOLD",OR(A469="QTNP",A469="HOA THO",A469="YES VINA",A469="HUNG YEN",A469="TEX GIANG",A469="HUNG LONG"),LEFT(A469,5)="HANES",LEFT(A469,3)="ITG")</formula>
    </cfRule>
  </conditionalFormatting>
  <conditionalFormatting sqref="D469">
    <cfRule type="expression" dxfId="397" priority="394" stopIfTrue="1">
      <formula>OR(LEFT(D469,4)="KHTT",LEFT(D469,5)="10USD",RIGHT(D469,3)="TTC",LEFT(D469,3)="TNT")</formula>
    </cfRule>
    <cfRule type="expression" dxfId="396" priority="395" stopIfTrue="1">
      <formula>OR(LEFT(D469,3)="CTU",LEFT(D469,4)="HDON")</formula>
    </cfRule>
    <cfRule type="expression" dxfId="395" priority="396" stopIfTrue="1">
      <formula>OR(LEFT(D469,4)="HOLD",OR(A469="QTNP",A469="HOA THO",A469="YES VINA",A469="HUNG YEN",A469="TEX GIANG",A469="HUNG LONG"),LEFT(A469,5)="HANES",LEFT(A469,3)="ITG")</formula>
    </cfRule>
  </conditionalFormatting>
  <conditionalFormatting sqref="D469">
    <cfRule type="expression" dxfId="394" priority="391" stopIfTrue="1">
      <formula>OR(LEFT(D469,4)="KHTT",LEFT(D469,5)="10USD",RIGHT(D469,3)="TTC",LEFT(D469,3)="TNT")</formula>
    </cfRule>
    <cfRule type="expression" dxfId="393" priority="392" stopIfTrue="1">
      <formula>OR(LEFT(D469,3)="CTU",LEFT(D469,4)="HDON")</formula>
    </cfRule>
    <cfRule type="expression" dxfId="392" priority="393" stopIfTrue="1">
      <formula>OR(LEFT(D469,4)="HOLD",OR(A469="QTNP",A469="HOA THO",A469="YES VINA",A469="HUNG YEN",A469="TEX GIANG",A469="HUNG LONG"),LEFT(A469,5)="HANES",LEFT(A469,3)="ITG")</formula>
    </cfRule>
  </conditionalFormatting>
  <conditionalFormatting sqref="D469">
    <cfRule type="expression" dxfId="391" priority="388" stopIfTrue="1">
      <formula>OR(LEFT(D469,4)="KHTT",LEFT(D469,5)="10USD",RIGHT(D469,3)="TTC",LEFT(D469,3)="TNT")</formula>
    </cfRule>
    <cfRule type="expression" dxfId="390" priority="389" stopIfTrue="1">
      <formula>OR(LEFT(D469,3)="CTU",LEFT(D469,4)="HDON")</formula>
    </cfRule>
    <cfRule type="expression" dxfId="389" priority="390" stopIfTrue="1">
      <formula>OR(LEFT(D469,4)="HOLD",OR(A469="QTNP",A469="HOA THO",A469="YES VINA",A469="HUNG YEN",A469="TEX GIANG",A469="HUNG LONG"),LEFT(A469,5)="HANES",LEFT(A469,3)="ITG")</formula>
    </cfRule>
  </conditionalFormatting>
  <conditionalFormatting sqref="D469">
    <cfRule type="expression" dxfId="388" priority="385" stopIfTrue="1">
      <formula>OR(LEFT(D469,4)="KHTT",LEFT(D469,5)="10USD",RIGHT(D469,3)="TTC",LEFT(D469,3)="TNT")</formula>
    </cfRule>
    <cfRule type="expression" dxfId="387" priority="386" stopIfTrue="1">
      <formula>OR(LEFT(D469,3)="CTU",LEFT(D469,4)="HDON")</formula>
    </cfRule>
    <cfRule type="expression" dxfId="386" priority="387" stopIfTrue="1">
      <formula>OR(LEFT(D469,4)="HOLD",OR(A469="QTNP",A469="HOA THO",A469="YES VINA",A469="HUNG YEN",A469="TEX GIANG",A469="HUNG LONG"),LEFT(A469,5)="HANES",LEFT(A469,3)="ITG")</formula>
    </cfRule>
  </conditionalFormatting>
  <conditionalFormatting sqref="D469">
    <cfRule type="expression" dxfId="385" priority="382" stopIfTrue="1">
      <formula>OR(LEFT(D469,4)="KHTT",LEFT(D469,5)="10USD",RIGHT(D469,3)="TTC",LEFT(D469,3)="TNT")</formula>
    </cfRule>
    <cfRule type="expression" dxfId="384" priority="383" stopIfTrue="1">
      <formula>OR(LEFT(D469,3)="CTU",LEFT(D469,4)="HDON")</formula>
    </cfRule>
    <cfRule type="expression" dxfId="383" priority="384" stopIfTrue="1">
      <formula>OR(LEFT(D469,4)="HOLD",OR(A469="QTNP",A469="HOA THO",A469="YES VINA",A469="HUNG YEN",A469="TEX GIANG",A469="HUNG LONG"),LEFT(A469,5)="HANES",LEFT(A469,3)="ITG")</formula>
    </cfRule>
  </conditionalFormatting>
  <conditionalFormatting sqref="D469">
    <cfRule type="expression" dxfId="382" priority="379" stopIfTrue="1">
      <formula>OR(LEFT(D469,4)="KHTT",LEFT(D469,5)="10USD",RIGHT(D469,3)="TTC",LEFT(D469,3)="TNT")</formula>
    </cfRule>
    <cfRule type="expression" dxfId="381" priority="380" stopIfTrue="1">
      <formula>OR(LEFT(D469,3)="CTU",LEFT(D469,4)="HDON")</formula>
    </cfRule>
    <cfRule type="expression" dxfId="380" priority="381" stopIfTrue="1">
      <formula>OR(LEFT(D469,4)="HOLD",OR(A469="QTNP",A469="HOA THO",A469="YES VINA",A469="HUNG YEN",A469="TEX GIANG",A469="HUNG LONG"),LEFT(A469,5)="HANES",LEFT(A469,3)="ITG")</formula>
    </cfRule>
  </conditionalFormatting>
  <conditionalFormatting sqref="D469">
    <cfRule type="expression" dxfId="379" priority="376" stopIfTrue="1">
      <formula>OR(LEFT(D469,4)="KHTT",LEFT(D469,5)="10USD",RIGHT(D469,3)="TTC",LEFT(D469,3)="TNT")</formula>
    </cfRule>
    <cfRule type="expression" dxfId="378" priority="377" stopIfTrue="1">
      <formula>OR(LEFT(D469,3)="CTU",LEFT(D469,4)="HDON")</formula>
    </cfRule>
    <cfRule type="expression" dxfId="377" priority="378" stopIfTrue="1">
      <formula>OR(LEFT(D469,4)="HOLD",OR(A469="QTNP",A469="HOA THO",A469="YES VINA",A469="HUNG YEN",A469="TEX GIANG",A469="HUNG LONG"),LEFT(A469,5)="HANES",LEFT(A469,3)="ITG")</formula>
    </cfRule>
  </conditionalFormatting>
  <conditionalFormatting sqref="D469">
    <cfRule type="expression" dxfId="376" priority="373" stopIfTrue="1">
      <formula>OR(LEFT(D469,4)="KHTT",LEFT(D469,5)="10USD",RIGHT(D469,3)="TTC",LEFT(D469,3)="TNT")</formula>
    </cfRule>
    <cfRule type="expression" dxfId="375" priority="374" stopIfTrue="1">
      <formula>OR(LEFT(D469,3)="CTU",LEFT(D469,4)="HDON")</formula>
    </cfRule>
    <cfRule type="expression" dxfId="374" priority="375" stopIfTrue="1">
      <formula>OR(LEFT(D469,4)="HOLD",OR(A469="QTNP",A469="HOA THO",A469="YES VINA",A469="HUNG YEN",A469="TEX GIANG",A469="HUNG LONG"),LEFT(A469,5)="HANES",LEFT(A469,3)="ITG")</formula>
    </cfRule>
  </conditionalFormatting>
  <conditionalFormatting sqref="D469">
    <cfRule type="expression" dxfId="373" priority="370" stopIfTrue="1">
      <formula>OR(LEFT(D469,4)="KHTT",LEFT(D469,5)="10USD",RIGHT(D469,3)="TTC",LEFT(D469,3)="TNT")</formula>
    </cfRule>
    <cfRule type="expression" dxfId="372" priority="371" stopIfTrue="1">
      <formula>OR(LEFT(D469,3)="CTU",LEFT(D469,4)="HDON")</formula>
    </cfRule>
    <cfRule type="expression" dxfId="371" priority="372" stopIfTrue="1">
      <formula>OR(LEFT(D469,4)="HOLD",OR(A469="QTNP",A469="HOA THO",A469="YES VINA",A469="HUNG YEN",A469="TEX GIANG",A469="HUNG LONG"),LEFT(A469,5)="HANES",LEFT(A469,3)="ITG")</formula>
    </cfRule>
  </conditionalFormatting>
  <conditionalFormatting sqref="D469">
    <cfRule type="expression" dxfId="370" priority="367" stopIfTrue="1">
      <formula>OR(LEFT(D469,4)="KHTT",LEFT(D469,5)="10USD",RIGHT(D469,3)="TTC",LEFT(D469,3)="TNT")</formula>
    </cfRule>
    <cfRule type="expression" dxfId="369" priority="368" stopIfTrue="1">
      <formula>OR(LEFT(D469,3)="CTU",LEFT(D469,4)="HDON")</formula>
    </cfRule>
    <cfRule type="expression" dxfId="368" priority="369" stopIfTrue="1">
      <formula>OR(LEFT(D469,4)="HOLD",OR(A469="QTNP",A469="HOA THO",A469="YES VINA",A469="HUNG YEN",A469="TEX GIANG",A469="HUNG LONG"),LEFT(A469,5)="HANES",LEFT(A469,3)="ITG")</formula>
    </cfRule>
  </conditionalFormatting>
  <conditionalFormatting sqref="D469">
    <cfRule type="expression" dxfId="367" priority="364" stopIfTrue="1">
      <formula>OR(LEFT(D469,4)="KHTT",LEFT(D469,5)="10USD",RIGHT(D469,3)="TTC",LEFT(D469,3)="TNT")</formula>
    </cfRule>
    <cfRule type="expression" dxfId="366" priority="365" stopIfTrue="1">
      <formula>OR(LEFT(D469,3)="CTU",LEFT(D469,4)="HDON")</formula>
    </cfRule>
    <cfRule type="expression" dxfId="365" priority="366" stopIfTrue="1">
      <formula>OR(LEFT(D469,4)="HOLD",OR(A469="QTNP",A469="HOA THO",A469="YES VINA",A469="HUNG YEN",A469="TEX GIANG",A469="HUNG LONG"),LEFT(A469,5)="HANES",LEFT(A469,3)="ITG")</formula>
    </cfRule>
  </conditionalFormatting>
  <conditionalFormatting sqref="D469">
    <cfRule type="expression" dxfId="364" priority="361" stopIfTrue="1">
      <formula>OR(LEFT(D469,4)="KHTT",LEFT(D469,5)="10USD",RIGHT(D469,3)="TTC",LEFT(D469,3)="TNT")</formula>
    </cfRule>
    <cfRule type="expression" dxfId="363" priority="362" stopIfTrue="1">
      <formula>OR(LEFT(D469,3)="CTU",LEFT(D469,4)="HDON")</formula>
    </cfRule>
    <cfRule type="expression" dxfId="362" priority="363" stopIfTrue="1">
      <formula>OR(LEFT(D469,4)="HOLD",OR(A469="QTNP",A469="HOA THO",A469="YES VINA",A469="HUNG YEN",A469="TEX GIANG",A469="HUNG LONG"),LEFT(A469,5)="HANES",LEFT(A469,3)="ITG")</formula>
    </cfRule>
  </conditionalFormatting>
  <conditionalFormatting sqref="D469">
    <cfRule type="expression" dxfId="361" priority="358" stopIfTrue="1">
      <formula>OR(LEFT(D469,4)="KHTT",LEFT(D469,5)="10USD",RIGHT(D469,3)="TTC",LEFT(D469,3)="TNT")</formula>
    </cfRule>
    <cfRule type="expression" dxfId="360" priority="359" stopIfTrue="1">
      <formula>OR(LEFT(D469,3)="CTU",LEFT(D469,4)="HDON")</formula>
    </cfRule>
    <cfRule type="expression" dxfId="359" priority="360" stopIfTrue="1">
      <formula>OR(LEFT(D469,4)="HOLD",OR(A469="QTNP",A469="HOA THO",A469="YES VINA",A469="HUNG YEN",A469="TEX GIANG",A469="HUNG LONG"),LEFT(A469,5)="HANES",LEFT(A469,3)="ITG")</formula>
    </cfRule>
  </conditionalFormatting>
  <conditionalFormatting sqref="D469">
    <cfRule type="expression" dxfId="358" priority="355" stopIfTrue="1">
      <formula>OR(LEFT(D469,4)="KHTT",LEFT(D469,5)="10USD",RIGHT(D469,3)="TTC",LEFT(D469,3)="TNT")</formula>
    </cfRule>
    <cfRule type="expression" dxfId="357" priority="356" stopIfTrue="1">
      <formula>OR(LEFT(D469,3)="CTU",LEFT(D469,4)="HDON")</formula>
    </cfRule>
    <cfRule type="expression" dxfId="356" priority="357" stopIfTrue="1">
      <formula>OR(LEFT(D469,4)="HOLD",OR(A469="QTNP",A469="HOA THO",A469="YES VINA",A469="HUNG YEN",A469="TEX GIANG",A469="HUNG LONG"),LEFT(A469,5)="HANES",LEFT(A469,3)="ITG")</formula>
    </cfRule>
  </conditionalFormatting>
  <conditionalFormatting sqref="D469">
    <cfRule type="expression" dxfId="355" priority="352" stopIfTrue="1">
      <formula>OR(LEFT(D469,4)="KHTT",LEFT(D469,5)="10USD",RIGHT(D469,3)="TTC",LEFT(D469,3)="TNT")</formula>
    </cfRule>
    <cfRule type="expression" dxfId="354" priority="353" stopIfTrue="1">
      <formula>OR(LEFT(D469,3)="CTU",LEFT(D469,4)="HDON")</formula>
    </cfRule>
    <cfRule type="expression" dxfId="353" priority="354" stopIfTrue="1">
      <formula>OR(LEFT(D469,4)="HOLD",OR(A469="QTNP",A469="HOA THO",A469="YES VINA",A469="HUNG YEN",A469="TEX GIANG",A469="HUNG LONG"),LEFT(A469,5)="HANES",LEFT(A469,3)="ITG")</formula>
    </cfRule>
  </conditionalFormatting>
  <conditionalFormatting sqref="D469">
    <cfRule type="expression" dxfId="352" priority="349" stopIfTrue="1">
      <formula>OR(LEFT(D469,4)="KHTT",LEFT(D469,5)="10USD",RIGHT(D469,3)="TTC",LEFT(D469,3)="TNT")</formula>
    </cfRule>
    <cfRule type="expression" dxfId="351" priority="350" stopIfTrue="1">
      <formula>OR(LEFT(D469,3)="CTU",LEFT(D469,4)="HDON")</formula>
    </cfRule>
    <cfRule type="expression" dxfId="350" priority="351" stopIfTrue="1">
      <formula>OR(LEFT(D469,4)="HOLD",OR(A469="QTNP",A469="HOA THO",A469="YES VINA",A469="HUNG YEN",A469="TEX GIANG",A469="HUNG LONG"),LEFT(A469,5)="HANES",LEFT(A469,3)="ITG")</formula>
    </cfRule>
  </conditionalFormatting>
  <conditionalFormatting sqref="D469">
    <cfRule type="expression" dxfId="349" priority="346" stopIfTrue="1">
      <formula>OR(LEFT(D469,4)="KHTT",LEFT(D469,5)="10USD",RIGHT(D469,3)="TTC",LEFT(D469,3)="TNT")</formula>
    </cfRule>
    <cfRule type="expression" dxfId="348" priority="347" stopIfTrue="1">
      <formula>OR(LEFT(D469,3)="CTU",LEFT(D469,4)="HDON")</formula>
    </cfRule>
    <cfRule type="expression" dxfId="347" priority="348" stopIfTrue="1">
      <formula>OR(LEFT(D469,4)="HOLD",OR(A469="QTNP",A469="HOA THO",A469="YES VINA",A469="HUNG YEN",A469="TEX GIANG",A469="HUNG LONG"),LEFT(A469,5)="HANES",LEFT(A469,3)="ITG")</formula>
    </cfRule>
  </conditionalFormatting>
  <conditionalFormatting sqref="D469">
    <cfRule type="expression" dxfId="346" priority="343" stopIfTrue="1">
      <formula>OR(LEFT(D469,4)="KHTT",LEFT(D469,5)="10USD",RIGHT(D469,3)="TTC",LEFT(D469,3)="TNT")</formula>
    </cfRule>
    <cfRule type="expression" dxfId="345" priority="344" stopIfTrue="1">
      <formula>OR(LEFT(D469,3)="CTU",LEFT(D469,4)="HDON")</formula>
    </cfRule>
    <cfRule type="expression" dxfId="344" priority="345" stopIfTrue="1">
      <formula>OR(LEFT(D469,4)="HOLD",OR(A469="QTNP",A469="HOA THO",A469="YES VINA",A469="HUNG YEN",A469="TEX GIANG",A469="HUNG LONG"),LEFT(A469,5)="HANES",LEFT(A469,3)="ITG")</formula>
    </cfRule>
  </conditionalFormatting>
  <conditionalFormatting sqref="D469">
    <cfRule type="expression" dxfId="343" priority="340" stopIfTrue="1">
      <formula>OR(LEFT(D469,4)="KHTT",LEFT(D469,5)="10USD",RIGHT(D469,3)="TTC",LEFT(D469,3)="TNT")</formula>
    </cfRule>
    <cfRule type="expression" dxfId="342" priority="341" stopIfTrue="1">
      <formula>OR(LEFT(D469,3)="CTU",LEFT(D469,4)="HDON")</formula>
    </cfRule>
    <cfRule type="expression" dxfId="341" priority="342" stopIfTrue="1">
      <formula>OR(LEFT(D469,4)="HOLD",OR(A469="QTNP",A469="HOA THO",A469="YES VINA",A469="HUNG YEN",A469="TEX GIANG",A469="HUNG LONG"),LEFT(A469,5)="HANES",LEFT(A469,3)="ITG")</formula>
    </cfRule>
  </conditionalFormatting>
  <conditionalFormatting sqref="D469">
    <cfRule type="expression" dxfId="340" priority="337" stopIfTrue="1">
      <formula>OR(LEFT(D469,4)="KHTT",LEFT(D469,5)="10USD",RIGHT(D469,3)="TTC",LEFT(D469,3)="TNT")</formula>
    </cfRule>
    <cfRule type="expression" dxfId="339" priority="338" stopIfTrue="1">
      <formula>OR(LEFT(D469,3)="CTU",LEFT(D469,4)="HDON")</formula>
    </cfRule>
    <cfRule type="expression" dxfId="338" priority="339" stopIfTrue="1">
      <formula>OR(LEFT(D469,4)="HOLD",OR(A469="QTNP",A469="HOA THO",A469="YES VINA",A469="HUNG YEN",A469="TEX GIANG",A469="HUNG LONG"),LEFT(A469,5)="HANES",LEFT(A469,3)="ITG")</formula>
    </cfRule>
  </conditionalFormatting>
  <conditionalFormatting sqref="D469">
    <cfRule type="expression" dxfId="337" priority="334" stopIfTrue="1">
      <formula>OR(LEFT(D469,4)="KHTT",LEFT(D469,5)="10USD",RIGHT(D469,3)="TTC",LEFT(D469,3)="TNT")</formula>
    </cfRule>
    <cfRule type="expression" dxfId="336" priority="335" stopIfTrue="1">
      <formula>OR(LEFT(D469,3)="CTU",LEFT(D469,4)="HDON")</formula>
    </cfRule>
    <cfRule type="expression" dxfId="335" priority="336" stopIfTrue="1">
      <formula>OR(LEFT(D469,4)="HOLD",OR(A469="QTNP",A469="HOA THO",A469="YES VINA",A469="HUNG YEN",A469="TEX GIANG",A469="HUNG LONG"),LEFT(A469,5)="HANES",LEFT(A469,3)="ITG")</formula>
    </cfRule>
  </conditionalFormatting>
  <conditionalFormatting sqref="D469">
    <cfRule type="expression" dxfId="334" priority="331" stopIfTrue="1">
      <formula>OR(LEFT(D469,4)="KHTT",LEFT(D469,5)="10USD",RIGHT(D469,3)="TTC",LEFT(D469,3)="TNT")</formula>
    </cfRule>
    <cfRule type="expression" dxfId="333" priority="332" stopIfTrue="1">
      <formula>OR(LEFT(D469,3)="CTU",LEFT(D469,4)="HDON")</formula>
    </cfRule>
    <cfRule type="expression" dxfId="332" priority="333" stopIfTrue="1">
      <formula>OR(LEFT(D469,4)="HOLD",OR(A469="QTNP",A469="HOA THO",A469="YES VINA",A469="HUNG YEN",A469="TEX GIANG",A469="HUNG LONG"),LEFT(A469,5)="HANES",LEFT(A469,3)="ITG")</formula>
    </cfRule>
  </conditionalFormatting>
  <conditionalFormatting sqref="D469">
    <cfRule type="expression" dxfId="331" priority="328" stopIfTrue="1">
      <formula>OR(LEFT(D469,4)="KHTT",LEFT(D469,5)="10USD",RIGHT(D469,3)="TTC",LEFT(D469,3)="TNT")</formula>
    </cfRule>
    <cfRule type="expression" dxfId="330" priority="329" stopIfTrue="1">
      <formula>OR(LEFT(D469,3)="CTU",LEFT(D469,4)="HDON")</formula>
    </cfRule>
    <cfRule type="expression" dxfId="329" priority="330" stopIfTrue="1">
      <formula>OR(LEFT(D469,4)="HOLD",OR(A469="QTNP",A469="HOA THO",A469="YES VINA",A469="HUNG YEN",A469="TEX GIANG",A469="HUNG LONG"),LEFT(A469,5)="HANES",LEFT(A469,3)="ITG")</formula>
    </cfRule>
  </conditionalFormatting>
  <conditionalFormatting sqref="D469">
    <cfRule type="expression" dxfId="328" priority="325" stopIfTrue="1">
      <formula>OR(LEFT(D469,4)="KHTT",LEFT(D469,5)="10USD",RIGHT(D469,3)="TTC",LEFT(D469,3)="TNT")</formula>
    </cfRule>
    <cfRule type="expression" dxfId="327" priority="326" stopIfTrue="1">
      <formula>OR(LEFT(D469,3)="CTU",LEFT(D469,4)="HDON")</formula>
    </cfRule>
    <cfRule type="expression" dxfId="326" priority="327" stopIfTrue="1">
      <formula>OR(LEFT(D469,4)="HOLD",OR(A469="QTNP",A469="HOA THO",A469="YES VINA",A469="HUNG YEN",A469="TEX GIANG",A469="HUNG LONG"),LEFT(A469,5)="HANES",LEFT(A469,3)="ITG")</formula>
    </cfRule>
  </conditionalFormatting>
  <conditionalFormatting sqref="D469">
    <cfRule type="expression" dxfId="325" priority="322" stopIfTrue="1">
      <formula>OR(LEFT(D469,4)="KHTT",LEFT(D469,5)="10USD",RIGHT(D469,3)="TTC",LEFT(D469,3)="TNT")</formula>
    </cfRule>
    <cfRule type="expression" dxfId="324" priority="323" stopIfTrue="1">
      <formula>OR(LEFT(D469,3)="CTU",LEFT(D469,4)="HDON")</formula>
    </cfRule>
    <cfRule type="expression" dxfId="323" priority="324" stopIfTrue="1">
      <formula>OR(LEFT(D469,4)="HOLD",OR(A469="QTNP",A469="HOA THO",A469="YES VINA",A469="HUNG YEN",A469="TEX GIANG",A469="HUNG LONG"),LEFT(A469,5)="HANES",LEFT(A469,3)="ITG")</formula>
    </cfRule>
  </conditionalFormatting>
  <conditionalFormatting sqref="D469">
    <cfRule type="expression" dxfId="322" priority="319" stopIfTrue="1">
      <formula>OR(LEFT(D469,4)="KHTT",LEFT(D469,5)="10USD",RIGHT(D469,3)="TTC",LEFT(D469,3)="TNT")</formula>
    </cfRule>
    <cfRule type="expression" dxfId="321" priority="320" stopIfTrue="1">
      <formula>OR(LEFT(D469,3)="CTU",LEFT(D469,4)="HDON")</formula>
    </cfRule>
    <cfRule type="expression" dxfId="320" priority="321" stopIfTrue="1">
      <formula>OR(LEFT(D469,4)="HOLD",OR(A469="QTNP",A469="HOA THO",A469="YES VINA",A469="HUNG YEN",A469="TEX GIANG",A469="HUNG LONG"),LEFT(A469,5)="HANES",LEFT(A469,3)="ITG")</formula>
    </cfRule>
  </conditionalFormatting>
  <conditionalFormatting sqref="D469">
    <cfRule type="expression" dxfId="319" priority="316" stopIfTrue="1">
      <formula>OR(LEFT(D469,4)="KHTT",LEFT(D469,5)="10USD",RIGHT(D469,3)="TTC",LEFT(D469,3)="TNT")</formula>
    </cfRule>
    <cfRule type="expression" dxfId="318" priority="317" stopIfTrue="1">
      <formula>OR(LEFT(D469,3)="CTU",LEFT(D469,4)="HDON")</formula>
    </cfRule>
    <cfRule type="expression" dxfId="317" priority="318" stopIfTrue="1">
      <formula>OR(LEFT(D469,4)="HOLD",OR(A469="QTNP",A469="HOA THO",A469="YES VINA",A469="HUNG YEN",A469="TEX GIANG",A469="HUNG LONG"),LEFT(A469,5)="HANES",LEFT(A469,3)="ITG")</formula>
    </cfRule>
  </conditionalFormatting>
  <conditionalFormatting sqref="D469">
    <cfRule type="expression" dxfId="316" priority="313" stopIfTrue="1">
      <formula>OR(LEFT(D469,4)="KHTT",LEFT(D469,5)="10USD",RIGHT(D469,3)="TTC",LEFT(D469,3)="TNT")</formula>
    </cfRule>
    <cfRule type="expression" dxfId="315" priority="314" stopIfTrue="1">
      <formula>OR(LEFT(D469,3)="CTU",LEFT(D469,4)="HDON")</formula>
    </cfRule>
    <cfRule type="expression" dxfId="314" priority="315" stopIfTrue="1">
      <formula>OR(LEFT(D469,4)="HOLD",OR(A469="QTNP",A469="HOA THO",A469="YES VINA",A469="HUNG YEN",A469="TEX GIANG",A469="HUNG LONG"),LEFT(A469,5)="HANES",LEFT(A469,3)="ITG")</formula>
    </cfRule>
  </conditionalFormatting>
  <conditionalFormatting sqref="D469">
    <cfRule type="expression" dxfId="313" priority="310" stopIfTrue="1">
      <formula>OR(LEFT(D469,4)="KHTT",LEFT(D469,5)="10USD",RIGHT(D469,3)="TTC",LEFT(D469,3)="TNT")</formula>
    </cfRule>
    <cfRule type="expression" dxfId="312" priority="311" stopIfTrue="1">
      <formula>OR(LEFT(D469,3)="CTU",LEFT(D469,4)="HDON")</formula>
    </cfRule>
    <cfRule type="expression" dxfId="311" priority="312" stopIfTrue="1">
      <formula>OR(LEFT(D469,4)="HOLD",OR(A469="QTNP",A469="HOA THO",A469="YES VINA",A469="HUNG YEN",A469="TEX GIANG",A469="HUNG LONG"),LEFT(A469,5)="HANES",LEFT(A469,3)="ITG")</formula>
    </cfRule>
  </conditionalFormatting>
  <conditionalFormatting sqref="D469">
    <cfRule type="expression" dxfId="310" priority="307" stopIfTrue="1">
      <formula>OR(LEFT(D469,4)="KHTT",LEFT(D469,5)="10USD",RIGHT(D469,3)="TTC",LEFT(D469,3)="TNT")</formula>
    </cfRule>
    <cfRule type="expression" dxfId="309" priority="308" stopIfTrue="1">
      <formula>OR(LEFT(D469,3)="CTU",LEFT(D469,4)="HDON")</formula>
    </cfRule>
    <cfRule type="expression" dxfId="308" priority="309" stopIfTrue="1">
      <formula>OR(LEFT(D469,4)="HOLD",OR(A469="QTNP",A469="HOA THO",A469="YES VINA",A469="HUNG YEN",A469="TEX GIANG",A469="HUNG LONG"),LEFT(A469,5)="HANES",LEFT(A469,3)="ITG")</formula>
    </cfRule>
  </conditionalFormatting>
  <conditionalFormatting sqref="D469">
    <cfRule type="expression" dxfId="307" priority="304" stopIfTrue="1">
      <formula>OR(LEFT(D469,4)="KHTT",LEFT(D469,5)="10USD",RIGHT(D469,3)="TTC",LEFT(D469,3)="TNT")</formula>
    </cfRule>
    <cfRule type="expression" dxfId="306" priority="305" stopIfTrue="1">
      <formula>OR(LEFT(D469,3)="CTU",LEFT(D469,4)="HDON")</formula>
    </cfRule>
    <cfRule type="expression" dxfId="305" priority="306" stopIfTrue="1">
      <formula>OR(LEFT(D469,4)="HOLD",OR(A469="QTNP",A469="HOA THO",A469="YES VINA",A469="HUNG YEN",A469="TEX GIANG",A469="HUNG LONG"),LEFT(A469,5)="HANES",LEFT(A469,3)="ITG")</formula>
    </cfRule>
  </conditionalFormatting>
  <conditionalFormatting sqref="D469">
    <cfRule type="expression" dxfId="304" priority="301" stopIfTrue="1">
      <formula>OR(LEFT(D469,4)="KHTT",LEFT(D469,5)="10USD",RIGHT(D469,3)="TTC",LEFT(D469,3)="TNT")</formula>
    </cfRule>
    <cfRule type="expression" dxfId="303" priority="302" stopIfTrue="1">
      <formula>OR(LEFT(D469,3)="CTU",LEFT(D469,4)="HDON")</formula>
    </cfRule>
    <cfRule type="expression" dxfId="302" priority="303" stopIfTrue="1">
      <formula>OR(LEFT(D469,4)="HOLD",OR(A469="QTNP",A469="HOA THO",A469="YES VINA",A469="HUNG YEN",A469="TEX GIANG",A469="HUNG LONG"),LEFT(A469,5)="HANES",LEFT(A469,3)="ITG")</formula>
    </cfRule>
  </conditionalFormatting>
  <conditionalFormatting sqref="D469">
    <cfRule type="expression" dxfId="301" priority="298" stopIfTrue="1">
      <formula>OR(LEFT(D469,4)="KHTT",LEFT(D469,5)="10USD",RIGHT(D469,3)="TTC",LEFT(D469,3)="TNT")</formula>
    </cfRule>
    <cfRule type="expression" dxfId="300" priority="299" stopIfTrue="1">
      <formula>OR(LEFT(D469,3)="CTU",LEFT(D469,4)="HDON")</formula>
    </cfRule>
    <cfRule type="expression" dxfId="299" priority="300" stopIfTrue="1">
      <formula>OR(LEFT(D469,4)="HOLD",OR(A469="QTNP",A469="HOA THO",A469="YES VINA",A469="HUNG YEN",A469="TEX GIANG",A469="HUNG LONG"),LEFT(A469,5)="HANES",LEFT(A469,3)="ITG")</formula>
    </cfRule>
  </conditionalFormatting>
  <conditionalFormatting sqref="D469">
    <cfRule type="expression" dxfId="298" priority="295" stopIfTrue="1">
      <formula>OR(LEFT(D469,4)="KHTT",LEFT(D469,5)="10USD",RIGHT(D469,3)="TTC",LEFT(D469,3)="TNT")</formula>
    </cfRule>
    <cfRule type="expression" dxfId="297" priority="296" stopIfTrue="1">
      <formula>OR(LEFT(D469,3)="CTU",LEFT(D469,4)="HDON")</formula>
    </cfRule>
    <cfRule type="expression" dxfId="296" priority="297" stopIfTrue="1">
      <formula>OR(LEFT(D469,4)="HOLD",OR(A469="QTNP",A469="HOA THO",A469="YES VINA",A469="HUNG YEN",A469="TEX GIANG",A469="HUNG LONG"),LEFT(A469,5)="HANES",LEFT(A469,3)="ITG")</formula>
    </cfRule>
  </conditionalFormatting>
  <conditionalFormatting sqref="D469">
    <cfRule type="expression" dxfId="295" priority="292" stopIfTrue="1">
      <formula>OR(LEFT(D469,4)="KHTT",LEFT(D469,5)="10USD",RIGHT(D469,3)="TTC",LEFT(D469,3)="TNT")</formula>
    </cfRule>
    <cfRule type="expression" dxfId="294" priority="293" stopIfTrue="1">
      <formula>OR(LEFT(D469,3)="CTU",LEFT(D469,4)="HDON")</formula>
    </cfRule>
    <cfRule type="expression" dxfId="293" priority="294" stopIfTrue="1">
      <formula>OR(LEFT(D469,4)="HOLD",OR(A469="QTNP",A469="HOA THO",A469="YES VINA",A469="HUNG YEN",A469="TEX GIANG",A469="HUNG LONG"),LEFT(A469,5)="HANES",LEFT(A469,3)="ITG")</formula>
    </cfRule>
  </conditionalFormatting>
  <conditionalFormatting sqref="D469">
    <cfRule type="expression" dxfId="292" priority="289" stopIfTrue="1">
      <formula>OR(LEFT(D469,4)="KHTT",LEFT(D469,5)="10USD",RIGHT(D469,3)="TTC",LEFT(D469,3)="TNT")</formula>
    </cfRule>
    <cfRule type="expression" dxfId="291" priority="290" stopIfTrue="1">
      <formula>OR(LEFT(D469,3)="CTU",LEFT(D469,4)="HDON")</formula>
    </cfRule>
    <cfRule type="expression" dxfId="290" priority="291" stopIfTrue="1">
      <formula>OR(LEFT(D469,4)="HOLD",OR(A469="QTNP",A469="HOA THO",A469="YES VINA",A469="HUNG YEN",A469="TEX GIANG",A469="HUNG LONG"),LEFT(A469,5)="HANES",LEFT(A469,3)="ITG")</formula>
    </cfRule>
  </conditionalFormatting>
  <conditionalFormatting sqref="D469">
    <cfRule type="expression" dxfId="289" priority="286" stopIfTrue="1">
      <formula>OR(LEFT(D469,4)="KHTT",LEFT(D469,5)="10USD",RIGHT(D469,3)="TTC",LEFT(D469,3)="TNT")</formula>
    </cfRule>
    <cfRule type="expression" dxfId="288" priority="287" stopIfTrue="1">
      <formula>OR(LEFT(D469,3)="CTU",LEFT(D469,4)="HDON")</formula>
    </cfRule>
    <cfRule type="expression" dxfId="287" priority="288" stopIfTrue="1">
      <formula>OR(LEFT(D469,4)="HOLD",OR(A469="QTNP",A469="HOA THO",A469="YES VINA",A469="HUNG YEN",A469="TEX GIANG",A469="HUNG LONG"),LEFT(A469,5)="HANES",LEFT(A469,3)="ITG")</formula>
    </cfRule>
  </conditionalFormatting>
  <conditionalFormatting sqref="D469">
    <cfRule type="expression" dxfId="286" priority="283" stopIfTrue="1">
      <formula>OR(LEFT(D469,4)="KHTT",LEFT(D469,5)="10USD",RIGHT(D469,3)="TTC",LEFT(D469,3)="TNT")</formula>
    </cfRule>
    <cfRule type="expression" dxfId="285" priority="284" stopIfTrue="1">
      <formula>OR(LEFT(D469,3)="CTU",LEFT(D469,4)="HDON")</formula>
    </cfRule>
    <cfRule type="expression" dxfId="284" priority="285" stopIfTrue="1">
      <formula>OR(LEFT(D469,4)="HOLD",OR(A469="QTNP",A469="HOA THO",A469="YES VINA",A469="HUNG YEN",A469="TEX GIANG",A469="HUNG LONG"),LEFT(A469,5)="HANES",LEFT(A469,3)="ITG")</formula>
    </cfRule>
  </conditionalFormatting>
  <conditionalFormatting sqref="D469">
    <cfRule type="expression" dxfId="283" priority="280" stopIfTrue="1">
      <formula>OR(LEFT(D469,4)="KHTT",LEFT(D469,5)="10USD",RIGHT(D469,3)="TTC",LEFT(D469,3)="TNT")</formula>
    </cfRule>
    <cfRule type="expression" dxfId="282" priority="281" stopIfTrue="1">
      <formula>OR(LEFT(D469,3)="CTU",LEFT(D469,4)="HDON")</formula>
    </cfRule>
    <cfRule type="expression" dxfId="281" priority="282" stopIfTrue="1">
      <formula>OR(LEFT(D469,4)="HOLD",OR(A469="QTNP",A469="HOA THO",A469="YES VINA",A469="HUNG YEN",A469="TEX GIANG",A469="HUNG LONG"),LEFT(A469,5)="HANES",LEFT(A469,3)="ITG")</formula>
    </cfRule>
  </conditionalFormatting>
  <conditionalFormatting sqref="D469">
    <cfRule type="expression" dxfId="280" priority="277" stopIfTrue="1">
      <formula>OR(LEFT(D469,4)="KHTT",LEFT(D469,5)="10USD",RIGHT(D469,3)="TTC",LEFT(D469,3)="TNT")</formula>
    </cfRule>
    <cfRule type="expression" dxfId="279" priority="278" stopIfTrue="1">
      <formula>OR(LEFT(D469,3)="CTU",LEFT(D469,4)="HDON")</formula>
    </cfRule>
    <cfRule type="expression" dxfId="278" priority="279" stopIfTrue="1">
      <formula>OR(LEFT(D469,4)="HOLD",OR(A469="QTNP",A469="HOA THO",A469="YES VINA",A469="HUNG YEN",A469="TEX GIANG",A469="HUNG LONG"),LEFT(A469,5)="HANES",LEFT(A469,3)="ITG")</formula>
    </cfRule>
  </conditionalFormatting>
  <conditionalFormatting sqref="D469">
    <cfRule type="expression" dxfId="277" priority="274" stopIfTrue="1">
      <formula>OR(LEFT(D469,4)="KHTT",LEFT(D469,5)="10USD",RIGHT(D469,3)="TTC",LEFT(D469,3)="TNT")</formula>
    </cfRule>
    <cfRule type="expression" dxfId="276" priority="275" stopIfTrue="1">
      <formula>OR(LEFT(D469,3)="CTU",LEFT(D469,4)="HDON")</formula>
    </cfRule>
    <cfRule type="expression" dxfId="275" priority="276" stopIfTrue="1">
      <formula>OR(LEFT(D469,4)="HOLD",OR(A469="QTNP",A469="HOA THO",A469="YES VINA",A469="HUNG YEN",A469="TEX GIANG",A469="HUNG LONG"),LEFT(A469,5)="HANES",LEFT(A469,3)="ITG")</formula>
    </cfRule>
  </conditionalFormatting>
  <conditionalFormatting sqref="D469">
    <cfRule type="expression" dxfId="274" priority="271" stopIfTrue="1">
      <formula>OR(LEFT(D469,4)="KHTT",LEFT(D469,5)="10USD",RIGHT(D469,3)="TTC",LEFT(D469,3)="TNT")</formula>
    </cfRule>
    <cfRule type="expression" dxfId="273" priority="272" stopIfTrue="1">
      <formula>OR(LEFT(D469,3)="CTU",LEFT(D469,4)="HDON")</formula>
    </cfRule>
    <cfRule type="expression" dxfId="272" priority="273" stopIfTrue="1">
      <formula>OR(LEFT(D469,4)="HOLD",OR(A469="QTNP",A469="HOA THO",A469="YES VINA",A469="HUNG YEN",A469="TEX GIANG",A469="HUNG LONG"),LEFT(A469,5)="HANES",LEFT(A469,3)="ITG")</formula>
    </cfRule>
  </conditionalFormatting>
  <conditionalFormatting sqref="D469">
    <cfRule type="expression" dxfId="271" priority="268" stopIfTrue="1">
      <formula>OR(LEFT(D469,4)="KHTT",LEFT(D469,5)="10USD",RIGHT(D469,3)="TTC",LEFT(D469,3)="TNT")</formula>
    </cfRule>
    <cfRule type="expression" dxfId="270" priority="269" stopIfTrue="1">
      <formula>OR(LEFT(D469,3)="CTU",LEFT(D469,4)="HDON")</formula>
    </cfRule>
    <cfRule type="expression" dxfId="269" priority="270" stopIfTrue="1">
      <formula>OR(LEFT(D469,4)="HOLD",OR(A469="QTNP",A469="HOA THO",A469="YES VINA",A469="HUNG YEN",A469="TEX GIANG",A469="HUNG LONG"),LEFT(A469,5)="HANES",LEFT(A469,3)="ITG")</formula>
    </cfRule>
  </conditionalFormatting>
  <conditionalFormatting sqref="D469">
    <cfRule type="expression" dxfId="268" priority="265" stopIfTrue="1">
      <formula>OR(LEFT(D469,4)="KHTT",LEFT(D469,5)="10USD",RIGHT(D469,3)="TTC",LEFT(D469,3)="TNT")</formula>
    </cfRule>
    <cfRule type="expression" dxfId="267" priority="266" stopIfTrue="1">
      <formula>OR(LEFT(D469,3)="CTU",LEFT(D469,4)="HDON")</formula>
    </cfRule>
    <cfRule type="expression" dxfId="266" priority="267" stopIfTrue="1">
      <formula>OR(LEFT(D469,4)="HOLD",OR(A469="QTNP",A469="HOA THO",A469="YES VINA",A469="HUNG YEN",A469="TEX GIANG",A469="HUNG LONG"),LEFT(A469,5)="HANES",LEFT(A469,3)="ITG")</formula>
    </cfRule>
  </conditionalFormatting>
  <conditionalFormatting sqref="D469">
    <cfRule type="expression" dxfId="265" priority="262" stopIfTrue="1">
      <formula>OR(LEFT(D469,4)="KHTT",LEFT(D469,5)="10USD",RIGHT(D469,3)="TTC",LEFT(D469,3)="TNT")</formula>
    </cfRule>
    <cfRule type="expression" dxfId="264" priority="263" stopIfTrue="1">
      <formula>OR(LEFT(D469,3)="CTU",LEFT(D469,4)="HDON")</formula>
    </cfRule>
    <cfRule type="expression" dxfId="263" priority="264" stopIfTrue="1">
      <formula>OR(LEFT(D469,4)="HOLD",OR(A469="QTNP",A469="HOA THO",A469="YES VINA",A469="HUNG YEN",A469="TEX GIANG",A469="HUNG LONG"),LEFT(A469,5)="HANES",LEFT(A469,3)="ITG")</formula>
    </cfRule>
  </conditionalFormatting>
  <conditionalFormatting sqref="D469">
    <cfRule type="expression" dxfId="262" priority="259" stopIfTrue="1">
      <formula>OR(LEFT(D469,4)="KHTT",LEFT(D469,5)="10USD",RIGHT(D469,3)="TTC",LEFT(D469,3)="TNT")</formula>
    </cfRule>
    <cfRule type="expression" dxfId="261" priority="260" stopIfTrue="1">
      <formula>OR(LEFT(D469,3)="CTU",LEFT(D469,4)="HDON")</formula>
    </cfRule>
    <cfRule type="expression" dxfId="260" priority="261" stopIfTrue="1">
      <formula>OR(LEFT(D469,4)="HOLD",OR(A469="QTNP",A469="HOA THO",A469="YES VINA",A469="HUNG YEN",A469="TEX GIANG",A469="HUNG LONG"),LEFT(A469,5)="HANES",LEFT(A469,3)="ITG")</formula>
    </cfRule>
  </conditionalFormatting>
  <conditionalFormatting sqref="D469">
    <cfRule type="expression" dxfId="259" priority="256" stopIfTrue="1">
      <formula>OR(LEFT(D469,4)="KHTT",LEFT(D469,5)="10USD",RIGHT(D469,3)="TTC",LEFT(D469,3)="TNT")</formula>
    </cfRule>
    <cfRule type="expression" dxfId="258" priority="257" stopIfTrue="1">
      <formula>OR(LEFT(D469,3)="CTU",LEFT(D469,4)="HDON")</formula>
    </cfRule>
    <cfRule type="expression" dxfId="257" priority="258" stopIfTrue="1">
      <formula>OR(LEFT(D469,4)="HOLD",OR(A469="QTNP",A469="HOA THO",A469="YES VINA",A469="HUNG YEN",A469="TEX GIANG",A469="HUNG LONG"),LEFT(A469,5)="HANES",LEFT(A469,3)="ITG")</formula>
    </cfRule>
  </conditionalFormatting>
  <conditionalFormatting sqref="D469">
    <cfRule type="expression" dxfId="256" priority="253" stopIfTrue="1">
      <formula>OR(LEFT(D469,4)="KHTT",LEFT(D469,5)="10USD",RIGHT(D469,3)="TTC",LEFT(D469,3)="TNT")</formula>
    </cfRule>
    <cfRule type="expression" dxfId="255" priority="254" stopIfTrue="1">
      <formula>OR(LEFT(D469,3)="CTU",LEFT(D469,4)="HDON")</formula>
    </cfRule>
    <cfRule type="expression" dxfId="254" priority="255" stopIfTrue="1">
      <formula>OR(LEFT(D469,4)="HOLD",OR(A469="QTNP",A469="HOA THO",A469="YES VINA",A469="HUNG YEN",A469="TEX GIANG",A469="HUNG LONG"),LEFT(A469,5)="HANES",LEFT(A469,3)="ITG")</formula>
    </cfRule>
  </conditionalFormatting>
  <conditionalFormatting sqref="D469">
    <cfRule type="expression" dxfId="253" priority="250" stopIfTrue="1">
      <formula>OR(LEFT(D469,4)="KHTT",LEFT(D469,5)="10USD",RIGHT(D469,3)="TTC",LEFT(D469,3)="TNT")</formula>
    </cfRule>
    <cfRule type="expression" dxfId="252" priority="251" stopIfTrue="1">
      <formula>OR(LEFT(D469,3)="CTU",LEFT(D469,4)="HDON")</formula>
    </cfRule>
    <cfRule type="expression" dxfId="251" priority="252" stopIfTrue="1">
      <formula>OR(LEFT(D469,4)="HOLD",OR(A469="QTNP",A469="HOA THO",A469="YES VINA",A469="HUNG YEN",A469="TEX GIANG",A469="HUNG LONG"),LEFT(A469,5)="HANES",LEFT(A469,3)="ITG")</formula>
    </cfRule>
  </conditionalFormatting>
  <conditionalFormatting sqref="D469">
    <cfRule type="expression" dxfId="250" priority="247" stopIfTrue="1">
      <formula>OR(LEFT(D469,4)="KHTT",LEFT(D469,5)="10USD",RIGHT(D469,3)="TTC",LEFT(D469,3)="TNT")</formula>
    </cfRule>
    <cfRule type="expression" dxfId="249" priority="248" stopIfTrue="1">
      <formula>OR(LEFT(D469,3)="CTU",LEFT(D469,4)="HDON")</formula>
    </cfRule>
    <cfRule type="expression" dxfId="248" priority="249" stopIfTrue="1">
      <formula>OR(LEFT(D469,4)="HOLD",OR(A469="QTNP",A469="HOA THO",A469="YES VINA",A469="HUNG YEN",A469="TEX GIANG",A469="HUNG LONG"),LEFT(A469,5)="HANES",LEFT(A469,3)="ITG")</formula>
    </cfRule>
  </conditionalFormatting>
  <conditionalFormatting sqref="D469">
    <cfRule type="expression" dxfId="247" priority="244" stopIfTrue="1">
      <formula>OR(LEFT(D469,4)="KHTT",LEFT(D469,5)="10USD",RIGHT(D469,3)="TTC",LEFT(D469,3)="TNT")</formula>
    </cfRule>
    <cfRule type="expression" dxfId="246" priority="245" stopIfTrue="1">
      <formula>OR(LEFT(D469,3)="CTU",LEFT(D469,4)="HDON")</formula>
    </cfRule>
    <cfRule type="expression" dxfId="245" priority="246" stopIfTrue="1">
      <formula>OR(LEFT(D469,4)="HOLD",OR(A469="QTNP",A469="HOA THO",A469="YES VINA",A469="HUNG YEN",A469="TEX GIANG",A469="HUNG LONG"),LEFT(A469,5)="HANES",LEFT(A469,3)="ITG")</formula>
    </cfRule>
  </conditionalFormatting>
  <conditionalFormatting sqref="D469">
    <cfRule type="expression" dxfId="244" priority="241" stopIfTrue="1">
      <formula>OR(LEFT(D469,4)="KHTT",LEFT(D469,5)="10USD",RIGHT(D469,3)="TTC",LEFT(D469,3)="TNT")</formula>
    </cfRule>
    <cfRule type="expression" dxfId="243" priority="242" stopIfTrue="1">
      <formula>OR(LEFT(D469,3)="CTU",LEFT(D469,4)="HDON")</formula>
    </cfRule>
    <cfRule type="expression" dxfId="242" priority="243" stopIfTrue="1">
      <formula>OR(LEFT(D469,4)="HOLD",OR(A469="QTNP",A469="HOA THO",A469="YES VINA",A469="HUNG YEN",A469="TEX GIANG",A469="HUNG LONG"),LEFT(A469,5)="HANES",LEFT(A469,3)="ITG")</formula>
    </cfRule>
  </conditionalFormatting>
  <conditionalFormatting sqref="D469">
    <cfRule type="expression" dxfId="241" priority="238" stopIfTrue="1">
      <formula>OR(LEFT(D469,4)="KHTT",LEFT(D469,5)="10USD",RIGHT(D469,3)="TTC",LEFT(D469,3)="TNT")</formula>
    </cfRule>
    <cfRule type="expression" dxfId="240" priority="239" stopIfTrue="1">
      <formula>OR(LEFT(D469,3)="CTU",LEFT(D469,4)="HDON")</formula>
    </cfRule>
    <cfRule type="expression" dxfId="239" priority="240" stopIfTrue="1">
      <formula>OR(LEFT(D469,4)="HOLD",OR(A469="QTNP",A469="HOA THO",A469="YES VINA",A469="HUNG YEN",A469="TEX GIANG",A469="HUNG LONG"),LEFT(A469,5)="HANES",LEFT(A469,3)="ITG")</formula>
    </cfRule>
  </conditionalFormatting>
  <conditionalFormatting sqref="D469">
    <cfRule type="expression" dxfId="238" priority="235" stopIfTrue="1">
      <formula>OR(LEFT(D469,4)="KHTT",LEFT(D469,5)="10USD",RIGHT(D469,3)="TTC",LEFT(D469,3)="TNT")</formula>
    </cfRule>
    <cfRule type="expression" dxfId="237" priority="236" stopIfTrue="1">
      <formula>OR(LEFT(D469,3)="CTU",LEFT(D469,4)="HDON")</formula>
    </cfRule>
    <cfRule type="expression" dxfId="236" priority="237" stopIfTrue="1">
      <formula>OR(LEFT(D469,4)="HOLD",OR(A469="QTNP",A469="HOA THO",A469="YES VINA",A469="HUNG YEN",A469="TEX GIANG",A469="HUNG LONG"),LEFT(A469,5)="HANES",LEFT(A469,3)="ITG")</formula>
    </cfRule>
  </conditionalFormatting>
  <conditionalFormatting sqref="D469">
    <cfRule type="expression" dxfId="235" priority="232" stopIfTrue="1">
      <formula>OR(LEFT(D469,4)="KHTT",LEFT(D469,5)="10USD",RIGHT(D469,3)="TTC",LEFT(D469,3)="TNT")</formula>
    </cfRule>
    <cfRule type="expression" dxfId="234" priority="233" stopIfTrue="1">
      <formula>OR(LEFT(D469,3)="CTU",LEFT(D469,4)="HDON")</formula>
    </cfRule>
    <cfRule type="expression" dxfId="233" priority="234" stopIfTrue="1">
      <formula>OR(LEFT(D469,4)="HOLD",OR(A469="QTNP",A469="HOA THO",A469="YES VINA",A469="HUNG YEN",A469="TEX GIANG",A469="HUNG LONG"),LEFT(A469,5)="HANES",LEFT(A469,3)="ITG")</formula>
    </cfRule>
  </conditionalFormatting>
  <conditionalFormatting sqref="D469">
    <cfRule type="expression" dxfId="232" priority="229" stopIfTrue="1">
      <formula>OR(LEFT(D469,4)="KHTT",LEFT(D469,5)="10USD",RIGHT(D469,3)="TTC",LEFT(D469,3)="TNT")</formula>
    </cfRule>
    <cfRule type="expression" dxfId="231" priority="230" stopIfTrue="1">
      <formula>OR(LEFT(D469,3)="CTU",LEFT(D469,4)="HDON")</formula>
    </cfRule>
    <cfRule type="expression" dxfId="230" priority="231" stopIfTrue="1">
      <formula>OR(LEFT(D469,4)="HOLD",OR(A469="QTNP",A469="HOA THO",A469="YES VINA",A469="HUNG YEN",A469="TEX GIANG",A469="HUNG LONG"),LEFT(A469,5)="HANES",LEFT(A469,3)="ITG")</formula>
    </cfRule>
  </conditionalFormatting>
  <conditionalFormatting sqref="D469">
    <cfRule type="expression" dxfId="229" priority="226" stopIfTrue="1">
      <formula>OR(LEFT(D469,4)="KHTT",LEFT(D469,5)="10USD",RIGHT(D469,3)="TTC",LEFT(D469,3)="TNT")</formula>
    </cfRule>
    <cfRule type="expression" dxfId="228" priority="227" stopIfTrue="1">
      <formula>OR(LEFT(D469,3)="CTU",LEFT(D469,4)="HDON")</formula>
    </cfRule>
    <cfRule type="expression" dxfId="227" priority="228" stopIfTrue="1">
      <formula>OR(LEFT(D469,4)="HOLD",OR(A469="QTNP",A469="HOA THO",A469="YES VINA",A469="HUNG YEN",A469="TEX GIANG",A469="HUNG LONG"),LEFT(A469,5)="HANES",LEFT(A469,3)="ITG")</formula>
    </cfRule>
  </conditionalFormatting>
  <conditionalFormatting sqref="D469">
    <cfRule type="expression" dxfId="226" priority="223" stopIfTrue="1">
      <formula>OR(LEFT(D469,4)="KHTT",LEFT(D469,5)="10USD",RIGHT(D469,3)="TTC",LEFT(D469,3)="TNT")</formula>
    </cfRule>
    <cfRule type="expression" dxfId="225" priority="224" stopIfTrue="1">
      <formula>OR(LEFT(D469,3)="CTU",LEFT(D469,4)="HDON")</formula>
    </cfRule>
    <cfRule type="expression" dxfId="224" priority="225" stopIfTrue="1">
      <formula>OR(LEFT(D469,4)="HOLD",OR(A469="QTNP",A469="HOA THO",A469="YES VINA",A469="HUNG YEN",A469="TEX GIANG",A469="HUNG LONG"),LEFT(A469,5)="HANES",LEFT(A469,3)="ITG")</formula>
    </cfRule>
  </conditionalFormatting>
  <conditionalFormatting sqref="D469">
    <cfRule type="expression" dxfId="223" priority="220" stopIfTrue="1">
      <formula>OR(LEFT(D469,4)="KHTT",LEFT(D469,5)="10USD",RIGHT(D469,3)="TTC",LEFT(D469,3)="TNT")</formula>
    </cfRule>
    <cfRule type="expression" dxfId="222" priority="221" stopIfTrue="1">
      <formula>OR(LEFT(D469,3)="CTU",LEFT(D469,4)="HDON")</formula>
    </cfRule>
    <cfRule type="expression" dxfId="221" priority="222" stopIfTrue="1">
      <formula>OR(LEFT(D469,4)="HOLD",OR(A469="QTNP",A469="HOA THO",A469="YES VINA",A469="HUNG YEN",A469="TEX GIANG",A469="HUNG LONG"),LEFT(A469,5)="HANES",LEFT(A469,3)="ITG")</formula>
    </cfRule>
  </conditionalFormatting>
  <conditionalFormatting sqref="D469">
    <cfRule type="expression" dxfId="220" priority="217" stopIfTrue="1">
      <formula>OR(LEFT(D469,4)="KHTT",LEFT(D469,5)="10USD",RIGHT(D469,3)="TTC",LEFT(D469,3)="TNT")</formula>
    </cfRule>
    <cfRule type="expression" dxfId="219" priority="218" stopIfTrue="1">
      <formula>OR(LEFT(D469,3)="CTU",LEFT(D469,4)="HDON")</formula>
    </cfRule>
    <cfRule type="expression" dxfId="218" priority="219" stopIfTrue="1">
      <formula>OR(LEFT(D469,4)="HOLD",OR(A469="QTNP",A469="HOA THO",A469="YES VINA",A469="HUNG YEN",A469="TEX GIANG",A469="HUNG LONG"),LEFT(A469,5)="HANES",LEFT(A469,3)="ITG")</formula>
    </cfRule>
  </conditionalFormatting>
  <conditionalFormatting sqref="D469">
    <cfRule type="expression" dxfId="217" priority="214" stopIfTrue="1">
      <formula>OR(LEFT(D469,4)="KHTT",LEFT(D469,5)="10USD",RIGHT(D469,3)="TTC",LEFT(D469,3)="TNT")</formula>
    </cfRule>
    <cfRule type="expression" dxfId="216" priority="215" stopIfTrue="1">
      <formula>OR(LEFT(D469,3)="CTU",LEFT(D469,4)="HDON")</formula>
    </cfRule>
    <cfRule type="expression" dxfId="215" priority="216" stopIfTrue="1">
      <formula>OR(LEFT(D469,4)="HOLD",OR(A469="QTNP",A469="HOA THO",A469="YES VINA",A469="HUNG YEN",A469="TEX GIANG",A469="HUNG LONG"),LEFT(A469,5)="HANES",LEFT(A469,3)="ITG")</formula>
    </cfRule>
  </conditionalFormatting>
  <conditionalFormatting sqref="D469">
    <cfRule type="expression" dxfId="214" priority="211" stopIfTrue="1">
      <formula>OR(LEFT(D469,4)="KHTT",LEFT(D469,5)="10USD",RIGHT(D469,3)="TTC",LEFT(D469,3)="TNT")</formula>
    </cfRule>
    <cfRule type="expression" dxfId="213" priority="212" stopIfTrue="1">
      <formula>OR(LEFT(D469,3)="CTU",LEFT(D469,4)="HDON")</formula>
    </cfRule>
    <cfRule type="expression" dxfId="212" priority="213" stopIfTrue="1">
      <formula>OR(LEFT(D469,4)="HOLD",OR(A469="QTNP",A469="HOA THO",A469="YES VINA",A469="HUNG YEN",A469="TEX GIANG",A469="HUNG LONG"),LEFT(A469,5)="HANES",LEFT(A469,3)="ITG")</formula>
    </cfRule>
  </conditionalFormatting>
  <conditionalFormatting sqref="D469">
    <cfRule type="expression" dxfId="211" priority="208" stopIfTrue="1">
      <formula>OR(LEFT(D469,4)="KHTT",LEFT(D469,5)="10USD",RIGHT(D469,3)="TTC",LEFT(D469,3)="TNT")</formula>
    </cfRule>
    <cfRule type="expression" dxfId="210" priority="209" stopIfTrue="1">
      <formula>OR(LEFT(D469,3)="CTU",LEFT(D469,4)="HDON")</formula>
    </cfRule>
    <cfRule type="expression" dxfId="209" priority="210" stopIfTrue="1">
      <formula>OR(LEFT(D469,4)="HOLD",OR(A469="QTNP",A469="HOA THO",A469="YES VINA",A469="HUNG YEN",A469="TEX GIANG",A469="HUNG LONG"),LEFT(A469,5)="HANES",LEFT(A469,3)="ITG")</formula>
    </cfRule>
  </conditionalFormatting>
  <conditionalFormatting sqref="D469">
    <cfRule type="expression" dxfId="208" priority="205" stopIfTrue="1">
      <formula>OR(LEFT(D469,4)="KHTT",LEFT(D469,5)="10USD",RIGHT(D469,3)="TTC",LEFT(D469,3)="TNT")</formula>
    </cfRule>
    <cfRule type="expression" dxfId="207" priority="206" stopIfTrue="1">
      <formula>OR(LEFT(D469,3)="CTU",LEFT(D469,4)="HDON")</formula>
    </cfRule>
    <cfRule type="expression" dxfId="206" priority="207" stopIfTrue="1">
      <formula>OR(LEFT(D469,4)="HOLD",OR(A469="QTNP",A469="HOA THO",A469="YES VINA",A469="HUNG YEN",A469="TEX GIANG",A469="HUNG LONG"),LEFT(A469,5)="HANES",LEFT(A469,3)="ITG")</formula>
    </cfRule>
  </conditionalFormatting>
  <conditionalFormatting sqref="D469">
    <cfRule type="expression" dxfId="205" priority="202" stopIfTrue="1">
      <formula>OR(LEFT(D469,4)="KHTT",LEFT(D469,5)="10USD",RIGHT(D469,3)="TTC",LEFT(D469,3)="TNT")</formula>
    </cfRule>
    <cfRule type="expression" dxfId="204" priority="203" stopIfTrue="1">
      <formula>OR(LEFT(D469,3)="CTU",LEFT(D469,4)="HDON")</formula>
    </cfRule>
    <cfRule type="expression" dxfId="203" priority="204" stopIfTrue="1">
      <formula>OR(LEFT(D469,4)="HOLD",OR(A469="QTNP",A469="HOA THO",A469="YES VINA",A469="HUNG YEN",A469="TEX GIANG",A469="HUNG LONG"),LEFT(A469,5)="HANES",LEFT(A469,3)="ITG")</formula>
    </cfRule>
  </conditionalFormatting>
  <conditionalFormatting sqref="D469">
    <cfRule type="expression" dxfId="202" priority="199" stopIfTrue="1">
      <formula>OR(LEFT(D469,4)="KHTT",LEFT(D469,5)="10USD",RIGHT(D469,3)="TTC",LEFT(D469,3)="TNT")</formula>
    </cfRule>
    <cfRule type="expression" dxfId="201" priority="200" stopIfTrue="1">
      <formula>OR(LEFT(D469,3)="CTU",LEFT(D469,4)="HDON")</formula>
    </cfRule>
    <cfRule type="expression" dxfId="200" priority="201" stopIfTrue="1">
      <formula>OR(LEFT(D469,4)="HOLD",OR(A469="QTNP",A469="HOA THO",A469="YES VINA",A469="HUNG YEN",A469="TEX GIANG",A469="HUNG LONG"),LEFT(A469,5)="HANES",LEFT(A469,3)="ITG")</formula>
    </cfRule>
  </conditionalFormatting>
  <conditionalFormatting sqref="D469">
    <cfRule type="expression" dxfId="199" priority="196" stopIfTrue="1">
      <formula>OR(LEFT(D469,4)="KHTT",LEFT(D469,5)="10USD",RIGHT(D469,3)="TTC",LEFT(D469,3)="TNT")</formula>
    </cfRule>
    <cfRule type="expression" dxfId="198" priority="197" stopIfTrue="1">
      <formula>OR(LEFT(D469,3)="CTU",LEFT(D469,4)="HDON")</formula>
    </cfRule>
    <cfRule type="expression" dxfId="197" priority="198" stopIfTrue="1">
      <formula>OR(LEFT(D469,4)="HOLD",OR(A469="QTNP",A469="HOA THO",A469="YES VINA",A469="HUNG YEN",A469="TEX GIANG",A469="HUNG LONG"),LEFT(A469,5)="HANES",LEFT(A469,3)="ITG")</formula>
    </cfRule>
  </conditionalFormatting>
  <conditionalFormatting sqref="D469">
    <cfRule type="expression" dxfId="196" priority="193" stopIfTrue="1">
      <formula>OR(LEFT(D469,4)="KHTT",LEFT(D469,5)="10USD",RIGHT(D469,3)="TTC",LEFT(D469,3)="TNT")</formula>
    </cfRule>
    <cfRule type="expression" dxfId="195" priority="194" stopIfTrue="1">
      <formula>OR(LEFT(D469,3)="CTU",LEFT(D469,4)="HDON")</formula>
    </cfRule>
    <cfRule type="expression" dxfId="194" priority="195" stopIfTrue="1">
      <formula>OR(LEFT(D469,4)="HOLD",OR(A469="QTNP",A469="HOA THO",A469="YES VINA",A469="HUNG YEN",A469="TEX GIANG",A469="HUNG LONG"),LEFT(A469,5)="HANES",LEFT(A469,3)="ITG")</formula>
    </cfRule>
  </conditionalFormatting>
  <conditionalFormatting sqref="D469">
    <cfRule type="expression" dxfId="193" priority="190" stopIfTrue="1">
      <formula>OR(LEFT(D469,4)="KHTT",LEFT(D469,5)="10USD",RIGHT(D469,3)="TTC",LEFT(D469,3)="TNT")</formula>
    </cfRule>
    <cfRule type="expression" dxfId="192" priority="191" stopIfTrue="1">
      <formula>OR(LEFT(D469,3)="CTU",LEFT(D469,4)="HDON")</formula>
    </cfRule>
    <cfRule type="expression" dxfId="191" priority="192" stopIfTrue="1">
      <formula>OR(LEFT(D469,4)="HOLD",OR(A469="QTNP",A469="HOA THO",A469="YES VINA",A469="HUNG YEN",A469="TEX GIANG",A469="HUNG LONG"),LEFT(A469,5)="HANES",LEFT(A469,3)="ITG")</formula>
    </cfRule>
  </conditionalFormatting>
  <conditionalFormatting sqref="D469">
    <cfRule type="expression" dxfId="190" priority="187" stopIfTrue="1">
      <formula>OR(LEFT(D469,4)="KHTT",LEFT(D469,5)="10USD",RIGHT(D469,3)="TTC",LEFT(D469,3)="TNT")</formula>
    </cfRule>
    <cfRule type="expression" dxfId="189" priority="188" stopIfTrue="1">
      <formula>OR(LEFT(D469,3)="CTU",LEFT(D469,4)="HDON")</formula>
    </cfRule>
    <cfRule type="expression" dxfId="188" priority="189" stopIfTrue="1">
      <formula>OR(LEFT(D469,4)="HOLD",OR(A469="QTNP",A469="HOA THO",A469="YES VINA",A469="HUNG YEN",A469="TEX GIANG",A469="HUNG LONG"),LEFT(A469,5)="HANES",LEFT(A469,3)="ITG")</formula>
    </cfRule>
  </conditionalFormatting>
  <conditionalFormatting sqref="D469">
    <cfRule type="expression" dxfId="187" priority="184" stopIfTrue="1">
      <formula>OR(LEFT(D469,4)="KHTT",LEFT(D469,5)="10USD",RIGHT(D469,3)="TTC",LEFT(D469,3)="TNT")</formula>
    </cfRule>
    <cfRule type="expression" dxfId="186" priority="185" stopIfTrue="1">
      <formula>OR(LEFT(D469,3)="CTU",LEFT(D469,4)="HDON")</formula>
    </cfRule>
    <cfRule type="expression" dxfId="185" priority="186" stopIfTrue="1">
      <formula>OR(LEFT(D469,4)="HOLD",OR(A469="QTNP",A469="HOA THO",A469="YES VINA",A469="HUNG YEN",A469="TEX GIANG",A469="HUNG LONG"),LEFT(A469,5)="HANES",LEFT(A469,3)="ITG")</formula>
    </cfRule>
  </conditionalFormatting>
  <conditionalFormatting sqref="D469">
    <cfRule type="expression" dxfId="184" priority="181" stopIfTrue="1">
      <formula>OR(LEFT(D469,4)="KHTT",LEFT(D469,5)="10USD",RIGHT(D469,3)="TTC",LEFT(D469,3)="TNT")</formula>
    </cfRule>
    <cfRule type="expression" dxfId="183" priority="182" stopIfTrue="1">
      <formula>OR(LEFT(D469,3)="CTU",LEFT(D469,4)="HDON")</formula>
    </cfRule>
    <cfRule type="expression" dxfId="182" priority="183" stopIfTrue="1">
      <formula>OR(LEFT(D469,4)="HOLD",OR(A469="QTNP",A469="HOA THO",A469="YES VINA",A469="HUNG YEN",A469="TEX GIANG",A469="HUNG LONG"),LEFT(A469,5)="HANES",LEFT(A469,3)="ITG")</formula>
    </cfRule>
  </conditionalFormatting>
  <conditionalFormatting sqref="D469">
    <cfRule type="expression" dxfId="181" priority="178" stopIfTrue="1">
      <formula>OR(LEFT(D469,4)="KHTT",LEFT(D469,5)="10USD",RIGHT(D469,3)="TTC",LEFT(D469,3)="TNT")</formula>
    </cfRule>
    <cfRule type="expression" dxfId="180" priority="179" stopIfTrue="1">
      <formula>OR(LEFT(D469,3)="CTU",LEFT(D469,4)="HDON")</formula>
    </cfRule>
    <cfRule type="expression" dxfId="179" priority="180" stopIfTrue="1">
      <formula>OR(LEFT(D469,4)="HOLD",OR(A469="QTNP",A469="HOA THO",A469="YES VINA",A469="HUNG YEN",A469="TEX GIANG",A469="HUNG LONG"),LEFT(A469,5)="HANES",LEFT(A469,3)="ITG")</formula>
    </cfRule>
  </conditionalFormatting>
  <conditionalFormatting sqref="D469">
    <cfRule type="expression" dxfId="178" priority="175" stopIfTrue="1">
      <formula>OR(LEFT(D469,4)="KHTT",LEFT(D469,5)="10USD",RIGHT(D469,3)="TTC",LEFT(D469,3)="TNT")</formula>
    </cfRule>
    <cfRule type="expression" dxfId="177" priority="176" stopIfTrue="1">
      <formula>OR(LEFT(D469,3)="CTU",LEFT(D469,4)="HDON")</formula>
    </cfRule>
    <cfRule type="expression" dxfId="176" priority="177" stopIfTrue="1">
      <formula>OR(LEFT(D469,4)="HOLD",OR(A469="QTNP",A469="HOA THO",A469="YES VINA",A469="HUNG YEN",A469="TEX GIANG",A469="HUNG LONG"),LEFT(A469,5)="HANES",LEFT(A469,3)="ITG")</formula>
    </cfRule>
  </conditionalFormatting>
  <conditionalFormatting sqref="D469">
    <cfRule type="expression" dxfId="175" priority="172" stopIfTrue="1">
      <formula>OR(LEFT(D469,4)="KHTT",LEFT(D469,5)="10USD",RIGHT(D469,3)="TTC",LEFT(D469,3)="TNT")</formula>
    </cfRule>
    <cfRule type="expression" dxfId="174" priority="173" stopIfTrue="1">
      <formula>OR(LEFT(D469,3)="CTU",LEFT(D469,4)="HDON")</formula>
    </cfRule>
    <cfRule type="expression" dxfId="173" priority="174" stopIfTrue="1">
      <formula>OR(LEFT(D469,4)="HOLD",OR(A469="QTNP",A469="HOA THO",A469="YES VINA",A469="HUNG YEN",A469="TEX GIANG",A469="HUNG LONG"),LEFT(A469,5)="HANES",LEFT(A469,3)="ITG")</formula>
    </cfRule>
  </conditionalFormatting>
  <conditionalFormatting sqref="D469">
    <cfRule type="expression" dxfId="172" priority="169" stopIfTrue="1">
      <formula>OR(LEFT(D469,4)="KHTT",LEFT(D469,5)="10USD",RIGHT(D469,3)="TTC",LEFT(D469,3)="TNT")</formula>
    </cfRule>
    <cfRule type="expression" dxfId="171" priority="170" stopIfTrue="1">
      <formula>OR(LEFT(D469,3)="CTU",LEFT(D469,4)="HDON")</formula>
    </cfRule>
    <cfRule type="expression" dxfId="170" priority="171" stopIfTrue="1">
      <formula>OR(LEFT(D469,4)="HOLD",OR(A469="QTNP",A469="HOA THO",A469="YES VINA",A469="HUNG YEN",A469="TEX GIANG",A469="HUNG LONG"),LEFT(A469,5)="HANES",LEFT(A469,3)="ITG")</formula>
    </cfRule>
  </conditionalFormatting>
  <conditionalFormatting sqref="D469">
    <cfRule type="expression" dxfId="169" priority="166" stopIfTrue="1">
      <formula>OR(LEFT(D469,4)="KHTT",LEFT(D469,5)="10USD",RIGHT(D469,3)="TTC",LEFT(D469,3)="TNT")</formula>
    </cfRule>
    <cfRule type="expression" dxfId="168" priority="167" stopIfTrue="1">
      <formula>OR(LEFT(D469,3)="CTU",LEFT(D469,4)="HDON")</formula>
    </cfRule>
    <cfRule type="expression" dxfId="167" priority="168" stopIfTrue="1">
      <formula>OR(LEFT(D469,4)="HOLD",OR(A469="QTNP",A469="HOA THO",A469="YES VINA",A469="HUNG YEN",A469="TEX GIANG",A469="HUNG LONG"),LEFT(A469,5)="HANES",LEFT(A469,3)="ITG")</formula>
    </cfRule>
  </conditionalFormatting>
  <conditionalFormatting sqref="D469">
    <cfRule type="expression" dxfId="166" priority="163" stopIfTrue="1">
      <formula>OR(LEFT(D469,4)="KHTT",LEFT(D469,5)="10USD",RIGHT(D469,3)="TTC",LEFT(D469,3)="TNT")</formula>
    </cfRule>
    <cfRule type="expression" dxfId="165" priority="164" stopIfTrue="1">
      <formula>OR(LEFT(D469,3)="CTU",LEFT(D469,4)="HDON")</formula>
    </cfRule>
    <cfRule type="expression" dxfId="164" priority="165" stopIfTrue="1">
      <formula>OR(LEFT(D469,4)="HOLD",OR(A469="QTNP",A469="HOA THO",A469="YES VINA",A469="HUNG YEN",A469="TEX GIANG",A469="HUNG LONG"),LEFT(A469,5)="HANES",LEFT(A469,3)="ITG")</formula>
    </cfRule>
  </conditionalFormatting>
  <conditionalFormatting sqref="D469">
    <cfRule type="expression" dxfId="163" priority="160" stopIfTrue="1">
      <formula>OR(LEFT(D469,4)="KHTT",LEFT(D469,5)="10USD",RIGHT(D469,3)="TTC",LEFT(D469,3)="TNT")</formula>
    </cfRule>
    <cfRule type="expression" dxfId="162" priority="161" stopIfTrue="1">
      <formula>OR(LEFT(D469,3)="CTU",LEFT(D469,4)="HDON")</formula>
    </cfRule>
    <cfRule type="expression" dxfId="161" priority="162" stopIfTrue="1">
      <formula>OR(LEFT(D469,4)="HOLD",OR(A469="QTNP",A469="HOA THO",A469="YES VINA",A469="HUNG YEN",A469="TEX GIANG",A469="HUNG LONG"),LEFT(A469,5)="HANES",LEFT(A469,3)="ITG")</formula>
    </cfRule>
  </conditionalFormatting>
  <conditionalFormatting sqref="D469">
    <cfRule type="expression" dxfId="160" priority="157" stopIfTrue="1">
      <formula>OR(LEFT(D469,4)="KHTT",LEFT(D469,5)="10USD",RIGHT(D469,3)="TTC",LEFT(D469,3)="TNT")</formula>
    </cfRule>
    <cfRule type="expression" dxfId="159" priority="158" stopIfTrue="1">
      <formula>OR(LEFT(D469,3)="CTU",LEFT(D469,4)="HDON")</formula>
    </cfRule>
    <cfRule type="expression" dxfId="158" priority="159" stopIfTrue="1">
      <formula>OR(LEFT(D469,4)="HOLD",OR(A469="QTNP",A469="HOA THO",A469="YES VINA",A469="HUNG YEN",A469="TEX GIANG",A469="HUNG LONG"),LEFT(A469,5)="HANES",LEFT(A469,3)="ITG")</formula>
    </cfRule>
  </conditionalFormatting>
  <conditionalFormatting sqref="D469">
    <cfRule type="expression" dxfId="157" priority="154" stopIfTrue="1">
      <formula>OR(LEFT(D469,4)="KHTT",LEFT(D469,5)="10USD",RIGHT(D469,3)="TTC",LEFT(D469,3)="TNT")</formula>
    </cfRule>
    <cfRule type="expression" dxfId="156" priority="155" stopIfTrue="1">
      <formula>OR(LEFT(D469,3)="CTU",LEFT(D469,4)="HDON")</formula>
    </cfRule>
    <cfRule type="expression" dxfId="155" priority="156" stopIfTrue="1">
      <formula>OR(LEFT(D469,4)="HOLD",OR(A469="QTNP",A469="HOA THO",A469="YES VINA",A469="HUNG YEN",A469="TEX GIANG",A469="HUNG LONG"),LEFT(A469,5)="HANES",LEFT(A469,3)="ITG")</formula>
    </cfRule>
  </conditionalFormatting>
  <conditionalFormatting sqref="D469">
    <cfRule type="expression" dxfId="154" priority="151" stopIfTrue="1">
      <formula>OR(LEFT(D469,4)="KHTT",LEFT(D469,5)="10USD",RIGHT(D469,3)="TTC",LEFT(D469,3)="TNT")</formula>
    </cfRule>
    <cfRule type="expression" dxfId="153" priority="152" stopIfTrue="1">
      <formula>OR(LEFT(D469,3)="CTU",LEFT(D469,4)="HDON")</formula>
    </cfRule>
    <cfRule type="expression" dxfId="152" priority="153" stopIfTrue="1">
      <formula>OR(LEFT(D469,4)="HOLD",OR(A469="QTNP",A469="HOA THO",A469="YES VINA",A469="HUNG YEN",A469="TEX GIANG",A469="HUNG LONG"),LEFT(A469,5)="HANES",LEFT(A469,3)="ITG")</formula>
    </cfRule>
  </conditionalFormatting>
  <conditionalFormatting sqref="D469">
    <cfRule type="expression" dxfId="151" priority="148" stopIfTrue="1">
      <formula>OR(LEFT(D469,4)="KHTT",LEFT(D469,5)="10USD",RIGHT(D469,3)="TTC",LEFT(D469,3)="TNT")</formula>
    </cfRule>
    <cfRule type="expression" dxfId="150" priority="149" stopIfTrue="1">
      <formula>OR(LEFT(D469,3)="CTU",LEFT(D469,4)="HDON")</formula>
    </cfRule>
    <cfRule type="expression" dxfId="149" priority="150" stopIfTrue="1">
      <formula>OR(LEFT(D469,4)="HOLD",OR(A469="QTNP",A469="HOA THO",A469="YES VINA",A469="HUNG YEN",A469="TEX GIANG",A469="HUNG LONG"),LEFT(A469,5)="HANES",LEFT(A469,3)="ITG")</formula>
    </cfRule>
  </conditionalFormatting>
  <conditionalFormatting sqref="D469">
    <cfRule type="expression" dxfId="148" priority="145" stopIfTrue="1">
      <formula>OR(LEFT(D469,4)="KHTT",LEFT(D469,5)="10USD",RIGHT(D469,3)="TTC",LEFT(D469,3)="TNT")</formula>
    </cfRule>
    <cfRule type="expression" dxfId="147" priority="146" stopIfTrue="1">
      <formula>OR(LEFT(D469,3)="CTU",LEFT(D469,4)="HDON")</formula>
    </cfRule>
    <cfRule type="expression" dxfId="146" priority="147" stopIfTrue="1">
      <formula>OR(LEFT(D469,4)="HOLD",OR(A469="QTNP",A469="HOA THO",A469="YES VINA",A469="HUNG YEN",A469="TEX GIANG",A469="HUNG LONG"),LEFT(A469,5)="HANES",LEFT(A469,3)="ITG")</formula>
    </cfRule>
  </conditionalFormatting>
  <conditionalFormatting sqref="D469">
    <cfRule type="expression" dxfId="145" priority="142" stopIfTrue="1">
      <formula>OR(LEFT(D469,4)="KHTT",LEFT(D469,5)="10USD",RIGHT(D469,3)="TTC",LEFT(D469,3)="TNT")</formula>
    </cfRule>
    <cfRule type="expression" dxfId="144" priority="143" stopIfTrue="1">
      <formula>OR(LEFT(D469,3)="CTU",LEFT(D469,4)="HDON")</formula>
    </cfRule>
    <cfRule type="expression" dxfId="143" priority="144" stopIfTrue="1">
      <formula>OR(LEFT(D469,4)="HOLD",OR(A469="QTNP",A469="HOA THO",A469="YES VINA",A469="HUNG YEN",A469="TEX GIANG",A469="HUNG LONG"),LEFT(A469,5)="HANES",LEFT(A469,3)="ITG")</formula>
    </cfRule>
  </conditionalFormatting>
  <conditionalFormatting sqref="D469">
    <cfRule type="expression" dxfId="142" priority="139" stopIfTrue="1">
      <formula>OR(LEFT(D469,4)="KHTT",LEFT(D469,5)="10USD",RIGHT(D469,3)="TTC",LEFT(D469,3)="TNT")</formula>
    </cfRule>
    <cfRule type="expression" dxfId="141" priority="140" stopIfTrue="1">
      <formula>OR(LEFT(D469,3)="CTU",LEFT(D469,4)="HDON")</formula>
    </cfRule>
    <cfRule type="expression" dxfId="140" priority="141" stopIfTrue="1">
      <formula>OR(LEFT(D469,4)="HOLD",OR(A469="QTNP",A469="HOA THO",A469="YES VINA",A469="HUNG YEN",A469="TEX GIANG",A469="HUNG LONG"),LEFT(A469,5)="HANES",LEFT(A469,3)="ITG")</formula>
    </cfRule>
  </conditionalFormatting>
  <conditionalFormatting sqref="D469">
    <cfRule type="expression" dxfId="139" priority="136" stopIfTrue="1">
      <formula>OR(LEFT(D469,4)="KHTT",LEFT(D469,5)="10USD",RIGHT(D469,3)="TTC",LEFT(D469,3)="TNT")</formula>
    </cfRule>
    <cfRule type="expression" dxfId="138" priority="137" stopIfTrue="1">
      <formula>OR(LEFT(D469,3)="CTU",LEFT(D469,4)="HDON")</formula>
    </cfRule>
    <cfRule type="expression" dxfId="137" priority="138" stopIfTrue="1">
      <formula>OR(LEFT(D469,4)="HOLD",OR(A469="QTNP",A469="HOA THO",A469="YES VINA",A469="HUNG YEN",A469="TEX GIANG",A469="HUNG LONG"),LEFT(A469,5)="HANES",LEFT(A469,3)="ITG")</formula>
    </cfRule>
  </conditionalFormatting>
  <conditionalFormatting sqref="D469">
    <cfRule type="expression" dxfId="136" priority="133" stopIfTrue="1">
      <formula>OR(LEFT(D469,4)="KHTT",LEFT(D469,5)="10USD",RIGHT(D469,3)="TTC",LEFT(D469,3)="TNT")</formula>
    </cfRule>
    <cfRule type="expression" dxfId="135" priority="134" stopIfTrue="1">
      <formula>OR(LEFT(D469,3)="CTU",LEFT(D469,4)="HDON")</formula>
    </cfRule>
    <cfRule type="expression" dxfId="134" priority="135" stopIfTrue="1">
      <formula>OR(LEFT(D469,4)="HOLD",OR(A469="QTNP",A469="HOA THO",A469="YES VINA",A469="HUNG YEN",A469="TEX GIANG",A469="HUNG LONG"),LEFT(A469,5)="HANES",LEFT(A469,3)="ITG")</formula>
    </cfRule>
  </conditionalFormatting>
  <conditionalFormatting sqref="D469">
    <cfRule type="expression" dxfId="133" priority="130" stopIfTrue="1">
      <formula>OR(LEFT(D469,4)="KHTT",LEFT(D469,5)="10USD",RIGHT(D469,3)="TTC",LEFT(D469,3)="TNT")</formula>
    </cfRule>
    <cfRule type="expression" dxfId="132" priority="131" stopIfTrue="1">
      <formula>OR(LEFT(D469,3)="CTU",LEFT(D469,4)="HDON")</formula>
    </cfRule>
    <cfRule type="expression" dxfId="131" priority="132" stopIfTrue="1">
      <formula>OR(LEFT(D469,4)="HOLD",OR(A469="QTNP",A469="HOA THO",A469="YES VINA",A469="HUNG YEN",A469="TEX GIANG",A469="HUNG LONG"),LEFT(A469,5)="HANES",LEFT(A469,3)="ITG")</formula>
    </cfRule>
  </conditionalFormatting>
  <conditionalFormatting sqref="D469">
    <cfRule type="expression" dxfId="130" priority="127" stopIfTrue="1">
      <formula>OR(LEFT(D469,4)="KHTT",LEFT(D469,5)="10USD",RIGHT(D469,3)="TTC",LEFT(D469,3)="TNT")</formula>
    </cfRule>
    <cfRule type="expression" dxfId="129" priority="128" stopIfTrue="1">
      <formula>OR(LEFT(D469,3)="CTU",LEFT(D469,4)="HDON")</formula>
    </cfRule>
    <cfRule type="expression" dxfId="128" priority="129" stopIfTrue="1">
      <formula>OR(LEFT(D469,4)="HOLD",OR(A469="QTNP",A469="HOA THO",A469="YES VINA",A469="HUNG YEN",A469="TEX GIANG",A469="HUNG LONG"),LEFT(A469,5)="HANES",LEFT(A469,3)="ITG")</formula>
    </cfRule>
  </conditionalFormatting>
  <conditionalFormatting sqref="D469">
    <cfRule type="expression" dxfId="127" priority="124" stopIfTrue="1">
      <formula>OR(LEFT(D469,4)="KHTT",LEFT(D469,5)="10USD",RIGHT(D469,3)="TTC",LEFT(D469,3)="TNT")</formula>
    </cfRule>
    <cfRule type="expression" dxfId="126" priority="125" stopIfTrue="1">
      <formula>OR(LEFT(D469,3)="CTU",LEFT(D469,4)="HDON")</formula>
    </cfRule>
    <cfRule type="expression" dxfId="125" priority="126" stopIfTrue="1">
      <formula>OR(LEFT(D469,4)="HOLD",OR(A469="QTNP",A469="HOA THO",A469="YES VINA",A469="HUNG YEN",A469="TEX GIANG",A469="HUNG LONG"),LEFT(A469,5)="HANES",LEFT(A469,3)="ITG")</formula>
    </cfRule>
  </conditionalFormatting>
  <conditionalFormatting sqref="D469">
    <cfRule type="expression" dxfId="124" priority="121" stopIfTrue="1">
      <formula>OR(LEFT(D469,4)="KHTT",LEFT(D469,5)="10USD",RIGHT(D469,3)="TTC",LEFT(D469,3)="TNT")</formula>
    </cfRule>
    <cfRule type="expression" dxfId="123" priority="122" stopIfTrue="1">
      <formula>OR(LEFT(D469,3)="CTU",LEFT(D469,4)="HDON")</formula>
    </cfRule>
    <cfRule type="expression" dxfId="122" priority="123" stopIfTrue="1">
      <formula>OR(LEFT(D469,4)="HOLD",OR(A469="QTNP",A469="HOA THO",A469="YES VINA",A469="HUNG YEN",A469="TEX GIANG",A469="HUNG LONG"),LEFT(A469,5)="HANES",LEFT(A469,3)="ITG")</formula>
    </cfRule>
  </conditionalFormatting>
  <conditionalFormatting sqref="D469">
    <cfRule type="expression" dxfId="121" priority="118" stopIfTrue="1">
      <formula>OR(LEFT(D469,4)="KHTT",LEFT(D469,5)="10USD",RIGHT(D469,3)="TTC",LEFT(D469,3)="TNT")</formula>
    </cfRule>
    <cfRule type="expression" dxfId="120" priority="119" stopIfTrue="1">
      <formula>OR(LEFT(D469,3)="CTU",LEFT(D469,4)="HDON")</formula>
    </cfRule>
    <cfRule type="expression" dxfId="119" priority="120" stopIfTrue="1">
      <formula>OR(LEFT(D469,4)="HOLD",OR(A469="QTNP",A469="HOA THO",A469="YES VINA",A469="HUNG YEN",A469="TEX GIANG",A469="HUNG LONG"),LEFT(A469,5)="HANES",LEFT(A469,3)="ITG")</formula>
    </cfRule>
  </conditionalFormatting>
  <conditionalFormatting sqref="D469">
    <cfRule type="expression" dxfId="118" priority="115" stopIfTrue="1">
      <formula>OR(LEFT(D469,4)="KHTT",LEFT(D469,5)="10USD",RIGHT(D469,3)="TTC",LEFT(D469,3)="TNT")</formula>
    </cfRule>
    <cfRule type="expression" dxfId="117" priority="116" stopIfTrue="1">
      <formula>OR(LEFT(D469,3)="CTU",LEFT(D469,4)="HDON")</formula>
    </cfRule>
    <cfRule type="expression" dxfId="116" priority="117" stopIfTrue="1">
      <formula>OR(LEFT(D469,4)="HOLD",OR(A469="QTNP",A469="HOA THO",A469="YES VINA",A469="HUNG YEN",A469="TEX GIANG",A469="HUNG LONG"),LEFT(A469,5)="HANES",LEFT(A469,3)="ITG")</formula>
    </cfRule>
  </conditionalFormatting>
  <conditionalFormatting sqref="D469">
    <cfRule type="expression" dxfId="115" priority="112" stopIfTrue="1">
      <formula>OR(LEFT(D469,4)="KHTT",LEFT(D469,5)="10USD",RIGHT(D469,3)="TTC",LEFT(D469,3)="TNT")</formula>
    </cfRule>
    <cfRule type="expression" dxfId="114" priority="113" stopIfTrue="1">
      <formula>OR(LEFT(D469,3)="CTU",LEFT(D469,4)="HDON")</formula>
    </cfRule>
    <cfRule type="expression" dxfId="113" priority="114" stopIfTrue="1">
      <formula>OR(LEFT(D469,4)="HOLD",OR(A469="QTNP",A469="HOA THO",A469="YES VINA",A469="HUNG YEN",A469="TEX GIANG",A469="HUNG LONG"),LEFT(A469,5)="HANES",LEFT(A469,3)="ITG")</formula>
    </cfRule>
  </conditionalFormatting>
  <conditionalFormatting sqref="D469">
    <cfRule type="expression" dxfId="112" priority="109" stopIfTrue="1">
      <formula>OR(LEFT(D469,4)="KHTT",LEFT(D469,5)="10USD",RIGHT(D469,3)="TTC",LEFT(D469,3)="TNT")</formula>
    </cfRule>
    <cfRule type="expression" dxfId="111" priority="110" stopIfTrue="1">
      <formula>OR(LEFT(D469,3)="CTU",LEFT(D469,4)="HDON")</formula>
    </cfRule>
    <cfRule type="expression" dxfId="110" priority="111" stopIfTrue="1">
      <formula>OR(LEFT(D469,4)="HOLD",OR(A469="QTNP",A469="HOA THO",A469="YES VINA",A469="HUNG YEN",A469="TEX GIANG",A469="HUNG LONG"),LEFT(A469,5)="HANES",LEFT(A469,3)="ITG")</formula>
    </cfRule>
  </conditionalFormatting>
  <conditionalFormatting sqref="D469">
    <cfRule type="expression" dxfId="109" priority="106" stopIfTrue="1">
      <formula>OR(LEFT(D469,4)="KHTT",LEFT(D469,5)="10USD",RIGHT(D469,3)="TTC",LEFT(D469,3)="TNT")</formula>
    </cfRule>
    <cfRule type="expression" dxfId="108" priority="107" stopIfTrue="1">
      <formula>OR(LEFT(D469,3)="CTU",LEFT(D469,4)="HDON")</formula>
    </cfRule>
    <cfRule type="expression" dxfId="107" priority="108" stopIfTrue="1">
      <formula>OR(LEFT(D469,4)="HOLD",OR(A469="QTNP",A469="HOA THO",A469="YES VINA",A469="HUNG YEN",A469="TEX GIANG",A469="HUNG LONG"),LEFT(A469,5)="HANES",LEFT(A469,3)="ITG")</formula>
    </cfRule>
  </conditionalFormatting>
  <conditionalFormatting sqref="D469">
    <cfRule type="expression" dxfId="106" priority="103" stopIfTrue="1">
      <formula>OR(LEFT(D469,4)="KHTT",LEFT(D469,5)="10USD",RIGHT(D469,3)="TTC",LEFT(D469,3)="TNT")</formula>
    </cfRule>
    <cfRule type="expression" dxfId="105" priority="104" stopIfTrue="1">
      <formula>OR(LEFT(D469,3)="CTU",LEFT(D469,4)="HDON")</formula>
    </cfRule>
    <cfRule type="expression" dxfId="104" priority="105" stopIfTrue="1">
      <formula>OR(LEFT(D469,4)="HOLD",OR(A469="QTNP",A469="HOA THO",A469="YES VINA",A469="HUNG YEN",A469="TEX GIANG",A469="HUNG LONG"),LEFT(A469,5)="HANES",LEFT(A469,3)="ITG")</formula>
    </cfRule>
  </conditionalFormatting>
  <conditionalFormatting sqref="D469">
    <cfRule type="expression" dxfId="103" priority="100" stopIfTrue="1">
      <formula>OR(LEFT(D469,4)="KHTT",LEFT(D469,5)="10USD",RIGHT(D469,3)="TTC",LEFT(D469,3)="TNT")</formula>
    </cfRule>
    <cfRule type="expression" dxfId="102" priority="101" stopIfTrue="1">
      <formula>OR(LEFT(D469,3)="CTU",LEFT(D469,4)="HDON")</formula>
    </cfRule>
    <cfRule type="expression" dxfId="101" priority="102" stopIfTrue="1">
      <formula>OR(LEFT(D469,4)="HOLD",OR(A469="QTNP",A469="HOA THO",A469="YES VINA",A469="HUNG YEN",A469="TEX GIANG",A469="HUNG LONG"),LEFT(A469,5)="HANES",LEFT(A469,3)="ITG")</formula>
    </cfRule>
  </conditionalFormatting>
  <conditionalFormatting sqref="D469">
    <cfRule type="expression" dxfId="100" priority="97" stopIfTrue="1">
      <formula>OR(LEFT(D469,4)="KHTT",LEFT(D469,5)="10USD",RIGHT(D469,3)="TTC",LEFT(D469,3)="TNT")</formula>
    </cfRule>
    <cfRule type="expression" dxfId="99" priority="98" stopIfTrue="1">
      <formula>OR(LEFT(D469,3)="CTU",LEFT(D469,4)="HDON")</formula>
    </cfRule>
    <cfRule type="expression" dxfId="98" priority="99" stopIfTrue="1">
      <formula>OR(LEFT(D469,4)="HOLD",OR(A469="QTNP",A469="HOA THO",A469="YES VINA",A469="HUNG YEN",A469="TEX GIANG",A469="HUNG LONG"),LEFT(A469,5)="HANES",LEFT(A469,3)="ITG")</formula>
    </cfRule>
  </conditionalFormatting>
  <conditionalFormatting sqref="D469">
    <cfRule type="expression" dxfId="97" priority="94" stopIfTrue="1">
      <formula>OR(LEFT(D469,4)="KHTT",LEFT(D469,5)="10USD",RIGHT(D469,3)="TTC",LEFT(D469,3)="TNT")</formula>
    </cfRule>
    <cfRule type="expression" dxfId="96" priority="95" stopIfTrue="1">
      <formula>OR(LEFT(D469,3)="CTU",LEFT(D469,4)="HDON")</formula>
    </cfRule>
    <cfRule type="expression" dxfId="95" priority="96" stopIfTrue="1">
      <formula>OR(LEFT(D469,4)="HOLD",OR(A469="QTNP",A469="HOA THO",A469="YES VINA",A469="HUNG YEN",A469="TEX GIANG",A469="HUNG LONG"),LEFT(A469,5)="HANES",LEFT(A469,3)="ITG")</formula>
    </cfRule>
  </conditionalFormatting>
  <conditionalFormatting sqref="D469">
    <cfRule type="expression" dxfId="94" priority="91" stopIfTrue="1">
      <formula>OR(LEFT(D469,4)="KHTT",LEFT(D469,5)="10USD",RIGHT(D469,3)="TTC",LEFT(D469,3)="TNT")</formula>
    </cfRule>
    <cfRule type="expression" dxfId="93" priority="92" stopIfTrue="1">
      <formula>OR(LEFT(D469,3)="CTU",LEFT(D469,4)="HDON")</formula>
    </cfRule>
    <cfRule type="expression" dxfId="92" priority="93" stopIfTrue="1">
      <formula>OR(LEFT(D469,4)="HOLD",OR(A469="QTNP",A469="HOA THO",A469="YES VINA",A469="HUNG YEN",A469="TEX GIANG",A469="HUNG LONG"),LEFT(A469,5)="HANES",LEFT(A469,3)="ITG")</formula>
    </cfRule>
  </conditionalFormatting>
  <conditionalFormatting sqref="D469">
    <cfRule type="expression" dxfId="91" priority="88" stopIfTrue="1">
      <formula>OR(LEFT(D469,4)="KHTT",LEFT(D469,5)="10USD",RIGHT(D469,3)="TTC",LEFT(D469,3)="TNT")</formula>
    </cfRule>
    <cfRule type="expression" dxfId="90" priority="89" stopIfTrue="1">
      <formula>OR(LEFT(D469,3)="CTU",LEFT(D469,4)="HDON")</formula>
    </cfRule>
    <cfRule type="expression" dxfId="89" priority="90" stopIfTrue="1">
      <formula>OR(LEFT(D469,4)="HOLD",OR(A469="QTNP",A469="HOA THO",A469="YES VINA",A469="HUNG YEN",A469="TEX GIANG",A469="HUNG LONG"),LEFT(A469,5)="HANES",LEFT(A469,3)="ITG")</formula>
    </cfRule>
  </conditionalFormatting>
  <conditionalFormatting sqref="D469">
    <cfRule type="expression" dxfId="88" priority="85" stopIfTrue="1">
      <formula>OR(LEFT(D469,4)="KHTT",LEFT(D469,5)="10USD",RIGHT(D469,3)="TTC",LEFT(D469,3)="TNT")</formula>
    </cfRule>
    <cfRule type="expression" dxfId="87" priority="86" stopIfTrue="1">
      <formula>OR(LEFT(D469,3)="CTU",LEFT(D469,4)="HDON")</formula>
    </cfRule>
    <cfRule type="expression" dxfId="86" priority="87" stopIfTrue="1">
      <formula>OR(LEFT(D469,4)="HOLD",OR(A469="QTNP",A469="HOA THO",A469="YES VINA",A469="HUNG YEN",A469="TEX GIANG",A469="HUNG LONG"),LEFT(A469,5)="HANES",LEFT(A469,3)="ITG")</formula>
    </cfRule>
  </conditionalFormatting>
  <conditionalFormatting sqref="D469">
    <cfRule type="expression" dxfId="85" priority="82" stopIfTrue="1">
      <formula>OR(LEFT(D469,4)="KHTT",LEFT(D469,5)="10USD",RIGHT(D469,3)="TTC",LEFT(D469,3)="TNT")</formula>
    </cfRule>
    <cfRule type="expression" dxfId="84" priority="83" stopIfTrue="1">
      <formula>OR(LEFT(D469,3)="CTU",LEFT(D469,4)="HDON")</formula>
    </cfRule>
    <cfRule type="expression" dxfId="83" priority="84" stopIfTrue="1">
      <formula>OR(LEFT(D469,4)="HOLD",OR(A469="QTNP",A469="HOA THO",A469="YES VINA",A469="HUNG YEN",A469="TEX GIANG",A469="HUNG LONG"),LEFT(A469,5)="HANES",LEFT(A469,3)="ITG")</formula>
    </cfRule>
  </conditionalFormatting>
  <conditionalFormatting sqref="D469">
    <cfRule type="expression" dxfId="82" priority="79" stopIfTrue="1">
      <formula>OR(LEFT(D469,4)="KHTT",LEFT(D469,5)="10USD",RIGHT(D469,3)="TTC",LEFT(D469,3)="TNT")</formula>
    </cfRule>
    <cfRule type="expression" dxfId="81" priority="80" stopIfTrue="1">
      <formula>OR(LEFT(D469,3)="CTU",LEFT(D469,4)="HDON")</formula>
    </cfRule>
    <cfRule type="expression" dxfId="80" priority="81" stopIfTrue="1">
      <formula>OR(LEFT(D469,4)="HOLD",OR(A469="QTNP",A469="HOA THO",A469="YES VINA",A469="HUNG YEN",A469="TEX GIANG",A469="HUNG LONG"),LEFT(A469,5)="HANES",LEFT(A469,3)="ITG")</formula>
    </cfRule>
  </conditionalFormatting>
  <conditionalFormatting sqref="D469">
    <cfRule type="expression" dxfId="79" priority="76" stopIfTrue="1">
      <formula>OR(LEFT(D469,4)="KHTT",LEFT(D469,5)="10USD",RIGHT(D469,3)="TTC",LEFT(D469,3)="TNT")</formula>
    </cfRule>
    <cfRule type="expression" dxfId="78" priority="77" stopIfTrue="1">
      <formula>OR(LEFT(D469,3)="CTU",LEFT(D469,4)="HDON")</formula>
    </cfRule>
    <cfRule type="expression" dxfId="77" priority="78" stopIfTrue="1">
      <formula>OR(LEFT(D469,4)="HOLD",OR(A469="QTNP",A469="HOA THO",A469="YES VINA",A469="HUNG YEN",A469="TEX GIANG",A469="HUNG LONG"),LEFT(A469,5)="HANES",LEFT(A469,3)="ITG")</formula>
    </cfRule>
  </conditionalFormatting>
  <conditionalFormatting sqref="D469">
    <cfRule type="expression" dxfId="76" priority="73" stopIfTrue="1">
      <formula>OR(LEFT(D469,4)="KHTT",LEFT(D469,5)="10USD",RIGHT(D469,3)="TTC",LEFT(D469,3)="TNT")</formula>
    </cfRule>
    <cfRule type="expression" dxfId="75" priority="74" stopIfTrue="1">
      <formula>OR(LEFT(D469,3)="CTU",LEFT(D469,4)="HDON")</formula>
    </cfRule>
    <cfRule type="expression" dxfId="74" priority="75" stopIfTrue="1">
      <formula>OR(LEFT(D469,4)="HOLD",OR(A469="QTNP",A469="HOA THO",A469="YES VINA",A469="HUNG YEN",A469="TEX GIANG",A469="HUNG LONG"),LEFT(A469,5)="HANES",LEFT(A469,3)="ITG")</formula>
    </cfRule>
  </conditionalFormatting>
  <conditionalFormatting sqref="D469">
    <cfRule type="expression" dxfId="73" priority="70" stopIfTrue="1">
      <formula>OR(LEFT(D469,4)="KHTT",LEFT(D469,5)="10USD",RIGHT(D469,3)="TTC",LEFT(D469,3)="TNT")</formula>
    </cfRule>
    <cfRule type="expression" dxfId="72" priority="71" stopIfTrue="1">
      <formula>OR(LEFT(D469,3)="CTU",LEFT(D469,4)="HDON")</formula>
    </cfRule>
    <cfRule type="expression" dxfId="71" priority="72" stopIfTrue="1">
      <formula>OR(LEFT(D469,4)="HOLD",OR(A469="QTNP",A469="HOA THO",A469="YES VINA",A469="HUNG YEN",A469="TEX GIANG",A469="HUNG LONG"),LEFT(A469,5)="HANES",LEFT(A469,3)="ITG")</formula>
    </cfRule>
  </conditionalFormatting>
  <conditionalFormatting sqref="D469">
    <cfRule type="expression" dxfId="70" priority="67" stopIfTrue="1">
      <formula>OR(LEFT(D469,4)="KHTT",LEFT(D469,5)="10USD",RIGHT(D469,3)="TTC",LEFT(D469,3)="TNT")</formula>
    </cfRule>
    <cfRule type="expression" dxfId="69" priority="68" stopIfTrue="1">
      <formula>OR(LEFT(D469,3)="CTU",LEFT(D469,4)="HDON")</formula>
    </cfRule>
    <cfRule type="expression" dxfId="68" priority="69" stopIfTrue="1">
      <formula>OR(LEFT(D469,4)="HOLD",OR(A469="QTNP",A469="HOA THO",A469="YES VINA",A469="HUNG YEN",A469="TEX GIANG",A469="HUNG LONG"),LEFT(A469,5)="HANES",LEFT(A469,3)="ITG")</formula>
    </cfRule>
  </conditionalFormatting>
  <conditionalFormatting sqref="D469">
    <cfRule type="expression" dxfId="67" priority="64" stopIfTrue="1">
      <formula>OR(LEFT(D469,4)="KHTT",LEFT(D469,5)="10USD",RIGHT(D469,3)="TTC",LEFT(D469,3)="TNT")</formula>
    </cfRule>
    <cfRule type="expression" dxfId="66" priority="65" stopIfTrue="1">
      <formula>OR(LEFT(D469,3)="CTU",LEFT(D469,4)="HDON")</formula>
    </cfRule>
    <cfRule type="expression" dxfId="65" priority="66" stopIfTrue="1">
      <formula>OR(LEFT(D469,4)="HOLD",OR(A469="QTNP",A469="HOA THO",A469="YES VINA",A469="HUNG YEN",A469="TEX GIANG",A469="HUNG LONG"),LEFT(A469,5)="HANES",LEFT(A469,3)="ITG")</formula>
    </cfRule>
  </conditionalFormatting>
  <conditionalFormatting sqref="D469">
    <cfRule type="expression" dxfId="64" priority="61" stopIfTrue="1">
      <formula>OR(LEFT(D469,4)="KHTT",LEFT(D469,5)="10USD",RIGHT(D469,3)="TTC",LEFT(D469,3)="TNT")</formula>
    </cfRule>
    <cfRule type="expression" dxfId="63" priority="62" stopIfTrue="1">
      <formula>OR(LEFT(D469,3)="CTU",LEFT(D469,4)="HDON")</formula>
    </cfRule>
    <cfRule type="expression" dxfId="62" priority="63" stopIfTrue="1">
      <formula>OR(LEFT(D469,4)="HOLD",OR(A469="QTNP",A469="HOA THO",A469="YES VINA",A469="HUNG YEN",A469="TEX GIANG",A469="HUNG LONG"),LEFT(A469,5)="HANES",LEFT(A469,3)="ITG")</formula>
    </cfRule>
  </conditionalFormatting>
  <conditionalFormatting sqref="D469">
    <cfRule type="expression" dxfId="61" priority="58" stopIfTrue="1">
      <formula>OR(LEFT(D469,4)="KHTT",LEFT(D469,5)="10USD",RIGHT(D469,3)="TTC",LEFT(D469,3)="TNT")</formula>
    </cfRule>
    <cfRule type="expression" dxfId="60" priority="59" stopIfTrue="1">
      <formula>OR(LEFT(D469,3)="CTU",LEFT(D469,4)="HDON")</formula>
    </cfRule>
    <cfRule type="expression" dxfId="59" priority="60" stopIfTrue="1">
      <formula>OR(LEFT(D469,4)="HOLD",OR(A469="QTNP",A469="HOA THO",A469="YES VINA",A469="HUNG YEN",A469="TEX GIANG",A469="HUNG LONG"),LEFT(A469,5)="HANES",LEFT(A469,3)="ITG")</formula>
    </cfRule>
  </conditionalFormatting>
  <conditionalFormatting sqref="D469">
    <cfRule type="expression" dxfId="58" priority="55" stopIfTrue="1">
      <formula>OR(LEFT(D469,4)="KHTT",LEFT(D469,5)="10USD",RIGHT(D469,3)="TTC",LEFT(D469,3)="TNT")</formula>
    </cfRule>
    <cfRule type="expression" dxfId="57" priority="56" stopIfTrue="1">
      <formula>OR(LEFT(D469,3)="CTU",LEFT(D469,4)="HDON")</formula>
    </cfRule>
    <cfRule type="expression" dxfId="56" priority="57" stopIfTrue="1">
      <formula>OR(LEFT(D469,4)="HOLD",OR(A469="QTNP",A469="HOA THO",A469="YES VINA",A469="HUNG YEN",A469="TEX GIANG",A469="HUNG LONG"),LEFT(A469,5)="HANES",LEFT(A469,3)="ITG")</formula>
    </cfRule>
  </conditionalFormatting>
  <conditionalFormatting sqref="D469">
    <cfRule type="expression" dxfId="55" priority="52" stopIfTrue="1">
      <formula>OR(LEFT(D469,4)="KHTT",LEFT(D469,5)="10USD",RIGHT(D469,3)="TTC",LEFT(D469,3)="TNT")</formula>
    </cfRule>
    <cfRule type="expression" dxfId="54" priority="53" stopIfTrue="1">
      <formula>OR(LEFT(D469,3)="CTU",LEFT(D469,4)="HDON")</formula>
    </cfRule>
    <cfRule type="expression" dxfId="53" priority="54" stopIfTrue="1">
      <formula>OR(LEFT(D469,4)="HOLD",OR(A469="QTNP",A469="HOA THO",A469="YES VINA",A469="HUNG YEN",A469="TEX GIANG",A469="HUNG LONG"),LEFT(A469,5)="HANES",LEFT(A469,3)="ITG")</formula>
    </cfRule>
  </conditionalFormatting>
  <conditionalFormatting sqref="D469">
    <cfRule type="expression" dxfId="52" priority="49" stopIfTrue="1">
      <formula>OR(LEFT(D469,4)="KHTT",LEFT(D469,5)="10USD",RIGHT(D469,3)="TTC",LEFT(D469,3)="TNT")</formula>
    </cfRule>
    <cfRule type="expression" dxfId="51" priority="50" stopIfTrue="1">
      <formula>OR(LEFT(D469,3)="CTU",LEFT(D469,4)="HDON")</formula>
    </cfRule>
    <cfRule type="expression" dxfId="50" priority="51" stopIfTrue="1">
      <formula>OR(LEFT(D469,4)="HOLD",OR(A469="QTNP",A469="HOA THO",A469="YES VINA",A469="HUNG YEN",A469="TEX GIANG",A469="HUNG LONG"),LEFT(A469,5)="HANES",LEFT(A469,3)="ITG")</formula>
    </cfRule>
  </conditionalFormatting>
  <conditionalFormatting sqref="D469">
    <cfRule type="expression" dxfId="49" priority="46" stopIfTrue="1">
      <formula>OR(LEFT(D469,4)="KHTT",LEFT(D469,5)="10USD",RIGHT(D469,3)="TTC",LEFT(D469,3)="TNT")</formula>
    </cfRule>
    <cfRule type="expression" dxfId="48" priority="47" stopIfTrue="1">
      <formula>OR(LEFT(D469,3)="CTU",LEFT(D469,4)="HDON")</formula>
    </cfRule>
    <cfRule type="expression" dxfId="47" priority="48" stopIfTrue="1">
      <formula>OR(LEFT(D469,4)="HOLD",OR(A469="QTNP",A469="HOA THO",A469="YES VINA",A469="HUNG YEN",A469="TEX GIANG",A469="HUNG LONG"),LEFT(A469,5)="HANES",LEFT(A469,3)="ITG")</formula>
    </cfRule>
  </conditionalFormatting>
  <conditionalFormatting sqref="D469">
    <cfRule type="expression" dxfId="46" priority="43" stopIfTrue="1">
      <formula>OR(LEFT(D469,4)="KHTT",LEFT(D469,5)="10USD",RIGHT(D469,3)="TTC",LEFT(D469,3)="TNT")</formula>
    </cfRule>
    <cfRule type="expression" dxfId="45" priority="44" stopIfTrue="1">
      <formula>OR(LEFT(D469,3)="CTU",LEFT(D469,4)="HDON")</formula>
    </cfRule>
    <cfRule type="expression" dxfId="44" priority="45" stopIfTrue="1">
      <formula>OR(LEFT(D469,4)="HOLD",OR(A469="QTNP",A469="HOA THO",A469="YES VINA",A469="HUNG YEN",A469="TEX GIANG",A469="HUNG LONG"),LEFT(A469,5)="HANES",LEFT(A469,3)="ITG")</formula>
    </cfRule>
  </conditionalFormatting>
  <conditionalFormatting sqref="D469">
    <cfRule type="expression" dxfId="43" priority="40" stopIfTrue="1">
      <formula>OR(LEFT(D469,4)="KHTT",LEFT(D469,5)="10USD",RIGHT(D469,3)="TTC",LEFT(D469,3)="TNT")</formula>
    </cfRule>
    <cfRule type="expression" dxfId="42" priority="41" stopIfTrue="1">
      <formula>OR(LEFT(D469,3)="CTU",LEFT(D469,4)="HDON")</formula>
    </cfRule>
    <cfRule type="expression" dxfId="41" priority="42" stopIfTrue="1">
      <formula>OR(LEFT(D469,4)="HOLD",OR(A469="QTNP",A469="HOA THO",A469="YES VINA",A469="HUNG YEN",A469="TEX GIANG",A469="HUNG LONG"),LEFT(A469,5)="HANES",LEFT(A469,3)="ITG")</formula>
    </cfRule>
  </conditionalFormatting>
  <conditionalFormatting sqref="D469">
    <cfRule type="expression" dxfId="40" priority="37" stopIfTrue="1">
      <formula>OR(LEFT(D469,4)="KHTT",LEFT(D469,5)="10USD",RIGHT(D469,3)="TTC",LEFT(D469,3)="TNT")</formula>
    </cfRule>
    <cfRule type="expression" dxfId="39" priority="38" stopIfTrue="1">
      <formula>OR(LEFT(D469,3)="CTU",LEFT(D469,4)="HDON")</formula>
    </cfRule>
    <cfRule type="expression" dxfId="38" priority="39" stopIfTrue="1">
      <formula>OR(LEFT(D469,4)="HOLD",OR(A469="QTNP",A469="HOA THO",A469="YES VINA",A469="HUNG YEN",A469="TEX GIANG",A469="HUNG LONG"),LEFT(A469,5)="HANES",LEFT(A469,3)="ITG")</formula>
    </cfRule>
  </conditionalFormatting>
  <conditionalFormatting sqref="D469">
    <cfRule type="expression" dxfId="37" priority="34" stopIfTrue="1">
      <formula>OR(LEFT(D469,4)="KHTT",LEFT(D469,5)="10USD",RIGHT(D469,3)="TTC",LEFT(D469,3)="TNT")</formula>
    </cfRule>
    <cfRule type="expression" dxfId="36" priority="35" stopIfTrue="1">
      <formula>OR(LEFT(D469,3)="CTU",LEFT(D469,4)="HDON")</formula>
    </cfRule>
    <cfRule type="expression" dxfId="35" priority="36" stopIfTrue="1">
      <formula>OR(LEFT(D469,4)="HOLD",OR(A469="QTNP",A469="HOA THO",A469="YES VINA",A469="HUNG YEN",A469="TEX GIANG",A469="HUNG LONG"),LEFT(A469,5)="HANES",LEFT(A469,3)="ITG")</formula>
    </cfRule>
  </conditionalFormatting>
  <conditionalFormatting sqref="D469">
    <cfRule type="expression" dxfId="34" priority="31" stopIfTrue="1">
      <formula>OR(LEFT(D469,4)="KHTT",LEFT(D469,5)="10USD",RIGHT(D469,3)="TTC",LEFT(D469,3)="TNT")</formula>
    </cfRule>
    <cfRule type="expression" dxfId="33" priority="32" stopIfTrue="1">
      <formula>OR(LEFT(D469,3)="CTU",LEFT(D469,4)="HDON")</formula>
    </cfRule>
    <cfRule type="expression" dxfId="32" priority="33" stopIfTrue="1">
      <formula>OR(LEFT(D469,4)="HOLD",OR(A469="QTNP",A469="HOA THO",A469="YES VINA",A469="HUNG YEN",A469="TEX GIANG",A469="HUNG LONG"),LEFT(A469,5)="HANES",LEFT(A469,3)="ITG")</formula>
    </cfRule>
  </conditionalFormatting>
  <conditionalFormatting sqref="D469">
    <cfRule type="expression" dxfId="31" priority="28" stopIfTrue="1">
      <formula>OR(LEFT(D469,4)="KHTT",LEFT(D469,5)="10USD",RIGHT(D469,3)="TTC",LEFT(D469,3)="TNT")</formula>
    </cfRule>
    <cfRule type="expression" dxfId="30" priority="29" stopIfTrue="1">
      <formula>OR(LEFT(D469,3)="CTU",LEFT(D469,4)="HDON")</formula>
    </cfRule>
    <cfRule type="expression" dxfId="29" priority="30" stopIfTrue="1">
      <formula>OR(LEFT(D469,4)="HOLD",OR(A469="QTNP",A469="HOA THO",A469="YES VINA",A469="HUNG YEN",A469="TEX GIANG",A469="HUNG LONG"),LEFT(A469,5)="HANES",LEFT(A469,3)="ITG")</formula>
    </cfRule>
  </conditionalFormatting>
  <conditionalFormatting sqref="D469">
    <cfRule type="expression" dxfId="28" priority="25" stopIfTrue="1">
      <formula>OR(LEFT(D469,4)="KHTT",LEFT(D469,5)="10USD",RIGHT(D469,3)="TTC",LEFT(D469,3)="TNT")</formula>
    </cfRule>
    <cfRule type="expression" dxfId="27" priority="26" stopIfTrue="1">
      <formula>OR(LEFT(D469,3)="CTU",LEFT(D469,4)="HDON")</formula>
    </cfRule>
    <cfRule type="expression" dxfId="26" priority="27" stopIfTrue="1">
      <formula>OR(LEFT(D469,4)="HOLD",OR(A469="QTNP",A469="HOA THO",A469="YES VINA",A469="HUNG YEN",A469="TEX GIANG",A469="HUNG LONG"),LEFT(A469,5)="HANES",LEFT(A469,3)="ITG")</formula>
    </cfRule>
  </conditionalFormatting>
  <conditionalFormatting sqref="D469">
    <cfRule type="expression" dxfId="25" priority="22" stopIfTrue="1">
      <formula>OR(LEFT(D469,4)="KHTT",LEFT(D469,5)="10USD",RIGHT(D469,3)="TTC",LEFT(D469,3)="TNT")</formula>
    </cfRule>
    <cfRule type="expression" dxfId="24" priority="23" stopIfTrue="1">
      <formula>OR(LEFT(D469,3)="CTU",LEFT(D469,4)="HDON")</formula>
    </cfRule>
    <cfRule type="expression" dxfId="23" priority="24" stopIfTrue="1">
      <formula>OR(LEFT(D469,4)="HOLD",OR(A469="QTNP",A469="HOA THO",A469="YES VINA",A469="HUNG YEN",A469="TEX GIANG",A469="HUNG LONG"),LEFT(A469,5)="HANES",LEFT(A469,3)="ITG")</formula>
    </cfRule>
  </conditionalFormatting>
  <conditionalFormatting sqref="D469">
    <cfRule type="expression" dxfId="22" priority="19" stopIfTrue="1">
      <formula>OR(LEFT(D469,4)="KHTT",LEFT(D469,5)="10USD",RIGHT(D469,3)="TTC",LEFT(D469,3)="TNT")</formula>
    </cfRule>
    <cfRule type="expression" dxfId="21" priority="20" stopIfTrue="1">
      <formula>OR(LEFT(D469,3)="CTU",LEFT(D469,4)="HDON")</formula>
    </cfRule>
    <cfRule type="expression" dxfId="20" priority="21" stopIfTrue="1">
      <formula>OR(LEFT(D469,4)="HOLD",OR(A469="QTNP",A469="HOA THO",A469="YES VINA",A469="HUNG YEN",A469="TEX GIANG",A469="HUNG LONG"),LEFT(A469,5)="HANES",LEFT(A469,3)="ITG")</formula>
    </cfRule>
  </conditionalFormatting>
  <conditionalFormatting sqref="D469">
    <cfRule type="expression" dxfId="19" priority="16" stopIfTrue="1">
      <formula>OR(LEFT(D469,4)="KHTT",LEFT(D469,5)="10USD",RIGHT(D469,3)="TTC",LEFT(D469,3)="TNT")</formula>
    </cfRule>
    <cfRule type="expression" dxfId="18" priority="17" stopIfTrue="1">
      <formula>OR(LEFT(D469,3)="CTU",LEFT(D469,4)="HDON")</formula>
    </cfRule>
    <cfRule type="expression" dxfId="17" priority="18" stopIfTrue="1">
      <formula>OR(LEFT(D469,4)="HOLD",OR(A469="QTNP",A469="HOA THO",A469="YES VINA",A469="HUNG YEN",A469="TEX GIANG",A469="HUNG LONG"),LEFT(A469,5)="HANES",LEFT(A469,3)="ITG")</formula>
    </cfRule>
  </conditionalFormatting>
  <conditionalFormatting sqref="D469">
    <cfRule type="expression" dxfId="16" priority="13" stopIfTrue="1">
      <formula>OR(LEFT(D469,4)="KHTT",LEFT(D469,5)="10USD",RIGHT(D469,3)="TTC",LEFT(D469,3)="TNT")</formula>
    </cfRule>
    <cfRule type="expression" dxfId="15" priority="14" stopIfTrue="1">
      <formula>OR(LEFT(D469,3)="CTU",LEFT(D469,4)="HDON")</formula>
    </cfRule>
    <cfRule type="expression" dxfId="14" priority="15" stopIfTrue="1">
      <formula>OR(LEFT(D469,4)="HOLD",OR(A469="QTNP",A469="HOA THO",A469="YES VINA",A469="HUNG YEN",A469="TEX GIANG",A469="HUNG LONG"),LEFT(A469,5)="HANES",LEFT(A469,3)="ITG")</formula>
    </cfRule>
  </conditionalFormatting>
  <conditionalFormatting sqref="D469">
    <cfRule type="expression" dxfId="13" priority="10" stopIfTrue="1">
      <formula>OR(LEFT(D469,4)="KHTT",LEFT(D469,5)="10USD",RIGHT(D469,3)="TTC",LEFT(D469,3)="TNT")</formula>
    </cfRule>
    <cfRule type="expression" dxfId="12" priority="11" stopIfTrue="1">
      <formula>OR(LEFT(D469,3)="CTU",LEFT(D469,4)="HDON")</formula>
    </cfRule>
    <cfRule type="expression" dxfId="11" priority="12" stopIfTrue="1">
      <formula>OR(LEFT(D469,4)="HOLD",OR(A469="QTNP",A469="HOA THO",A469="YES VINA",A469="HUNG YEN",A469="TEX GIANG",A469="HUNG LONG"),LEFT(A469,5)="HANES",LEFT(A469,3)="ITG")</formula>
    </cfRule>
  </conditionalFormatting>
  <conditionalFormatting sqref="D469">
    <cfRule type="expression" dxfId="10" priority="7" stopIfTrue="1">
      <formula>OR(LEFT(D469,4)="KHTT",LEFT(D469,5)="10USD",RIGHT(D469,3)="TTC",LEFT(D469,3)="TNT")</formula>
    </cfRule>
    <cfRule type="expression" dxfId="9" priority="8" stopIfTrue="1">
      <formula>OR(LEFT(D469,3)="CTU",LEFT(D469,4)="HDON")</formula>
    </cfRule>
    <cfRule type="expression" dxfId="8" priority="9" stopIfTrue="1">
      <formula>OR(LEFT(D469,4)="HOLD",OR(A469="QTNP",A469="HOA THO",A469="YES VINA",A469="HUNG YEN",A469="TEX GIANG",A469="HUNG LONG"),LEFT(A469,5)="HANES",LEFT(A469,3)="ITG")</formula>
    </cfRule>
  </conditionalFormatting>
  <conditionalFormatting sqref="D469">
    <cfRule type="expression" dxfId="7" priority="4" stopIfTrue="1">
      <formula>OR(LEFT(D469,4)="KHTT",LEFT(D469,5)="10USD",RIGHT(D469,3)="TTC",LEFT(D469,3)="TNT")</formula>
    </cfRule>
    <cfRule type="expression" dxfId="6" priority="5" stopIfTrue="1">
      <formula>OR(LEFT(D469,3)="CTU",LEFT(D469,4)="HDON")</formula>
    </cfRule>
    <cfRule type="expression" dxfId="5" priority="6" stopIfTrue="1">
      <formula>OR(LEFT(D469,4)="HOLD",OR(A469="QTNP",A469="HOA THO",A469="YES VINA",A469="HUNG YEN",A469="TEX GIANG",A469="HUNG LONG"),LEFT(A469,5)="HANES",LEFT(A469,3)="ITG")</formula>
    </cfRule>
  </conditionalFormatting>
  <conditionalFormatting sqref="D757">
    <cfRule type="expression" dxfId="4" priority="1" stopIfTrue="1">
      <formula>OR(LEFT(D757,4)="KHTT",LEFT(D757,5)="10USD",RIGHT(D757,3)="TTC",LEFT(D757,3)="TNT")</formula>
    </cfRule>
    <cfRule type="expression" dxfId="3" priority="2" stopIfTrue="1">
      <formula>OR(LEFT(D757,3)="CTU",LEFT(D757,4)="HDON")</formula>
    </cfRule>
    <cfRule type="expression" dxfId="2" priority="3" stopIfTrue="1">
      <formula>OR(LEFT(D757,4)="HOLD",OR(A757="QTNP",A757="HOA THO",A757="YES VINA",A757="HUNG YEN",A757="TEX GIANG",A757="HUNG LONG"),LEFT(A757,5)="HANES",LEFT(A757,3)="ITG")</formula>
    </cfRule>
  </conditionalFormatting>
  <hyperlinks>
    <hyperlink ref="E670" r:id="rId2" display="tel:09333 999 85"/>
    <hyperlink ref="E149" r:id="rId3" tooltip="Gọi bây giờ" display="tel:+845103665696"/>
    <hyperlink ref="E534" r:id="rId4" tooltip="Gọi bây giờ" display="tel:+841268540595"/>
    <hyperlink ref="E742" r:id="rId5" display="tel:0909 709609"/>
  </hyperlinks>
  <pageMargins left="0.7" right="0.7" top="0.75" bottom="0.75" header="0.3" footer="0.3"/>
  <pageSetup paperSize="9" orientation="portrait" horizontalDpi="300" verticalDpi="300"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Q100"/>
  <sheetViews>
    <sheetView view="pageBreakPreview" zoomScaleNormal="100" zoomScaleSheetLayoutView="100" workbookViewId="0">
      <selection activeCell="C4" sqref="C4:L4"/>
    </sheetView>
  </sheetViews>
  <sheetFormatPr defaultRowHeight="14.4"/>
  <cols>
    <col min="1" max="1" width="22" customWidth="1"/>
    <col min="11" max="11" width="9.109375" customWidth="1"/>
    <col min="12" max="12" width="7.5546875" customWidth="1"/>
    <col min="13" max="13" width="11" bestFit="1" customWidth="1"/>
    <col min="14" max="14" width="15.33203125" customWidth="1"/>
  </cols>
  <sheetData>
    <row r="1" spans="1:17" ht="32.4" thickTop="1">
      <c r="A1" s="237" t="s">
        <v>2920</v>
      </c>
      <c r="B1" s="238"/>
      <c r="C1" s="238"/>
      <c r="D1" s="238"/>
      <c r="E1" s="238"/>
      <c r="F1" s="238"/>
      <c r="G1" s="238"/>
      <c r="H1" s="238"/>
      <c r="I1" s="238"/>
      <c r="J1" s="238"/>
      <c r="K1" s="238"/>
      <c r="L1" s="239"/>
      <c r="M1" s="240"/>
      <c r="N1" s="241"/>
      <c r="O1" s="242"/>
      <c r="Q1" s="243"/>
    </row>
    <row r="2" spans="1:17" ht="24.6">
      <c r="A2" s="244" t="s">
        <v>2921</v>
      </c>
      <c r="B2" s="245"/>
      <c r="C2" s="245"/>
      <c r="D2" s="245"/>
      <c r="E2" s="245"/>
      <c r="F2" s="245"/>
      <c r="G2" s="245"/>
      <c r="H2" s="245"/>
      <c r="I2" s="245"/>
      <c r="J2" s="245"/>
      <c r="K2" s="245"/>
      <c r="L2" s="246"/>
      <c r="M2" s="240"/>
      <c r="N2" s="247"/>
      <c r="O2" s="242"/>
      <c r="Q2" s="243"/>
    </row>
    <row r="3" spans="1:17" ht="24.6">
      <c r="A3" s="244" t="s">
        <v>2922</v>
      </c>
      <c r="B3" s="245"/>
      <c r="C3" s="245"/>
      <c r="D3" s="245"/>
      <c r="E3" s="245"/>
      <c r="F3" s="245"/>
      <c r="G3" s="245"/>
      <c r="H3" s="245"/>
      <c r="I3" s="245"/>
      <c r="J3" s="245"/>
      <c r="K3" s="245"/>
      <c r="L3" s="248"/>
      <c r="M3" s="240"/>
      <c r="N3" s="241"/>
      <c r="O3" s="249"/>
      <c r="Q3" s="243"/>
    </row>
    <row r="4" spans="1:17" ht="62.4">
      <c r="A4" s="250"/>
      <c r="B4" s="245"/>
      <c r="C4" s="281"/>
      <c r="D4" s="281"/>
      <c r="E4" s="281"/>
      <c r="F4" s="281"/>
      <c r="G4" s="281"/>
      <c r="H4" s="281"/>
      <c r="I4" s="281"/>
      <c r="J4" s="281"/>
      <c r="K4" s="281"/>
      <c r="L4" s="282"/>
      <c r="M4" s="240"/>
      <c r="N4" s="247"/>
      <c r="O4" s="249"/>
      <c r="Q4" s="243"/>
    </row>
    <row r="5" spans="1:17" ht="31.8">
      <c r="A5" s="251" t="s">
        <v>2923</v>
      </c>
      <c r="B5" s="252"/>
      <c r="C5" s="253"/>
      <c r="D5" s="253"/>
      <c r="E5" s="253"/>
      <c r="F5" s="253"/>
      <c r="G5" s="253"/>
      <c r="H5" s="253"/>
      <c r="I5" s="253"/>
      <c r="J5" s="253"/>
      <c r="K5" s="253"/>
      <c r="L5" s="254"/>
      <c r="M5" s="240"/>
      <c r="N5" s="247"/>
      <c r="O5" s="249"/>
      <c r="Q5" s="243"/>
    </row>
    <row r="6" spans="1:17" ht="67.5" customHeight="1">
      <c r="A6" s="283"/>
      <c r="B6" s="284"/>
      <c r="C6" s="284"/>
      <c r="D6" s="284"/>
      <c r="E6" s="284"/>
      <c r="F6" s="284"/>
      <c r="G6" s="284"/>
      <c r="H6" s="284"/>
      <c r="I6" s="284"/>
      <c r="J6" s="284"/>
      <c r="K6" s="284"/>
      <c r="L6" s="285"/>
      <c r="M6" s="255"/>
      <c r="N6" s="249"/>
      <c r="O6" s="249"/>
      <c r="Q6" s="243"/>
    </row>
    <row r="7" spans="1:17" ht="24.6">
      <c r="A7" s="256" t="s">
        <v>2924</v>
      </c>
      <c r="B7" s="257"/>
      <c r="C7" s="257"/>
      <c r="D7" s="257"/>
      <c r="E7" s="257"/>
      <c r="F7" s="257"/>
      <c r="G7" s="257"/>
      <c r="H7" s="257"/>
      <c r="I7" s="257"/>
      <c r="J7" s="257"/>
      <c r="K7" s="257"/>
      <c r="L7" s="258"/>
      <c r="Q7" s="243" t="str">
        <f t="shared" ref="Q7:Q70" si="0">IF(Q6&lt;$O$2,Q6+1,"")</f>
        <v/>
      </c>
    </row>
    <row r="8" spans="1:17" ht="25.5" customHeight="1">
      <c r="A8" s="259" t="s">
        <v>2925</v>
      </c>
      <c r="B8" s="286"/>
      <c r="C8" s="286"/>
      <c r="D8" s="286"/>
      <c r="E8" s="286"/>
      <c r="F8" s="286"/>
      <c r="G8" s="286"/>
      <c r="H8" s="286"/>
      <c r="I8" s="286"/>
      <c r="J8" s="286"/>
      <c r="K8" s="286"/>
      <c r="L8" s="287"/>
      <c r="Q8" s="243" t="str">
        <f t="shared" si="0"/>
        <v/>
      </c>
    </row>
    <row r="9" spans="1:17" ht="24.6">
      <c r="A9" s="260"/>
      <c r="B9" s="261"/>
      <c r="C9" s="261"/>
      <c r="D9" s="261"/>
      <c r="E9" s="261"/>
      <c r="F9" s="261"/>
      <c r="G9" s="261"/>
      <c r="H9" s="261"/>
      <c r="I9" s="261"/>
      <c r="J9" s="261"/>
      <c r="K9" s="261"/>
      <c r="L9" s="262"/>
      <c r="Q9" s="243" t="str">
        <f t="shared" si="0"/>
        <v/>
      </c>
    </row>
    <row r="10" spans="1:17" ht="24.6">
      <c r="A10" s="256" t="s">
        <v>2926</v>
      </c>
      <c r="B10" s="257"/>
      <c r="C10" s="257"/>
      <c r="D10" s="257"/>
      <c r="E10" s="257"/>
      <c r="F10" s="257"/>
      <c r="G10" s="257"/>
      <c r="H10" s="257"/>
      <c r="I10" s="257"/>
      <c r="J10" s="257"/>
      <c r="K10" s="257"/>
      <c r="L10" s="258"/>
      <c r="Q10" s="243" t="str">
        <f t="shared" si="0"/>
        <v/>
      </c>
    </row>
    <row r="11" spans="1:17" ht="19.2" thickBot="1">
      <c r="A11" s="263"/>
      <c r="B11" s="264"/>
      <c r="C11" s="264"/>
      <c r="D11" s="264"/>
      <c r="E11" s="264"/>
      <c r="F11" s="264"/>
      <c r="G11" s="264"/>
      <c r="H11" s="264"/>
      <c r="I11" s="264"/>
      <c r="J11" s="264"/>
      <c r="K11" s="264"/>
      <c r="L11" s="265"/>
      <c r="Q11" s="243" t="str">
        <f t="shared" si="0"/>
        <v/>
      </c>
    </row>
    <row r="12" spans="1:17" ht="15" thickTop="1">
      <c r="Q12" s="243" t="str">
        <f t="shared" si="0"/>
        <v/>
      </c>
    </row>
    <row r="13" spans="1:17">
      <c r="Q13" s="243" t="str">
        <f t="shared" si="0"/>
        <v/>
      </c>
    </row>
    <row r="14" spans="1:17">
      <c r="Q14" s="243" t="str">
        <f t="shared" si="0"/>
        <v/>
      </c>
    </row>
    <row r="15" spans="1:17">
      <c r="Q15" s="243" t="str">
        <f t="shared" si="0"/>
        <v/>
      </c>
    </row>
    <row r="16" spans="1:17">
      <c r="Q16" s="243" t="str">
        <f t="shared" si="0"/>
        <v/>
      </c>
    </row>
    <row r="17" spans="17:17">
      <c r="Q17" s="243" t="str">
        <f t="shared" si="0"/>
        <v/>
      </c>
    </row>
    <row r="18" spans="17:17">
      <c r="Q18" s="243" t="str">
        <f t="shared" si="0"/>
        <v/>
      </c>
    </row>
    <row r="19" spans="17:17">
      <c r="Q19" s="243" t="str">
        <f t="shared" si="0"/>
        <v/>
      </c>
    </row>
    <row r="20" spans="17:17">
      <c r="Q20" s="243" t="str">
        <f t="shared" si="0"/>
        <v/>
      </c>
    </row>
    <row r="21" spans="17:17">
      <c r="Q21" s="243" t="str">
        <f t="shared" si="0"/>
        <v/>
      </c>
    </row>
    <row r="22" spans="17:17">
      <c r="Q22" s="243" t="str">
        <f t="shared" si="0"/>
        <v/>
      </c>
    </row>
    <row r="23" spans="17:17">
      <c r="Q23" s="243" t="str">
        <f t="shared" si="0"/>
        <v/>
      </c>
    </row>
    <row r="24" spans="17:17">
      <c r="Q24" s="243" t="str">
        <f t="shared" si="0"/>
        <v/>
      </c>
    </row>
    <row r="25" spans="17:17">
      <c r="Q25" s="243" t="str">
        <f t="shared" si="0"/>
        <v/>
      </c>
    </row>
    <row r="26" spans="17:17">
      <c r="Q26" s="243" t="str">
        <f t="shared" si="0"/>
        <v/>
      </c>
    </row>
    <row r="27" spans="17:17">
      <c r="Q27" s="243" t="str">
        <f t="shared" si="0"/>
        <v/>
      </c>
    </row>
    <row r="28" spans="17:17">
      <c r="Q28" s="243" t="str">
        <f t="shared" si="0"/>
        <v/>
      </c>
    </row>
    <row r="29" spans="17:17">
      <c r="Q29" s="243" t="str">
        <f t="shared" si="0"/>
        <v/>
      </c>
    </row>
    <row r="30" spans="17:17">
      <c r="Q30" s="243" t="str">
        <f t="shared" si="0"/>
        <v/>
      </c>
    </row>
    <row r="31" spans="17:17">
      <c r="Q31" s="243" t="str">
        <f t="shared" si="0"/>
        <v/>
      </c>
    </row>
    <row r="32" spans="17:17">
      <c r="Q32" s="243" t="str">
        <f t="shared" si="0"/>
        <v/>
      </c>
    </row>
    <row r="33" spans="17:17">
      <c r="Q33" s="243" t="str">
        <f t="shared" si="0"/>
        <v/>
      </c>
    </row>
    <row r="34" spans="17:17">
      <c r="Q34" s="243" t="str">
        <f t="shared" si="0"/>
        <v/>
      </c>
    </row>
    <row r="35" spans="17:17">
      <c r="Q35" s="243" t="str">
        <f t="shared" si="0"/>
        <v/>
      </c>
    </row>
    <row r="36" spans="17:17">
      <c r="Q36" s="243" t="str">
        <f t="shared" si="0"/>
        <v/>
      </c>
    </row>
    <row r="37" spans="17:17">
      <c r="Q37" s="243" t="str">
        <f t="shared" si="0"/>
        <v/>
      </c>
    </row>
    <row r="38" spans="17:17">
      <c r="Q38" s="243" t="str">
        <f t="shared" si="0"/>
        <v/>
      </c>
    </row>
    <row r="39" spans="17:17">
      <c r="Q39" s="243" t="str">
        <f t="shared" si="0"/>
        <v/>
      </c>
    </row>
    <row r="40" spans="17:17">
      <c r="Q40" s="243" t="str">
        <f t="shared" si="0"/>
        <v/>
      </c>
    </row>
    <row r="41" spans="17:17">
      <c r="Q41" s="243" t="str">
        <f t="shared" si="0"/>
        <v/>
      </c>
    </row>
    <row r="42" spans="17:17">
      <c r="Q42" s="243" t="str">
        <f t="shared" si="0"/>
        <v/>
      </c>
    </row>
    <row r="43" spans="17:17">
      <c r="Q43" s="243" t="str">
        <f t="shared" si="0"/>
        <v/>
      </c>
    </row>
    <row r="44" spans="17:17">
      <c r="Q44" s="243" t="str">
        <f t="shared" si="0"/>
        <v/>
      </c>
    </row>
    <row r="45" spans="17:17">
      <c r="Q45" s="243" t="str">
        <f t="shared" si="0"/>
        <v/>
      </c>
    </row>
    <row r="46" spans="17:17">
      <c r="Q46" s="243" t="str">
        <f t="shared" si="0"/>
        <v/>
      </c>
    </row>
    <row r="47" spans="17:17">
      <c r="Q47" s="243" t="str">
        <f t="shared" si="0"/>
        <v/>
      </c>
    </row>
    <row r="48" spans="17:17">
      <c r="Q48" s="243" t="str">
        <f t="shared" si="0"/>
        <v/>
      </c>
    </row>
    <row r="49" spans="17:17">
      <c r="Q49" s="243" t="str">
        <f t="shared" si="0"/>
        <v/>
      </c>
    </row>
    <row r="50" spans="17:17">
      <c r="Q50" s="243" t="str">
        <f t="shared" si="0"/>
        <v/>
      </c>
    </row>
    <row r="51" spans="17:17">
      <c r="Q51" s="243" t="str">
        <f t="shared" si="0"/>
        <v/>
      </c>
    </row>
    <row r="52" spans="17:17">
      <c r="Q52" s="243" t="str">
        <f t="shared" si="0"/>
        <v/>
      </c>
    </row>
    <row r="53" spans="17:17">
      <c r="Q53" s="243" t="str">
        <f t="shared" si="0"/>
        <v/>
      </c>
    </row>
    <row r="54" spans="17:17">
      <c r="Q54" s="243" t="str">
        <f t="shared" si="0"/>
        <v/>
      </c>
    </row>
    <row r="55" spans="17:17">
      <c r="Q55" s="243" t="str">
        <f t="shared" si="0"/>
        <v/>
      </c>
    </row>
    <row r="56" spans="17:17">
      <c r="Q56" s="243" t="str">
        <f t="shared" si="0"/>
        <v/>
      </c>
    </row>
    <row r="57" spans="17:17">
      <c r="Q57" s="243" t="str">
        <f t="shared" si="0"/>
        <v/>
      </c>
    </row>
    <row r="58" spans="17:17">
      <c r="Q58" s="243" t="str">
        <f t="shared" si="0"/>
        <v/>
      </c>
    </row>
    <row r="59" spans="17:17">
      <c r="Q59" s="243" t="str">
        <f t="shared" si="0"/>
        <v/>
      </c>
    </row>
    <row r="60" spans="17:17">
      <c r="Q60" s="243" t="str">
        <f t="shared" si="0"/>
        <v/>
      </c>
    </row>
    <row r="61" spans="17:17">
      <c r="Q61" s="243" t="str">
        <f t="shared" si="0"/>
        <v/>
      </c>
    </row>
    <row r="62" spans="17:17">
      <c r="Q62" s="243" t="str">
        <f t="shared" si="0"/>
        <v/>
      </c>
    </row>
    <row r="63" spans="17:17">
      <c r="Q63" s="243" t="str">
        <f t="shared" si="0"/>
        <v/>
      </c>
    </row>
    <row r="64" spans="17:17">
      <c r="Q64" s="243" t="str">
        <f t="shared" si="0"/>
        <v/>
      </c>
    </row>
    <row r="65" spans="17:17">
      <c r="Q65" s="243" t="str">
        <f t="shared" si="0"/>
        <v/>
      </c>
    </row>
    <row r="66" spans="17:17">
      <c r="Q66" s="243" t="str">
        <f t="shared" si="0"/>
        <v/>
      </c>
    </row>
    <row r="67" spans="17:17">
      <c r="Q67" s="243" t="str">
        <f t="shared" si="0"/>
        <v/>
      </c>
    </row>
    <row r="68" spans="17:17">
      <c r="Q68" s="243" t="str">
        <f t="shared" si="0"/>
        <v/>
      </c>
    </row>
    <row r="69" spans="17:17">
      <c r="Q69" s="243" t="str">
        <f t="shared" si="0"/>
        <v/>
      </c>
    </row>
    <row r="70" spans="17:17">
      <c r="Q70" s="243" t="str">
        <f t="shared" si="0"/>
        <v/>
      </c>
    </row>
    <row r="71" spans="17:17">
      <c r="Q71" s="243" t="str">
        <f t="shared" ref="Q71:Q100" si="1">IF(Q70&lt;$O$2,Q70+1,"")</f>
        <v/>
      </c>
    </row>
    <row r="72" spans="17:17">
      <c r="Q72" s="243" t="str">
        <f t="shared" si="1"/>
        <v/>
      </c>
    </row>
    <row r="73" spans="17:17">
      <c r="Q73" s="243" t="str">
        <f t="shared" si="1"/>
        <v/>
      </c>
    </row>
    <row r="74" spans="17:17">
      <c r="Q74" s="243" t="str">
        <f t="shared" si="1"/>
        <v/>
      </c>
    </row>
    <row r="75" spans="17:17">
      <c r="Q75" s="243" t="str">
        <f t="shared" si="1"/>
        <v/>
      </c>
    </row>
    <row r="76" spans="17:17">
      <c r="Q76" s="243" t="str">
        <f t="shared" si="1"/>
        <v/>
      </c>
    </row>
    <row r="77" spans="17:17">
      <c r="Q77" s="243" t="str">
        <f t="shared" si="1"/>
        <v/>
      </c>
    </row>
    <row r="78" spans="17:17">
      <c r="Q78" s="243" t="str">
        <f t="shared" si="1"/>
        <v/>
      </c>
    </row>
    <row r="79" spans="17:17">
      <c r="Q79" s="243" t="str">
        <f t="shared" si="1"/>
        <v/>
      </c>
    </row>
    <row r="80" spans="17:17">
      <c r="Q80" s="243" t="str">
        <f t="shared" si="1"/>
        <v/>
      </c>
    </row>
    <row r="81" spans="17:17">
      <c r="Q81" s="243" t="str">
        <f t="shared" si="1"/>
        <v/>
      </c>
    </row>
    <row r="82" spans="17:17">
      <c r="Q82" s="243" t="str">
        <f t="shared" si="1"/>
        <v/>
      </c>
    </row>
    <row r="83" spans="17:17">
      <c r="Q83" s="243" t="str">
        <f t="shared" si="1"/>
        <v/>
      </c>
    </row>
    <row r="84" spans="17:17">
      <c r="Q84" s="243" t="str">
        <f t="shared" si="1"/>
        <v/>
      </c>
    </row>
    <row r="85" spans="17:17">
      <c r="Q85" s="243" t="str">
        <f t="shared" si="1"/>
        <v/>
      </c>
    </row>
    <row r="86" spans="17:17">
      <c r="Q86" s="243" t="str">
        <f t="shared" si="1"/>
        <v/>
      </c>
    </row>
    <row r="87" spans="17:17">
      <c r="Q87" s="243" t="str">
        <f t="shared" si="1"/>
        <v/>
      </c>
    </row>
    <row r="88" spans="17:17">
      <c r="Q88" s="243" t="str">
        <f t="shared" si="1"/>
        <v/>
      </c>
    </row>
    <row r="89" spans="17:17">
      <c r="Q89" s="243" t="str">
        <f t="shared" si="1"/>
        <v/>
      </c>
    </row>
    <row r="90" spans="17:17">
      <c r="Q90" s="243" t="str">
        <f t="shared" si="1"/>
        <v/>
      </c>
    </row>
    <row r="91" spans="17:17">
      <c r="Q91" s="243" t="str">
        <f t="shared" si="1"/>
        <v/>
      </c>
    </row>
    <row r="92" spans="17:17">
      <c r="Q92" s="243" t="str">
        <f t="shared" si="1"/>
        <v/>
      </c>
    </row>
    <row r="93" spans="17:17">
      <c r="Q93" s="243" t="str">
        <f t="shared" si="1"/>
        <v/>
      </c>
    </row>
    <row r="94" spans="17:17">
      <c r="Q94" s="243" t="str">
        <f t="shared" si="1"/>
        <v/>
      </c>
    </row>
    <row r="95" spans="17:17">
      <c r="Q95" s="243" t="str">
        <f t="shared" si="1"/>
        <v/>
      </c>
    </row>
    <row r="96" spans="17:17">
      <c r="Q96" s="243" t="str">
        <f t="shared" si="1"/>
        <v/>
      </c>
    </row>
    <row r="97" spans="17:17">
      <c r="Q97" s="243" t="str">
        <f t="shared" si="1"/>
        <v/>
      </c>
    </row>
    <row r="98" spans="17:17">
      <c r="Q98" s="243" t="str">
        <f t="shared" si="1"/>
        <v/>
      </c>
    </row>
    <row r="99" spans="17:17">
      <c r="Q99" s="243" t="str">
        <f t="shared" si="1"/>
        <v/>
      </c>
    </row>
    <row r="100" spans="17:17">
      <c r="Q100" s="243" t="str">
        <f t="shared" si="1"/>
        <v/>
      </c>
    </row>
  </sheetData>
  <mergeCells count="3">
    <mergeCell ref="C4:L4"/>
    <mergeCell ref="A6:L6"/>
    <mergeCell ref="B8:L8"/>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NO NEED VAT</vt:lpstr>
      <vt:lpstr>VN GEN</vt:lpstr>
      <vt:lpstr>DSKH</vt:lpstr>
      <vt:lpstr>Tem</vt:lpstr>
      <vt:lpstr>DATA.DSKH</vt:lpstr>
      <vt:lpstr>DATA.SOURCH</vt:lpstr>
      <vt:lpstr>Tem!Print_Area</vt:lpstr>
      <vt:lpstr>'VN GEN'!Print_Area</vt:lpstr>
    </vt:vector>
  </TitlesOfParts>
  <Company>Avery Dennison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Avery Dennison User</dc:creator>
  <cp:lastModifiedBy>Admin</cp:lastModifiedBy>
  <cp:lastPrinted>2018-05-08T07:03:51Z</cp:lastPrinted>
  <dcterms:created xsi:type="dcterms:W3CDTF">2017-09-07T03:01:45Z</dcterms:created>
  <dcterms:modified xsi:type="dcterms:W3CDTF">2021-02-27T02:14:15Z</dcterms:modified>
</cp:coreProperties>
</file>