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trymg_ntnu_no/Documents/dataingeniør/semester 6/økonomi/"/>
    </mc:Choice>
  </mc:AlternateContent>
  <xr:revisionPtr revIDLastSave="3" documentId="8_{622E5E29-ADFB-40F6-9825-554F3AA46518}" xr6:coauthVersionLast="46" xr6:coauthVersionMax="46" xr10:uidLastSave="{04E48B98-DFC0-4284-8629-57ACAEB6484B}"/>
  <bookViews>
    <workbookView xWindow="39525" yWindow="1125" windowWidth="21600" windowHeight="11385" activeTab="3" xr2:uid="{00000000-000D-0000-FFFF-FFFF00000000}"/>
  </bookViews>
  <sheets>
    <sheet name="Oppg 1a b c " sheetId="1" r:id="rId1"/>
    <sheet name="Oppg 1 d" sheetId="2" r:id="rId2"/>
    <sheet name="Oppgave 2" sheetId="4" r:id="rId3"/>
    <sheet name="Oppgave 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6" i="3" l="1"/>
  <c r="K20" i="3" l="1"/>
  <c r="L20" i="3"/>
  <c r="M20" i="3"/>
  <c r="N20" i="3"/>
  <c r="O20" i="3"/>
  <c r="J20" i="3"/>
  <c r="K19" i="3"/>
  <c r="L19" i="3"/>
  <c r="M19" i="3"/>
  <c r="N19" i="3"/>
  <c r="O19" i="3"/>
  <c r="J19" i="3"/>
  <c r="J21" i="3" s="1"/>
  <c r="I5" i="3"/>
  <c r="B4" i="3"/>
  <c r="O21" i="3" l="1"/>
  <c r="K21" i="3"/>
  <c r="L21" i="3"/>
  <c r="M21" i="3"/>
  <c r="N21" i="3"/>
  <c r="D12" i="3"/>
  <c r="E12" i="3"/>
  <c r="F12" i="3"/>
  <c r="G12" i="3"/>
  <c r="C12" i="3"/>
  <c r="J23" i="3" l="1"/>
  <c r="G29" i="1"/>
  <c r="F29" i="1"/>
  <c r="H29" i="1" l="1"/>
  <c r="L29" i="1" s="1"/>
  <c r="J10" i="4"/>
  <c r="K10" i="4"/>
  <c r="I10" i="4"/>
  <c r="K5" i="4"/>
  <c r="J5" i="4"/>
  <c r="E34" i="4"/>
  <c r="D34" i="4"/>
  <c r="C34" i="4"/>
  <c r="E25" i="4"/>
  <c r="D25" i="4"/>
  <c r="C25" i="4"/>
  <c r="E20" i="4"/>
  <c r="D20" i="4"/>
  <c r="D26" i="4" s="1"/>
  <c r="C20" i="4"/>
  <c r="E9" i="4"/>
  <c r="E11" i="4" s="1"/>
  <c r="E13" i="4" s="1"/>
  <c r="K4" i="4" s="1"/>
  <c r="D9" i="4"/>
  <c r="D11" i="4" s="1"/>
  <c r="D13" i="4" s="1"/>
  <c r="J4" i="4" s="1"/>
  <c r="K9" i="4" l="1"/>
  <c r="K7" i="4"/>
  <c r="K8" i="4"/>
  <c r="I9" i="4"/>
  <c r="I7" i="4"/>
  <c r="I8" i="4"/>
  <c r="C26" i="4"/>
  <c r="J6" i="4" s="1"/>
  <c r="J9" i="4"/>
  <c r="J7" i="4"/>
  <c r="J8" i="4"/>
  <c r="E26" i="4"/>
  <c r="K6" i="4" s="1"/>
  <c r="C5" i="3"/>
  <c r="G13" i="3" l="1"/>
  <c r="F13" i="3"/>
  <c r="E13" i="3"/>
  <c r="D13" i="3"/>
  <c r="C13" i="3"/>
  <c r="B12" i="3"/>
  <c r="A18" i="3" s="1"/>
  <c r="B14" i="3" l="1"/>
  <c r="D14" i="3"/>
  <c r="E14" i="3"/>
  <c r="F14" i="3"/>
  <c r="G14" i="3"/>
  <c r="C14" i="3"/>
  <c r="I34" i="2"/>
  <c r="E32" i="2"/>
  <c r="G32" i="2"/>
  <c r="G35" i="2" s="1"/>
  <c r="H32" i="2"/>
  <c r="H35" i="2" s="1"/>
  <c r="I32" i="2"/>
  <c r="I35" i="2" s="1"/>
  <c r="J32" i="2"/>
  <c r="J35" i="2" s="1"/>
  <c r="K32" i="2"/>
  <c r="K35" i="2" s="1"/>
  <c r="L32" i="2"/>
  <c r="M32" i="2"/>
  <c r="N32" i="2"/>
  <c r="O32" i="2"/>
  <c r="P32" i="2"/>
  <c r="Q32" i="2"/>
  <c r="R32" i="2"/>
  <c r="C32" i="2"/>
  <c r="D15" i="2"/>
  <c r="F15" i="2"/>
  <c r="H15" i="2"/>
  <c r="J15" i="2"/>
  <c r="N15" i="2"/>
  <c r="O15" i="2"/>
  <c r="Q15" i="2"/>
  <c r="L14" i="2"/>
  <c r="L15" i="2" s="1"/>
  <c r="R34" i="2" l="1"/>
  <c r="Q35" i="2"/>
  <c r="P34" i="2"/>
  <c r="P35" i="2" s="1"/>
  <c r="O35" i="2"/>
  <c r="N34" i="2"/>
  <c r="M35" i="2"/>
  <c r="L34" i="2"/>
  <c r="L35" i="2" s="1"/>
  <c r="R35" i="2"/>
  <c r="N35" i="2"/>
  <c r="B15" i="3"/>
  <c r="K13" i="2"/>
  <c r="D27" i="1"/>
  <c r="E11" i="1" l="1"/>
  <c r="G11" i="1" s="1"/>
  <c r="G7" i="1"/>
  <c r="G8" i="1"/>
  <c r="G12" i="1"/>
  <c r="G13" i="1"/>
  <c r="G14" i="1"/>
  <c r="G15" i="1"/>
  <c r="G16" i="1"/>
  <c r="G22" i="1"/>
  <c r="G23" i="1"/>
  <c r="G24" i="1"/>
  <c r="G25" i="1"/>
  <c r="G26" i="1"/>
  <c r="G27" i="1"/>
  <c r="G28" i="1"/>
  <c r="G31" i="1"/>
  <c r="G6" i="1"/>
  <c r="F7" i="1"/>
  <c r="F8" i="1"/>
  <c r="F9" i="1"/>
  <c r="F12" i="1"/>
  <c r="F13" i="1"/>
  <c r="F14" i="1"/>
  <c r="F15" i="1"/>
  <c r="F16" i="1"/>
  <c r="F17" i="1"/>
  <c r="F21" i="1"/>
  <c r="F23" i="1"/>
  <c r="F27" i="1"/>
  <c r="F28" i="1"/>
  <c r="F31" i="1"/>
  <c r="F6" i="1"/>
  <c r="H27" i="1" l="1"/>
  <c r="L27" i="1" s="1"/>
  <c r="H23" i="1"/>
  <c r="L23" i="1" s="1"/>
  <c r="H31" i="1"/>
  <c r="H8" i="1"/>
  <c r="N8" i="1" s="1"/>
  <c r="G5" i="2" s="1"/>
  <c r="G15" i="2" s="1"/>
  <c r="H28" i="1"/>
  <c r="L28" i="1" s="1"/>
  <c r="I15" i="1"/>
  <c r="O15" i="1" s="1"/>
  <c r="F22" i="2" s="1"/>
  <c r="F32" i="2" s="1"/>
  <c r="I13" i="1"/>
  <c r="H7" i="1"/>
  <c r="N7" i="1" s="1"/>
  <c r="E5" i="2" s="1"/>
  <c r="E15" i="2" s="1"/>
  <c r="I14" i="1"/>
  <c r="O14" i="1" s="1"/>
  <c r="D22" i="2" s="1"/>
  <c r="D32" i="2" s="1"/>
  <c r="H6" i="1"/>
  <c r="N6" i="1" s="1"/>
  <c r="C5" i="2" s="1"/>
  <c r="C15" i="2" s="1"/>
  <c r="I16" i="1"/>
  <c r="O16" i="1" s="1"/>
  <c r="I12" i="1"/>
  <c r="O12" i="1" s="1"/>
  <c r="P5" i="2" s="1"/>
  <c r="P15" i="2" s="1"/>
  <c r="D22" i="1"/>
  <c r="F22" i="1" s="1"/>
  <c r="H22" i="1" s="1"/>
  <c r="L22" i="1" s="1"/>
  <c r="E21" i="1"/>
  <c r="G21" i="1" s="1"/>
  <c r="I21" i="1" s="1"/>
  <c r="M21" i="1" s="1"/>
  <c r="M30" i="1" s="1"/>
  <c r="M32" i="1" s="1"/>
  <c r="E9" i="1"/>
  <c r="G9" i="1" s="1"/>
  <c r="H9" i="1" s="1"/>
  <c r="N9" i="1" s="1"/>
  <c r="I5" i="2" s="1"/>
  <c r="I15" i="2" s="1"/>
  <c r="C32" i="1"/>
  <c r="B10" i="1" s="1"/>
  <c r="D18" i="1"/>
  <c r="D19" i="1"/>
  <c r="F19" i="1" s="1"/>
  <c r="D20" i="1"/>
  <c r="F20" i="1" s="1"/>
  <c r="F16" i="2" l="1"/>
  <c r="F18" i="2" s="1"/>
  <c r="E18" i="2"/>
  <c r="H16" i="2"/>
  <c r="H18" i="2" s="1"/>
  <c r="G18" i="2"/>
  <c r="D16" i="2"/>
  <c r="D18" i="2" s="1"/>
  <c r="C18" i="2"/>
  <c r="E33" i="2"/>
  <c r="E35" i="2" s="1"/>
  <c r="F35" i="2"/>
  <c r="O16" i="2"/>
  <c r="O18" i="2" s="1"/>
  <c r="P18" i="2"/>
  <c r="J16" i="2"/>
  <c r="J18" i="2" s="1"/>
  <c r="I18" i="2"/>
  <c r="C33" i="2"/>
  <c r="C35" i="2" s="1"/>
  <c r="D35" i="2"/>
  <c r="E10" i="1"/>
  <c r="G10" i="1" s="1"/>
  <c r="F18" i="1"/>
  <c r="D10" i="1"/>
  <c r="D11" i="1"/>
  <c r="D24" i="1"/>
  <c r="D26" i="1"/>
  <c r="F10" i="1" l="1"/>
  <c r="H10" i="1"/>
  <c r="N10" i="1" s="1"/>
  <c r="E17" i="1"/>
  <c r="G17" i="1" s="1"/>
  <c r="I17" i="1" s="1"/>
  <c r="O17" i="1" s="1"/>
  <c r="F11" i="1"/>
  <c r="H11" i="1" s="1"/>
  <c r="N11" i="1" s="1"/>
  <c r="M5" i="2" s="1"/>
  <c r="M15" i="2" s="1"/>
  <c r="E20" i="1"/>
  <c r="G20" i="1" s="1"/>
  <c r="I20" i="1" s="1"/>
  <c r="O20" i="1" s="1"/>
  <c r="F24" i="1"/>
  <c r="H24" i="1" s="1"/>
  <c r="L24" i="1" s="1"/>
  <c r="E18" i="1"/>
  <c r="G18" i="1" s="1"/>
  <c r="I18" i="1" s="1"/>
  <c r="O18" i="1" s="1"/>
  <c r="F26" i="1"/>
  <c r="H26" i="1" s="1"/>
  <c r="L26" i="1" s="1"/>
  <c r="D25" i="1"/>
  <c r="D32" i="1" s="1"/>
  <c r="N16" i="2" l="1"/>
  <c r="N18" i="2" s="1"/>
  <c r="M18" i="2"/>
  <c r="N32" i="1"/>
  <c r="K5" i="2"/>
  <c r="K15" i="2" s="1"/>
  <c r="E19" i="1"/>
  <c r="G19" i="1" s="1"/>
  <c r="I19" i="1" s="1"/>
  <c r="F25" i="1"/>
  <c r="H25" i="1" s="1"/>
  <c r="L25" i="1" s="1"/>
  <c r="L30" i="1" s="1"/>
  <c r="L16" i="2" l="1"/>
  <c r="L18" i="2" s="1"/>
  <c r="K18" i="2"/>
  <c r="I32" i="1"/>
  <c r="O19" i="1"/>
  <c r="L31" i="1"/>
  <c r="H32" i="1"/>
  <c r="E32" i="1"/>
  <c r="F32" i="1"/>
  <c r="G32" i="1"/>
  <c r="A41" i="2"/>
  <c r="A42" i="2" s="1"/>
  <c r="A43" i="2" s="1"/>
  <c r="A44" i="2" s="1"/>
  <c r="A45" i="2" s="1"/>
  <c r="A46" i="2" s="1"/>
  <c r="A47" i="2" s="1"/>
  <c r="A24" i="2"/>
  <c r="A25" i="2" s="1"/>
  <c r="A26" i="2" s="1"/>
  <c r="A27" i="2" s="1"/>
  <c r="A28" i="2" s="1"/>
  <c r="A29" i="2" s="1"/>
  <c r="A30" i="2" s="1"/>
  <c r="A7" i="2"/>
  <c r="A8" i="2" s="1"/>
  <c r="A9" i="2" s="1"/>
  <c r="A10" i="2" s="1"/>
  <c r="A11" i="2" s="1"/>
  <c r="A12" i="2" s="1"/>
  <c r="A13" i="2" s="1"/>
  <c r="B32" i="1"/>
  <c r="J31" i="1" l="1"/>
  <c r="J32" i="1" s="1"/>
  <c r="K13" i="1"/>
  <c r="L32" i="1"/>
  <c r="O13" i="1" l="1"/>
  <c r="K32" i="1"/>
  <c r="O32" i="1" l="1"/>
  <c r="R5" i="2"/>
  <c r="R15" i="2" s="1"/>
  <c r="Q16" i="2" l="1"/>
  <c r="Q18" i="2" s="1"/>
  <c r="R18" i="2"/>
</calcChain>
</file>

<file path=xl/sharedStrings.xml><?xml version="1.0" encoding="utf-8"?>
<sst xmlns="http://schemas.openxmlformats.org/spreadsheetml/2006/main" count="272" uniqueCount="183">
  <si>
    <t>Vedlegg 1 - Oppgave 1a</t>
  </si>
  <si>
    <t>Konto</t>
  </si>
  <si>
    <t>Debet</t>
  </si>
  <si>
    <t>Kredit</t>
  </si>
  <si>
    <t xml:space="preserve">Debet </t>
  </si>
  <si>
    <t>1500 Kundef</t>
  </si>
  <si>
    <t>1570 Forsk.utg</t>
  </si>
  <si>
    <t>1920 Bank</t>
  </si>
  <si>
    <t>1950 Bank, skattetrekk</t>
  </si>
  <si>
    <t>2000 Aksjekap</t>
  </si>
  <si>
    <t>2050 Annen EK</t>
  </si>
  <si>
    <t>2400 Lev.gjeld</t>
  </si>
  <si>
    <t>2600 Skattetrekk</t>
  </si>
  <si>
    <t>2770 Skyldig arb.avg</t>
  </si>
  <si>
    <t>2780 Skyldig arb.avg av feriep.</t>
  </si>
  <si>
    <t>2940 Skyldig feriepenger</t>
  </si>
  <si>
    <t>3010 Salgsinnt.</t>
  </si>
  <si>
    <t>5010 Lønn</t>
  </si>
  <si>
    <t>5180 Påløpt feriepenger</t>
  </si>
  <si>
    <t>5182 Arb.avg av feriepenger</t>
  </si>
  <si>
    <t>5400 Arb.avgift</t>
  </si>
  <si>
    <t>6010 Avskrivinger</t>
  </si>
  <si>
    <t>6300 Husleie</t>
  </si>
  <si>
    <t>SUM</t>
  </si>
  <si>
    <t>Vedlegg 2, (Oppgave 1d)</t>
  </si>
  <si>
    <t>1570 Forskutterte utgifter</t>
  </si>
  <si>
    <t>1950 Bank Skattetrekk</t>
  </si>
  <si>
    <t>2000 Aksjekapital</t>
  </si>
  <si>
    <t>2050 Annen egenkapital</t>
  </si>
  <si>
    <t>nr</t>
  </si>
  <si>
    <t>Tekst</t>
  </si>
  <si>
    <t>Avskrivinger</t>
  </si>
  <si>
    <t>Sum</t>
  </si>
  <si>
    <t>Til balanse</t>
  </si>
  <si>
    <t>Til resultat</t>
  </si>
  <si>
    <t>3010 Salgsinntekter</t>
  </si>
  <si>
    <t>Dato</t>
  </si>
  <si>
    <t>Inngående balanse 1.1.17</t>
  </si>
  <si>
    <t>Posteringer 1.1 - 31.12.17</t>
  </si>
  <si>
    <t>Råbalanse 31.12.17</t>
  </si>
  <si>
    <t>Saldobalanse 31.12.17</t>
  </si>
  <si>
    <t>Balanse 31.12.2017</t>
  </si>
  <si>
    <t xml:space="preserve">Resultatregnskap </t>
  </si>
  <si>
    <t>Avslutningspostering</t>
  </si>
  <si>
    <t>8900 Overf. og disp.</t>
  </si>
  <si>
    <t>1460 Varelager</t>
  </si>
  <si>
    <t>2220 Langsiktig lån</t>
  </si>
  <si>
    <t>2950 Påløpte, ikke betalte renter</t>
  </si>
  <si>
    <t>1230 Varebiler</t>
  </si>
  <si>
    <t>Avskr. Varebil</t>
  </si>
  <si>
    <t>Ny varebil</t>
  </si>
  <si>
    <t>1500 Kundefordringer</t>
  </si>
  <si>
    <t>Salgsinntekt</t>
  </si>
  <si>
    <t>4200 Varekjøp</t>
  </si>
  <si>
    <t>IB</t>
  </si>
  <si>
    <t>Lønnskostnader</t>
  </si>
  <si>
    <t>Husleie</t>
  </si>
  <si>
    <t>Kundefordring Møbelhuset</t>
  </si>
  <si>
    <t>Kundefordringer</t>
  </si>
  <si>
    <t>2220 Langsiktig gjeld</t>
  </si>
  <si>
    <t>8140 Rentekostnader</t>
  </si>
  <si>
    <t>Avdrag og renter</t>
  </si>
  <si>
    <t>Rentekostnader</t>
  </si>
  <si>
    <t>Varer</t>
  </si>
  <si>
    <t>Varekjøp</t>
  </si>
  <si>
    <t>2950 Påløpte, ikke bet. renter</t>
  </si>
  <si>
    <t>År</t>
  </si>
  <si>
    <t>Investering</t>
  </si>
  <si>
    <t>Driftsutbetalingene</t>
  </si>
  <si>
    <t>Netto kontantstrøm</t>
  </si>
  <si>
    <t>Diskonteringsfaktor 5%</t>
  </si>
  <si>
    <t>Diskontert beløp</t>
  </si>
  <si>
    <t>Nåverdi</t>
  </si>
  <si>
    <t>Tabell 1 - Nåverdi av en krone som mottas om n perioder</t>
  </si>
  <si>
    <t>Periode</t>
  </si>
  <si>
    <t>Oppgave 3</t>
  </si>
  <si>
    <t>b)</t>
  </si>
  <si>
    <t>a)</t>
  </si>
  <si>
    <t>c)</t>
  </si>
  <si>
    <t>Sluttverdi</t>
  </si>
  <si>
    <t>Bruk av tabell 5</t>
  </si>
  <si>
    <t>5000 * 12,5779 =</t>
  </si>
  <si>
    <t>Tabell 5 - Fremtidsverdi/sluttverdi av etterskuddsannuitet</t>
  </si>
  <si>
    <t>Vedlegg 3 - Oppgave 2</t>
  </si>
  <si>
    <t>Salgsinntekter</t>
  </si>
  <si>
    <t>Vareforbruk</t>
  </si>
  <si>
    <t>Lønn</t>
  </si>
  <si>
    <t>Diverse kostnader</t>
  </si>
  <si>
    <t>Avskrivninger</t>
  </si>
  <si>
    <t>Driftsresultat</t>
  </si>
  <si>
    <t>Ordinært resultat før skatt</t>
  </si>
  <si>
    <t>Skattekostnad</t>
  </si>
  <si>
    <t>Årsoverskudd</t>
  </si>
  <si>
    <t>Balanse</t>
  </si>
  <si>
    <t>Bygninger</t>
  </si>
  <si>
    <t>Andre anleggsmidler</t>
  </si>
  <si>
    <t>Maskiner</t>
  </si>
  <si>
    <t>Sum anleggsmidler</t>
  </si>
  <si>
    <t>Råvarer</t>
  </si>
  <si>
    <t>Ferdigvarer</t>
  </si>
  <si>
    <t>Kasse, bank</t>
  </si>
  <si>
    <t>Sum omløpsmidler</t>
  </si>
  <si>
    <t>Sum eiendeler</t>
  </si>
  <si>
    <t>Aksjekapital</t>
  </si>
  <si>
    <t>Annen egenkapital</t>
  </si>
  <si>
    <t>Langsiktig gjeld</t>
  </si>
  <si>
    <t>Banklån</t>
  </si>
  <si>
    <t>Leverandørgjeld</t>
  </si>
  <si>
    <t>Annen kortsiktig gjeld</t>
  </si>
  <si>
    <t>Sum egenkapital og gjeld</t>
  </si>
  <si>
    <t>Fortjeneste i %</t>
  </si>
  <si>
    <t>Br.fortjeneste i %</t>
  </si>
  <si>
    <t>Tot.kap.rent.</t>
  </si>
  <si>
    <t>LG1</t>
  </si>
  <si>
    <t>LG2</t>
  </si>
  <si>
    <t>Arbeidskapital</t>
  </si>
  <si>
    <t>Gjeldsgrad i %</t>
  </si>
  <si>
    <t>a (nåverdi)</t>
  </si>
  <si>
    <t>b</t>
  </si>
  <si>
    <t>avkastningskrav = diskonteringsfaktor</t>
  </si>
  <si>
    <t>Invest. Utgift</t>
  </si>
  <si>
    <t>Økt salgsinntekt</t>
  </si>
  <si>
    <t>Driftsutgifter</t>
  </si>
  <si>
    <t>Arbeidskapitalbehov for kundefordringene</t>
  </si>
  <si>
    <t>Økt varelager</t>
  </si>
  <si>
    <t>Kontaktstrøm</t>
  </si>
  <si>
    <t>diskonteringsfaktor</t>
  </si>
  <si>
    <t>diskontert beløp</t>
  </si>
  <si>
    <t>0.9434</t>
  </si>
  <si>
    <t>0.9346</t>
  </si>
  <si>
    <t>0.9259</t>
  </si>
  <si>
    <t>0.9426</t>
  </si>
  <si>
    <t>0.9246</t>
  </si>
  <si>
    <t>0.8900</t>
  </si>
  <si>
    <t>0.8734</t>
  </si>
  <si>
    <t>0.8573</t>
  </si>
  <si>
    <t>0.9151</t>
  </si>
  <si>
    <t>0.8890</t>
  </si>
  <si>
    <t>0.8396</t>
  </si>
  <si>
    <t>0.8163</t>
  </si>
  <si>
    <t>0.7938</t>
  </si>
  <si>
    <t>0.8885</t>
  </si>
  <si>
    <t>0.8548</t>
  </si>
  <si>
    <t>0.7921</t>
  </si>
  <si>
    <t>0.7629</t>
  </si>
  <si>
    <t>0.7350</t>
  </si>
  <si>
    <t>0.8626</t>
  </si>
  <si>
    <t>0.8219</t>
  </si>
  <si>
    <t>0.7473</t>
  </si>
  <si>
    <t>0.7130</t>
  </si>
  <si>
    <t>0.6806</t>
  </si>
  <si>
    <t>0.8375</t>
  </si>
  <si>
    <t>0.7903</t>
  </si>
  <si>
    <t>0.7462</t>
  </si>
  <si>
    <t>0.7050</t>
  </si>
  <si>
    <t>0.6663</t>
  </si>
  <si>
    <t>0.6302</t>
  </si>
  <si>
    <t>0.8131</t>
  </si>
  <si>
    <t>0.7599</t>
  </si>
  <si>
    <t>0.7107</t>
  </si>
  <si>
    <t>0.6651</t>
  </si>
  <si>
    <t>0.6227</t>
  </si>
  <si>
    <t>0.5835</t>
  </si>
  <si>
    <t>0.7894</t>
  </si>
  <si>
    <t>0.7307</t>
  </si>
  <si>
    <t>0.6768</t>
  </si>
  <si>
    <t>0.6274</t>
  </si>
  <si>
    <t>0.5820</t>
  </si>
  <si>
    <t>0.5403</t>
  </si>
  <si>
    <t>0.7664</t>
  </si>
  <si>
    <t>0.7026</t>
  </si>
  <si>
    <t>0.6446</t>
  </si>
  <si>
    <t>0.5919</t>
  </si>
  <si>
    <t>0.5439</t>
  </si>
  <si>
    <t>0.5002</t>
  </si>
  <si>
    <t>0.7441</t>
  </si>
  <si>
    <t>0.6756</t>
  </si>
  <si>
    <t>0.6139</t>
  </si>
  <si>
    <t>0.5584</t>
  </si>
  <si>
    <t>0.5083</t>
  </si>
  <si>
    <t>0.4632</t>
  </si>
  <si>
    <t>sum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</si>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</sst>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kr&quot;\ #,##0.00;[Red]\-&quot;kr&quot;\ #,##0.00"/>
    <numFmt numFmtId="164" formatCode="#,##0.00000"/>
    <numFmt numFmtId="165" formatCode="#,##0.0000"/>
    <numFmt numFmtId="166" formatCode="0.0000"/>
    <numFmt numFmtId="167" formatCode="&quot;kr&quot;\ #,##0.00"/>
    <numFmt numFmtId="168" formatCode="0.0\ %"/>
    <numFmt numFmtId="169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1" applyFont="1"/>
    <xf numFmtId="0" fontId="2" fillId="0" borderId="0" xfId="2" applyFont="1"/>
    <xf numFmtId="0" fontId="2" fillId="2" borderId="1" xfId="2" applyFont="1" applyFill="1" applyBorder="1"/>
    <xf numFmtId="0" fontId="2" fillId="2" borderId="2" xfId="2" applyFont="1" applyFill="1" applyBorder="1"/>
    <xf numFmtId="0" fontId="2" fillId="2" borderId="3" xfId="2" applyFont="1" applyFill="1" applyBorder="1"/>
    <xf numFmtId="0" fontId="2" fillId="0" borderId="1" xfId="2" applyFont="1" applyBorder="1"/>
    <xf numFmtId="3" fontId="2" fillId="0" borderId="1" xfId="2" applyNumberFormat="1" applyFont="1" applyBorder="1"/>
    <xf numFmtId="3" fontId="2" fillId="0" borderId="0" xfId="2" applyNumberFormat="1" applyFont="1"/>
    <xf numFmtId="0" fontId="3" fillId="0" borderId="0" xfId="2" applyFont="1"/>
    <xf numFmtId="0" fontId="2" fillId="0" borderId="0" xfId="2"/>
    <xf numFmtId="0" fontId="4" fillId="0" borderId="0" xfId="1" applyFont="1"/>
    <xf numFmtId="0" fontId="5" fillId="0" borderId="0" xfId="1" applyFont="1"/>
    <xf numFmtId="0" fontId="4" fillId="0" borderId="0" xfId="1" applyFont="1" applyFill="1" applyBorder="1"/>
    <xf numFmtId="0" fontId="4" fillId="0" borderId="1" xfId="1" applyFont="1" applyBorder="1"/>
    <xf numFmtId="0" fontId="4" fillId="0" borderId="2" xfId="1" applyFont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0" borderId="0" xfId="1" applyFont="1" applyBorder="1"/>
    <xf numFmtId="0" fontId="4" fillId="0" borderId="4" xfId="1" applyFont="1" applyBorder="1"/>
    <xf numFmtId="3" fontId="4" fillId="0" borderId="0" xfId="1" applyNumberFormat="1" applyFont="1" applyFill="1" applyBorder="1"/>
    <xf numFmtId="3" fontId="4" fillId="0" borderId="4" xfId="1" applyNumberFormat="1" applyFont="1" applyBorder="1"/>
    <xf numFmtId="1" fontId="4" fillId="0" borderId="1" xfId="1" applyNumberFormat="1" applyFont="1" applyBorder="1"/>
    <xf numFmtId="3" fontId="4" fillId="0" borderId="1" xfId="1" applyNumberFormat="1" applyFont="1" applyBorder="1"/>
    <xf numFmtId="3" fontId="4" fillId="0" borderId="0" xfId="1" applyNumberFormat="1" applyFont="1" applyBorder="1"/>
    <xf numFmtId="0" fontId="4" fillId="2" borderId="1" xfId="1" applyFont="1" applyFill="1" applyBorder="1"/>
    <xf numFmtId="3" fontId="4" fillId="2" borderId="1" xfId="1" applyNumberFormat="1" applyFont="1" applyFill="1" applyBorder="1"/>
    <xf numFmtId="0" fontId="4" fillId="2" borderId="2" xfId="2" applyFont="1" applyFill="1" applyBorder="1"/>
    <xf numFmtId="0" fontId="4" fillId="2" borderId="3" xfId="2" applyFont="1" applyFill="1" applyBorder="1"/>
    <xf numFmtId="3" fontId="4" fillId="0" borderId="0" xfId="1" applyNumberFormat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8" fillId="0" borderId="0" xfId="1" applyFont="1" applyFill="1" applyBorder="1"/>
    <xf numFmtId="3" fontId="8" fillId="0" borderId="0" xfId="1" applyNumberFormat="1" applyFont="1" applyFill="1" applyBorder="1"/>
    <xf numFmtId="3" fontId="5" fillId="0" borderId="0" xfId="1" applyNumberFormat="1" applyFont="1" applyFill="1" applyBorder="1"/>
    <xf numFmtId="0" fontId="2" fillId="2" borderId="5" xfId="2" applyFont="1" applyFill="1" applyBorder="1"/>
    <xf numFmtId="0" fontId="2" fillId="2" borderId="4" xfId="2" applyFont="1" applyFill="1" applyBorder="1"/>
    <xf numFmtId="0" fontId="3" fillId="2" borderId="5" xfId="2" applyFont="1" applyFill="1" applyBorder="1"/>
    <xf numFmtId="0" fontId="0" fillId="3" borderId="5" xfId="0" applyFill="1" applyBorder="1"/>
    <xf numFmtId="0" fontId="2" fillId="2" borderId="6" xfId="2" applyFont="1" applyFill="1" applyBorder="1"/>
    <xf numFmtId="0" fontId="0" fillId="3" borderId="3" xfId="0" applyFill="1" applyBorder="1"/>
    <xf numFmtId="0" fontId="2" fillId="0" borderId="1" xfId="2" applyFont="1" applyBorder="1" applyAlignment="1">
      <alignment horizontal="left"/>
    </xf>
    <xf numFmtId="3" fontId="2" fillId="0" borderId="4" xfId="2" applyNumberFormat="1" applyFont="1" applyBorder="1"/>
    <xf numFmtId="3" fontId="2" fillId="0" borderId="6" xfId="2" applyNumberFormat="1" applyFont="1" applyBorder="1"/>
    <xf numFmtId="3" fontId="10" fillId="0" borderId="0" xfId="2" applyNumberFormat="1" applyFont="1"/>
    <xf numFmtId="3" fontId="2" fillId="0" borderId="7" xfId="2" applyNumberFormat="1" applyFont="1" applyBorder="1"/>
    <xf numFmtId="0" fontId="4" fillId="2" borderId="1" xfId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12" fillId="4" borderId="1" xfId="2" applyFont="1" applyFill="1" applyBorder="1" applyAlignment="1">
      <alignment horizontal="center"/>
    </xf>
    <xf numFmtId="0" fontId="12" fillId="0" borderId="1" xfId="2" applyFont="1" applyBorder="1"/>
    <xf numFmtId="0" fontId="12" fillId="0" borderId="1" xfId="2" applyFont="1" applyFill="1" applyBorder="1"/>
    <xf numFmtId="0" fontId="12" fillId="0" borderId="0" xfId="2" applyFont="1"/>
    <xf numFmtId="164" fontId="12" fillId="0" borderId="1" xfId="2" applyNumberFormat="1" applyFont="1" applyBorder="1"/>
    <xf numFmtId="0" fontId="12" fillId="0" borderId="0" xfId="2" applyFont="1" applyBorder="1"/>
    <xf numFmtId="0" fontId="0" fillId="0" borderId="0" xfId="0" applyFill="1" applyBorder="1"/>
    <xf numFmtId="3" fontId="12" fillId="0" borderId="0" xfId="2" applyNumberFormat="1" applyFont="1"/>
    <xf numFmtId="0" fontId="12" fillId="0" borderId="1" xfId="2" applyFont="1" applyBorder="1" applyAlignment="1">
      <alignment horizontal="center"/>
    </xf>
    <xf numFmtId="0" fontId="12" fillId="0" borderId="1" xfId="2" quotePrefix="1" applyFont="1" applyBorder="1" applyAlignment="1">
      <alignment horizontal="center"/>
    </xf>
    <xf numFmtId="0" fontId="11" fillId="0" borderId="0" xfId="0" applyFont="1"/>
    <xf numFmtId="9" fontId="0" fillId="0" borderId="0" xfId="0" applyNumberFormat="1"/>
    <xf numFmtId="8" fontId="0" fillId="0" borderId="0" xfId="0" applyNumberFormat="1"/>
    <xf numFmtId="0" fontId="0" fillId="0" borderId="1" xfId="0" applyBorder="1"/>
    <xf numFmtId="165" fontId="12" fillId="0" borderId="1" xfId="2" applyNumberFormat="1" applyFont="1" applyBorder="1" applyAlignment="1">
      <alignment horizontal="center"/>
    </xf>
    <xf numFmtId="165" fontId="12" fillId="0" borderId="1" xfId="2" applyNumberFormat="1" applyFont="1" applyBorder="1"/>
    <xf numFmtId="166" fontId="0" fillId="0" borderId="1" xfId="0" applyNumberFormat="1" applyBorder="1"/>
    <xf numFmtId="166" fontId="12" fillId="0" borderId="1" xfId="2" applyNumberFormat="1" applyFont="1" applyBorder="1"/>
    <xf numFmtId="166" fontId="0" fillId="0" borderId="0" xfId="0" applyNumberFormat="1" applyBorder="1"/>
    <xf numFmtId="0" fontId="0" fillId="0" borderId="0" xfId="0" applyBorder="1"/>
    <xf numFmtId="2" fontId="12" fillId="0" borderId="0" xfId="2" applyNumberFormat="1" applyFont="1" applyBorder="1"/>
    <xf numFmtId="0" fontId="11" fillId="0" borderId="1" xfId="0" applyFont="1" applyBorder="1" applyAlignment="1">
      <alignment horizontal="center"/>
    </xf>
    <xf numFmtId="0" fontId="13" fillId="5" borderId="1" xfId="2" applyFont="1" applyFill="1" applyBorder="1"/>
    <xf numFmtId="9" fontId="11" fillId="5" borderId="1" xfId="0" applyNumberFormat="1" applyFont="1" applyFill="1" applyBorder="1" applyAlignment="1">
      <alignment horizontal="center"/>
    </xf>
    <xf numFmtId="9" fontId="13" fillId="5" borderId="1" xfId="4" applyFont="1" applyFill="1" applyBorder="1" applyAlignment="1">
      <alignment horizontal="center"/>
    </xf>
    <xf numFmtId="9" fontId="13" fillId="5" borderId="1" xfId="2" quotePrefix="1" applyNumberFormat="1" applyFont="1" applyFill="1" applyBorder="1" applyAlignment="1">
      <alignment horizontal="center"/>
    </xf>
    <xf numFmtId="9" fontId="13" fillId="5" borderId="1" xfId="2" applyNumberFormat="1" applyFont="1" applyFill="1" applyBorder="1" applyAlignment="1">
      <alignment horizontal="center"/>
    </xf>
    <xf numFmtId="0" fontId="11" fillId="5" borderId="1" xfId="0" applyFont="1" applyFill="1" applyBorder="1"/>
    <xf numFmtId="167" fontId="0" fillId="0" borderId="0" xfId="0" applyNumberFormat="1"/>
    <xf numFmtId="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14" fillId="0" borderId="0" xfId="0" applyFont="1"/>
    <xf numFmtId="0" fontId="13" fillId="0" borderId="0" xfId="2" applyFont="1"/>
    <xf numFmtId="8" fontId="0" fillId="0" borderId="0" xfId="0" applyNumberFormat="1" applyFill="1" applyBorder="1"/>
    <xf numFmtId="0" fontId="15" fillId="0" borderId="0" xfId="0" applyFont="1"/>
    <xf numFmtId="0" fontId="14" fillId="6" borderId="0" xfId="0" applyFont="1" applyFill="1"/>
    <xf numFmtId="0" fontId="11" fillId="6" borderId="0" xfId="0" applyFont="1" applyFill="1"/>
    <xf numFmtId="0" fontId="16" fillId="0" borderId="8" xfId="0" applyFont="1" applyBorder="1"/>
    <xf numFmtId="0" fontId="0" fillId="0" borderId="8" xfId="0" applyBorder="1"/>
    <xf numFmtId="0" fontId="16" fillId="0" borderId="0" xfId="0" applyFont="1"/>
    <xf numFmtId="0" fontId="0" fillId="0" borderId="8" xfId="0" applyFont="1" applyBorder="1"/>
    <xf numFmtId="0" fontId="16" fillId="0" borderId="5" xfId="0" applyFont="1" applyBorder="1"/>
    <xf numFmtId="0" fontId="0" fillId="0" borderId="5" xfId="0" applyBorder="1"/>
    <xf numFmtId="0" fontId="11" fillId="7" borderId="0" xfId="0" applyFont="1" applyFill="1"/>
    <xf numFmtId="0" fontId="0" fillId="7" borderId="0" xfId="0" applyFill="1"/>
    <xf numFmtId="168" fontId="0" fillId="0" borderId="0" xfId="4" applyNumberFormat="1" applyFont="1"/>
    <xf numFmtId="169" fontId="0" fillId="0" borderId="0" xfId="0" applyNumberFormat="1"/>
    <xf numFmtId="3" fontId="12" fillId="0" borderId="1" xfId="2" applyNumberFormat="1" applyFont="1" applyBorder="1"/>
    <xf numFmtId="3" fontId="12" fillId="0" borderId="1" xfId="2" quotePrefix="1" applyNumberFormat="1" applyFont="1" applyBorder="1" applyAlignment="1">
      <alignment horizontal="right"/>
    </xf>
    <xf numFmtId="4" fontId="12" fillId="0" borderId="1" xfId="2" applyNumberFormat="1" applyFont="1" applyBorder="1"/>
    <xf numFmtId="4" fontId="12" fillId="0" borderId="0" xfId="2" applyNumberFormat="1" applyFont="1" applyBorder="1"/>
    <xf numFmtId="4" fontId="0" fillId="0" borderId="0" xfId="0" applyNumberFormat="1"/>
    <xf numFmtId="0" fontId="12" fillId="0" borderId="0" xfId="2" applyFont="1" applyFill="1" applyBorder="1" applyAlignment="1">
      <alignment horizontal="center"/>
    </xf>
    <xf numFmtId="3" fontId="12" fillId="0" borderId="0" xfId="2" applyNumberFormat="1" applyFont="1" applyFill="1" applyBorder="1"/>
    <xf numFmtId="3" fontId="12" fillId="0" borderId="0" xfId="2" quotePrefix="1" applyNumberFormat="1" applyFont="1" applyFill="1" applyBorder="1" applyAlignment="1">
      <alignment horizontal="right"/>
    </xf>
    <xf numFmtId="164" fontId="12" fillId="0" borderId="0" xfId="2" applyNumberFormat="1" applyFont="1" applyFill="1" applyBorder="1"/>
    <xf numFmtId="4" fontId="12" fillId="0" borderId="0" xfId="2" applyNumberFormat="1" applyFont="1" applyFill="1" applyBorder="1"/>
    <xf numFmtId="0" fontId="17" fillId="0" borderId="0" xfId="0" applyFont="1"/>
    <xf numFmtId="0" fontId="18" fillId="0" borderId="0" xfId="0" applyFont="1" applyAlignment="1">
      <alignment horizontal="left" vertical="center" indent="2"/>
    </xf>
    <xf numFmtId="0" fontId="19" fillId="0" borderId="0" xfId="0" applyFont="1"/>
    <xf numFmtId="168" fontId="12" fillId="0" borderId="0" xfId="2" applyNumberFormat="1" applyFont="1" applyBorder="1"/>
    <xf numFmtId="0" fontId="0" fillId="0" borderId="9" xfId="0" applyBorder="1" applyAlignment="1">
      <alignment wrapText="1"/>
    </xf>
    <xf numFmtId="0" fontId="20" fillId="0" borderId="9" xfId="0" applyFont="1" applyBorder="1" applyAlignment="1">
      <alignment wrapText="1"/>
    </xf>
    <xf numFmtId="0" fontId="20" fillId="8" borderId="9" xfId="0" applyFont="1" applyFill="1" applyBorder="1" applyAlignment="1">
      <alignment horizontal="right" wrapText="1"/>
    </xf>
    <xf numFmtId="0" fontId="15" fillId="0" borderId="9" xfId="0" applyFont="1" applyBorder="1" applyAlignment="1">
      <alignment wrapText="1"/>
    </xf>
    <xf numFmtId="0" fontId="15" fillId="0" borderId="9" xfId="0" applyFont="1" applyBorder="1" applyAlignment="1">
      <alignment horizontal="right" wrapText="1"/>
    </xf>
    <xf numFmtId="0" fontId="21" fillId="9" borderId="9" xfId="0" applyFont="1" applyFill="1" applyBorder="1" applyAlignment="1">
      <alignment wrapText="1"/>
    </xf>
    <xf numFmtId="0" fontId="14" fillId="0" borderId="9" xfId="0" applyFont="1" applyBorder="1" applyAlignment="1">
      <alignment vertical="center"/>
    </xf>
    <xf numFmtId="0" fontId="0" fillId="0" borderId="10" xfId="0" applyBorder="1" applyAlignment="1">
      <alignment wrapText="1"/>
    </xf>
    <xf numFmtId="0" fontId="11" fillId="10" borderId="11" xfId="0" applyFont="1" applyFill="1" applyBorder="1" applyAlignment="1">
      <alignment wrapText="1"/>
    </xf>
    <xf numFmtId="9" fontId="11" fillId="10" borderId="12" xfId="0" applyNumberFormat="1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right" wrapText="1"/>
    </xf>
    <xf numFmtId="0" fontId="0" fillId="0" borderId="12" xfId="0" applyBorder="1" applyAlignment="1">
      <alignment horizontal="center" wrapText="1"/>
    </xf>
    <xf numFmtId="0" fontId="15" fillId="0" borderId="0" xfId="0" applyFont="1" applyFill="1" applyBorder="1" applyAlignment="1">
      <alignment wrapText="1"/>
    </xf>
    <xf numFmtId="10" fontId="0" fillId="0" borderId="0" xfId="0" applyNumberFormat="1"/>
  </cellXfs>
  <cellStyles count="5">
    <cellStyle name="Normal" xfId="0" builtinId="0"/>
    <cellStyle name="Normal 2 2" xfId="2" xr:uid="{00000000-0005-0000-0000-000002000000}"/>
    <cellStyle name="Normal 2 3" xfId="1" xr:uid="{00000000-0005-0000-0000-000003000000}"/>
    <cellStyle name="Normal 3" xfId="3" xr:uid="{00000000-0005-0000-0000-000004000000}"/>
    <cellStyle name="Pros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14</xdr:row>
      <xdr:rowOff>23810</xdr:rowOff>
    </xdr:from>
    <xdr:to>
      <xdr:col>14</xdr:col>
      <xdr:colOff>23812</xdr:colOff>
      <xdr:row>29</xdr:row>
      <xdr:rowOff>71436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DA16F9-4846-4DF7-A802-E2D44967C08C}"/>
            </a:ext>
          </a:extLst>
        </xdr:cNvPr>
        <xdr:cNvSpPr txBox="1"/>
      </xdr:nvSpPr>
      <xdr:spPr>
        <a:xfrm>
          <a:off x="4595812" y="2702716"/>
          <a:ext cx="6477000" cy="29170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Forklaringen bør inneholde hva</a:t>
          </a:r>
          <a:r>
            <a:rPr lang="nb-NO" sz="1100" baseline="0"/>
            <a:t> de ulike tallene betyr - se pensum</a:t>
          </a:r>
          <a:endParaRPr lang="nb-NO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nb-NO" sz="1100" baseline="0"/>
          </a:br>
          <a:r>
            <a:rPr lang="nb-NO" sz="1100" baseline="0"/>
            <a:t>- Fortjeneste i prosent faller fra 4,1% til 2,3%</a:t>
          </a:r>
        </a:p>
        <a:p>
          <a:r>
            <a:rPr lang="nb-NO" sz="1100" baseline="0"/>
            <a:t>- Bruttofortjenesten stiger derimot, slik at fallet i fortjenesten skyldes ikke vareforbruk. Men vi ser at lønnskostnadene øker. I prosent av salgsinntekter, fra 29% til 34%.</a:t>
          </a:r>
        </a:p>
        <a:p>
          <a:r>
            <a:rPr lang="nb-NO" sz="1100" baseline="0"/>
            <a:t>- Totalkap.rent. synker fra 16,6% til 10%, noe som er et dårlig tegn. </a:t>
          </a:r>
        </a:p>
        <a:p>
          <a:r>
            <a:rPr lang="nb-NO" sz="1100" baseline="0"/>
            <a:t>- LG1-2: Alle likviditetsgradene synker, men de startet også meget høyt. </a:t>
          </a:r>
          <a:r>
            <a:rPr lang="nb-N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Denne bedriften har over 2 i 2016-17, noe som er veldig bra. Den har derimot gått mye ned, fra 4.2 til 1.8 i 2018. Fortsatt ikke kritisk for LG1,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men utviklingen er ikke positiv. </a:t>
          </a:r>
          <a:r>
            <a:rPr lang="nb-NO" sz="1100" baseline="0"/>
            <a:t>LG2 er nå godt under 1. Faller pga økning i KG.</a:t>
          </a:r>
        </a:p>
        <a:p>
          <a:r>
            <a:rPr lang="nb-NO" sz="1100" baseline="0"/>
            <a:t>- Arbeidskapitalen er positiv og stigende, som i seg selv er et positivt tegn - men denne fanger ikke opp problemenes som vises i forhold til varelageret</a:t>
          </a:r>
        </a:p>
        <a:p>
          <a:r>
            <a:rPr lang="nb-NO" sz="1100" baseline="0"/>
            <a:t>- Det bør legges merke til her at varelagerene stiger og spesielt ferdigvarelageret - som er et faretruende tegn. De bør iverksette tiltak for å øke omsetningen av varene og redusere legerbindingen. </a:t>
          </a:r>
        </a:p>
        <a:p>
          <a:r>
            <a:rPr lang="nb-NO" sz="1100"/>
            <a:t>- Gjeldsgraden stiger også mye, som viser en negativ</a:t>
          </a:r>
          <a:r>
            <a:rPr lang="nb-NO" sz="1100" baseline="0"/>
            <a:t> utvikling med mye gjeld i forhold til egenkapital. Bedriften blir sårbar ifht. å tåle tap.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zoomScale="90" zoomScaleNormal="90" workbookViewId="0">
      <selection activeCell="F26" sqref="F26"/>
    </sheetView>
  </sheetViews>
  <sheetFormatPr baseColWidth="10" defaultColWidth="11.42578125" defaultRowHeight="15.75" customHeight="1" x14ac:dyDescent="0.2"/>
  <cols>
    <col min="1" max="1" width="28.5703125" style="2" customWidth="1"/>
    <col min="2" max="2" width="9.85546875" style="2" customWidth="1"/>
    <col min="3" max="3" width="10.42578125" style="2" customWidth="1"/>
    <col min="4" max="4" width="13.28515625" style="2" customWidth="1"/>
    <col min="5" max="258" width="11.42578125" style="2"/>
    <col min="259" max="259" width="25.7109375" style="2" customWidth="1"/>
    <col min="260" max="514" width="11.42578125" style="2"/>
    <col min="515" max="515" width="25.7109375" style="2" customWidth="1"/>
    <col min="516" max="770" width="11.42578125" style="2"/>
    <col min="771" max="771" width="25.7109375" style="2" customWidth="1"/>
    <col min="772" max="1026" width="11.42578125" style="2"/>
    <col min="1027" max="1027" width="25.7109375" style="2" customWidth="1"/>
    <col min="1028" max="1282" width="11.42578125" style="2"/>
    <col min="1283" max="1283" width="25.7109375" style="2" customWidth="1"/>
    <col min="1284" max="1538" width="11.42578125" style="2"/>
    <col min="1539" max="1539" width="25.7109375" style="2" customWidth="1"/>
    <col min="1540" max="1794" width="11.42578125" style="2"/>
    <col min="1795" max="1795" width="25.7109375" style="2" customWidth="1"/>
    <col min="1796" max="2050" width="11.42578125" style="2"/>
    <col min="2051" max="2051" width="25.7109375" style="2" customWidth="1"/>
    <col min="2052" max="2306" width="11.42578125" style="2"/>
    <col min="2307" max="2307" width="25.7109375" style="2" customWidth="1"/>
    <col min="2308" max="2562" width="11.42578125" style="2"/>
    <col min="2563" max="2563" width="25.7109375" style="2" customWidth="1"/>
    <col min="2564" max="2818" width="11.42578125" style="2"/>
    <col min="2819" max="2819" width="25.7109375" style="2" customWidth="1"/>
    <col min="2820" max="3074" width="11.42578125" style="2"/>
    <col min="3075" max="3075" width="25.7109375" style="2" customWidth="1"/>
    <col min="3076" max="3330" width="11.42578125" style="2"/>
    <col min="3331" max="3331" width="25.7109375" style="2" customWidth="1"/>
    <col min="3332" max="3586" width="11.42578125" style="2"/>
    <col min="3587" max="3587" width="25.7109375" style="2" customWidth="1"/>
    <col min="3588" max="3842" width="11.42578125" style="2"/>
    <col min="3843" max="3843" width="25.7109375" style="2" customWidth="1"/>
    <col min="3844" max="4098" width="11.42578125" style="2"/>
    <col min="4099" max="4099" width="25.7109375" style="2" customWidth="1"/>
    <col min="4100" max="4354" width="11.42578125" style="2"/>
    <col min="4355" max="4355" width="25.7109375" style="2" customWidth="1"/>
    <col min="4356" max="4610" width="11.42578125" style="2"/>
    <col min="4611" max="4611" width="25.7109375" style="2" customWidth="1"/>
    <col min="4612" max="4866" width="11.42578125" style="2"/>
    <col min="4867" max="4867" width="25.7109375" style="2" customWidth="1"/>
    <col min="4868" max="5122" width="11.42578125" style="2"/>
    <col min="5123" max="5123" width="25.7109375" style="2" customWidth="1"/>
    <col min="5124" max="5378" width="11.42578125" style="2"/>
    <col min="5379" max="5379" width="25.7109375" style="2" customWidth="1"/>
    <col min="5380" max="5634" width="11.42578125" style="2"/>
    <col min="5635" max="5635" width="25.7109375" style="2" customWidth="1"/>
    <col min="5636" max="5890" width="11.42578125" style="2"/>
    <col min="5891" max="5891" width="25.7109375" style="2" customWidth="1"/>
    <col min="5892" max="6146" width="11.42578125" style="2"/>
    <col min="6147" max="6147" width="25.7109375" style="2" customWidth="1"/>
    <col min="6148" max="6402" width="11.42578125" style="2"/>
    <col min="6403" max="6403" width="25.7109375" style="2" customWidth="1"/>
    <col min="6404" max="6658" width="11.42578125" style="2"/>
    <col min="6659" max="6659" width="25.7109375" style="2" customWidth="1"/>
    <col min="6660" max="6914" width="11.42578125" style="2"/>
    <col min="6915" max="6915" width="25.7109375" style="2" customWidth="1"/>
    <col min="6916" max="7170" width="11.42578125" style="2"/>
    <col min="7171" max="7171" width="25.7109375" style="2" customWidth="1"/>
    <col min="7172" max="7426" width="11.42578125" style="2"/>
    <col min="7427" max="7427" width="25.7109375" style="2" customWidth="1"/>
    <col min="7428" max="7682" width="11.42578125" style="2"/>
    <col min="7683" max="7683" width="25.7109375" style="2" customWidth="1"/>
    <col min="7684" max="7938" width="11.42578125" style="2"/>
    <col min="7939" max="7939" width="25.7109375" style="2" customWidth="1"/>
    <col min="7940" max="8194" width="11.42578125" style="2"/>
    <col min="8195" max="8195" width="25.7109375" style="2" customWidth="1"/>
    <col min="8196" max="8450" width="11.42578125" style="2"/>
    <col min="8451" max="8451" width="25.7109375" style="2" customWidth="1"/>
    <col min="8452" max="8706" width="11.42578125" style="2"/>
    <col min="8707" max="8707" width="25.7109375" style="2" customWidth="1"/>
    <col min="8708" max="8962" width="11.42578125" style="2"/>
    <col min="8963" max="8963" width="25.7109375" style="2" customWidth="1"/>
    <col min="8964" max="9218" width="11.42578125" style="2"/>
    <col min="9219" max="9219" width="25.7109375" style="2" customWidth="1"/>
    <col min="9220" max="9474" width="11.42578125" style="2"/>
    <col min="9475" max="9475" width="25.7109375" style="2" customWidth="1"/>
    <col min="9476" max="9730" width="11.42578125" style="2"/>
    <col min="9731" max="9731" width="25.7109375" style="2" customWidth="1"/>
    <col min="9732" max="9986" width="11.42578125" style="2"/>
    <col min="9987" max="9987" width="25.7109375" style="2" customWidth="1"/>
    <col min="9988" max="10242" width="11.42578125" style="2"/>
    <col min="10243" max="10243" width="25.7109375" style="2" customWidth="1"/>
    <col min="10244" max="10498" width="11.42578125" style="2"/>
    <col min="10499" max="10499" width="25.7109375" style="2" customWidth="1"/>
    <col min="10500" max="10754" width="11.42578125" style="2"/>
    <col min="10755" max="10755" width="25.7109375" style="2" customWidth="1"/>
    <col min="10756" max="11010" width="11.42578125" style="2"/>
    <col min="11011" max="11011" width="25.7109375" style="2" customWidth="1"/>
    <col min="11012" max="11266" width="11.42578125" style="2"/>
    <col min="11267" max="11267" width="25.7109375" style="2" customWidth="1"/>
    <col min="11268" max="11522" width="11.42578125" style="2"/>
    <col min="11523" max="11523" width="25.7109375" style="2" customWidth="1"/>
    <col min="11524" max="11778" width="11.42578125" style="2"/>
    <col min="11779" max="11779" width="25.7109375" style="2" customWidth="1"/>
    <col min="11780" max="12034" width="11.42578125" style="2"/>
    <col min="12035" max="12035" width="25.7109375" style="2" customWidth="1"/>
    <col min="12036" max="12290" width="11.42578125" style="2"/>
    <col min="12291" max="12291" width="25.7109375" style="2" customWidth="1"/>
    <col min="12292" max="12546" width="11.42578125" style="2"/>
    <col min="12547" max="12547" width="25.7109375" style="2" customWidth="1"/>
    <col min="12548" max="12802" width="11.42578125" style="2"/>
    <col min="12803" max="12803" width="25.7109375" style="2" customWidth="1"/>
    <col min="12804" max="13058" width="11.42578125" style="2"/>
    <col min="13059" max="13059" width="25.7109375" style="2" customWidth="1"/>
    <col min="13060" max="13314" width="11.42578125" style="2"/>
    <col min="13315" max="13315" width="25.7109375" style="2" customWidth="1"/>
    <col min="13316" max="13570" width="11.42578125" style="2"/>
    <col min="13571" max="13571" width="25.7109375" style="2" customWidth="1"/>
    <col min="13572" max="13826" width="11.42578125" style="2"/>
    <col min="13827" max="13827" width="25.7109375" style="2" customWidth="1"/>
    <col min="13828" max="14082" width="11.42578125" style="2"/>
    <col min="14083" max="14083" width="25.7109375" style="2" customWidth="1"/>
    <col min="14084" max="14338" width="11.42578125" style="2"/>
    <col min="14339" max="14339" width="25.7109375" style="2" customWidth="1"/>
    <col min="14340" max="14594" width="11.42578125" style="2"/>
    <col min="14595" max="14595" width="25.7109375" style="2" customWidth="1"/>
    <col min="14596" max="14850" width="11.42578125" style="2"/>
    <col min="14851" max="14851" width="25.7109375" style="2" customWidth="1"/>
    <col min="14852" max="15106" width="11.42578125" style="2"/>
    <col min="15107" max="15107" width="25.7109375" style="2" customWidth="1"/>
    <col min="15108" max="15362" width="11.42578125" style="2"/>
    <col min="15363" max="15363" width="25.7109375" style="2" customWidth="1"/>
    <col min="15364" max="15618" width="11.42578125" style="2"/>
    <col min="15619" max="15619" width="25.7109375" style="2" customWidth="1"/>
    <col min="15620" max="15874" width="11.42578125" style="2"/>
    <col min="15875" max="15875" width="25.7109375" style="2" customWidth="1"/>
    <col min="15876" max="16130" width="11.42578125" style="2"/>
    <col min="16131" max="16131" width="25.7109375" style="2" customWidth="1"/>
    <col min="16132" max="16384" width="11.42578125" style="2"/>
  </cols>
  <sheetData>
    <row r="1" spans="1:15" ht="15.75" customHeight="1" x14ac:dyDescent="0.2">
      <c r="A1" s="1" t="s">
        <v>0</v>
      </c>
    </row>
    <row r="2" spans="1:15" ht="15.75" customHeight="1" x14ac:dyDescent="0.2">
      <c r="A2" s="1"/>
    </row>
    <row r="3" spans="1:15" ht="15.75" customHeight="1" x14ac:dyDescent="0.25">
      <c r="A3" s="3" t="s">
        <v>1</v>
      </c>
      <c r="B3" s="4" t="s">
        <v>37</v>
      </c>
      <c r="C3" s="5"/>
      <c r="D3" s="4" t="s">
        <v>38</v>
      </c>
      <c r="E3" s="5"/>
      <c r="F3" s="4" t="s">
        <v>39</v>
      </c>
      <c r="G3" s="5"/>
      <c r="H3" s="4" t="s">
        <v>40</v>
      </c>
      <c r="I3" s="36"/>
      <c r="J3" s="4" t="s">
        <v>43</v>
      </c>
      <c r="K3" s="5"/>
      <c r="L3" s="38" t="s">
        <v>42</v>
      </c>
      <c r="M3" s="41"/>
      <c r="N3" s="38" t="s">
        <v>41</v>
      </c>
      <c r="O3" s="5"/>
    </row>
    <row r="4" spans="1:15" ht="15.75" customHeight="1" x14ac:dyDescent="0.25">
      <c r="A4" s="3"/>
      <c r="B4" s="4"/>
      <c r="C4" s="5"/>
      <c r="D4" s="4"/>
      <c r="E4" s="5"/>
      <c r="F4" s="4"/>
      <c r="G4" s="5"/>
      <c r="H4" s="4"/>
      <c r="I4" s="5"/>
      <c r="J4" s="37"/>
      <c r="K4" s="37"/>
      <c r="L4" s="38">
        <v>2017</v>
      </c>
      <c r="M4" s="41"/>
      <c r="N4" s="39"/>
      <c r="O4" s="41"/>
    </row>
    <row r="5" spans="1:15" ht="15.75" customHeight="1" x14ac:dyDescent="0.2">
      <c r="A5" s="3"/>
      <c r="B5" s="3" t="s">
        <v>2</v>
      </c>
      <c r="C5" s="3" t="s">
        <v>3</v>
      </c>
      <c r="D5" s="3" t="s">
        <v>4</v>
      </c>
      <c r="E5" s="3" t="s">
        <v>3</v>
      </c>
      <c r="F5" s="3" t="s">
        <v>2</v>
      </c>
      <c r="G5" s="3" t="s">
        <v>3</v>
      </c>
      <c r="H5" s="3" t="s">
        <v>2</v>
      </c>
      <c r="I5" s="3" t="s">
        <v>3</v>
      </c>
      <c r="J5" s="37" t="s">
        <v>2</v>
      </c>
      <c r="K5" s="37" t="s">
        <v>3</v>
      </c>
      <c r="L5" s="40" t="s">
        <v>2</v>
      </c>
      <c r="M5" s="37" t="s">
        <v>3</v>
      </c>
      <c r="N5" s="40" t="s">
        <v>2</v>
      </c>
      <c r="O5" s="37" t="s">
        <v>3</v>
      </c>
    </row>
    <row r="6" spans="1:15" ht="15.75" customHeight="1" x14ac:dyDescent="0.2">
      <c r="A6" s="6" t="s">
        <v>48</v>
      </c>
      <c r="B6" s="7">
        <v>230000</v>
      </c>
      <c r="C6" s="7"/>
      <c r="D6" s="7"/>
      <c r="E6" s="7">
        <v>90000</v>
      </c>
      <c r="F6" s="7">
        <f>B6+D6</f>
        <v>230000</v>
      </c>
      <c r="G6" s="7">
        <f>C6+E6</f>
        <v>90000</v>
      </c>
      <c r="H6" s="7">
        <f>F6-G6</f>
        <v>140000</v>
      </c>
      <c r="I6" s="7"/>
      <c r="J6" s="43"/>
      <c r="K6" s="43"/>
      <c r="L6" s="44"/>
      <c r="M6" s="43"/>
      <c r="N6" s="44">
        <f>H6</f>
        <v>140000</v>
      </c>
      <c r="O6" s="43"/>
    </row>
    <row r="7" spans="1:15" ht="15.75" customHeight="1" x14ac:dyDescent="0.2">
      <c r="A7" s="6" t="s">
        <v>45</v>
      </c>
      <c r="B7" s="7">
        <v>200000</v>
      </c>
      <c r="C7" s="7"/>
      <c r="D7" s="7">
        <v>120000</v>
      </c>
      <c r="E7" s="7">
        <v>70000</v>
      </c>
      <c r="F7" s="7">
        <f t="shared" ref="F7:F31" si="0">B7+D7</f>
        <v>320000</v>
      </c>
      <c r="G7" s="7">
        <f t="shared" ref="G7:G31" si="1">C7+E7</f>
        <v>70000</v>
      </c>
      <c r="H7" s="7">
        <f t="shared" ref="H7:H9" si="2">F7-G7</f>
        <v>250000</v>
      </c>
      <c r="I7" s="7"/>
      <c r="J7" s="7"/>
      <c r="K7" s="7"/>
      <c r="L7" s="7"/>
      <c r="M7" s="7"/>
      <c r="N7" s="44">
        <f t="shared" ref="N7:N11" si="3">H7</f>
        <v>250000</v>
      </c>
      <c r="O7" s="7"/>
    </row>
    <row r="8" spans="1:15" ht="15.75" customHeight="1" x14ac:dyDescent="0.2">
      <c r="A8" s="6" t="s">
        <v>5</v>
      </c>
      <c r="B8" s="7">
        <v>100000</v>
      </c>
      <c r="C8" s="7"/>
      <c r="D8" s="7">
        <v>120000</v>
      </c>
      <c r="E8" s="7">
        <v>100000</v>
      </c>
      <c r="F8" s="7">
        <f t="shared" si="0"/>
        <v>220000</v>
      </c>
      <c r="G8" s="7">
        <f t="shared" si="1"/>
        <v>100000</v>
      </c>
      <c r="H8" s="7">
        <f t="shared" si="2"/>
        <v>120000</v>
      </c>
      <c r="I8" s="7"/>
      <c r="J8" s="7"/>
      <c r="K8" s="7"/>
      <c r="L8" s="7"/>
      <c r="M8" s="7"/>
      <c r="N8" s="44">
        <f t="shared" si="3"/>
        <v>120000</v>
      </c>
      <c r="O8" s="7"/>
    </row>
    <row r="9" spans="1:15" ht="15.75" customHeight="1" x14ac:dyDescent="0.2">
      <c r="A9" s="6" t="s">
        <v>6</v>
      </c>
      <c r="B9" s="7">
        <v>16000</v>
      </c>
      <c r="C9" s="7"/>
      <c r="D9" s="7">
        <v>17000</v>
      </c>
      <c r="E9" s="7">
        <f>B9</f>
        <v>16000</v>
      </c>
      <c r="F9" s="7">
        <f t="shared" si="0"/>
        <v>33000</v>
      </c>
      <c r="G9" s="7">
        <f t="shared" si="1"/>
        <v>16000</v>
      </c>
      <c r="H9" s="7">
        <f t="shared" si="2"/>
        <v>17000</v>
      </c>
      <c r="I9" s="7"/>
      <c r="J9" s="7"/>
      <c r="K9" s="7"/>
      <c r="L9" s="7"/>
      <c r="M9" s="7"/>
      <c r="N9" s="44">
        <f t="shared" si="3"/>
        <v>17000</v>
      </c>
      <c r="O9" s="7"/>
    </row>
    <row r="10" spans="1:15" ht="15.75" customHeight="1" x14ac:dyDescent="0.2">
      <c r="A10" s="6" t="s">
        <v>7</v>
      </c>
      <c r="B10" s="7">
        <f>C32-B6-B7-B8-B9-B11</f>
        <v>985230</v>
      </c>
      <c r="C10" s="7"/>
      <c r="D10" s="7">
        <f>E21+E8-D8</f>
        <v>2380000</v>
      </c>
      <c r="E10" s="7">
        <f>D23+D28+D14+D18+D19+D20+D16+D7+D9-E9-E11-E15</f>
        <v>1065730</v>
      </c>
      <c r="F10" s="7">
        <f t="shared" si="0"/>
        <v>3365230</v>
      </c>
      <c r="G10" s="7">
        <f t="shared" si="1"/>
        <v>1065730</v>
      </c>
      <c r="H10" s="7">
        <f>F10-G10</f>
        <v>2299500</v>
      </c>
      <c r="I10" s="7"/>
      <c r="J10" s="7"/>
      <c r="K10" s="7"/>
      <c r="L10" s="7"/>
      <c r="M10" s="7"/>
      <c r="N10" s="44">
        <f t="shared" si="3"/>
        <v>2299500</v>
      </c>
      <c r="O10" s="7"/>
    </row>
    <row r="11" spans="1:15" ht="15.75" customHeight="1" x14ac:dyDescent="0.2">
      <c r="A11" s="6" t="s">
        <v>8</v>
      </c>
      <c r="B11" s="7">
        <v>60000</v>
      </c>
      <c r="C11" s="7"/>
      <c r="D11" s="7">
        <f>D23*0.25</f>
        <v>171000</v>
      </c>
      <c r="E11" s="7">
        <f>B11</f>
        <v>60000</v>
      </c>
      <c r="F11" s="7">
        <f t="shared" si="0"/>
        <v>231000</v>
      </c>
      <c r="G11" s="7">
        <f t="shared" si="1"/>
        <v>60000</v>
      </c>
      <c r="H11" s="7">
        <f>F11-G11</f>
        <v>171000</v>
      </c>
      <c r="I11" s="7"/>
      <c r="J11" s="7"/>
      <c r="K11" s="7"/>
      <c r="L11" s="7"/>
      <c r="M11" s="7"/>
      <c r="N11" s="44">
        <f t="shared" si="3"/>
        <v>171000</v>
      </c>
      <c r="O11" s="7"/>
    </row>
    <row r="12" spans="1:15" ht="15.75" customHeight="1" x14ac:dyDescent="0.2">
      <c r="A12" s="6" t="s">
        <v>9</v>
      </c>
      <c r="B12" s="7"/>
      <c r="C12" s="7">
        <v>100000</v>
      </c>
      <c r="D12" s="7"/>
      <c r="E12" s="7"/>
      <c r="F12" s="7">
        <f t="shared" si="0"/>
        <v>0</v>
      </c>
      <c r="G12" s="7">
        <f t="shared" si="1"/>
        <v>100000</v>
      </c>
      <c r="H12" s="7"/>
      <c r="I12" s="7">
        <f>G12-F12</f>
        <v>100000</v>
      </c>
      <c r="J12" s="7"/>
      <c r="K12" s="7"/>
      <c r="L12" s="7"/>
      <c r="M12" s="7"/>
      <c r="N12" s="7"/>
      <c r="O12" s="7">
        <f>I12</f>
        <v>100000</v>
      </c>
    </row>
    <row r="13" spans="1:15" ht="15.75" customHeight="1" x14ac:dyDescent="0.2">
      <c r="A13" s="6" t="s">
        <v>10</v>
      </c>
      <c r="B13" s="7"/>
      <c r="C13" s="7">
        <v>70000</v>
      </c>
      <c r="D13" s="7"/>
      <c r="E13" s="7"/>
      <c r="F13" s="7">
        <f t="shared" si="0"/>
        <v>0</v>
      </c>
      <c r="G13" s="7">
        <f t="shared" si="1"/>
        <v>70000</v>
      </c>
      <c r="H13" s="7"/>
      <c r="I13" s="7">
        <f t="shared" ref="I13:I21" si="4">G13-F13</f>
        <v>70000</v>
      </c>
      <c r="J13" s="7"/>
      <c r="K13" s="7">
        <f>L31</f>
        <v>1327902.72</v>
      </c>
      <c r="L13" s="7"/>
      <c r="M13" s="7"/>
      <c r="N13" s="7"/>
      <c r="O13" s="7">
        <f>I13+K13</f>
        <v>1397902.72</v>
      </c>
    </row>
    <row r="14" spans="1:15" ht="15.75" customHeight="1" x14ac:dyDescent="0.2">
      <c r="A14" s="42" t="s">
        <v>46</v>
      </c>
      <c r="B14" s="7"/>
      <c r="C14" s="7">
        <v>1200000</v>
      </c>
      <c r="D14" s="7">
        <v>150000</v>
      </c>
      <c r="E14" s="7"/>
      <c r="F14" s="7">
        <f t="shared" si="0"/>
        <v>150000</v>
      </c>
      <c r="G14" s="7">
        <f t="shared" si="1"/>
        <v>1200000</v>
      </c>
      <c r="H14" s="7"/>
      <c r="I14" s="7">
        <f t="shared" si="4"/>
        <v>1050000</v>
      </c>
      <c r="J14" s="7"/>
      <c r="K14" s="7"/>
      <c r="L14" s="7"/>
      <c r="M14" s="7"/>
      <c r="N14" s="7"/>
      <c r="O14" s="7">
        <f t="shared" ref="O14:O20" si="5">I14</f>
        <v>1050000</v>
      </c>
    </row>
    <row r="15" spans="1:15" ht="15.75" customHeight="1" x14ac:dyDescent="0.2">
      <c r="A15" s="6" t="s">
        <v>11</v>
      </c>
      <c r="B15" s="7"/>
      <c r="C15" s="7">
        <v>66500</v>
      </c>
      <c r="D15" s="7"/>
      <c r="E15" s="7"/>
      <c r="F15" s="7">
        <f t="shared" si="0"/>
        <v>0</v>
      </c>
      <c r="G15" s="7">
        <f t="shared" si="1"/>
        <v>66500</v>
      </c>
      <c r="H15" s="7"/>
      <c r="I15" s="7">
        <f t="shared" si="4"/>
        <v>66500</v>
      </c>
      <c r="J15" s="7"/>
      <c r="K15" s="7"/>
      <c r="L15" s="7"/>
      <c r="M15" s="7"/>
      <c r="N15" s="7"/>
      <c r="O15" s="7">
        <f t="shared" si="5"/>
        <v>66500</v>
      </c>
    </row>
    <row r="16" spans="1:15" ht="15.75" customHeight="1" x14ac:dyDescent="0.2">
      <c r="A16" s="6" t="s">
        <v>47</v>
      </c>
      <c r="B16" s="7"/>
      <c r="C16" s="7">
        <v>22500</v>
      </c>
      <c r="D16" s="7">
        <v>22500</v>
      </c>
      <c r="E16" s="7">
        <v>22000</v>
      </c>
      <c r="F16" s="7">
        <f t="shared" si="0"/>
        <v>22500</v>
      </c>
      <c r="G16" s="7">
        <f t="shared" si="1"/>
        <v>44500</v>
      </c>
      <c r="H16" s="7"/>
      <c r="I16" s="7">
        <f t="shared" si="4"/>
        <v>22000</v>
      </c>
      <c r="J16" s="7"/>
      <c r="K16" s="7"/>
      <c r="L16" s="7"/>
      <c r="M16" s="7"/>
      <c r="N16" s="7"/>
      <c r="O16" s="7">
        <f t="shared" si="5"/>
        <v>22000</v>
      </c>
    </row>
    <row r="17" spans="1:15" ht="15.75" customHeight="1" x14ac:dyDescent="0.2">
      <c r="A17" s="6" t="s">
        <v>12</v>
      </c>
      <c r="B17" s="7"/>
      <c r="C17" s="7"/>
      <c r="D17" s="7"/>
      <c r="E17" s="7">
        <f>D11</f>
        <v>171000</v>
      </c>
      <c r="F17" s="7">
        <f t="shared" si="0"/>
        <v>0</v>
      </c>
      <c r="G17" s="7">
        <f t="shared" si="1"/>
        <v>171000</v>
      </c>
      <c r="H17" s="7"/>
      <c r="I17" s="7">
        <f t="shared" si="4"/>
        <v>171000</v>
      </c>
      <c r="J17" s="7"/>
      <c r="K17" s="7"/>
      <c r="L17" s="7"/>
      <c r="M17" s="7"/>
      <c r="N17" s="7"/>
      <c r="O17" s="7">
        <f t="shared" si="5"/>
        <v>171000</v>
      </c>
    </row>
    <row r="18" spans="1:15" ht="15.75" customHeight="1" x14ac:dyDescent="0.2">
      <c r="A18" s="6" t="s">
        <v>13</v>
      </c>
      <c r="B18" s="7"/>
      <c r="C18" s="7">
        <v>73000</v>
      </c>
      <c r="D18" s="7">
        <f>C18</f>
        <v>73000</v>
      </c>
      <c r="E18" s="7">
        <f>D26</f>
        <v>96443.999999999985</v>
      </c>
      <c r="F18" s="7">
        <f t="shared" si="0"/>
        <v>73000</v>
      </c>
      <c r="G18" s="7">
        <f t="shared" si="1"/>
        <v>169444</v>
      </c>
      <c r="H18" s="7"/>
      <c r="I18" s="7">
        <f t="shared" si="4"/>
        <v>96444</v>
      </c>
      <c r="J18" s="7"/>
      <c r="K18" s="7"/>
      <c r="L18" s="7"/>
      <c r="M18" s="7"/>
      <c r="N18" s="7"/>
      <c r="O18" s="7">
        <f t="shared" si="5"/>
        <v>96444</v>
      </c>
    </row>
    <row r="19" spans="1:15" ht="15.75" customHeight="1" x14ac:dyDescent="0.2">
      <c r="A19" s="6" t="s">
        <v>14</v>
      </c>
      <c r="B19" s="7"/>
      <c r="C19" s="7">
        <v>9230</v>
      </c>
      <c r="D19" s="7">
        <f>C19</f>
        <v>9230</v>
      </c>
      <c r="E19" s="7">
        <f>D25</f>
        <v>11573.279999999999</v>
      </c>
      <c r="F19" s="7">
        <f t="shared" si="0"/>
        <v>9230</v>
      </c>
      <c r="G19" s="7">
        <f t="shared" si="1"/>
        <v>20803.28</v>
      </c>
      <c r="H19" s="7"/>
      <c r="I19" s="7">
        <f t="shared" si="4"/>
        <v>11573.279999999999</v>
      </c>
      <c r="J19" s="7"/>
      <c r="K19" s="7"/>
      <c r="L19" s="7"/>
      <c r="M19" s="7"/>
      <c r="N19" s="7"/>
      <c r="O19" s="7">
        <f t="shared" si="5"/>
        <v>11573.279999999999</v>
      </c>
    </row>
    <row r="20" spans="1:15" ht="15.75" customHeight="1" x14ac:dyDescent="0.2">
      <c r="A20" s="6" t="s">
        <v>15</v>
      </c>
      <c r="B20" s="7"/>
      <c r="C20" s="7">
        <v>50000</v>
      </c>
      <c r="D20" s="7">
        <f>C20</f>
        <v>50000</v>
      </c>
      <c r="E20" s="7">
        <f>D24</f>
        <v>82080</v>
      </c>
      <c r="F20" s="7">
        <f t="shared" si="0"/>
        <v>50000</v>
      </c>
      <c r="G20" s="7">
        <f t="shared" si="1"/>
        <v>132080</v>
      </c>
      <c r="H20" s="7"/>
      <c r="I20" s="7">
        <f t="shared" si="4"/>
        <v>82080</v>
      </c>
      <c r="J20" s="7"/>
      <c r="K20" s="7"/>
      <c r="L20" s="7"/>
      <c r="M20" s="7"/>
      <c r="N20" s="7"/>
      <c r="O20" s="7">
        <f t="shared" si="5"/>
        <v>82080</v>
      </c>
    </row>
    <row r="21" spans="1:15" ht="15.75" customHeight="1" x14ac:dyDescent="0.2">
      <c r="A21" s="6" t="s">
        <v>16</v>
      </c>
      <c r="B21" s="7"/>
      <c r="C21" s="7"/>
      <c r="D21" s="7"/>
      <c r="E21" s="7">
        <f>E7+2330000</f>
        <v>2400000</v>
      </c>
      <c r="F21" s="7">
        <f t="shared" si="0"/>
        <v>0</v>
      </c>
      <c r="G21" s="7">
        <f t="shared" si="1"/>
        <v>2400000</v>
      </c>
      <c r="H21" s="7"/>
      <c r="I21" s="7">
        <f t="shared" si="4"/>
        <v>2400000</v>
      </c>
      <c r="J21" s="7"/>
      <c r="K21" s="7"/>
      <c r="L21" s="7"/>
      <c r="M21" s="7">
        <f>I21</f>
        <v>2400000</v>
      </c>
      <c r="N21" s="7"/>
      <c r="O21" s="7"/>
    </row>
    <row r="22" spans="1:15" ht="15.75" customHeight="1" x14ac:dyDescent="0.2">
      <c r="A22" s="6" t="s">
        <v>53</v>
      </c>
      <c r="B22" s="7"/>
      <c r="C22" s="7"/>
      <c r="D22" s="7">
        <f>E7</f>
        <v>70000</v>
      </c>
      <c r="E22" s="7"/>
      <c r="F22" s="7">
        <f t="shared" si="0"/>
        <v>70000</v>
      </c>
      <c r="G22" s="7">
        <f t="shared" si="1"/>
        <v>0</v>
      </c>
      <c r="H22" s="7">
        <f>F22-G22</f>
        <v>70000</v>
      </c>
      <c r="I22" s="7"/>
      <c r="J22" s="7"/>
      <c r="K22" s="7"/>
      <c r="L22" s="7">
        <f>H22</f>
        <v>70000</v>
      </c>
      <c r="M22" s="7"/>
      <c r="N22" s="7"/>
      <c r="O22" s="7"/>
    </row>
    <row r="23" spans="1:15" ht="15.75" customHeight="1" x14ac:dyDescent="0.2">
      <c r="A23" s="6" t="s">
        <v>17</v>
      </c>
      <c r="B23" s="7"/>
      <c r="C23" s="7"/>
      <c r="D23" s="7">
        <v>684000</v>
      </c>
      <c r="E23" s="7"/>
      <c r="F23" s="7">
        <f t="shared" si="0"/>
        <v>684000</v>
      </c>
      <c r="G23" s="7">
        <f t="shared" si="1"/>
        <v>0</v>
      </c>
      <c r="H23" s="7">
        <f t="shared" ref="H23:H31" si="6">F23-G23</f>
        <v>684000</v>
      </c>
      <c r="I23" s="7"/>
      <c r="J23" s="7"/>
      <c r="K23" s="7"/>
      <c r="L23" s="7">
        <f t="shared" ref="L23:L28" si="7">H23</f>
        <v>684000</v>
      </c>
      <c r="M23" s="7"/>
      <c r="N23" s="7"/>
      <c r="O23" s="7"/>
    </row>
    <row r="24" spans="1:15" ht="15.75" customHeight="1" x14ac:dyDescent="0.2">
      <c r="A24" s="6" t="s">
        <v>18</v>
      </c>
      <c r="B24" s="7"/>
      <c r="C24" s="7"/>
      <c r="D24" s="7">
        <f>D23*0.12</f>
        <v>82080</v>
      </c>
      <c r="E24" s="7"/>
      <c r="F24" s="7">
        <f t="shared" si="0"/>
        <v>82080</v>
      </c>
      <c r="G24" s="7">
        <f t="shared" si="1"/>
        <v>0</v>
      </c>
      <c r="H24" s="7">
        <f t="shared" si="6"/>
        <v>82080</v>
      </c>
      <c r="I24" s="7"/>
      <c r="J24" s="7"/>
      <c r="K24" s="7"/>
      <c r="L24" s="7">
        <f t="shared" si="7"/>
        <v>82080</v>
      </c>
      <c r="M24" s="7"/>
      <c r="N24" s="7"/>
      <c r="O24" s="7"/>
    </row>
    <row r="25" spans="1:15" ht="15.75" customHeight="1" x14ac:dyDescent="0.2">
      <c r="A25" s="6" t="s">
        <v>19</v>
      </c>
      <c r="B25" s="7"/>
      <c r="C25" s="7"/>
      <c r="D25" s="7">
        <f>D24*0.141</f>
        <v>11573.279999999999</v>
      </c>
      <c r="E25" s="7"/>
      <c r="F25" s="7">
        <f t="shared" si="0"/>
        <v>11573.279999999999</v>
      </c>
      <c r="G25" s="7">
        <f t="shared" si="1"/>
        <v>0</v>
      </c>
      <c r="H25" s="7">
        <f t="shared" si="6"/>
        <v>11573.279999999999</v>
      </c>
      <c r="I25" s="7"/>
      <c r="J25" s="7"/>
      <c r="K25" s="7"/>
      <c r="L25" s="7">
        <f t="shared" si="7"/>
        <v>11573.279999999999</v>
      </c>
      <c r="M25" s="7"/>
      <c r="N25" s="7"/>
      <c r="O25" s="7"/>
    </row>
    <row r="26" spans="1:15" ht="15.75" customHeight="1" x14ac:dyDescent="0.2">
      <c r="A26" s="6" t="s">
        <v>20</v>
      </c>
      <c r="B26" s="7"/>
      <c r="C26" s="7"/>
      <c r="D26" s="7">
        <f>D23*0.141</f>
        <v>96443.999999999985</v>
      </c>
      <c r="E26" s="7"/>
      <c r="F26" s="7">
        <f t="shared" si="0"/>
        <v>96443.999999999985</v>
      </c>
      <c r="G26" s="7">
        <f t="shared" si="1"/>
        <v>0</v>
      </c>
      <c r="H26" s="7">
        <f t="shared" si="6"/>
        <v>96443.999999999985</v>
      </c>
      <c r="I26" s="7"/>
      <c r="J26" s="7"/>
      <c r="K26" s="7"/>
      <c r="L26" s="7">
        <f t="shared" si="7"/>
        <v>96443.999999999985</v>
      </c>
      <c r="M26" s="7"/>
      <c r="N26" s="7"/>
      <c r="O26" s="7"/>
    </row>
    <row r="27" spans="1:15" ht="15.75" customHeight="1" x14ac:dyDescent="0.2">
      <c r="A27" s="6" t="s">
        <v>21</v>
      </c>
      <c r="B27" s="7"/>
      <c r="C27" s="7"/>
      <c r="D27" s="7">
        <f>E6</f>
        <v>90000</v>
      </c>
      <c r="E27" s="7"/>
      <c r="F27" s="7">
        <f t="shared" si="0"/>
        <v>90000</v>
      </c>
      <c r="G27" s="7">
        <f t="shared" si="1"/>
        <v>0</v>
      </c>
      <c r="H27" s="7">
        <f t="shared" si="6"/>
        <v>90000</v>
      </c>
      <c r="I27" s="7"/>
      <c r="J27" s="7"/>
      <c r="K27" s="7"/>
      <c r="L27" s="7">
        <f t="shared" si="7"/>
        <v>90000</v>
      </c>
      <c r="M27" s="7"/>
      <c r="N27" s="7"/>
      <c r="O27" s="7"/>
    </row>
    <row r="28" spans="1:15" ht="15.75" customHeight="1" x14ac:dyDescent="0.2">
      <c r="A28" s="6" t="s">
        <v>22</v>
      </c>
      <c r="B28" s="7"/>
      <c r="C28" s="7"/>
      <c r="D28" s="7">
        <v>16000</v>
      </c>
      <c r="E28" s="7"/>
      <c r="F28" s="7">
        <f t="shared" si="0"/>
        <v>16000</v>
      </c>
      <c r="G28" s="7">
        <f t="shared" si="1"/>
        <v>0</v>
      </c>
      <c r="H28" s="7">
        <f t="shared" si="6"/>
        <v>16000</v>
      </c>
      <c r="I28" s="7"/>
      <c r="J28" s="7"/>
      <c r="K28" s="7"/>
      <c r="L28" s="7">
        <f t="shared" si="7"/>
        <v>16000</v>
      </c>
      <c r="M28" s="7"/>
      <c r="N28" s="7"/>
      <c r="O28" s="7"/>
    </row>
    <row r="29" spans="1:15" ht="15.75" customHeight="1" thickBot="1" x14ac:dyDescent="0.25">
      <c r="A29" s="6" t="s">
        <v>60</v>
      </c>
      <c r="B29" s="7"/>
      <c r="C29" s="7"/>
      <c r="D29" s="7">
        <v>22000</v>
      </c>
      <c r="E29" s="7"/>
      <c r="F29" s="7">
        <f t="shared" si="0"/>
        <v>22000</v>
      </c>
      <c r="G29" s="7">
        <f t="shared" si="1"/>
        <v>0</v>
      </c>
      <c r="H29" s="7">
        <f t="shared" si="6"/>
        <v>22000</v>
      </c>
      <c r="I29" s="7"/>
      <c r="J29" s="7"/>
      <c r="K29" s="7"/>
      <c r="L29" s="46">
        <f>H29</f>
        <v>22000</v>
      </c>
      <c r="M29" s="46"/>
      <c r="N29" s="7"/>
      <c r="O29" s="7"/>
    </row>
    <row r="30" spans="1:15" ht="15.75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43">
        <f>SUM(L22:L29)</f>
        <v>1072097.28</v>
      </c>
      <c r="M30" s="43">
        <f>M21</f>
        <v>2400000</v>
      </c>
      <c r="N30" s="7"/>
      <c r="O30" s="7"/>
    </row>
    <row r="31" spans="1:15" ht="15.75" customHeight="1" x14ac:dyDescent="0.2">
      <c r="A31" s="6" t="s">
        <v>44</v>
      </c>
      <c r="B31" s="7"/>
      <c r="C31" s="7"/>
      <c r="D31" s="7"/>
      <c r="E31" s="7"/>
      <c r="F31" s="7">
        <f t="shared" si="0"/>
        <v>0</v>
      </c>
      <c r="G31" s="7">
        <f t="shared" si="1"/>
        <v>0</v>
      </c>
      <c r="H31" s="7">
        <f t="shared" si="6"/>
        <v>0</v>
      </c>
      <c r="I31" s="7"/>
      <c r="J31" s="7">
        <f>L31</f>
        <v>1327902.72</v>
      </c>
      <c r="K31" s="7"/>
      <c r="L31" s="7">
        <f>M30-L30</f>
        <v>1327902.72</v>
      </c>
      <c r="M31" s="7"/>
      <c r="N31" s="7"/>
      <c r="O31" s="7"/>
    </row>
    <row r="32" spans="1:15" ht="15.75" customHeight="1" x14ac:dyDescent="0.2">
      <c r="A32" s="6" t="s">
        <v>23</v>
      </c>
      <c r="B32" s="7">
        <f>SUM(B6:B31)</f>
        <v>1591230</v>
      </c>
      <c r="C32" s="7">
        <f>SUM(C6:C31)</f>
        <v>1591230</v>
      </c>
      <c r="D32" s="7">
        <f>SUM(D7:D29)</f>
        <v>4184827.28</v>
      </c>
      <c r="E32" s="7">
        <f t="shared" ref="E32:K32" si="8">SUM(E6:E31)</f>
        <v>4184827.2800000003</v>
      </c>
      <c r="F32" s="7">
        <f t="shared" si="8"/>
        <v>5776057.2800000003</v>
      </c>
      <c r="G32" s="7">
        <f t="shared" si="8"/>
        <v>5776057.2799999993</v>
      </c>
      <c r="H32" s="7">
        <f t="shared" si="8"/>
        <v>4069597.28</v>
      </c>
      <c r="I32" s="7">
        <f t="shared" si="8"/>
        <v>4069597.2800000003</v>
      </c>
      <c r="J32" s="7">
        <f t="shared" si="8"/>
        <v>1327902.72</v>
      </c>
      <c r="K32" s="7">
        <f t="shared" si="8"/>
        <v>1327902.72</v>
      </c>
      <c r="L32" s="7">
        <f>SUM(L30:L31)</f>
        <v>2400000</v>
      </c>
      <c r="M32" s="7">
        <f>M30</f>
        <v>2400000</v>
      </c>
      <c r="N32" s="7">
        <f>SUM(N6:N31)</f>
        <v>2997500</v>
      </c>
      <c r="O32" s="7">
        <f>SUM(O6:O31)</f>
        <v>2997499.9999999995</v>
      </c>
    </row>
    <row r="33" spans="1:6" ht="15.75" customHeight="1" x14ac:dyDescent="0.2">
      <c r="C33" s="8"/>
    </row>
    <row r="34" spans="1:6" ht="15.75" customHeight="1" x14ac:dyDescent="0.2">
      <c r="A34" s="9"/>
      <c r="D34" s="45"/>
      <c r="F34" s="8"/>
    </row>
    <row r="35" spans="1:6" ht="15.75" customHeight="1" x14ac:dyDescent="0.2">
      <c r="A35" s="9"/>
      <c r="B35" s="10"/>
      <c r="D35" s="8"/>
    </row>
    <row r="36" spans="1:6" ht="15.75" customHeight="1" x14ac:dyDescent="0.2">
      <c r="A36" s="9"/>
      <c r="B36" s="10"/>
    </row>
    <row r="37" spans="1:6" ht="15.75" customHeight="1" x14ac:dyDescent="0.2">
      <c r="A37" s="10"/>
      <c r="B37" s="10"/>
      <c r="D37" s="8"/>
      <c r="E37" s="8"/>
    </row>
    <row r="38" spans="1:6" ht="15.75" customHeight="1" x14ac:dyDescent="0.2">
      <c r="A38" s="10"/>
      <c r="B38" s="10"/>
      <c r="D38" s="8"/>
    </row>
    <row r="39" spans="1:6" ht="15.75" customHeight="1" x14ac:dyDescent="0.2">
      <c r="A39" s="10"/>
      <c r="B39" s="10"/>
    </row>
    <row r="40" spans="1:6" ht="15.75" customHeight="1" x14ac:dyDescent="0.2">
      <c r="A40" s="10"/>
      <c r="B40" s="10"/>
    </row>
  </sheetData>
  <printOptions headings="1" gridLines="1"/>
  <pageMargins left="0.75" right="0.75" top="1" bottom="1" header="0.5" footer="0.5"/>
  <pageSetup paperSize="9" scale="6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74"/>
  <sheetViews>
    <sheetView topLeftCell="A10" zoomScaleNormal="100" zoomScalePageLayoutView="125" workbookViewId="0">
      <selection activeCell="Q28" sqref="B28:Q28"/>
    </sheetView>
  </sheetViews>
  <sheetFormatPr baseColWidth="10" defaultColWidth="10" defaultRowHeight="14.1" customHeight="1" x14ac:dyDescent="0.2"/>
  <cols>
    <col min="1" max="1" width="4" style="11" customWidth="1"/>
    <col min="2" max="2" width="18.5703125" style="11" customWidth="1"/>
    <col min="3" max="3" width="10" style="11" customWidth="1"/>
    <col min="4" max="4" width="11.42578125" style="11" customWidth="1"/>
    <col min="5" max="7" width="10" style="11" customWidth="1"/>
    <col min="8" max="8" width="11.42578125" style="11" customWidth="1"/>
    <col min="9" max="12" width="10" style="11" customWidth="1"/>
    <col min="13" max="14" width="10" style="13" customWidth="1"/>
    <col min="15" max="16384" width="10" style="11"/>
  </cols>
  <sheetData>
    <row r="1" spans="1:29" ht="14.1" customHeight="1" x14ac:dyDescent="0.2">
      <c r="B1" s="12" t="s">
        <v>24</v>
      </c>
    </row>
    <row r="3" spans="1:29" ht="14.1" customHeight="1" x14ac:dyDescent="0.2">
      <c r="A3" s="14"/>
      <c r="B3" s="15"/>
      <c r="C3" s="16" t="s">
        <v>48</v>
      </c>
      <c r="D3" s="17"/>
      <c r="E3" s="16" t="s">
        <v>45</v>
      </c>
      <c r="F3" s="17"/>
      <c r="G3" s="16" t="s">
        <v>51</v>
      </c>
      <c r="H3" s="17"/>
      <c r="I3" s="16" t="s">
        <v>25</v>
      </c>
      <c r="J3" s="17"/>
      <c r="K3" s="16" t="s">
        <v>7</v>
      </c>
      <c r="L3" s="17"/>
      <c r="M3" s="16" t="s">
        <v>26</v>
      </c>
      <c r="N3" s="17"/>
      <c r="O3" s="16" t="s">
        <v>27</v>
      </c>
      <c r="P3" s="17"/>
      <c r="Q3" s="16" t="s">
        <v>28</v>
      </c>
      <c r="R3" s="17"/>
      <c r="S3" s="13"/>
      <c r="T3" s="13"/>
      <c r="U3" s="13"/>
      <c r="V3" s="13"/>
      <c r="W3" s="13"/>
      <c r="X3" s="13"/>
      <c r="Y3" s="13"/>
      <c r="Z3" s="13"/>
      <c r="AA3" s="13"/>
      <c r="AB3" s="18"/>
      <c r="AC3" s="18"/>
    </row>
    <row r="4" spans="1:29" ht="14.1" customHeight="1" x14ac:dyDescent="0.2">
      <c r="A4" s="14" t="s">
        <v>29</v>
      </c>
      <c r="B4" s="14" t="s">
        <v>30</v>
      </c>
      <c r="C4" s="19" t="s">
        <v>2</v>
      </c>
      <c r="D4" s="19" t="s">
        <v>3</v>
      </c>
      <c r="E4" s="19" t="s">
        <v>2</v>
      </c>
      <c r="F4" s="19" t="s">
        <v>3</v>
      </c>
      <c r="G4" s="19" t="s">
        <v>2</v>
      </c>
      <c r="H4" s="19" t="s">
        <v>3</v>
      </c>
      <c r="I4" s="19" t="s">
        <v>2</v>
      </c>
      <c r="J4" s="19" t="s">
        <v>3</v>
      </c>
      <c r="K4" s="19" t="s">
        <v>2</v>
      </c>
      <c r="L4" s="19" t="s">
        <v>3</v>
      </c>
      <c r="M4" s="19" t="s">
        <v>2</v>
      </c>
      <c r="N4" s="19" t="s">
        <v>3</v>
      </c>
      <c r="O4" s="19" t="s">
        <v>2</v>
      </c>
      <c r="P4" s="19" t="s">
        <v>3</v>
      </c>
      <c r="Q4" s="19" t="s">
        <v>4</v>
      </c>
      <c r="R4" s="19" t="s">
        <v>3</v>
      </c>
      <c r="S4" s="13"/>
      <c r="T4" s="13"/>
      <c r="U4" s="13"/>
      <c r="V4" s="13"/>
      <c r="W4" s="13"/>
      <c r="X4" s="13"/>
      <c r="Y4" s="13"/>
      <c r="Z4" s="13"/>
      <c r="AA4" s="13"/>
      <c r="AB4" s="18"/>
      <c r="AC4" s="18"/>
    </row>
    <row r="5" spans="1:29" ht="14.1" customHeight="1" x14ac:dyDescent="0.2">
      <c r="A5" s="14"/>
      <c r="B5" s="14" t="s">
        <v>54</v>
      </c>
      <c r="C5" s="21">
        <f>'Oppg 1a b c '!N6</f>
        <v>140000</v>
      </c>
      <c r="D5" s="21"/>
      <c r="E5" s="21">
        <f>'Oppg 1a b c '!N7</f>
        <v>250000</v>
      </c>
      <c r="F5" s="21"/>
      <c r="G5" s="21">
        <f>'Oppg 1a b c '!N8</f>
        <v>120000</v>
      </c>
      <c r="H5" s="21"/>
      <c r="I5" s="21">
        <f>'Oppg 1a b c '!N9</f>
        <v>17000</v>
      </c>
      <c r="J5" s="21"/>
      <c r="K5" s="21">
        <f>'Oppg 1a b c '!N10</f>
        <v>2299500</v>
      </c>
      <c r="L5" s="21"/>
      <c r="M5" s="21">
        <f>'Oppg 1a b c '!N11</f>
        <v>171000</v>
      </c>
      <c r="N5" s="21"/>
      <c r="O5" s="21"/>
      <c r="P5" s="21">
        <f>'Oppg 1a b c '!O12</f>
        <v>100000</v>
      </c>
      <c r="Q5" s="21"/>
      <c r="R5" s="21">
        <f>'Oppg 1a b c '!O13</f>
        <v>1397902.72</v>
      </c>
      <c r="S5" s="13"/>
      <c r="T5" s="13"/>
      <c r="U5" s="13"/>
      <c r="V5" s="13"/>
      <c r="W5" s="13"/>
      <c r="X5" s="13"/>
      <c r="Y5" s="13"/>
      <c r="Z5" s="13"/>
      <c r="AA5" s="13"/>
      <c r="AB5" s="18"/>
      <c r="AC5" s="18"/>
    </row>
    <row r="6" spans="1:29" ht="14.1" customHeight="1" x14ac:dyDescent="0.2">
      <c r="A6" s="22">
        <v>1</v>
      </c>
      <c r="B6" s="14" t="s">
        <v>55</v>
      </c>
      <c r="C6" s="23"/>
      <c r="D6" s="23"/>
      <c r="E6" s="23"/>
      <c r="F6" s="23"/>
      <c r="G6" s="23"/>
      <c r="H6" s="23"/>
      <c r="I6" s="23"/>
      <c r="J6" s="23"/>
      <c r="K6" s="23"/>
      <c r="L6" s="23">
        <v>713000</v>
      </c>
      <c r="M6" s="23"/>
      <c r="N6" s="23"/>
      <c r="O6" s="23"/>
      <c r="P6" s="23"/>
      <c r="Q6" s="23"/>
      <c r="R6" s="23"/>
      <c r="S6" s="24"/>
      <c r="T6" s="24"/>
      <c r="U6" s="24"/>
      <c r="V6" s="24"/>
      <c r="W6" s="24"/>
      <c r="X6" s="24"/>
      <c r="Y6" s="18"/>
      <c r="Z6" s="18"/>
      <c r="AA6" s="18"/>
      <c r="AB6" s="18"/>
      <c r="AC6" s="18"/>
    </row>
    <row r="7" spans="1:29" ht="14.1" customHeight="1" x14ac:dyDescent="0.2">
      <c r="A7" s="22">
        <f t="shared" ref="A7:A13" si="0">1+A6</f>
        <v>2</v>
      </c>
      <c r="B7" s="14" t="s">
        <v>49</v>
      </c>
      <c r="C7" s="23"/>
      <c r="D7" s="23">
        <v>90000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  <c r="T7" s="24"/>
      <c r="U7" s="24"/>
      <c r="V7" s="24"/>
      <c r="W7" s="24"/>
      <c r="X7" s="24"/>
      <c r="Y7" s="18"/>
      <c r="Z7" s="18"/>
      <c r="AA7" s="18"/>
      <c r="AB7" s="18"/>
      <c r="AC7" s="18"/>
    </row>
    <row r="8" spans="1:29" ht="14.1" customHeight="1" x14ac:dyDescent="0.2">
      <c r="A8" s="22">
        <f t="shared" si="0"/>
        <v>3</v>
      </c>
      <c r="B8" s="14" t="s">
        <v>50</v>
      </c>
      <c r="C8" s="23">
        <v>500000</v>
      </c>
      <c r="D8" s="23"/>
      <c r="E8" s="23"/>
      <c r="F8" s="23"/>
      <c r="G8" s="23"/>
      <c r="H8" s="23"/>
      <c r="I8" s="23"/>
      <c r="J8" s="23"/>
      <c r="K8" s="23"/>
      <c r="L8" s="23">
        <v>500000</v>
      </c>
      <c r="M8" s="23"/>
      <c r="N8" s="23"/>
      <c r="O8" s="23"/>
      <c r="P8" s="23"/>
      <c r="Q8" s="23"/>
      <c r="R8" s="23"/>
      <c r="S8" s="24"/>
      <c r="T8" s="24"/>
      <c r="U8" s="24"/>
      <c r="V8" s="24"/>
      <c r="W8" s="24"/>
      <c r="X8" s="24"/>
      <c r="Y8" s="18"/>
      <c r="Z8" s="18"/>
      <c r="AA8" s="18"/>
      <c r="AB8" s="18"/>
      <c r="AC8" s="18"/>
    </row>
    <row r="9" spans="1:29" ht="14.1" customHeight="1" x14ac:dyDescent="0.2">
      <c r="A9" s="22">
        <f t="shared" si="0"/>
        <v>4</v>
      </c>
      <c r="B9" s="14" t="s">
        <v>63</v>
      </c>
      <c r="C9" s="23"/>
      <c r="D9" s="23"/>
      <c r="E9" s="23">
        <v>40000</v>
      </c>
      <c r="F9" s="23"/>
      <c r="G9" s="23"/>
      <c r="H9" s="23"/>
      <c r="I9" s="23"/>
      <c r="J9" s="23"/>
      <c r="K9" s="23"/>
      <c r="L9" s="23">
        <v>300000</v>
      </c>
      <c r="M9" s="23"/>
      <c r="N9" s="23"/>
      <c r="O9" s="23"/>
      <c r="P9" s="23"/>
      <c r="Q9" s="23"/>
      <c r="R9" s="23"/>
      <c r="S9" s="24"/>
      <c r="T9" s="24"/>
      <c r="U9" s="24"/>
      <c r="V9" s="24"/>
      <c r="W9" s="24"/>
      <c r="X9" s="24"/>
      <c r="Y9" s="18"/>
      <c r="Z9" s="18"/>
      <c r="AA9" s="18"/>
      <c r="AB9" s="18"/>
      <c r="AC9" s="18"/>
    </row>
    <row r="10" spans="1:29" ht="14.1" customHeight="1" x14ac:dyDescent="0.2">
      <c r="A10" s="22">
        <f t="shared" si="0"/>
        <v>5</v>
      </c>
      <c r="B10" s="14" t="s">
        <v>52</v>
      </c>
      <c r="C10" s="23"/>
      <c r="D10" s="23"/>
      <c r="E10" s="23"/>
      <c r="F10" s="23"/>
      <c r="G10" s="23"/>
      <c r="H10" s="23"/>
      <c r="I10" s="23"/>
      <c r="J10" s="23"/>
      <c r="K10" s="23">
        <v>1800000</v>
      </c>
      <c r="L10" s="23"/>
      <c r="M10" s="23"/>
      <c r="N10" s="23"/>
      <c r="O10" s="23"/>
      <c r="P10" s="23"/>
      <c r="Q10" s="23"/>
      <c r="R10" s="23"/>
      <c r="S10" s="24"/>
      <c r="T10" s="24"/>
      <c r="U10" s="24"/>
      <c r="V10" s="24"/>
      <c r="W10" s="24"/>
      <c r="X10" s="24"/>
      <c r="Y10" s="18"/>
      <c r="Z10" s="18"/>
      <c r="AA10" s="18"/>
      <c r="AB10" s="18"/>
      <c r="AC10" s="18"/>
    </row>
    <row r="11" spans="1:29" ht="14.1" customHeight="1" x14ac:dyDescent="0.2">
      <c r="A11" s="22">
        <f t="shared" si="0"/>
        <v>6</v>
      </c>
      <c r="B11" s="14" t="s">
        <v>56</v>
      </c>
      <c r="C11" s="23"/>
      <c r="D11" s="23"/>
      <c r="E11" s="23"/>
      <c r="F11" s="23"/>
      <c r="G11" s="23"/>
      <c r="H11" s="23"/>
      <c r="I11" s="23">
        <v>18000</v>
      </c>
      <c r="J11" s="23">
        <v>17000</v>
      </c>
      <c r="K11" s="23"/>
      <c r="L11" s="23">
        <v>18000</v>
      </c>
      <c r="M11" s="23"/>
      <c r="N11" s="23"/>
      <c r="O11" s="23"/>
      <c r="P11" s="23"/>
      <c r="Q11" s="23"/>
      <c r="R11" s="23"/>
      <c r="S11" s="24"/>
      <c r="T11" s="24"/>
      <c r="U11" s="24"/>
      <c r="V11" s="24"/>
      <c r="W11" s="24"/>
      <c r="X11" s="24"/>
      <c r="Y11" s="18"/>
      <c r="Z11" s="18"/>
      <c r="AA11" s="18"/>
      <c r="AB11" s="18"/>
      <c r="AC11" s="18"/>
    </row>
    <row r="12" spans="1:29" ht="14.1" customHeight="1" x14ac:dyDescent="0.2">
      <c r="A12" s="22">
        <f t="shared" si="0"/>
        <v>7</v>
      </c>
      <c r="B12" s="14" t="s">
        <v>57</v>
      </c>
      <c r="C12" s="23"/>
      <c r="D12" s="23"/>
      <c r="E12" s="23"/>
      <c r="F12" s="23"/>
      <c r="G12" s="23">
        <v>40000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24"/>
      <c r="U12" s="24"/>
      <c r="V12" s="24"/>
      <c r="W12" s="24"/>
      <c r="X12" s="24"/>
      <c r="Y12" s="18"/>
      <c r="Z12" s="18"/>
      <c r="AA12" s="18"/>
      <c r="AB12" s="18"/>
      <c r="AC12" s="18"/>
    </row>
    <row r="13" spans="1:29" ht="14.1" customHeight="1" x14ac:dyDescent="0.2">
      <c r="A13" s="22">
        <f t="shared" si="0"/>
        <v>8</v>
      </c>
      <c r="B13" s="14" t="s">
        <v>58</v>
      </c>
      <c r="C13" s="23"/>
      <c r="D13" s="23"/>
      <c r="E13" s="23"/>
      <c r="F13" s="23"/>
      <c r="G13" s="23"/>
      <c r="H13" s="23">
        <v>120000</v>
      </c>
      <c r="I13" s="23"/>
      <c r="J13" s="23"/>
      <c r="K13" s="23">
        <f>H13</f>
        <v>120000</v>
      </c>
      <c r="L13" s="23"/>
      <c r="M13" s="23"/>
      <c r="N13" s="23"/>
      <c r="O13" s="23"/>
      <c r="P13" s="23"/>
      <c r="Q13" s="23"/>
      <c r="R13" s="23"/>
      <c r="S13" s="24"/>
      <c r="T13" s="24"/>
      <c r="U13" s="24"/>
      <c r="V13" s="24"/>
      <c r="W13" s="24"/>
      <c r="X13" s="24"/>
      <c r="Y13" s="18"/>
      <c r="Z13" s="18"/>
      <c r="AA13" s="18"/>
      <c r="AB13" s="18"/>
      <c r="AC13" s="18"/>
    </row>
    <row r="14" spans="1:29" ht="14.1" customHeight="1" x14ac:dyDescent="0.2">
      <c r="A14" s="22">
        <v>9</v>
      </c>
      <c r="B14" s="14" t="s">
        <v>61</v>
      </c>
      <c r="C14" s="23"/>
      <c r="D14" s="23"/>
      <c r="E14" s="23"/>
      <c r="F14" s="23"/>
      <c r="G14" s="23"/>
      <c r="H14" s="23"/>
      <c r="I14" s="23"/>
      <c r="J14" s="23"/>
      <c r="K14" s="23"/>
      <c r="L14" s="23">
        <f>150000+22000</f>
        <v>172000</v>
      </c>
      <c r="M14" s="23"/>
      <c r="N14" s="23"/>
      <c r="O14" s="23"/>
      <c r="P14" s="23"/>
      <c r="Q14" s="23"/>
      <c r="R14" s="23"/>
      <c r="S14" s="24"/>
      <c r="T14" s="24"/>
      <c r="U14" s="24"/>
      <c r="V14" s="24"/>
      <c r="W14" s="24"/>
      <c r="X14" s="24"/>
      <c r="Y14" s="18"/>
      <c r="Z14" s="18"/>
      <c r="AA14" s="18"/>
      <c r="AB14" s="18"/>
      <c r="AC14" s="18"/>
    </row>
    <row r="15" spans="1:29" ht="14.1" customHeight="1" x14ac:dyDescent="0.2">
      <c r="A15" s="14"/>
      <c r="B15" s="14" t="s">
        <v>32</v>
      </c>
      <c r="C15" s="23">
        <f>SUM(C5:C14)</f>
        <v>640000</v>
      </c>
      <c r="D15" s="23">
        <f t="shared" ref="D15:R15" si="1">SUM(D5:D14)</f>
        <v>90000</v>
      </c>
      <c r="E15" s="23">
        <f t="shared" si="1"/>
        <v>290000</v>
      </c>
      <c r="F15" s="23">
        <f t="shared" si="1"/>
        <v>0</v>
      </c>
      <c r="G15" s="23">
        <f t="shared" si="1"/>
        <v>160000</v>
      </c>
      <c r="H15" s="23">
        <f t="shared" si="1"/>
        <v>120000</v>
      </c>
      <c r="I15" s="23">
        <f t="shared" si="1"/>
        <v>35000</v>
      </c>
      <c r="J15" s="23">
        <f t="shared" si="1"/>
        <v>17000</v>
      </c>
      <c r="K15" s="23">
        <f t="shared" si="1"/>
        <v>4219500</v>
      </c>
      <c r="L15" s="23">
        <f t="shared" si="1"/>
        <v>1703000</v>
      </c>
      <c r="M15" s="23">
        <f t="shared" si="1"/>
        <v>171000</v>
      </c>
      <c r="N15" s="23">
        <f t="shared" si="1"/>
        <v>0</v>
      </c>
      <c r="O15" s="23">
        <f t="shared" si="1"/>
        <v>0</v>
      </c>
      <c r="P15" s="23">
        <f t="shared" si="1"/>
        <v>100000</v>
      </c>
      <c r="Q15" s="23">
        <f t="shared" si="1"/>
        <v>0</v>
      </c>
      <c r="R15" s="23">
        <f t="shared" si="1"/>
        <v>1397902.72</v>
      </c>
      <c r="S15" s="24"/>
      <c r="T15" s="24"/>
      <c r="U15" s="24"/>
      <c r="V15" s="24"/>
      <c r="W15" s="24"/>
      <c r="X15" s="24"/>
      <c r="Y15" s="18"/>
      <c r="Z15" s="18"/>
      <c r="AA15" s="18"/>
      <c r="AB15" s="18"/>
      <c r="AC15" s="18"/>
    </row>
    <row r="16" spans="1:29" ht="14.1" customHeight="1" x14ac:dyDescent="0.2">
      <c r="A16" s="14"/>
      <c r="B16" s="25" t="s">
        <v>33</v>
      </c>
      <c r="C16" s="26"/>
      <c r="D16" s="26">
        <f>C15-D15</f>
        <v>550000</v>
      </c>
      <c r="E16" s="26"/>
      <c r="F16" s="26">
        <f>E15</f>
        <v>290000</v>
      </c>
      <c r="G16" s="26"/>
      <c r="H16" s="26">
        <f>G15-H15</f>
        <v>40000</v>
      </c>
      <c r="I16" s="26"/>
      <c r="J16" s="26">
        <f>I15-J15</f>
        <v>18000</v>
      </c>
      <c r="K16" s="26"/>
      <c r="L16" s="26">
        <f>K15-L15</f>
        <v>2516500</v>
      </c>
      <c r="M16" s="26"/>
      <c r="N16" s="26">
        <f>M15</f>
        <v>171000</v>
      </c>
      <c r="O16" s="26">
        <f>P15</f>
        <v>100000</v>
      </c>
      <c r="P16" s="26"/>
      <c r="Q16" s="26">
        <f>R15</f>
        <v>1397902.72</v>
      </c>
      <c r="R16" s="26"/>
      <c r="S16" s="24"/>
      <c r="T16" s="24"/>
      <c r="U16" s="24"/>
      <c r="V16" s="24"/>
      <c r="W16" s="24"/>
      <c r="X16" s="24"/>
      <c r="Y16" s="18"/>
      <c r="Z16" s="18"/>
      <c r="AA16" s="18"/>
      <c r="AB16" s="18"/>
      <c r="AC16" s="18"/>
    </row>
    <row r="17" spans="1:29" ht="14.1" customHeight="1" x14ac:dyDescent="0.2">
      <c r="A17" s="14"/>
      <c r="B17" s="25" t="s">
        <v>34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4"/>
      <c r="T17" s="24"/>
      <c r="U17" s="24"/>
      <c r="V17" s="24"/>
      <c r="W17" s="24"/>
      <c r="X17" s="24"/>
      <c r="Y17" s="18"/>
      <c r="Z17" s="18"/>
      <c r="AA17" s="18"/>
      <c r="AB17" s="18"/>
      <c r="AC17" s="18"/>
    </row>
    <row r="18" spans="1:29" ht="14.1" customHeight="1" x14ac:dyDescent="0.2">
      <c r="A18" s="14"/>
      <c r="B18" s="14" t="s">
        <v>32</v>
      </c>
      <c r="C18" s="23">
        <f>SUM(C15:C17)</f>
        <v>640000</v>
      </c>
      <c r="D18" s="23">
        <f t="shared" ref="D18:R18" si="2">SUM(D15:D17)</f>
        <v>640000</v>
      </c>
      <c r="E18" s="23">
        <f t="shared" si="2"/>
        <v>290000</v>
      </c>
      <c r="F18" s="23">
        <f t="shared" si="2"/>
        <v>290000</v>
      </c>
      <c r="G18" s="23">
        <f t="shared" si="2"/>
        <v>160000</v>
      </c>
      <c r="H18" s="23">
        <f t="shared" si="2"/>
        <v>160000</v>
      </c>
      <c r="I18" s="23">
        <f t="shared" si="2"/>
        <v>35000</v>
      </c>
      <c r="J18" s="23">
        <f t="shared" si="2"/>
        <v>35000</v>
      </c>
      <c r="K18" s="23">
        <f t="shared" si="2"/>
        <v>4219500</v>
      </c>
      <c r="L18" s="23">
        <f t="shared" si="2"/>
        <v>4219500</v>
      </c>
      <c r="M18" s="23">
        <f t="shared" si="2"/>
        <v>171000</v>
      </c>
      <c r="N18" s="23">
        <f t="shared" si="2"/>
        <v>171000</v>
      </c>
      <c r="O18" s="23">
        <f t="shared" si="2"/>
        <v>100000</v>
      </c>
      <c r="P18" s="23">
        <f t="shared" si="2"/>
        <v>100000</v>
      </c>
      <c r="Q18" s="23">
        <f t="shared" si="2"/>
        <v>1397902.72</v>
      </c>
      <c r="R18" s="23">
        <f t="shared" si="2"/>
        <v>1397902.72</v>
      </c>
    </row>
    <row r="19" spans="1:29" ht="14.1" customHeight="1" x14ac:dyDescent="0.2">
      <c r="M19" s="20"/>
      <c r="O19" s="20"/>
      <c r="P19" s="20"/>
    </row>
    <row r="20" spans="1:29" ht="14.1" customHeight="1" x14ac:dyDescent="0.2">
      <c r="A20" s="14"/>
      <c r="B20" s="15"/>
      <c r="C20" s="16" t="s">
        <v>59</v>
      </c>
      <c r="D20" s="17"/>
      <c r="E20" s="16" t="s">
        <v>11</v>
      </c>
      <c r="F20" s="17"/>
      <c r="G20" s="27" t="s">
        <v>65</v>
      </c>
      <c r="H20" s="17"/>
      <c r="I20" s="16" t="s">
        <v>35</v>
      </c>
      <c r="J20" s="28"/>
      <c r="K20" s="47">
        <v>4200</v>
      </c>
      <c r="L20" s="25" t="s">
        <v>64</v>
      </c>
      <c r="M20" s="16" t="s">
        <v>17</v>
      </c>
      <c r="N20" s="17"/>
      <c r="O20" s="47">
        <v>6010</v>
      </c>
      <c r="P20" s="25" t="s">
        <v>31</v>
      </c>
      <c r="Q20" s="47" t="s">
        <v>22</v>
      </c>
      <c r="R20" s="28"/>
      <c r="U20" s="13"/>
      <c r="V20" s="13"/>
      <c r="W20" s="13"/>
      <c r="X20" s="13"/>
    </row>
    <row r="21" spans="1:29" ht="14.1" customHeight="1" x14ac:dyDescent="0.2">
      <c r="A21" s="14" t="s">
        <v>29</v>
      </c>
      <c r="B21" s="14" t="s">
        <v>30</v>
      </c>
      <c r="C21" s="19" t="s">
        <v>2</v>
      </c>
      <c r="D21" s="19" t="s">
        <v>3</v>
      </c>
      <c r="E21" s="19" t="s">
        <v>2</v>
      </c>
      <c r="F21" s="19" t="s">
        <v>3</v>
      </c>
      <c r="G21" s="19" t="s">
        <v>2</v>
      </c>
      <c r="H21" s="19" t="s">
        <v>3</v>
      </c>
      <c r="I21" s="19" t="s">
        <v>2</v>
      </c>
      <c r="J21" s="19" t="s">
        <v>3</v>
      </c>
      <c r="K21" s="14" t="s">
        <v>2</v>
      </c>
      <c r="L21" s="14" t="s">
        <v>3</v>
      </c>
      <c r="M21" s="19" t="s">
        <v>2</v>
      </c>
      <c r="N21" s="19" t="s">
        <v>3</v>
      </c>
      <c r="O21" s="14" t="s">
        <v>2</v>
      </c>
      <c r="P21" s="14" t="s">
        <v>3</v>
      </c>
      <c r="Q21" s="14" t="s">
        <v>2</v>
      </c>
      <c r="R21" s="19"/>
      <c r="U21" s="13"/>
      <c r="V21" s="13"/>
      <c r="W21" s="13"/>
      <c r="X21" s="13"/>
    </row>
    <row r="22" spans="1:29" ht="14.1" customHeight="1" x14ac:dyDescent="0.2">
      <c r="A22" s="14"/>
      <c r="B22" s="14" t="s">
        <v>54</v>
      </c>
      <c r="C22" s="21"/>
      <c r="D22" s="21">
        <f>'Oppg 1a b c '!O14</f>
        <v>1050000</v>
      </c>
      <c r="E22" s="21"/>
      <c r="F22" s="21">
        <f>'Oppg 1a b c '!O15</f>
        <v>66500</v>
      </c>
      <c r="G22" s="21"/>
      <c r="H22" s="21">
        <v>22000</v>
      </c>
      <c r="I22" s="19"/>
      <c r="J22" s="21"/>
      <c r="K22" s="14"/>
      <c r="L22" s="14"/>
      <c r="M22" s="21"/>
      <c r="N22" s="21"/>
      <c r="O22" s="14"/>
      <c r="P22" s="14"/>
      <c r="Q22" s="14"/>
      <c r="R22" s="21"/>
      <c r="U22" s="13"/>
      <c r="V22" s="13"/>
      <c r="W22" s="13"/>
      <c r="X22" s="13"/>
    </row>
    <row r="23" spans="1:29" ht="14.1" customHeight="1" x14ac:dyDescent="0.2">
      <c r="A23" s="22">
        <v>1</v>
      </c>
      <c r="B23" s="11" t="s">
        <v>55</v>
      </c>
      <c r="C23" s="23"/>
      <c r="D23" s="23"/>
      <c r="E23" s="23"/>
      <c r="F23" s="23"/>
      <c r="G23" s="23"/>
      <c r="H23" s="23"/>
      <c r="I23" s="23"/>
      <c r="J23" s="23"/>
      <c r="K23" s="14"/>
      <c r="L23" s="14"/>
      <c r="M23" s="23">
        <v>713000</v>
      </c>
      <c r="N23" s="23"/>
      <c r="O23" s="23"/>
      <c r="P23" s="23"/>
      <c r="Q23" s="23"/>
      <c r="R23" s="23"/>
      <c r="U23" s="20"/>
      <c r="V23" s="20"/>
      <c r="W23" s="20"/>
      <c r="X23" s="20"/>
    </row>
    <row r="24" spans="1:29" ht="14.1" customHeight="1" x14ac:dyDescent="0.2">
      <c r="A24" s="22">
        <f t="shared" ref="A24:A30" si="3">A23+1</f>
        <v>2</v>
      </c>
      <c r="B24" s="14" t="s">
        <v>49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>
        <v>90000</v>
      </c>
      <c r="P24" s="23"/>
      <c r="Q24" s="23"/>
      <c r="R24" s="23"/>
      <c r="U24" s="20"/>
      <c r="V24" s="20"/>
      <c r="W24" s="20"/>
      <c r="X24" s="20"/>
    </row>
    <row r="25" spans="1:29" ht="14.1" customHeight="1" x14ac:dyDescent="0.2">
      <c r="A25" s="22">
        <f t="shared" si="3"/>
        <v>3</v>
      </c>
      <c r="B25" s="14" t="s">
        <v>50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U25" s="20"/>
      <c r="V25" s="20"/>
      <c r="W25" s="20"/>
      <c r="X25" s="20"/>
    </row>
    <row r="26" spans="1:29" ht="14.1" customHeight="1" x14ac:dyDescent="0.2">
      <c r="A26" s="22">
        <f t="shared" si="3"/>
        <v>4</v>
      </c>
      <c r="B26" s="14" t="s">
        <v>63</v>
      </c>
      <c r="C26" s="23"/>
      <c r="D26" s="23"/>
      <c r="E26" s="23"/>
      <c r="F26" s="23"/>
      <c r="G26" s="23"/>
      <c r="H26" s="23"/>
      <c r="I26" s="23"/>
      <c r="J26" s="23"/>
      <c r="K26" s="23">
        <v>300000</v>
      </c>
      <c r="L26" s="23">
        <v>40000</v>
      </c>
      <c r="M26" s="23"/>
      <c r="N26" s="23"/>
      <c r="O26" s="23"/>
      <c r="P26" s="23"/>
      <c r="Q26" s="23"/>
      <c r="R26" s="23"/>
      <c r="U26" s="20"/>
      <c r="V26" s="20"/>
      <c r="W26" s="20"/>
      <c r="X26" s="20"/>
    </row>
    <row r="27" spans="1:29" ht="14.1" customHeight="1" x14ac:dyDescent="0.2">
      <c r="A27" s="22">
        <f t="shared" si="3"/>
        <v>5</v>
      </c>
      <c r="B27" s="14" t="s">
        <v>52</v>
      </c>
      <c r="C27" s="23"/>
      <c r="D27" s="23"/>
      <c r="E27" s="23"/>
      <c r="F27" s="23"/>
      <c r="G27" s="23"/>
      <c r="H27" s="23"/>
      <c r="I27" s="23"/>
      <c r="J27" s="23">
        <v>1800000</v>
      </c>
      <c r="K27" s="23"/>
      <c r="L27" s="23"/>
      <c r="M27" s="23"/>
      <c r="N27" s="23"/>
      <c r="O27" s="23"/>
      <c r="P27" s="23"/>
      <c r="Q27" s="23"/>
      <c r="R27" s="23"/>
      <c r="U27" s="20"/>
      <c r="V27" s="20"/>
      <c r="W27" s="20"/>
      <c r="X27" s="20"/>
    </row>
    <row r="28" spans="1:29" ht="14.1" customHeight="1" x14ac:dyDescent="0.2">
      <c r="A28" s="22">
        <f t="shared" si="3"/>
        <v>6</v>
      </c>
      <c r="B28" s="14" t="s">
        <v>56</v>
      </c>
      <c r="C28" s="23"/>
      <c r="D28" s="23"/>
      <c r="E28" s="23"/>
      <c r="F28" s="23"/>
      <c r="G28" s="23"/>
      <c r="H28" s="23"/>
      <c r="I28" s="23"/>
      <c r="J28" s="23">
        <v>40000</v>
      </c>
      <c r="K28" s="23"/>
      <c r="L28" s="23"/>
      <c r="M28" s="23"/>
      <c r="N28" s="23"/>
      <c r="O28" s="23"/>
      <c r="P28" s="23"/>
      <c r="Q28" s="23">
        <v>17000</v>
      </c>
      <c r="R28" s="23"/>
      <c r="U28" s="20"/>
      <c r="V28" s="20"/>
      <c r="W28" s="20"/>
      <c r="X28" s="20"/>
    </row>
    <row r="29" spans="1:29" ht="14.1" customHeight="1" x14ac:dyDescent="0.2">
      <c r="A29" s="22">
        <f t="shared" si="3"/>
        <v>7</v>
      </c>
      <c r="B29" s="14" t="s">
        <v>57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U29" s="20"/>
      <c r="V29" s="20"/>
      <c r="W29" s="20"/>
      <c r="X29" s="20"/>
    </row>
    <row r="30" spans="1:29" ht="14.1" customHeight="1" x14ac:dyDescent="0.2">
      <c r="A30" s="22">
        <f t="shared" si="3"/>
        <v>8</v>
      </c>
      <c r="B30" s="14" t="s">
        <v>58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U30" s="20"/>
      <c r="V30" s="20"/>
      <c r="W30" s="20"/>
      <c r="X30" s="20"/>
    </row>
    <row r="31" spans="1:29" ht="14.1" customHeight="1" x14ac:dyDescent="0.2">
      <c r="A31" s="22">
        <v>9</v>
      </c>
      <c r="B31" s="14" t="s">
        <v>61</v>
      </c>
      <c r="C31" s="23">
        <v>150000</v>
      </c>
      <c r="D31" s="23"/>
      <c r="E31" s="23"/>
      <c r="F31" s="23"/>
      <c r="G31" s="23">
        <v>22000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U31" s="20"/>
      <c r="V31" s="20"/>
      <c r="W31" s="20"/>
      <c r="X31" s="20"/>
    </row>
    <row r="32" spans="1:29" ht="14.1" customHeight="1" x14ac:dyDescent="0.2">
      <c r="A32" s="14"/>
      <c r="B32" s="14" t="s">
        <v>32</v>
      </c>
      <c r="C32" s="23">
        <f>SUM(C22:C31)</f>
        <v>150000</v>
      </c>
      <c r="D32" s="23">
        <f t="shared" ref="D32:R32" si="4">SUM(D22:D31)</f>
        <v>1050000</v>
      </c>
      <c r="E32" s="23">
        <f t="shared" si="4"/>
        <v>0</v>
      </c>
      <c r="F32" s="23">
        <f t="shared" si="4"/>
        <v>66500</v>
      </c>
      <c r="G32" s="23">
        <f t="shared" si="4"/>
        <v>22000</v>
      </c>
      <c r="H32" s="23">
        <f t="shared" si="4"/>
        <v>22000</v>
      </c>
      <c r="I32" s="23">
        <f t="shared" si="4"/>
        <v>0</v>
      </c>
      <c r="J32" s="23">
        <f t="shared" si="4"/>
        <v>1840000</v>
      </c>
      <c r="K32" s="23">
        <f t="shared" si="4"/>
        <v>300000</v>
      </c>
      <c r="L32" s="23">
        <f t="shared" si="4"/>
        <v>40000</v>
      </c>
      <c r="M32" s="23">
        <f t="shared" si="4"/>
        <v>713000</v>
      </c>
      <c r="N32" s="23">
        <f t="shared" si="4"/>
        <v>0</v>
      </c>
      <c r="O32" s="23">
        <f t="shared" si="4"/>
        <v>90000</v>
      </c>
      <c r="P32" s="23">
        <f t="shared" si="4"/>
        <v>0</v>
      </c>
      <c r="Q32" s="23">
        <f t="shared" si="4"/>
        <v>17000</v>
      </c>
      <c r="R32" s="23">
        <f t="shared" si="4"/>
        <v>0</v>
      </c>
      <c r="U32" s="20"/>
      <c r="V32" s="20"/>
      <c r="W32" s="20"/>
      <c r="X32" s="20"/>
    </row>
    <row r="33" spans="1:24" ht="14.1" customHeight="1" x14ac:dyDescent="0.2">
      <c r="A33" s="14"/>
      <c r="B33" s="25" t="s">
        <v>33</v>
      </c>
      <c r="C33" s="26">
        <f>D32-C32</f>
        <v>900000</v>
      </c>
      <c r="D33" s="26"/>
      <c r="E33" s="26">
        <f>F32</f>
        <v>66500</v>
      </c>
      <c r="F33" s="26"/>
      <c r="G33" s="26">
        <v>0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U33" s="20"/>
      <c r="V33" s="20"/>
      <c r="W33" s="20"/>
      <c r="X33" s="20"/>
    </row>
    <row r="34" spans="1:24" ht="14.1" customHeight="1" x14ac:dyDescent="0.2">
      <c r="A34" s="14"/>
      <c r="B34" s="25" t="s">
        <v>34</v>
      </c>
      <c r="C34" s="26"/>
      <c r="D34" s="26"/>
      <c r="E34" s="26"/>
      <c r="F34" s="26"/>
      <c r="G34" s="26"/>
      <c r="H34" s="26"/>
      <c r="I34" s="26">
        <f>J32</f>
        <v>1840000</v>
      </c>
      <c r="J34" s="26"/>
      <c r="K34" s="26"/>
      <c r="L34" s="26">
        <f>K32-L32</f>
        <v>260000</v>
      </c>
      <c r="M34" s="26"/>
      <c r="N34" s="26">
        <f>M32</f>
        <v>713000</v>
      </c>
      <c r="O34" s="26"/>
      <c r="P34" s="26">
        <f>O32</f>
        <v>90000</v>
      </c>
      <c r="Q34" s="26"/>
      <c r="R34" s="26">
        <f>Q32</f>
        <v>17000</v>
      </c>
      <c r="U34" s="20"/>
      <c r="V34" s="20"/>
      <c r="W34" s="20"/>
      <c r="X34" s="20"/>
    </row>
    <row r="35" spans="1:24" ht="14.1" customHeight="1" x14ac:dyDescent="0.2">
      <c r="A35" s="14"/>
      <c r="B35" s="14" t="s">
        <v>32</v>
      </c>
      <c r="C35" s="23">
        <f>SUM(C32:C34)</f>
        <v>1050000</v>
      </c>
      <c r="D35" s="23">
        <f t="shared" ref="D35:R35" si="5">SUM(D32:D34)</f>
        <v>1050000</v>
      </c>
      <c r="E35" s="23">
        <f t="shared" si="5"/>
        <v>66500</v>
      </c>
      <c r="F35" s="23">
        <f t="shared" si="5"/>
        <v>66500</v>
      </c>
      <c r="G35" s="23">
        <f t="shared" si="5"/>
        <v>22000</v>
      </c>
      <c r="H35" s="23">
        <f t="shared" si="5"/>
        <v>22000</v>
      </c>
      <c r="I35" s="23">
        <f t="shared" si="5"/>
        <v>1840000</v>
      </c>
      <c r="J35" s="23">
        <f t="shared" si="5"/>
        <v>1840000</v>
      </c>
      <c r="K35" s="23">
        <f t="shared" si="5"/>
        <v>300000</v>
      </c>
      <c r="L35" s="23">
        <f t="shared" si="5"/>
        <v>300000</v>
      </c>
      <c r="M35" s="23">
        <f t="shared" si="5"/>
        <v>713000</v>
      </c>
      <c r="N35" s="23">
        <f t="shared" si="5"/>
        <v>713000</v>
      </c>
      <c r="O35" s="23">
        <f t="shared" si="5"/>
        <v>90000</v>
      </c>
      <c r="P35" s="23">
        <f t="shared" si="5"/>
        <v>90000</v>
      </c>
      <c r="Q35" s="23">
        <f t="shared" si="5"/>
        <v>17000</v>
      </c>
      <c r="R35" s="23">
        <f t="shared" si="5"/>
        <v>17000</v>
      </c>
    </row>
    <row r="36" spans="1:24" ht="14.1" customHeight="1" x14ac:dyDescent="0.2">
      <c r="A36" s="18"/>
      <c r="B36" s="18"/>
      <c r="C36" s="18"/>
      <c r="D36" s="18"/>
      <c r="E36" s="20"/>
      <c r="F36" s="20"/>
      <c r="G36" s="20"/>
      <c r="H36" s="20"/>
      <c r="I36" s="20"/>
      <c r="J36" s="18"/>
      <c r="K36" s="18"/>
      <c r="L36" s="18"/>
    </row>
    <row r="37" spans="1:24" ht="14.1" customHeight="1" x14ac:dyDescent="0.2">
      <c r="A37" s="14"/>
      <c r="B37" s="15"/>
      <c r="C37" s="47">
        <v>8140</v>
      </c>
      <c r="D37" s="25" t="s">
        <v>62</v>
      </c>
      <c r="E37" s="20"/>
      <c r="F37" s="20"/>
      <c r="G37" s="20"/>
      <c r="H37" s="20"/>
      <c r="I37" s="20"/>
      <c r="J37" s="13"/>
      <c r="K37" s="48"/>
      <c r="L37" s="13"/>
      <c r="M37" s="48"/>
    </row>
    <row r="38" spans="1:24" ht="14.1" customHeight="1" x14ac:dyDescent="0.2">
      <c r="A38" s="14" t="s">
        <v>36</v>
      </c>
      <c r="B38" s="15" t="s">
        <v>30</v>
      </c>
      <c r="C38" s="14"/>
      <c r="D38" s="14"/>
      <c r="E38" s="20"/>
      <c r="F38" s="20"/>
      <c r="G38" s="20"/>
      <c r="H38" s="20"/>
      <c r="I38" s="20"/>
      <c r="J38" s="13"/>
      <c r="K38" s="13"/>
      <c r="L38" s="13"/>
      <c r="Q38" s="13"/>
      <c r="R38" s="13"/>
    </row>
    <row r="39" spans="1:24" ht="14.1" customHeight="1" x14ac:dyDescent="0.2">
      <c r="A39" s="14"/>
      <c r="B39" s="15" t="s">
        <v>54</v>
      </c>
      <c r="C39" s="14"/>
      <c r="D39" s="14"/>
      <c r="E39" s="20"/>
      <c r="F39" s="20"/>
      <c r="G39" s="20"/>
      <c r="H39" s="20"/>
      <c r="I39" s="20"/>
      <c r="J39" s="13"/>
      <c r="K39" s="13"/>
      <c r="L39" s="13"/>
      <c r="Q39" s="13"/>
      <c r="R39" s="13"/>
    </row>
    <row r="40" spans="1:24" ht="14.1" customHeight="1" x14ac:dyDescent="0.2">
      <c r="A40" s="22">
        <v>1</v>
      </c>
      <c r="B40" s="11" t="s">
        <v>55</v>
      </c>
      <c r="C40" s="14"/>
      <c r="D40" s="14"/>
      <c r="E40" s="20"/>
      <c r="F40" s="20"/>
      <c r="G40" s="20"/>
      <c r="H40" s="20"/>
      <c r="I40" s="20"/>
      <c r="J40" s="20"/>
      <c r="K40" s="20"/>
      <c r="L40" s="20"/>
      <c r="M40" s="20"/>
      <c r="N40" s="20"/>
      <c r="Q40" s="13"/>
      <c r="R40" s="13"/>
      <c r="S40" s="29"/>
    </row>
    <row r="41" spans="1:24" ht="14.1" customHeight="1" x14ac:dyDescent="0.2">
      <c r="A41" s="22">
        <f t="shared" ref="A41:A47" si="6">A40+1</f>
        <v>2</v>
      </c>
      <c r="B41" s="15" t="s">
        <v>49</v>
      </c>
      <c r="C41" s="23"/>
      <c r="D41" s="23"/>
      <c r="E41" s="20"/>
      <c r="F41" s="20"/>
      <c r="G41" s="20"/>
      <c r="H41" s="20"/>
      <c r="I41" s="20"/>
      <c r="J41" s="20"/>
      <c r="K41" s="20"/>
      <c r="L41" s="20"/>
      <c r="M41" s="20"/>
      <c r="N41" s="20"/>
      <c r="Q41" s="13"/>
      <c r="R41" s="13"/>
      <c r="S41" s="29"/>
    </row>
    <row r="42" spans="1:24" ht="14.1" customHeight="1" x14ac:dyDescent="0.2">
      <c r="A42" s="22">
        <f t="shared" si="6"/>
        <v>3</v>
      </c>
      <c r="B42" s="15" t="s">
        <v>50</v>
      </c>
      <c r="C42" s="23"/>
      <c r="D42" s="23"/>
      <c r="E42" s="20"/>
      <c r="F42" s="20"/>
      <c r="G42" s="20"/>
      <c r="H42" s="20"/>
      <c r="I42" s="20"/>
      <c r="J42" s="20"/>
      <c r="K42" s="20"/>
      <c r="L42" s="20"/>
      <c r="M42" s="20"/>
      <c r="N42" s="20"/>
      <c r="Q42" s="13"/>
      <c r="R42" s="13"/>
      <c r="S42" s="29"/>
    </row>
    <row r="43" spans="1:24" ht="14.1" customHeight="1" x14ac:dyDescent="0.2">
      <c r="A43" s="22">
        <f t="shared" si="6"/>
        <v>4</v>
      </c>
      <c r="B43" s="14" t="s">
        <v>63</v>
      </c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Q43" s="13"/>
      <c r="R43" s="13"/>
    </row>
    <row r="44" spans="1:24" ht="14.1" customHeight="1" x14ac:dyDescent="0.2">
      <c r="A44" s="22">
        <f t="shared" si="6"/>
        <v>5</v>
      </c>
      <c r="B44" s="15" t="s">
        <v>52</v>
      </c>
      <c r="C44" s="23"/>
      <c r="D44" s="23"/>
      <c r="E44" s="20"/>
      <c r="F44" s="20"/>
      <c r="G44" s="20"/>
      <c r="H44" s="20"/>
      <c r="I44" s="20"/>
      <c r="J44" s="20"/>
      <c r="K44" s="20"/>
      <c r="L44" s="20"/>
      <c r="M44" s="20"/>
      <c r="N44" s="20"/>
      <c r="Q44" s="13"/>
      <c r="R44" s="13"/>
    </row>
    <row r="45" spans="1:24" ht="14.1" customHeight="1" x14ac:dyDescent="0.2">
      <c r="A45" s="22">
        <f t="shared" si="6"/>
        <v>6</v>
      </c>
      <c r="B45" s="15" t="s">
        <v>56</v>
      </c>
      <c r="C45" s="23"/>
      <c r="D45" s="23"/>
      <c r="E45" s="20"/>
      <c r="F45" s="20"/>
      <c r="G45" s="20"/>
      <c r="H45" s="20"/>
      <c r="I45" s="20"/>
      <c r="J45" s="20"/>
      <c r="K45" s="20"/>
      <c r="L45" s="20"/>
      <c r="M45" s="20"/>
      <c r="N45" s="20"/>
      <c r="Q45" s="13"/>
      <c r="R45" s="13"/>
    </row>
    <row r="46" spans="1:24" ht="14.1" customHeight="1" x14ac:dyDescent="0.2">
      <c r="A46" s="22">
        <f t="shared" si="6"/>
        <v>7</v>
      </c>
      <c r="B46" s="15" t="s">
        <v>57</v>
      </c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Q46" s="13"/>
      <c r="R46" s="13"/>
    </row>
    <row r="47" spans="1:24" ht="14.1" customHeight="1" x14ac:dyDescent="0.2">
      <c r="A47" s="22">
        <f t="shared" si="6"/>
        <v>8</v>
      </c>
      <c r="B47" s="15" t="s">
        <v>58</v>
      </c>
      <c r="C47" s="23"/>
      <c r="D47" s="23"/>
      <c r="E47" s="20"/>
      <c r="F47" s="20"/>
      <c r="G47" s="20"/>
      <c r="H47" s="20"/>
      <c r="I47" s="20"/>
      <c r="J47" s="20"/>
      <c r="K47" s="20"/>
      <c r="L47" s="20"/>
      <c r="M47" s="20"/>
      <c r="N47" s="20"/>
      <c r="Q47" s="13"/>
      <c r="R47" s="13"/>
    </row>
    <row r="48" spans="1:24" ht="14.1" customHeight="1" x14ac:dyDescent="0.2">
      <c r="A48" s="22">
        <v>9</v>
      </c>
      <c r="B48" s="14" t="s">
        <v>61</v>
      </c>
      <c r="C48" s="23"/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Q48" s="13"/>
      <c r="R48" s="13"/>
    </row>
    <row r="49" spans="1:17" ht="14.1" customHeight="1" x14ac:dyDescent="0.2">
      <c r="A49" s="14"/>
      <c r="B49" s="15" t="s">
        <v>32</v>
      </c>
      <c r="C49" s="23"/>
      <c r="D49" s="23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7" ht="14.1" customHeight="1" x14ac:dyDescent="0.2">
      <c r="A50" s="14"/>
      <c r="B50" s="16" t="s">
        <v>33</v>
      </c>
      <c r="C50" s="26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7" ht="14.1" customHeight="1" x14ac:dyDescent="0.2">
      <c r="A51" s="14"/>
      <c r="B51" s="16" t="s">
        <v>34</v>
      </c>
      <c r="C51" s="26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7" ht="14.1" customHeight="1" x14ac:dyDescent="0.2">
      <c r="A52" s="14"/>
      <c r="B52" s="15" t="s">
        <v>32</v>
      </c>
      <c r="C52" s="23"/>
      <c r="D52" s="23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7" ht="14.1" customHeight="1" x14ac:dyDescent="0.2">
      <c r="A53" s="18"/>
      <c r="B53" s="18"/>
      <c r="C53" s="24"/>
      <c r="D53" s="24"/>
      <c r="E53" s="24"/>
      <c r="F53" s="24"/>
      <c r="G53" s="24"/>
      <c r="H53" s="24"/>
      <c r="I53" s="24"/>
      <c r="J53" s="24"/>
      <c r="K53" s="20"/>
      <c r="L53" s="13"/>
      <c r="M53" s="20"/>
      <c r="N53" s="20"/>
    </row>
    <row r="54" spans="1:17" ht="14.1" customHeight="1" x14ac:dyDescent="0.2">
      <c r="A54" s="18"/>
      <c r="B54" s="18"/>
      <c r="C54" s="24"/>
      <c r="D54" s="24"/>
      <c r="E54" s="24"/>
      <c r="F54" s="24"/>
      <c r="G54" s="24"/>
      <c r="H54" s="24"/>
      <c r="I54" s="24"/>
      <c r="J54" s="24"/>
      <c r="K54" s="20"/>
      <c r="L54" s="20"/>
      <c r="M54" s="20"/>
      <c r="N54" s="20"/>
    </row>
    <row r="55" spans="1:17" ht="14.1" customHeight="1" x14ac:dyDescent="0.2">
      <c r="Q55" s="13"/>
    </row>
    <row r="57" spans="1:17" ht="14.1" customHeight="1" x14ac:dyDescent="0.2">
      <c r="A57" s="12"/>
      <c r="B57" s="30"/>
      <c r="C57" s="31"/>
      <c r="D57" s="32"/>
      <c r="E57" s="32"/>
      <c r="F57" s="32"/>
      <c r="G57" s="32"/>
      <c r="H57" s="32"/>
      <c r="Q57" s="13"/>
    </row>
    <row r="58" spans="1:17" ht="14.1" customHeight="1" x14ac:dyDescent="0.2">
      <c r="B58" s="31"/>
      <c r="C58" s="31"/>
      <c r="D58" s="32"/>
      <c r="E58" s="32"/>
      <c r="F58" s="32"/>
      <c r="G58" s="32"/>
      <c r="H58" s="32"/>
      <c r="Q58" s="13"/>
    </row>
    <row r="59" spans="1:17" ht="14.1" customHeight="1" x14ac:dyDescent="0.2">
      <c r="B59" s="31"/>
      <c r="C59" s="31"/>
      <c r="D59" s="32"/>
      <c r="E59" s="32"/>
      <c r="F59" s="32"/>
      <c r="G59" s="32"/>
      <c r="H59" s="32"/>
      <c r="Q59" s="13"/>
    </row>
    <row r="60" spans="1:17" ht="14.1" customHeight="1" x14ac:dyDescent="0.2">
      <c r="B60" s="31"/>
      <c r="C60" s="31"/>
      <c r="D60" s="32"/>
      <c r="E60" s="32"/>
      <c r="F60" s="32"/>
      <c r="G60" s="32"/>
      <c r="H60" s="32"/>
      <c r="Q60" s="13"/>
    </row>
    <row r="61" spans="1:17" ht="14.1" customHeight="1" x14ac:dyDescent="0.2">
      <c r="B61" s="31"/>
      <c r="C61" s="31"/>
      <c r="D61" s="32"/>
      <c r="E61" s="32"/>
      <c r="F61" s="32"/>
      <c r="G61" s="32"/>
      <c r="H61" s="32"/>
      <c r="Q61" s="13"/>
    </row>
    <row r="62" spans="1:17" ht="14.1" customHeight="1" x14ac:dyDescent="0.2">
      <c r="B62" s="32"/>
      <c r="C62" s="32"/>
      <c r="D62" s="32"/>
      <c r="E62" s="32"/>
      <c r="F62" s="32"/>
      <c r="G62" s="32"/>
      <c r="H62" s="32"/>
    </row>
    <row r="63" spans="1:17" ht="14.1" customHeight="1" x14ac:dyDescent="0.2">
      <c r="B63" s="32"/>
      <c r="C63" s="32"/>
      <c r="D63" s="32"/>
      <c r="E63" s="32"/>
      <c r="F63" s="32"/>
      <c r="G63" s="32"/>
      <c r="H63" s="32"/>
    </row>
    <row r="64" spans="1:17" s="31" customFormat="1" ht="14.1" customHeight="1" x14ac:dyDescent="0.2">
      <c r="B64" s="30"/>
      <c r="M64" s="33"/>
      <c r="N64" s="33"/>
    </row>
    <row r="65" spans="2:14" s="31" customFormat="1" ht="14.1" customHeight="1" x14ac:dyDescent="0.2">
      <c r="B65" s="34"/>
      <c r="M65" s="33"/>
      <c r="N65" s="33"/>
    </row>
    <row r="66" spans="2:14" s="31" customFormat="1" ht="14.1" customHeight="1" x14ac:dyDescent="0.2">
      <c r="B66" s="34"/>
      <c r="M66" s="33"/>
      <c r="N66" s="33"/>
    </row>
    <row r="67" spans="2:14" s="31" customFormat="1" ht="14.1" customHeight="1" x14ac:dyDescent="0.2">
      <c r="B67" s="34"/>
      <c r="M67" s="33"/>
      <c r="N67" s="33"/>
    </row>
    <row r="68" spans="2:14" s="31" customFormat="1" ht="14.1" customHeight="1" x14ac:dyDescent="0.2">
      <c r="B68" s="20"/>
      <c r="C68" s="11"/>
      <c r="D68" s="11"/>
      <c r="E68" s="11"/>
      <c r="F68" s="11"/>
      <c r="G68" s="11"/>
      <c r="M68" s="33"/>
      <c r="N68" s="33"/>
    </row>
    <row r="69" spans="2:14" s="31" customFormat="1" ht="14.1" customHeight="1" x14ac:dyDescent="0.2">
      <c r="B69" s="20"/>
      <c r="C69" s="11"/>
      <c r="D69" s="11"/>
      <c r="E69" s="11"/>
      <c r="F69" s="11"/>
      <c r="G69" s="11"/>
      <c r="M69" s="33"/>
      <c r="N69" s="33"/>
    </row>
    <row r="70" spans="2:14" s="31" customFormat="1" ht="14.1" customHeight="1" x14ac:dyDescent="0.2">
      <c r="B70" s="20"/>
      <c r="C70" s="11"/>
      <c r="D70" s="11"/>
      <c r="E70" s="11"/>
      <c r="F70" s="11"/>
      <c r="G70" s="11"/>
      <c r="M70" s="33"/>
      <c r="N70" s="33"/>
    </row>
    <row r="71" spans="2:14" s="31" customFormat="1" ht="14.1" customHeight="1" x14ac:dyDescent="0.2">
      <c r="B71" s="34"/>
      <c r="M71" s="33"/>
      <c r="N71" s="33"/>
    </row>
    <row r="72" spans="2:14" s="31" customFormat="1" ht="14.1" customHeight="1" x14ac:dyDescent="0.2">
      <c r="B72" s="34"/>
      <c r="M72" s="33"/>
      <c r="N72" s="33"/>
    </row>
    <row r="73" spans="2:14" ht="14.1" customHeight="1" x14ac:dyDescent="0.2">
      <c r="B73" s="35"/>
      <c r="C73" s="12"/>
      <c r="D73" s="12"/>
      <c r="E73" s="12"/>
      <c r="F73" s="12"/>
      <c r="G73" s="12"/>
    </row>
    <row r="74" spans="2:14" s="31" customFormat="1" ht="14.1" customHeight="1" x14ac:dyDescent="0.2">
      <c r="M74" s="33"/>
      <c r="N74" s="33"/>
    </row>
  </sheetData>
  <printOptions gridLines="1"/>
  <pageMargins left="0.51181102362204722" right="0.51181102362204722" top="0.39370078740157483" bottom="0.39370078740157483" header="0.31496062992125984" footer="0.31496062992125984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CAA5-456B-4AF2-AA99-D104F606FE14}">
  <dimension ref="A1:K40"/>
  <sheetViews>
    <sheetView zoomScale="80" zoomScaleNormal="80" workbookViewId="0">
      <selection activeCell="H41" sqref="H41"/>
    </sheetView>
  </sheetViews>
  <sheetFormatPr baseColWidth="10" defaultColWidth="11.42578125" defaultRowHeight="15" x14ac:dyDescent="0.25"/>
  <cols>
    <col min="8" max="8" width="17.140625" customWidth="1"/>
  </cols>
  <sheetData>
    <row r="1" spans="1:11" x14ac:dyDescent="0.25">
      <c r="A1" s="84" t="s">
        <v>83</v>
      </c>
    </row>
    <row r="3" spans="1:11" ht="15.75" x14ac:dyDescent="0.25">
      <c r="A3" s="85" t="s">
        <v>42</v>
      </c>
      <c r="B3" s="85"/>
      <c r="C3" s="86"/>
      <c r="D3" s="86">
        <v>2017</v>
      </c>
      <c r="E3" s="86">
        <v>2018</v>
      </c>
      <c r="H3" s="94"/>
      <c r="I3" s="93">
        <v>2016</v>
      </c>
      <c r="J3" s="93">
        <v>2017</v>
      </c>
      <c r="K3" s="93">
        <v>2018</v>
      </c>
    </row>
    <row r="4" spans="1:11" x14ac:dyDescent="0.25">
      <c r="A4" t="s">
        <v>84</v>
      </c>
      <c r="D4">
        <v>5900</v>
      </c>
      <c r="E4">
        <v>6050</v>
      </c>
      <c r="H4" s="93" t="s">
        <v>110</v>
      </c>
      <c r="J4" s="95">
        <f>D13/D4</f>
        <v>4.0677966101694912E-2</v>
      </c>
      <c r="K4" s="95">
        <f>E13/E4</f>
        <v>2.3140495867768594E-2</v>
      </c>
    </row>
    <row r="5" spans="1:11" x14ac:dyDescent="0.25">
      <c r="A5" t="s">
        <v>85</v>
      </c>
      <c r="D5">
        <v>2550</v>
      </c>
      <c r="E5">
        <v>2475</v>
      </c>
      <c r="H5" s="93" t="s">
        <v>111</v>
      </c>
      <c r="J5" s="95">
        <f>(D4-D5)/D4</f>
        <v>0.56779661016949157</v>
      </c>
      <c r="K5" s="95">
        <f>(E4-E5)/E4</f>
        <v>0.59090909090909094</v>
      </c>
    </row>
    <row r="6" spans="1:11" x14ac:dyDescent="0.25">
      <c r="A6" t="s">
        <v>86</v>
      </c>
      <c r="D6">
        <v>1750</v>
      </c>
      <c r="E6">
        <v>2075</v>
      </c>
      <c r="H6" s="93" t="s">
        <v>112</v>
      </c>
      <c r="J6" s="95">
        <f>(D11+D10)/(AVERAGE(C26:D26))</f>
        <v>0.16631130063965885</v>
      </c>
      <c r="K6" s="95">
        <f>(E11+E10)/(AVERAGE(D26:E26))</f>
        <v>9.9678456591639875E-2</v>
      </c>
    </row>
    <row r="7" spans="1:11" x14ac:dyDescent="0.25">
      <c r="A7" t="s">
        <v>87</v>
      </c>
      <c r="D7">
        <v>960</v>
      </c>
      <c r="E7">
        <v>890</v>
      </c>
      <c r="H7" s="93" t="s">
        <v>113</v>
      </c>
      <c r="I7" s="96">
        <f>C25/(C31+C32+C33)</f>
        <v>4.166666666666667</v>
      </c>
      <c r="J7" s="96">
        <f t="shared" ref="J7:K7" si="0">D25/(D31+D32+D33)</f>
        <v>2.5974025974025974</v>
      </c>
      <c r="K7" s="96">
        <f t="shared" si="0"/>
        <v>1.8445121951219512</v>
      </c>
    </row>
    <row r="8" spans="1:11" x14ac:dyDescent="0.25">
      <c r="A8" t="s">
        <v>88</v>
      </c>
      <c r="D8">
        <v>250</v>
      </c>
      <c r="E8">
        <v>300</v>
      </c>
      <c r="H8" s="93" t="s">
        <v>114</v>
      </c>
      <c r="I8" s="96">
        <f>(C25-C21-C22)/(C31+C32+C33)</f>
        <v>2.0833333333333335</v>
      </c>
      <c r="J8" s="96">
        <f t="shared" ref="J8:K8" si="1">(D25-D21-D22)/(D31+D32+D33)</f>
        <v>0.97402597402597402</v>
      </c>
      <c r="K8" s="96">
        <f t="shared" si="1"/>
        <v>0.6097560975609756</v>
      </c>
    </row>
    <row r="9" spans="1:11" x14ac:dyDescent="0.25">
      <c r="A9" s="87" t="s">
        <v>89</v>
      </c>
      <c r="B9" s="88"/>
      <c r="C9" s="88"/>
      <c r="D9" s="88">
        <f>D4-D5-D6-D7-D8</f>
        <v>390</v>
      </c>
      <c r="E9" s="88">
        <f>E4-E5-E6-E7-E8</f>
        <v>310</v>
      </c>
      <c r="H9" s="93" t="s">
        <v>115</v>
      </c>
      <c r="I9">
        <f>C25-C32-C33</f>
        <v>1140</v>
      </c>
      <c r="J9">
        <f t="shared" ref="J9:K9" si="2">D25-D31-D32-D33</f>
        <v>1230</v>
      </c>
      <c r="K9">
        <f t="shared" si="2"/>
        <v>1385</v>
      </c>
    </row>
    <row r="10" spans="1:11" x14ac:dyDescent="0.25">
      <c r="A10" t="s">
        <v>62</v>
      </c>
      <c r="D10" s="55">
        <v>50</v>
      </c>
      <c r="E10" s="55">
        <v>110</v>
      </c>
      <c r="H10" s="93" t="s">
        <v>116</v>
      </c>
      <c r="I10" s="95">
        <f>(SUM(C30:C33))/(SUM(C28:C29))</f>
        <v>0.73109243697478987</v>
      </c>
      <c r="J10" s="95">
        <f t="shared" ref="J10:K10" si="3">(SUM(D30:D33))/(SUM(D28:D29))</f>
        <v>0.83916083916083917</v>
      </c>
      <c r="K10" s="95">
        <f t="shared" si="3"/>
        <v>1.286624203821656</v>
      </c>
    </row>
    <row r="11" spans="1:11" x14ac:dyDescent="0.25">
      <c r="A11" s="89" t="s">
        <v>90</v>
      </c>
      <c r="D11">
        <f>D9-D10</f>
        <v>340</v>
      </c>
      <c r="E11">
        <f>E9-E10</f>
        <v>200</v>
      </c>
    </row>
    <row r="12" spans="1:11" x14ac:dyDescent="0.25">
      <c r="A12" s="90" t="s">
        <v>91</v>
      </c>
      <c r="B12" s="88"/>
      <c r="C12" s="88"/>
      <c r="D12" s="88">
        <v>100</v>
      </c>
      <c r="E12" s="88">
        <v>60</v>
      </c>
    </row>
    <row r="13" spans="1:11" x14ac:dyDescent="0.25">
      <c r="A13" s="91" t="s">
        <v>92</v>
      </c>
      <c r="B13" s="92"/>
      <c r="C13" s="92"/>
      <c r="D13" s="92">
        <f>D11-D12</f>
        <v>240</v>
      </c>
      <c r="E13" s="92">
        <f>E11-E12</f>
        <v>140</v>
      </c>
    </row>
    <row r="16" spans="1:11" ht="15.75" x14ac:dyDescent="0.25">
      <c r="A16" s="85" t="s">
        <v>93</v>
      </c>
      <c r="B16" s="86"/>
      <c r="C16" s="86">
        <v>2016</v>
      </c>
      <c r="D16" s="86">
        <v>2017</v>
      </c>
      <c r="E16" s="86">
        <v>2018</v>
      </c>
    </row>
    <row r="17" spans="1:8" x14ac:dyDescent="0.25">
      <c r="A17" t="s">
        <v>94</v>
      </c>
      <c r="C17">
        <v>120</v>
      </c>
      <c r="D17">
        <v>320</v>
      </c>
      <c r="E17">
        <v>300</v>
      </c>
    </row>
    <row r="18" spans="1:8" x14ac:dyDescent="0.25">
      <c r="A18" t="s">
        <v>95</v>
      </c>
      <c r="C18">
        <v>70</v>
      </c>
      <c r="D18">
        <v>20</v>
      </c>
      <c r="E18">
        <v>15</v>
      </c>
    </row>
    <row r="19" spans="1:8" x14ac:dyDescent="0.25">
      <c r="A19" t="s">
        <v>96</v>
      </c>
      <c r="C19" s="88">
        <v>370</v>
      </c>
      <c r="D19" s="88">
        <v>290</v>
      </c>
      <c r="E19" s="88">
        <v>250</v>
      </c>
    </row>
    <row r="20" spans="1:8" x14ac:dyDescent="0.25">
      <c r="A20" s="89" t="s">
        <v>97</v>
      </c>
      <c r="C20" s="92">
        <f>SUM(C17:C19)</f>
        <v>560</v>
      </c>
      <c r="D20" s="92">
        <f t="shared" ref="D20:E20" si="4">SUM(D17:D19)</f>
        <v>630</v>
      </c>
      <c r="E20" s="92">
        <f t="shared" si="4"/>
        <v>565</v>
      </c>
    </row>
    <row r="21" spans="1:8" x14ac:dyDescent="0.25">
      <c r="A21" t="s">
        <v>98</v>
      </c>
      <c r="C21">
        <v>550</v>
      </c>
      <c r="D21">
        <v>700</v>
      </c>
      <c r="E21">
        <v>800</v>
      </c>
    </row>
    <row r="22" spans="1:8" x14ac:dyDescent="0.25">
      <c r="A22" t="s">
        <v>99</v>
      </c>
      <c r="C22">
        <v>200</v>
      </c>
      <c r="D22">
        <v>550</v>
      </c>
      <c r="E22">
        <v>1225</v>
      </c>
    </row>
    <row r="23" spans="1:8" x14ac:dyDescent="0.25">
      <c r="A23" t="s">
        <v>58</v>
      </c>
      <c r="C23">
        <v>600</v>
      </c>
      <c r="D23">
        <v>680</v>
      </c>
      <c r="E23">
        <v>950</v>
      </c>
      <c r="H23" s="107"/>
    </row>
    <row r="24" spans="1:8" x14ac:dyDescent="0.25">
      <c r="A24" t="s">
        <v>100</v>
      </c>
      <c r="C24" s="88">
        <v>150</v>
      </c>
      <c r="D24" s="88">
        <v>70</v>
      </c>
      <c r="E24" s="88">
        <v>50</v>
      </c>
      <c r="H24" s="108"/>
    </row>
    <row r="25" spans="1:8" x14ac:dyDescent="0.25">
      <c r="A25" s="89" t="s">
        <v>101</v>
      </c>
      <c r="C25" s="88">
        <f>SUM(C21:C24)</f>
        <v>1500</v>
      </c>
      <c r="D25" s="88">
        <f t="shared" ref="D25:E25" si="5">SUM(D21:D24)</f>
        <v>2000</v>
      </c>
      <c r="E25" s="88">
        <f t="shared" si="5"/>
        <v>3025</v>
      </c>
      <c r="H25" s="108"/>
    </row>
    <row r="26" spans="1:8" x14ac:dyDescent="0.25">
      <c r="A26" s="89" t="s">
        <v>102</v>
      </c>
      <c r="C26" s="92">
        <f>C20+C25</f>
        <v>2060</v>
      </c>
      <c r="D26" s="92">
        <f t="shared" ref="D26:E26" si="6">D20+D25</f>
        <v>2630</v>
      </c>
      <c r="E26" s="92">
        <f t="shared" si="6"/>
        <v>3590</v>
      </c>
      <c r="H26" s="108"/>
    </row>
    <row r="27" spans="1:8" x14ac:dyDescent="0.25">
      <c r="H27" s="108"/>
    </row>
    <row r="28" spans="1:8" x14ac:dyDescent="0.25">
      <c r="A28" t="s">
        <v>103</v>
      </c>
      <c r="C28">
        <v>500</v>
      </c>
      <c r="D28">
        <v>500</v>
      </c>
      <c r="E28">
        <v>500</v>
      </c>
      <c r="H28" s="108"/>
    </row>
    <row r="29" spans="1:8" x14ac:dyDescent="0.25">
      <c r="A29" t="s">
        <v>104</v>
      </c>
      <c r="C29">
        <v>690</v>
      </c>
      <c r="D29">
        <v>930</v>
      </c>
      <c r="E29">
        <v>1070</v>
      </c>
      <c r="H29" s="108"/>
    </row>
    <row r="30" spans="1:8" x14ac:dyDescent="0.25">
      <c r="A30" t="s">
        <v>105</v>
      </c>
      <c r="C30">
        <v>510</v>
      </c>
      <c r="D30">
        <v>430</v>
      </c>
      <c r="E30">
        <v>380</v>
      </c>
      <c r="H30" s="107"/>
    </row>
    <row r="31" spans="1:8" x14ac:dyDescent="0.25">
      <c r="A31" t="s">
        <v>106</v>
      </c>
      <c r="C31">
        <v>0</v>
      </c>
      <c r="D31">
        <v>250</v>
      </c>
      <c r="E31">
        <v>700</v>
      </c>
      <c r="H31" s="108"/>
    </row>
    <row r="32" spans="1:8" x14ac:dyDescent="0.25">
      <c r="A32" t="s">
        <v>107</v>
      </c>
      <c r="C32">
        <v>240</v>
      </c>
      <c r="D32">
        <v>380</v>
      </c>
      <c r="E32">
        <v>750</v>
      </c>
      <c r="H32" s="108"/>
    </row>
    <row r="33" spans="1:8" x14ac:dyDescent="0.25">
      <c r="A33" t="s">
        <v>108</v>
      </c>
      <c r="C33" s="88">
        <v>120</v>
      </c>
      <c r="D33" s="88">
        <v>140</v>
      </c>
      <c r="E33" s="88">
        <v>190</v>
      </c>
      <c r="H33" s="108"/>
    </row>
    <row r="34" spans="1:8" x14ac:dyDescent="0.25">
      <c r="A34" s="89" t="s">
        <v>109</v>
      </c>
      <c r="C34" s="92">
        <f>SUM(C28:C33)</f>
        <v>2060</v>
      </c>
      <c r="D34" s="92">
        <f t="shared" ref="D34:E34" si="7">SUM(D28:D33)</f>
        <v>2630</v>
      </c>
      <c r="E34" s="92">
        <f t="shared" si="7"/>
        <v>3590</v>
      </c>
      <c r="H34" s="108"/>
    </row>
    <row r="35" spans="1:8" x14ac:dyDescent="0.25">
      <c r="H35" s="108"/>
    </row>
    <row r="36" spans="1:8" x14ac:dyDescent="0.25">
      <c r="H36" s="108"/>
    </row>
    <row r="37" spans="1:8" x14ac:dyDescent="0.25">
      <c r="H37" s="107"/>
    </row>
    <row r="38" spans="1:8" x14ac:dyDescent="0.25">
      <c r="H38" s="109"/>
    </row>
    <row r="39" spans="1:8" x14ac:dyDescent="0.25">
      <c r="H39" s="109"/>
    </row>
    <row r="40" spans="1:8" x14ac:dyDescent="0.25">
      <c r="H40" s="10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327C-3E84-43D4-86AA-ED470C399105}">
  <dimension ref="A1:W63"/>
  <sheetViews>
    <sheetView tabSelected="1" topLeftCell="C1" zoomScale="80" zoomScaleNormal="80" workbookViewId="0">
      <selection activeCell="I26" sqref="I26"/>
    </sheetView>
  </sheetViews>
  <sheetFormatPr baseColWidth="10" defaultColWidth="11.42578125" defaultRowHeight="15" x14ac:dyDescent="0.25"/>
  <cols>
    <col min="1" max="1" width="24.5703125" customWidth="1"/>
    <col min="2" max="2" width="38.5703125" customWidth="1"/>
    <col min="3" max="3" width="18.7109375" customWidth="1"/>
    <col min="9" max="9" width="17.85546875" customWidth="1"/>
    <col min="11" max="11" width="23.5703125" customWidth="1"/>
  </cols>
  <sheetData>
    <row r="1" spans="1:23" x14ac:dyDescent="0.25">
      <c r="A1" s="59" t="s">
        <v>75</v>
      </c>
      <c r="I1" s="55"/>
      <c r="J1" s="55"/>
    </row>
    <row r="2" spans="1:23" x14ac:dyDescent="0.25">
      <c r="A2" t="s">
        <v>77</v>
      </c>
      <c r="I2" s="55"/>
      <c r="J2" s="55"/>
    </row>
    <row r="3" spans="1:23" x14ac:dyDescent="0.25">
      <c r="I3" s="55"/>
      <c r="J3" s="55"/>
    </row>
    <row r="4" spans="1:23" x14ac:dyDescent="0.25">
      <c r="A4" t="s">
        <v>79</v>
      </c>
      <c r="B4" s="61">
        <f>FV(5%,10,-5000,0)</f>
        <v>62889.462677744152</v>
      </c>
      <c r="I4" s="55" t="s">
        <v>117</v>
      </c>
      <c r="J4" s="55"/>
    </row>
    <row r="5" spans="1:23" x14ac:dyDescent="0.25">
      <c r="A5" t="s">
        <v>80</v>
      </c>
      <c r="B5" t="s">
        <v>81</v>
      </c>
      <c r="C5" s="77">
        <f>5000*D49</f>
        <v>62889.5</v>
      </c>
      <c r="I5" s="83">
        <f>FV(0.05,10,-5000)</f>
        <v>62889.462677744152</v>
      </c>
      <c r="J5" s="55"/>
    </row>
    <row r="6" spans="1:23" x14ac:dyDescent="0.25">
      <c r="I6" s="55"/>
      <c r="J6" s="55"/>
    </row>
    <row r="7" spans="1:23" x14ac:dyDescent="0.25">
      <c r="A7" t="s">
        <v>76</v>
      </c>
      <c r="I7" s="55" t="s">
        <v>118</v>
      </c>
      <c r="J7" s="55"/>
    </row>
    <row r="8" spans="1:23" x14ac:dyDescent="0.25">
      <c r="A8" s="49" t="s">
        <v>66</v>
      </c>
      <c r="B8" s="49">
        <v>0</v>
      </c>
      <c r="C8" s="49">
        <v>1</v>
      </c>
      <c r="D8" s="49">
        <v>2</v>
      </c>
      <c r="E8" s="49">
        <v>3</v>
      </c>
      <c r="F8" s="49">
        <v>4</v>
      </c>
      <c r="G8" s="49">
        <v>5</v>
      </c>
      <c r="H8" s="102"/>
      <c r="I8" s="55" t="s">
        <v>119</v>
      </c>
      <c r="J8" s="55"/>
      <c r="K8" s="55"/>
    </row>
    <row r="9" spans="1:23" x14ac:dyDescent="0.25">
      <c r="A9" s="50" t="s">
        <v>67</v>
      </c>
      <c r="B9" s="97">
        <v>-120000</v>
      </c>
      <c r="C9" s="97"/>
      <c r="D9" s="97"/>
      <c r="E9" s="97"/>
      <c r="F9" s="97"/>
      <c r="G9" s="97">
        <v>15000</v>
      </c>
      <c r="H9" s="103"/>
      <c r="I9" s="55"/>
      <c r="J9" s="55"/>
      <c r="K9" s="55"/>
    </row>
    <row r="10" spans="1:23" x14ac:dyDescent="0.25">
      <c r="A10" s="51" t="s">
        <v>52</v>
      </c>
      <c r="B10" s="97"/>
      <c r="C10" s="98">
        <v>24000</v>
      </c>
      <c r="D10" s="98">
        <v>24000</v>
      </c>
      <c r="E10" s="98">
        <v>24000</v>
      </c>
      <c r="F10" s="98">
        <v>24000</v>
      </c>
      <c r="G10" s="98">
        <v>24000</v>
      </c>
      <c r="H10" s="104"/>
      <c r="I10" s="104"/>
      <c r="J10" s="55"/>
      <c r="K10" s="55"/>
    </row>
    <row r="11" spans="1:23" ht="15.75" thickBot="1" x14ac:dyDescent="0.3">
      <c r="A11" s="51" t="s">
        <v>68</v>
      </c>
      <c r="B11" s="97"/>
      <c r="C11" s="98">
        <v>-3000</v>
      </c>
      <c r="D11" s="98">
        <v>-3000</v>
      </c>
      <c r="E11" s="98">
        <v>-3000</v>
      </c>
      <c r="F11" s="98">
        <v>-3000</v>
      </c>
      <c r="G11" s="98">
        <v>-3000</v>
      </c>
      <c r="H11" s="104"/>
      <c r="I11" s="104"/>
      <c r="J11" s="55"/>
      <c r="K11" s="55"/>
    </row>
    <row r="12" spans="1:23" ht="16.5" thickBot="1" x14ac:dyDescent="0.3">
      <c r="A12" s="50" t="s">
        <v>69</v>
      </c>
      <c r="B12" s="97">
        <f t="shared" ref="B12" si="0">SUM(B9:B11)</f>
        <v>-120000</v>
      </c>
      <c r="C12" s="97">
        <f>SUM(C9:C11)</f>
        <v>21000</v>
      </c>
      <c r="D12" s="97">
        <f t="shared" ref="D12:G12" si="1">SUM(D9:D11)</f>
        <v>21000</v>
      </c>
      <c r="E12" s="97">
        <f t="shared" si="1"/>
        <v>21000</v>
      </c>
      <c r="F12" s="97">
        <f t="shared" si="1"/>
        <v>21000</v>
      </c>
      <c r="G12" s="97">
        <f t="shared" si="1"/>
        <v>36000</v>
      </c>
      <c r="H12" s="103"/>
      <c r="I12" s="112" t="s">
        <v>66</v>
      </c>
      <c r="J12" s="113">
        <v>0</v>
      </c>
      <c r="K12" s="113">
        <v>1</v>
      </c>
      <c r="L12" s="113">
        <v>2</v>
      </c>
      <c r="M12" s="113">
        <v>3</v>
      </c>
      <c r="N12" s="113">
        <v>4</v>
      </c>
      <c r="O12" s="113">
        <v>5</v>
      </c>
      <c r="Q12" s="117" t="s">
        <v>73</v>
      </c>
      <c r="R12" s="111"/>
      <c r="S12" s="111"/>
      <c r="T12" s="111"/>
      <c r="U12" s="111"/>
      <c r="V12" s="111"/>
      <c r="W12" s="111"/>
    </row>
    <row r="13" spans="1:23" ht="15.75" thickBot="1" x14ac:dyDescent="0.3">
      <c r="A13" s="50" t="s">
        <v>70</v>
      </c>
      <c r="B13" s="52">
        <v>1</v>
      </c>
      <c r="C13" s="53">
        <f>D25</f>
        <v>0.95240000000000002</v>
      </c>
      <c r="D13" s="53">
        <f>D26</f>
        <v>0.90700000000000003</v>
      </c>
      <c r="E13" s="53">
        <f>D27</f>
        <v>0.86380000000000001</v>
      </c>
      <c r="F13" s="53">
        <f>D28</f>
        <v>0.82269999999999999</v>
      </c>
      <c r="G13" s="53">
        <f>D29</f>
        <v>0.78349999999999997</v>
      </c>
      <c r="H13" s="105"/>
      <c r="I13" s="114" t="s">
        <v>120</v>
      </c>
      <c r="J13" s="115">
        <v>-100000</v>
      </c>
      <c r="K13" s="114"/>
      <c r="L13" s="114"/>
      <c r="M13" s="114"/>
      <c r="N13" s="114"/>
      <c r="O13" s="115">
        <v>15000</v>
      </c>
      <c r="Q13" s="118"/>
      <c r="R13" s="118"/>
      <c r="S13" s="118"/>
      <c r="T13" s="118"/>
      <c r="U13" s="118"/>
      <c r="V13" s="118"/>
      <c r="W13" s="118"/>
    </row>
    <row r="14" spans="1:23" ht="15.75" thickBot="1" x14ac:dyDescent="0.3">
      <c r="A14" s="50" t="s">
        <v>71</v>
      </c>
      <c r="B14" s="99">
        <f>B12*B13</f>
        <v>-120000</v>
      </c>
      <c r="C14" s="99">
        <f t="shared" ref="C14:G14" si="2">C12*C13</f>
        <v>20000.400000000001</v>
      </c>
      <c r="D14" s="99">
        <f t="shared" si="2"/>
        <v>19047</v>
      </c>
      <c r="E14" s="99">
        <f t="shared" si="2"/>
        <v>18139.8</v>
      </c>
      <c r="F14" s="99">
        <f t="shared" si="2"/>
        <v>17276.7</v>
      </c>
      <c r="G14" s="99">
        <f t="shared" si="2"/>
        <v>28206</v>
      </c>
      <c r="H14" s="106"/>
      <c r="I14" s="114" t="s">
        <v>121</v>
      </c>
      <c r="J14" s="115"/>
      <c r="K14" s="115">
        <v>24000</v>
      </c>
      <c r="L14" s="115">
        <v>24000</v>
      </c>
      <c r="M14" s="115">
        <v>24000</v>
      </c>
      <c r="N14" s="115">
        <v>24000</v>
      </c>
      <c r="O14" s="115">
        <v>24000</v>
      </c>
      <c r="Q14" s="119" t="s">
        <v>74</v>
      </c>
      <c r="R14" s="120">
        <v>0.03</v>
      </c>
      <c r="S14" s="120">
        <v>0.04</v>
      </c>
      <c r="T14" s="120">
        <v>0.05</v>
      </c>
      <c r="U14" s="120">
        <v>0.06</v>
      </c>
      <c r="V14" s="120">
        <v>7.0000000000000007E-2</v>
      </c>
      <c r="W14" s="120">
        <v>0.08</v>
      </c>
    </row>
    <row r="15" spans="1:23" ht="15.75" thickBot="1" x14ac:dyDescent="0.3">
      <c r="A15" s="50" t="s">
        <v>72</v>
      </c>
      <c r="B15" s="99">
        <f>SUM(B14:I14)</f>
        <v>-17330.100000000006</v>
      </c>
      <c r="C15" s="100"/>
      <c r="D15" s="100"/>
      <c r="E15" s="100"/>
      <c r="F15" s="100"/>
      <c r="G15" s="100"/>
      <c r="H15" s="101"/>
      <c r="I15" s="114" t="s">
        <v>122</v>
      </c>
      <c r="J15" s="115"/>
      <c r="K15" s="115">
        <v>-3000</v>
      </c>
      <c r="L15" s="115">
        <v>-3000</v>
      </c>
      <c r="M15" s="115">
        <v>-3000</v>
      </c>
      <c r="N15" s="115">
        <v>-3000</v>
      </c>
      <c r="O15" s="115">
        <v>-3000</v>
      </c>
      <c r="Q15" s="121">
        <v>1</v>
      </c>
      <c r="R15" s="122">
        <v>0.97089999999999999</v>
      </c>
      <c r="S15" s="122">
        <v>0.96150000000000002</v>
      </c>
      <c r="T15" s="123">
        <v>0.95240000000000002</v>
      </c>
      <c r="U15" s="122" t="s">
        <v>128</v>
      </c>
      <c r="V15" s="122" t="s">
        <v>129</v>
      </c>
      <c r="W15" s="122" t="s">
        <v>130</v>
      </c>
    </row>
    <row r="16" spans="1:23" ht="27" thickBot="1" x14ac:dyDescent="0.3">
      <c r="A16" s="54"/>
      <c r="B16" s="69"/>
      <c r="C16" s="54"/>
      <c r="D16" s="54"/>
      <c r="E16" s="54"/>
      <c r="F16" s="54"/>
      <c r="G16" s="54"/>
      <c r="I16" s="114" t="s">
        <v>123</v>
      </c>
      <c r="J16" s="115"/>
      <c r="K16" s="114"/>
      <c r="L16" s="115"/>
      <c r="M16" s="115"/>
      <c r="N16" s="114"/>
      <c r="O16" s="115"/>
      <c r="Q16" s="121">
        <v>2</v>
      </c>
      <c r="R16" s="122" t="s">
        <v>131</v>
      </c>
      <c r="S16" s="122" t="s">
        <v>132</v>
      </c>
      <c r="T16" s="123">
        <v>0.90700000000000003</v>
      </c>
      <c r="U16" s="122" t="s">
        <v>133</v>
      </c>
      <c r="V16" s="122" t="s">
        <v>134</v>
      </c>
      <c r="W16" s="122" t="s">
        <v>135</v>
      </c>
    </row>
    <row r="17" spans="1:23" ht="15.75" thickBot="1" x14ac:dyDescent="0.3">
      <c r="A17" t="s">
        <v>78</v>
      </c>
      <c r="B17" s="69"/>
      <c r="C17" s="54"/>
      <c r="D17" s="54"/>
      <c r="E17" s="54"/>
      <c r="F17" s="54"/>
      <c r="G17" s="54"/>
      <c r="I17" s="116" t="s">
        <v>124</v>
      </c>
      <c r="J17" s="115"/>
      <c r="K17" s="115"/>
      <c r="L17" s="114"/>
      <c r="M17" s="114"/>
      <c r="N17" s="115"/>
      <c r="O17" s="115"/>
      <c r="Q17" s="121">
        <v>3</v>
      </c>
      <c r="R17" s="122" t="s">
        <v>136</v>
      </c>
      <c r="S17" s="122" t="s">
        <v>137</v>
      </c>
      <c r="T17" s="123">
        <v>0.86380000000000001</v>
      </c>
      <c r="U17" s="122" t="s">
        <v>138</v>
      </c>
      <c r="V17" s="122" t="s">
        <v>139</v>
      </c>
      <c r="W17" s="122" t="s">
        <v>140</v>
      </c>
    </row>
    <row r="18" spans="1:23" ht="15.75" thickBot="1" x14ac:dyDescent="0.3">
      <c r="A18" s="110">
        <f>IRR(B12:G12)</f>
        <v>0</v>
      </c>
      <c r="B18" s="69"/>
      <c r="D18" s="54"/>
      <c r="E18" s="54"/>
      <c r="F18" s="54"/>
      <c r="G18" s="54"/>
      <c r="I18" s="114" t="s">
        <v>107</v>
      </c>
      <c r="J18" s="114"/>
      <c r="K18" s="115"/>
      <c r="L18" s="114"/>
      <c r="M18" s="114"/>
      <c r="N18" s="114"/>
      <c r="O18" s="115"/>
      <c r="Q18" s="121">
        <v>4</v>
      </c>
      <c r="R18" s="122" t="s">
        <v>141</v>
      </c>
      <c r="S18" s="122" t="s">
        <v>142</v>
      </c>
      <c r="T18" s="123">
        <v>0.82269999999999999</v>
      </c>
      <c r="U18" s="122" t="s">
        <v>143</v>
      </c>
      <c r="V18" s="122" t="s">
        <v>144</v>
      </c>
      <c r="W18" s="122" t="s">
        <v>145</v>
      </c>
    </row>
    <row r="19" spans="1:23" ht="15.75" thickBot="1" x14ac:dyDescent="0.3">
      <c r="A19" s="60"/>
      <c r="B19" s="69"/>
      <c r="C19" s="54"/>
      <c r="D19" s="54"/>
      <c r="E19" s="54"/>
      <c r="F19" s="54"/>
      <c r="G19" s="54"/>
      <c r="I19" s="114" t="s">
        <v>125</v>
      </c>
      <c r="J19" s="115">
        <f>SUM(J13:J18)</f>
        <v>-100000</v>
      </c>
      <c r="K19" s="115">
        <f t="shared" ref="K19:O19" si="3">SUM(K13:K18)</f>
        <v>21000</v>
      </c>
      <c r="L19" s="115">
        <f t="shared" si="3"/>
        <v>21000</v>
      </c>
      <c r="M19" s="115">
        <f t="shared" si="3"/>
        <v>21000</v>
      </c>
      <c r="N19" s="115">
        <f t="shared" si="3"/>
        <v>21000</v>
      </c>
      <c r="O19" s="115">
        <f t="shared" si="3"/>
        <v>36000</v>
      </c>
      <c r="Q19" s="121">
        <v>5</v>
      </c>
      <c r="R19" s="122" t="s">
        <v>146</v>
      </c>
      <c r="S19" s="122" t="s">
        <v>147</v>
      </c>
      <c r="T19" s="123">
        <v>0.78349999999999997</v>
      </c>
      <c r="U19" s="122" t="s">
        <v>148</v>
      </c>
      <c r="V19" s="122" t="s">
        <v>149</v>
      </c>
      <c r="W19" s="122" t="s">
        <v>150</v>
      </c>
    </row>
    <row r="20" spans="1:23" ht="15.75" thickBot="1" x14ac:dyDescent="0.3">
      <c r="A20" s="54"/>
      <c r="B20" s="69"/>
      <c r="C20" s="54"/>
      <c r="D20" s="54"/>
      <c r="E20" s="54"/>
      <c r="F20" s="54"/>
      <c r="G20" s="54"/>
      <c r="I20" s="114" t="s">
        <v>126</v>
      </c>
      <c r="J20" s="115">
        <f>Q15</f>
        <v>1</v>
      </c>
      <c r="K20" s="115">
        <f>T15</f>
        <v>0.95240000000000002</v>
      </c>
      <c r="L20" s="115">
        <f>T16</f>
        <v>0.90700000000000003</v>
      </c>
      <c r="M20" s="115">
        <f>T17</f>
        <v>0.86380000000000001</v>
      </c>
      <c r="N20" s="115">
        <f>T18</f>
        <v>0.82269999999999999</v>
      </c>
      <c r="O20" s="115">
        <f>T19</f>
        <v>0.78349999999999997</v>
      </c>
      <c r="Q20" s="121">
        <v>6</v>
      </c>
      <c r="R20" s="122" t="s">
        <v>151</v>
      </c>
      <c r="S20" s="122" t="s">
        <v>152</v>
      </c>
      <c r="T20" s="123" t="s">
        <v>153</v>
      </c>
      <c r="U20" s="122" t="s">
        <v>154</v>
      </c>
      <c r="V20" s="122" t="s">
        <v>155</v>
      </c>
      <c r="W20" s="122" t="s">
        <v>156</v>
      </c>
    </row>
    <row r="21" spans="1:23" ht="15.75" thickBot="1" x14ac:dyDescent="0.3">
      <c r="A21" s="54"/>
      <c r="B21" s="69"/>
      <c r="C21" s="54"/>
      <c r="D21" s="54"/>
      <c r="E21" s="54"/>
      <c r="F21" s="54"/>
      <c r="G21" s="54"/>
      <c r="I21" s="114" t="s">
        <v>127</v>
      </c>
      <c r="J21" s="115">
        <f>J20*J19</f>
        <v>-100000</v>
      </c>
      <c r="K21" s="115">
        <f t="shared" ref="K21:O21" si="4">K20*K19</f>
        <v>20000.400000000001</v>
      </c>
      <c r="L21" s="115">
        <f t="shared" si="4"/>
        <v>19047</v>
      </c>
      <c r="M21" s="115">
        <f t="shared" si="4"/>
        <v>18139.8</v>
      </c>
      <c r="N21" s="115">
        <f t="shared" si="4"/>
        <v>17276.7</v>
      </c>
      <c r="O21" s="115">
        <f t="shared" si="4"/>
        <v>28206</v>
      </c>
      <c r="Q21" s="121">
        <v>7</v>
      </c>
      <c r="R21" s="122" t="s">
        <v>157</v>
      </c>
      <c r="S21" s="122" t="s">
        <v>158</v>
      </c>
      <c r="T21" s="123" t="s">
        <v>159</v>
      </c>
      <c r="U21" s="122" t="s">
        <v>160</v>
      </c>
      <c r="V21" s="122" t="s">
        <v>161</v>
      </c>
      <c r="W21" s="122" t="s">
        <v>162</v>
      </c>
    </row>
    <row r="22" spans="1:23" ht="15.75" thickBot="1" x14ac:dyDescent="0.3">
      <c r="A22" s="82" t="s">
        <v>73</v>
      </c>
      <c r="B22" s="56"/>
      <c r="C22" s="56"/>
      <c r="D22" s="52"/>
      <c r="E22" s="52"/>
      <c r="F22" s="52"/>
      <c r="J22" s="55"/>
      <c r="K22" s="83"/>
      <c r="Q22" s="121">
        <v>8</v>
      </c>
      <c r="R22" s="122" t="s">
        <v>163</v>
      </c>
      <c r="S22" s="122" t="s">
        <v>164</v>
      </c>
      <c r="T22" s="123" t="s">
        <v>165</v>
      </c>
      <c r="U22" s="122" t="s">
        <v>166</v>
      </c>
      <c r="V22" s="122" t="s">
        <v>167</v>
      </c>
      <c r="W22" s="122" t="s">
        <v>168</v>
      </c>
    </row>
    <row r="23" spans="1:23" ht="15.75" thickBot="1" x14ac:dyDescent="0.3">
      <c r="A23" s="52"/>
      <c r="B23" s="56"/>
      <c r="C23" s="56"/>
      <c r="D23" s="52"/>
      <c r="E23" s="52"/>
      <c r="F23" s="52"/>
      <c r="I23" s="124" t="s">
        <v>181</v>
      </c>
      <c r="J23" s="55">
        <f>SUM(J21:O21)</f>
        <v>2669.8999999999978</v>
      </c>
      <c r="K23" s="55"/>
      <c r="Q23" s="121">
        <v>9</v>
      </c>
      <c r="R23" s="122" t="s">
        <v>169</v>
      </c>
      <c r="S23" s="122" t="s">
        <v>170</v>
      </c>
      <c r="T23" s="123" t="s">
        <v>171</v>
      </c>
      <c r="U23" s="122" t="s">
        <v>172</v>
      </c>
      <c r="V23" s="122" t="s">
        <v>173</v>
      </c>
      <c r="W23" s="122" t="s">
        <v>174</v>
      </c>
    </row>
    <row r="24" spans="1:23" ht="15.75" thickBot="1" x14ac:dyDescent="0.3">
      <c r="A24" s="71" t="s">
        <v>74</v>
      </c>
      <c r="B24" s="72">
        <v>0.03</v>
      </c>
      <c r="C24" s="73">
        <v>0.04</v>
      </c>
      <c r="D24" s="74">
        <v>0.05</v>
      </c>
      <c r="E24" s="72">
        <v>0.06</v>
      </c>
      <c r="F24" s="75">
        <v>7.0000000000000007E-2</v>
      </c>
      <c r="G24" s="72">
        <v>0.08</v>
      </c>
      <c r="Q24" s="121">
        <v>10</v>
      </c>
      <c r="R24" s="122" t="s">
        <v>175</v>
      </c>
      <c r="S24" s="122" t="s">
        <v>176</v>
      </c>
      <c r="T24" s="123" t="s">
        <v>177</v>
      </c>
      <c r="U24" s="122" t="s">
        <v>178</v>
      </c>
      <c r="V24" s="122" t="s">
        <v>179</v>
      </c>
      <c r="W24" s="122" t="s">
        <v>180</v>
      </c>
    </row>
    <row r="25" spans="1:23" x14ac:dyDescent="0.25">
      <c r="A25" s="57">
        <v>1</v>
      </c>
      <c r="B25" s="62">
        <v>0.97089999999999999</v>
      </c>
      <c r="C25" s="64">
        <v>0.96150000000000002</v>
      </c>
      <c r="D25" s="63">
        <v>0.95240000000000002</v>
      </c>
      <c r="E25" s="66">
        <v>0.94340000000000002</v>
      </c>
      <c r="F25" s="66">
        <v>0.93459999999999999</v>
      </c>
      <c r="G25" s="65">
        <v>0.92589999999999995</v>
      </c>
      <c r="I25" s="124" t="s">
        <v>182</v>
      </c>
    </row>
    <row r="26" spans="1:23" x14ac:dyDescent="0.25">
      <c r="A26" s="57">
        <v>2</v>
      </c>
      <c r="B26" s="62">
        <v>0.94259999999999999</v>
      </c>
      <c r="C26" s="64">
        <v>0.92459999999999998</v>
      </c>
      <c r="D26" s="63">
        <v>0.90700000000000003</v>
      </c>
      <c r="E26" s="66">
        <v>0.89</v>
      </c>
      <c r="F26" s="66">
        <v>0.87339999999999995</v>
      </c>
      <c r="G26" s="65">
        <v>0.85729999999999995</v>
      </c>
      <c r="I26" s="125">
        <f>IRR(J19:O19)</f>
        <v>5.8873538077290233E-2</v>
      </c>
    </row>
    <row r="27" spans="1:23" x14ac:dyDescent="0.25">
      <c r="A27" s="58">
        <v>3</v>
      </c>
      <c r="B27" s="62">
        <v>0.91510000000000002</v>
      </c>
      <c r="C27" s="64">
        <v>0.88900000000000001</v>
      </c>
      <c r="D27" s="63">
        <v>0.86380000000000001</v>
      </c>
      <c r="E27" s="66">
        <v>0.83960000000000001</v>
      </c>
      <c r="F27" s="66">
        <v>0.81630000000000003</v>
      </c>
      <c r="G27" s="65">
        <v>0.79379999999999995</v>
      </c>
      <c r="J27" s="67"/>
    </row>
    <row r="28" spans="1:23" x14ac:dyDescent="0.25">
      <c r="A28" s="57">
        <v>4</v>
      </c>
      <c r="B28" s="62">
        <v>0.88849999999999996</v>
      </c>
      <c r="C28" s="64">
        <v>0.8548</v>
      </c>
      <c r="D28" s="63">
        <v>0.82269999999999999</v>
      </c>
      <c r="E28" s="66">
        <v>0.79210000000000003</v>
      </c>
      <c r="F28" s="66">
        <v>0.76290000000000002</v>
      </c>
      <c r="G28" s="65">
        <v>0.73499999999999999</v>
      </c>
      <c r="J28" s="67"/>
    </row>
    <row r="29" spans="1:23" x14ac:dyDescent="0.25">
      <c r="A29" s="57">
        <v>5</v>
      </c>
      <c r="B29" s="62">
        <v>0.86260000000000003</v>
      </c>
      <c r="C29" s="64">
        <v>0.82189999999999996</v>
      </c>
      <c r="D29" s="63">
        <v>0.78349999999999997</v>
      </c>
      <c r="E29" s="66">
        <v>0.74729999999999996</v>
      </c>
      <c r="F29" s="66">
        <v>0.71299999999999997</v>
      </c>
      <c r="G29" s="65">
        <v>0.68059999999999998</v>
      </c>
      <c r="J29" s="67"/>
    </row>
    <row r="30" spans="1:23" x14ac:dyDescent="0.25">
      <c r="A30" s="57">
        <v>6</v>
      </c>
      <c r="B30" s="62">
        <v>0.83750000000000002</v>
      </c>
      <c r="C30" s="64">
        <v>0.7903</v>
      </c>
      <c r="D30" s="63">
        <v>0.74619999999999997</v>
      </c>
      <c r="E30" s="66">
        <v>0.70499999999999996</v>
      </c>
      <c r="F30" s="66">
        <v>0.6663</v>
      </c>
      <c r="G30" s="65">
        <v>0.63019999999999998</v>
      </c>
      <c r="J30" s="67"/>
    </row>
    <row r="31" spans="1:23" x14ac:dyDescent="0.25">
      <c r="A31" s="57">
        <v>7</v>
      </c>
      <c r="B31" s="62">
        <v>0.81310000000000004</v>
      </c>
      <c r="C31" s="64">
        <v>0.75990000000000002</v>
      </c>
      <c r="D31" s="63">
        <v>0.7107</v>
      </c>
      <c r="E31" s="66">
        <v>0.66510000000000002</v>
      </c>
      <c r="F31" s="66">
        <v>0.62270000000000003</v>
      </c>
      <c r="G31" s="65">
        <v>0.58350000000000002</v>
      </c>
      <c r="J31" s="67"/>
    </row>
    <row r="32" spans="1:23" x14ac:dyDescent="0.25">
      <c r="A32" s="57">
        <v>8</v>
      </c>
      <c r="B32" s="62">
        <v>0.78939999999999999</v>
      </c>
      <c r="C32" s="64">
        <v>0.73070000000000002</v>
      </c>
      <c r="D32" s="63">
        <v>0.67679999999999996</v>
      </c>
      <c r="E32" s="66">
        <v>0.62739999999999996</v>
      </c>
      <c r="F32" s="66">
        <v>0.58199999999999996</v>
      </c>
      <c r="G32" s="65">
        <v>0.5403</v>
      </c>
      <c r="J32" s="67"/>
    </row>
    <row r="33" spans="1:10" x14ac:dyDescent="0.25">
      <c r="A33" s="57">
        <v>9</v>
      </c>
      <c r="B33" s="62">
        <v>0.76639999999999997</v>
      </c>
      <c r="C33" s="64">
        <v>0.7026</v>
      </c>
      <c r="D33" s="63">
        <v>0.64459999999999995</v>
      </c>
      <c r="E33" s="66">
        <v>0.59189999999999998</v>
      </c>
      <c r="F33" s="66">
        <v>0.54390000000000005</v>
      </c>
      <c r="G33" s="65">
        <v>0.50019999999999998</v>
      </c>
      <c r="J33" s="67"/>
    </row>
    <row r="34" spans="1:10" x14ac:dyDescent="0.25">
      <c r="A34" s="57">
        <v>10</v>
      </c>
      <c r="B34" s="62">
        <v>0.74409999999999998</v>
      </c>
      <c r="C34" s="64">
        <v>0.67559999999999998</v>
      </c>
      <c r="D34" s="63">
        <v>0.6139</v>
      </c>
      <c r="E34" s="66">
        <v>0.55840000000000001</v>
      </c>
      <c r="F34" s="66">
        <v>0.50829999999999997</v>
      </c>
      <c r="G34" s="65">
        <v>0.4632</v>
      </c>
      <c r="J34" s="67"/>
    </row>
    <row r="35" spans="1:10" x14ac:dyDescent="0.25">
      <c r="J35" s="67"/>
    </row>
    <row r="36" spans="1:10" x14ac:dyDescent="0.25">
      <c r="A36" s="55"/>
      <c r="B36" s="55"/>
      <c r="C36" s="55"/>
      <c r="D36" s="55"/>
      <c r="E36" s="55"/>
      <c r="F36" s="55"/>
      <c r="G36" s="55"/>
      <c r="J36" s="67"/>
    </row>
    <row r="37" spans="1:10" ht="15.75" x14ac:dyDescent="0.25">
      <c r="A37" s="81" t="s">
        <v>82</v>
      </c>
      <c r="J37" s="68"/>
    </row>
    <row r="39" spans="1:10" x14ac:dyDescent="0.25">
      <c r="A39" s="76" t="s">
        <v>74</v>
      </c>
      <c r="B39" s="72">
        <v>0.03</v>
      </c>
      <c r="C39" s="72">
        <v>0.04</v>
      </c>
      <c r="D39" s="72">
        <v>0.05</v>
      </c>
      <c r="E39" s="72">
        <v>0.06</v>
      </c>
      <c r="F39" s="72">
        <v>7.0000000000000007E-2</v>
      </c>
      <c r="G39" s="72">
        <v>0.08</v>
      </c>
    </row>
    <row r="40" spans="1:10" x14ac:dyDescent="0.25">
      <c r="A40" s="70">
        <v>1</v>
      </c>
      <c r="B40" s="62">
        <v>1</v>
      </c>
      <c r="C40" s="62">
        <v>1</v>
      </c>
      <c r="D40" s="62">
        <v>1</v>
      </c>
      <c r="E40" s="62">
        <v>1</v>
      </c>
      <c r="F40" s="62">
        <v>1</v>
      </c>
      <c r="G40" s="62">
        <v>1</v>
      </c>
    </row>
    <row r="41" spans="1:10" x14ac:dyDescent="0.25">
      <c r="A41" s="70">
        <v>2</v>
      </c>
      <c r="B41" s="62">
        <v>2.0299999999999998</v>
      </c>
      <c r="C41" s="62">
        <v>2.04</v>
      </c>
      <c r="D41" s="62">
        <v>2.0499999999999998</v>
      </c>
      <c r="E41" s="62">
        <v>2.06</v>
      </c>
      <c r="F41" s="62">
        <v>2.0699999999999998</v>
      </c>
      <c r="G41" s="62">
        <v>2.08</v>
      </c>
      <c r="I41" s="68"/>
    </row>
    <row r="42" spans="1:10" x14ac:dyDescent="0.25">
      <c r="A42" s="70">
        <v>3</v>
      </c>
      <c r="B42" s="62">
        <v>3.0909</v>
      </c>
      <c r="C42" s="62">
        <v>3.1215999999999999</v>
      </c>
      <c r="D42" s="62">
        <v>3.1524999999999999</v>
      </c>
      <c r="E42" s="62">
        <v>3.1836000000000002</v>
      </c>
      <c r="F42" s="62">
        <v>3.2149000000000001</v>
      </c>
      <c r="G42" s="62">
        <v>3.2464</v>
      </c>
      <c r="I42" s="68"/>
    </row>
    <row r="43" spans="1:10" x14ac:dyDescent="0.25">
      <c r="A43" s="70">
        <v>4</v>
      </c>
      <c r="B43" s="62">
        <v>4.1836000000000002</v>
      </c>
      <c r="C43" s="62">
        <v>4.2465000000000002</v>
      </c>
      <c r="D43" s="62">
        <v>4.3101000000000003</v>
      </c>
      <c r="E43" s="62">
        <v>4.3746</v>
      </c>
      <c r="F43" s="62">
        <v>4.4398999999999997</v>
      </c>
      <c r="G43" s="62">
        <v>4.5061</v>
      </c>
      <c r="I43" s="68"/>
    </row>
    <row r="44" spans="1:10" x14ac:dyDescent="0.25">
      <c r="A44" s="70">
        <v>5</v>
      </c>
      <c r="B44" s="62">
        <v>5.3090999999999999</v>
      </c>
      <c r="C44" s="62">
        <v>5.4162999999999997</v>
      </c>
      <c r="D44" s="62">
        <v>5.5255999999999998</v>
      </c>
      <c r="E44" s="62">
        <v>5.6371000000000002</v>
      </c>
      <c r="F44" s="62">
        <v>5.7507000000000001</v>
      </c>
      <c r="G44" s="62">
        <v>5.8666</v>
      </c>
      <c r="I44" s="68"/>
    </row>
    <row r="45" spans="1:10" x14ac:dyDescent="0.25">
      <c r="A45" s="70">
        <v>6</v>
      </c>
      <c r="B45" s="62">
        <v>6.4683999999999999</v>
      </c>
      <c r="C45" s="62">
        <v>6.633</v>
      </c>
      <c r="D45" s="62">
        <v>6.8018999999999998</v>
      </c>
      <c r="E45" s="62">
        <v>6.9752999999999998</v>
      </c>
      <c r="F45" s="62">
        <v>7.1532999999999998</v>
      </c>
      <c r="G45" s="62">
        <v>7.3358999999999996</v>
      </c>
      <c r="I45" s="68"/>
    </row>
    <row r="46" spans="1:10" x14ac:dyDescent="0.25">
      <c r="A46" s="70">
        <v>7</v>
      </c>
      <c r="B46" s="62">
        <v>7.6624999999999996</v>
      </c>
      <c r="C46" s="62">
        <v>7.8982999999999999</v>
      </c>
      <c r="D46" s="62">
        <v>8.1419999999999995</v>
      </c>
      <c r="E46" s="62">
        <v>8.3938000000000006</v>
      </c>
      <c r="F46" s="62">
        <v>8.6539999999999999</v>
      </c>
      <c r="G46" s="62">
        <v>8.9228000000000005</v>
      </c>
      <c r="I46" s="68"/>
    </row>
    <row r="47" spans="1:10" x14ac:dyDescent="0.25">
      <c r="A47" s="70">
        <v>8</v>
      </c>
      <c r="B47" s="62">
        <v>8.8923000000000005</v>
      </c>
      <c r="C47" s="62">
        <v>9.2141999999999999</v>
      </c>
      <c r="D47" s="62">
        <v>9.5490999999999993</v>
      </c>
      <c r="E47" s="62">
        <v>9.8975000000000009</v>
      </c>
      <c r="F47" s="62">
        <v>10.2598</v>
      </c>
      <c r="G47" s="62">
        <v>10.6366</v>
      </c>
      <c r="I47" s="68"/>
    </row>
    <row r="48" spans="1:10" x14ac:dyDescent="0.25">
      <c r="A48" s="70">
        <v>9</v>
      </c>
      <c r="B48" s="62">
        <v>10.1591</v>
      </c>
      <c r="C48" s="62">
        <v>10.582800000000001</v>
      </c>
      <c r="D48" s="62">
        <v>11.0266</v>
      </c>
      <c r="E48" s="62">
        <v>11.491300000000001</v>
      </c>
      <c r="F48" s="62">
        <v>11.978</v>
      </c>
      <c r="G48" s="62">
        <v>12.4876</v>
      </c>
      <c r="I48" s="68"/>
    </row>
    <row r="49" spans="1:9" x14ac:dyDescent="0.25">
      <c r="A49" s="70">
        <v>10</v>
      </c>
      <c r="B49" s="62">
        <v>11.463900000000001</v>
      </c>
      <c r="C49" s="62">
        <v>12.0061</v>
      </c>
      <c r="D49" s="62">
        <v>12.5779</v>
      </c>
      <c r="E49" s="62">
        <v>13.1808</v>
      </c>
      <c r="F49" s="62">
        <v>13.8164</v>
      </c>
      <c r="G49" s="62">
        <v>14.486599999999999</v>
      </c>
      <c r="I49" s="68"/>
    </row>
    <row r="50" spans="1:9" x14ac:dyDescent="0.25">
      <c r="A50" s="55"/>
      <c r="B50" s="55"/>
      <c r="C50" s="55"/>
      <c r="D50" s="55"/>
      <c r="E50" s="55"/>
      <c r="F50" s="55"/>
      <c r="G50" s="55"/>
      <c r="I50" s="68"/>
    </row>
    <row r="51" spans="1:9" x14ac:dyDescent="0.25">
      <c r="A51" s="55"/>
      <c r="B51" s="55"/>
      <c r="C51" s="55"/>
      <c r="D51" s="55"/>
      <c r="E51" s="55"/>
      <c r="F51" s="55"/>
      <c r="G51" s="55"/>
    </row>
    <row r="52" spans="1:9" x14ac:dyDescent="0.25">
      <c r="A52" s="55"/>
      <c r="B52" s="55"/>
      <c r="C52" s="55"/>
      <c r="D52" s="55"/>
      <c r="E52" s="55"/>
      <c r="F52" s="55"/>
      <c r="G52" s="55"/>
    </row>
    <row r="53" spans="1:9" x14ac:dyDescent="0.25">
      <c r="A53" s="79"/>
      <c r="B53" s="78"/>
      <c r="C53" s="78"/>
      <c r="D53" s="78"/>
      <c r="E53" s="78"/>
      <c r="F53" s="78"/>
      <c r="G53" s="78"/>
    </row>
    <row r="54" spans="1:9" x14ac:dyDescent="0.25">
      <c r="A54" s="80"/>
      <c r="B54" s="55"/>
      <c r="C54" s="55"/>
      <c r="D54" s="55"/>
      <c r="E54" s="55"/>
      <c r="F54" s="55"/>
      <c r="G54" s="55"/>
    </row>
    <row r="55" spans="1:9" x14ac:dyDescent="0.25">
      <c r="A55" s="80"/>
      <c r="B55" s="55"/>
      <c r="C55" s="55"/>
      <c r="D55" s="55"/>
      <c r="E55" s="55"/>
      <c r="F55" s="55"/>
      <c r="G55" s="55"/>
    </row>
    <row r="56" spans="1:9" x14ac:dyDescent="0.25">
      <c r="A56" s="80"/>
      <c r="B56" s="55"/>
      <c r="C56" s="55"/>
      <c r="D56" s="55"/>
      <c r="E56" s="55"/>
      <c r="F56" s="55"/>
      <c r="G56" s="55"/>
    </row>
    <row r="57" spans="1:9" x14ac:dyDescent="0.25">
      <c r="A57" s="80"/>
      <c r="B57" s="55"/>
      <c r="C57" s="55"/>
      <c r="D57" s="55"/>
      <c r="E57" s="55"/>
      <c r="F57" s="55"/>
      <c r="G57" s="55"/>
    </row>
    <row r="58" spans="1:9" x14ac:dyDescent="0.25">
      <c r="A58" s="80"/>
      <c r="B58" s="55"/>
      <c r="C58" s="55"/>
      <c r="D58" s="55"/>
      <c r="E58" s="55"/>
      <c r="F58" s="55"/>
      <c r="G58" s="55"/>
    </row>
    <row r="59" spans="1:9" x14ac:dyDescent="0.25">
      <c r="A59" s="80"/>
      <c r="B59" s="55"/>
      <c r="C59" s="55"/>
      <c r="D59" s="55"/>
      <c r="E59" s="55"/>
      <c r="F59" s="55"/>
      <c r="G59" s="55"/>
    </row>
    <row r="60" spans="1:9" x14ac:dyDescent="0.25">
      <c r="A60" s="80"/>
      <c r="B60" s="55"/>
      <c r="C60" s="55"/>
      <c r="D60" s="55"/>
      <c r="E60" s="55"/>
      <c r="F60" s="55"/>
      <c r="G60" s="55"/>
    </row>
    <row r="61" spans="1:9" x14ac:dyDescent="0.25">
      <c r="A61" s="80"/>
      <c r="B61" s="55"/>
      <c r="C61" s="55"/>
      <c r="D61" s="55"/>
      <c r="E61" s="55"/>
      <c r="F61" s="55"/>
      <c r="G61" s="55"/>
    </row>
    <row r="62" spans="1:9" x14ac:dyDescent="0.25">
      <c r="A62" s="80"/>
      <c r="B62" s="55"/>
      <c r="C62" s="55"/>
      <c r="D62" s="55"/>
      <c r="E62" s="55"/>
      <c r="F62" s="55"/>
      <c r="G62" s="55"/>
    </row>
    <row r="63" spans="1:9" x14ac:dyDescent="0.25">
      <c r="A63" s="80"/>
      <c r="B63" s="55"/>
      <c r="C63" s="55"/>
      <c r="D63" s="55"/>
      <c r="E63" s="55"/>
      <c r="F63" s="55"/>
      <c r="G63" s="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Oppg 1a b c </vt:lpstr>
      <vt:lpstr>Oppg 1 d</vt:lpstr>
      <vt:lpstr>Oppgave 2</vt:lpstr>
      <vt:lpstr>Oppgave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monisto</dc:creator>
  <cp:lastModifiedBy>Trym Grande</cp:lastModifiedBy>
  <cp:lastPrinted>2019-03-06T08:06:53Z</cp:lastPrinted>
  <dcterms:created xsi:type="dcterms:W3CDTF">2018-05-15T10:20:48Z</dcterms:created>
  <dcterms:modified xsi:type="dcterms:W3CDTF">2021-03-18T09:47:52Z</dcterms:modified>
</cp:coreProperties>
</file>