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395" windowHeight="10275" tabRatio="850" firstSheet="1" activeTab="1"/>
  </bookViews>
  <sheets>
    <sheet name="Abstract" sheetId="4" state="hidden" r:id="rId1"/>
    <sheet name="Abstract (3)" sheetId="10" r:id="rId2"/>
    <sheet name="Abstract (2)" sheetId="9" state="hidden" r:id="rId3"/>
    <sheet name=" Tharuni Associates" sheetId="7" r:id="rId4"/>
    <sheet name="Coastline (ELURU Cluster)" sheetId="11" r:id="rId5"/>
    <sheet name="Tharuni" sheetId="1" state="hidden" r:id="rId6"/>
    <sheet name=" Green Tech (KADAPA Cluster)" sheetId="12" r:id="rId7"/>
    <sheet name="Srinivas (HINDUPUR Cluster)" sheetId="13" r:id="rId8"/>
    <sheet name="Srinivas setty(ADDANKICluster) " sheetId="14" r:id="rId9"/>
    <sheet name="Zigma " sheetId="2" r:id="rId10"/>
    <sheet name="Saurastra" sheetId="3" r:id="rId11"/>
    <sheet name=" Tharuni Associates Old Cluster" sheetId="15" r:id="rId12"/>
    <sheet name="Sudhakar (2)" sheetId="8" r:id="rId13"/>
    <sheet name="Sudhakar" sheetId="5" state="hidden" r:id="rId14"/>
  </sheets>
  <externalReferences>
    <externalReference r:id="rId15"/>
  </externalReferences>
  <definedNames>
    <definedName name="_xlnm._FilterDatabase" localSheetId="6" hidden="1">' Green Tech (KADAPA Cluster)'!$A$4:$AM$14</definedName>
    <definedName name="_xlnm._FilterDatabase" localSheetId="3" hidden="1">' Tharuni Associates'!$A$4:$AM$77</definedName>
    <definedName name="_xlnm._FilterDatabase" localSheetId="11" hidden="1">' Tharuni Associates Old Cluster'!$A$4:$AN$77</definedName>
    <definedName name="_xlnm._FilterDatabase" localSheetId="4" hidden="1">'Coastline (ELURU Cluster)'!$A$4:$AM$19</definedName>
    <definedName name="_xlnm._FilterDatabase" localSheetId="7" hidden="1">'Srinivas (HINDUPUR Cluster)'!$A$4:$AM$11</definedName>
    <definedName name="_xlnm._FilterDatabase" localSheetId="8" hidden="1">'Srinivas setty(ADDANKICluster) '!$A$4:$AM$14</definedName>
    <definedName name="_xlnm.Print_Area" localSheetId="6">' Green Tech (KADAPA Cluster)'!$A$1:$T$14</definedName>
    <definedName name="_xlnm.Print_Area" localSheetId="3">' Tharuni Associates'!$A$1:$T$78</definedName>
    <definedName name="_xlnm.Print_Area" localSheetId="11">' Tharuni Associates Old Cluster'!$A$1:$U$78</definedName>
    <definedName name="_xlnm.Print_Area" localSheetId="0">Abstract!$A$1:$I$7</definedName>
    <definedName name="_xlnm.Print_Area" localSheetId="2">'Abstract (2)'!$A$2:$K$14</definedName>
    <definedName name="_xlnm.Print_Area" localSheetId="1">'Abstract (3)'!$A$1:$N$19</definedName>
    <definedName name="_xlnm.Print_Area" localSheetId="4">'Coastline (ELURU Cluster)'!$A$1:$T$19</definedName>
    <definedName name="_xlnm.Print_Area" localSheetId="10">Saurastra!$B$1:$T$21</definedName>
    <definedName name="_xlnm.Print_Area" localSheetId="7">'Srinivas (HINDUPUR Cluster)'!$A$1:$T$11</definedName>
    <definedName name="_xlnm.Print_Area" localSheetId="8">'Srinivas setty(ADDANKICluster) '!$A$1:$T$14</definedName>
    <definedName name="_xlnm.Print_Area" localSheetId="13">Sudhakar!$A$1:$AC$4</definedName>
    <definedName name="_xlnm.Print_Area" localSheetId="12">'Sudhakar (2)'!$A$2:$S$7</definedName>
    <definedName name="_xlnm.Print_Area" localSheetId="5">Tharuni!$B$2:$W$80</definedName>
    <definedName name="_xlnm.Print_Area" localSheetId="9">'Zigma '!$A$1:$S$43</definedName>
    <definedName name="_xlnm.Print_Titles" localSheetId="6">' Green Tech (KADAPA Cluster)'!$2:$4</definedName>
    <definedName name="_xlnm.Print_Titles" localSheetId="3">' Tharuni Associates'!$2:$4</definedName>
    <definedName name="_xlnm.Print_Titles" localSheetId="11">' Tharuni Associates Old Cluster'!$2:$4</definedName>
    <definedName name="_xlnm.Print_Titles" localSheetId="4">'Coastline (ELURU Cluster)'!$2:$4</definedName>
    <definedName name="_xlnm.Print_Titles" localSheetId="10">Saurastra!$2:$4</definedName>
    <definedName name="_xlnm.Print_Titles" localSheetId="7">'Srinivas (HINDUPUR Cluster)'!$2:$4</definedName>
    <definedName name="_xlnm.Print_Titles" localSheetId="8">'Srinivas setty(ADDANKICluster) '!$2:$4</definedName>
    <definedName name="_xlnm.Print_Titles" localSheetId="5">Tharuni!$2:$5</definedName>
    <definedName name="_xlnm.Print_Titles" localSheetId="9">'Zigma '!$2:$4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0"/>
  <c r="Q75" i="15"/>
  <c r="Q76" s="1"/>
  <c r="P75"/>
  <c r="Q61"/>
  <c r="P61"/>
  <c r="Q54"/>
  <c r="P54"/>
  <c r="G11" i="3"/>
  <c r="P17"/>
  <c r="P18" s="1"/>
  <c r="L11" i="10" s="1"/>
  <c r="P10" i="3"/>
  <c r="G5"/>
  <c r="L10" i="10"/>
  <c r="O37" i="2"/>
  <c r="O30"/>
  <c r="O23"/>
  <c r="O16"/>
  <c r="O38" s="1"/>
  <c r="F9"/>
  <c r="G8" i="7"/>
  <c r="F5" i="2"/>
  <c r="O8"/>
  <c r="P14" i="14"/>
  <c r="P11" i="13"/>
  <c r="P19" i="11"/>
  <c r="L15" i="10"/>
  <c r="F5" i="8"/>
  <c r="O7"/>
  <c r="L8" i="10"/>
  <c r="L7"/>
  <c r="L6"/>
  <c r="L5"/>
  <c r="P35" i="7"/>
  <c r="G22"/>
  <c r="P19"/>
  <c r="G18"/>
  <c r="G14"/>
  <c r="G10"/>
  <c r="G5"/>
  <c r="P13"/>
  <c r="P36" s="1"/>
  <c r="L4" i="10" s="1"/>
  <c r="AI76" i="15"/>
  <c r="AE76"/>
  <c r="AA76"/>
  <c r="W76"/>
  <c r="R76"/>
  <c r="AJ75"/>
  <c r="AI75"/>
  <c r="AH75"/>
  <c r="AG75"/>
  <c r="AF75"/>
  <c r="AE75"/>
  <c r="AD75"/>
  <c r="AC75"/>
  <c r="AB75"/>
  <c r="AA75"/>
  <c r="Z75"/>
  <c r="Y75"/>
  <c r="W75"/>
  <c r="V75"/>
  <c r="U75"/>
  <c r="S75"/>
  <c r="R75"/>
  <c r="O75"/>
  <c r="N75"/>
  <c r="M75"/>
  <c r="L75"/>
  <c r="K75"/>
  <c r="J75"/>
  <c r="I75"/>
  <c r="I76" s="1"/>
  <c r="F75"/>
  <c r="H74"/>
  <c r="H73"/>
  <c r="H72"/>
  <c r="X71"/>
  <c r="X75" s="1"/>
  <c r="H71"/>
  <c r="H70"/>
  <c r="G70"/>
  <c r="H69"/>
  <c r="G69"/>
  <c r="G75" s="1"/>
  <c r="H75" s="1"/>
  <c r="H68"/>
  <c r="H67"/>
  <c r="H66"/>
  <c r="H65"/>
  <c r="H64"/>
  <c r="H63"/>
  <c r="H62"/>
  <c r="AJ61"/>
  <c r="AI61"/>
  <c r="AH61"/>
  <c r="AG61"/>
  <c r="AF61"/>
  <c r="AE61"/>
  <c r="AD61"/>
  <c r="AC61"/>
  <c r="AB61"/>
  <c r="AA61"/>
  <c r="Z61"/>
  <c r="Y61"/>
  <c r="X61"/>
  <c r="W61"/>
  <c r="V61"/>
  <c r="U61"/>
  <c r="S61"/>
  <c r="R61"/>
  <c r="N61"/>
  <c r="L61"/>
  <c r="L76" s="1"/>
  <c r="K61"/>
  <c r="J61"/>
  <c r="I61"/>
  <c r="G61"/>
  <c r="F61"/>
  <c r="X60"/>
  <c r="H60"/>
  <c r="H59"/>
  <c r="H58"/>
  <c r="H57"/>
  <c r="H56"/>
  <c r="H55"/>
  <c r="AJ54"/>
  <c r="AJ76" s="1"/>
  <c r="AI54"/>
  <c r="AH54"/>
  <c r="AH76" s="1"/>
  <c r="AG54"/>
  <c r="AG76" s="1"/>
  <c r="AF54"/>
  <c r="AF76" s="1"/>
  <c r="AE54"/>
  <c r="AD54"/>
  <c r="AD76" s="1"/>
  <c r="AC54"/>
  <c r="AC76" s="1"/>
  <c r="AB54"/>
  <c r="AB76" s="1"/>
  <c r="AA54"/>
  <c r="Z54"/>
  <c r="Z76" s="1"/>
  <c r="Y54"/>
  <c r="Y76" s="1"/>
  <c r="W54"/>
  <c r="V54"/>
  <c r="V76" s="1"/>
  <c r="U54"/>
  <c r="U76" s="1"/>
  <c r="S54"/>
  <c r="S76" s="1"/>
  <c r="R54"/>
  <c r="O54"/>
  <c r="N54"/>
  <c r="M54"/>
  <c r="L54"/>
  <c r="K54"/>
  <c r="K76" s="1"/>
  <c r="J54"/>
  <c r="J76" s="1"/>
  <c r="I54"/>
  <c r="F54"/>
  <c r="F76" s="1"/>
  <c r="H53"/>
  <c r="X52"/>
  <c r="H52"/>
  <c r="X51"/>
  <c r="H51"/>
  <c r="H50"/>
  <c r="H49"/>
  <c r="X48"/>
  <c r="H48"/>
  <c r="X47"/>
  <c r="H47"/>
  <c r="X46"/>
  <c r="X54" s="1"/>
  <c r="H46"/>
  <c r="G45"/>
  <c r="G54" s="1"/>
  <c r="H44"/>
  <c r="G44"/>
  <c r="H43"/>
  <c r="H42"/>
  <c r="H41"/>
  <c r="H40"/>
  <c r="H39"/>
  <c r="H38"/>
  <c r="V35"/>
  <c r="U35"/>
  <c r="S35"/>
  <c r="R35"/>
  <c r="L35"/>
  <c r="L36" s="1"/>
  <c r="K35"/>
  <c r="K36" s="1"/>
  <c r="J35"/>
  <c r="J36" s="1"/>
  <c r="I35"/>
  <c r="F35"/>
  <c r="F36" s="1"/>
  <c r="H34"/>
  <c r="H33"/>
  <c r="H32"/>
  <c r="H31"/>
  <c r="H30"/>
  <c r="H29"/>
  <c r="H28"/>
  <c r="H27"/>
  <c r="H26"/>
  <c r="H25"/>
  <c r="H23"/>
  <c r="G22"/>
  <c r="H22" s="1"/>
  <c r="H20"/>
  <c r="V19"/>
  <c r="U19"/>
  <c r="S19"/>
  <c r="S36" s="1"/>
  <c r="R19"/>
  <c r="O19"/>
  <c r="M19"/>
  <c r="L19"/>
  <c r="K19"/>
  <c r="J19"/>
  <c r="I19"/>
  <c r="G19"/>
  <c r="F19"/>
  <c r="H18"/>
  <c r="G18"/>
  <c r="H17"/>
  <c r="N14"/>
  <c r="N19" s="1"/>
  <c r="H14"/>
  <c r="G14"/>
  <c r="V13"/>
  <c r="U13"/>
  <c r="S13"/>
  <c r="R13"/>
  <c r="O13"/>
  <c r="N13"/>
  <c r="M13"/>
  <c r="L13"/>
  <c r="K13"/>
  <c r="J13"/>
  <c r="I13"/>
  <c r="F13"/>
  <c r="H11"/>
  <c r="G10"/>
  <c r="H10" s="1"/>
  <c r="G8"/>
  <c r="H8" s="1"/>
  <c r="AB5"/>
  <c r="N5"/>
  <c r="G5"/>
  <c r="H5" s="1"/>
  <c r="N15" i="10"/>
  <c r="N11"/>
  <c r="N10"/>
  <c r="P76" i="15" l="1"/>
  <c r="L9" i="10"/>
  <c r="L12" s="1"/>
  <c r="L16"/>
  <c r="H61" i="15"/>
  <c r="H19"/>
  <c r="I36"/>
  <c r="R36"/>
  <c r="J77"/>
  <c r="L77"/>
  <c r="K77"/>
  <c r="F77"/>
  <c r="S77"/>
  <c r="H35"/>
  <c r="X76"/>
  <c r="H13"/>
  <c r="H54"/>
  <c r="G76"/>
  <c r="I77"/>
  <c r="R77"/>
  <c r="G13"/>
  <c r="G35"/>
  <c r="H45"/>
  <c r="R17" i="3"/>
  <c r="R10"/>
  <c r="R18" s="1"/>
  <c r="Q7" i="8"/>
  <c r="Q37" i="2"/>
  <c r="Q30"/>
  <c r="Q23"/>
  <c r="Q16"/>
  <c r="Q8"/>
  <c r="Q38" s="1"/>
  <c r="R14" i="14"/>
  <c r="R11" i="13"/>
  <c r="R14" i="12"/>
  <c r="R19" i="11"/>
  <c r="N5" i="10"/>
  <c r="N6"/>
  <c r="N7"/>
  <c r="N8"/>
  <c r="N4"/>
  <c r="G69" i="7"/>
  <c r="G45"/>
  <c r="G44"/>
  <c r="L17" i="10" l="1"/>
  <c r="G36" i="15"/>
  <c r="G77" s="1"/>
  <c r="H36"/>
  <c r="H76"/>
  <c r="N9" i="10"/>
  <c r="H77" i="15" l="1"/>
  <c r="R75" i="7"/>
  <c r="R61"/>
  <c r="R54"/>
  <c r="R19"/>
  <c r="R36" s="1"/>
  <c r="R35"/>
  <c r="R13"/>
  <c r="N12" i="10" l="1"/>
  <c r="R76" i="7"/>
  <c r="D12" i="10"/>
  <c r="K9"/>
  <c r="K12" s="1"/>
  <c r="J9"/>
  <c r="J12" s="1"/>
  <c r="D9"/>
  <c r="AA14" i="14"/>
  <c r="U14"/>
  <c r="T14"/>
  <c r="Q14"/>
  <c r="M8" i="10" s="1"/>
  <c r="L14" i="14"/>
  <c r="K14"/>
  <c r="J14"/>
  <c r="I14"/>
  <c r="G14"/>
  <c r="F8" i="10" s="1"/>
  <c r="F14" i="14"/>
  <c r="E8" i="10" s="1"/>
  <c r="AA13" i="14"/>
  <c r="H13"/>
  <c r="AA12"/>
  <c r="H12"/>
  <c r="AA11"/>
  <c r="N11"/>
  <c r="H11"/>
  <c r="AA10"/>
  <c r="N10"/>
  <c r="H10"/>
  <c r="AA9"/>
  <c r="N9"/>
  <c r="H9"/>
  <c r="AA8"/>
  <c r="N8"/>
  <c r="H8"/>
  <c r="AA7"/>
  <c r="N7"/>
  <c r="H7"/>
  <c r="AA6"/>
  <c r="N6"/>
  <c r="H6"/>
  <c r="AA5"/>
  <c r="N5"/>
  <c r="H5"/>
  <c r="AA11" i="13"/>
  <c r="Q11"/>
  <c r="M7" i="10" s="1"/>
  <c r="J11" i="13"/>
  <c r="I11"/>
  <c r="G11"/>
  <c r="F7" i="10" s="1"/>
  <c r="F11" i="13"/>
  <c r="E7" i="10" s="1"/>
  <c r="AA10" i="13"/>
  <c r="N10"/>
  <c r="H10"/>
  <c r="AA9"/>
  <c r="N9"/>
  <c r="H9"/>
  <c r="N8"/>
  <c r="H8"/>
  <c r="N7"/>
  <c r="H7"/>
  <c r="AA6"/>
  <c r="N6"/>
  <c r="H6"/>
  <c r="AA5"/>
  <c r="N5"/>
  <c r="H5"/>
  <c r="Q14" i="12"/>
  <c r="M6" i="10" s="1"/>
  <c r="J14" i="12"/>
  <c r="G14"/>
  <c r="F6" i="10" s="1"/>
  <c r="F14" i="12"/>
  <c r="E6" i="10" s="1"/>
  <c r="H13" i="12"/>
  <c r="H12"/>
  <c r="H11"/>
  <c r="H10"/>
  <c r="H9"/>
  <c r="H8"/>
  <c r="H7"/>
  <c r="H6"/>
  <c r="H5"/>
  <c r="AA19" i="11"/>
  <c r="U19"/>
  <c r="Q19"/>
  <c r="M5" i="10" s="1"/>
  <c r="J19" i="11"/>
  <c r="I19"/>
  <c r="G19"/>
  <c r="F5" i="10" s="1"/>
  <c r="F19" i="11"/>
  <c r="E5" i="10" s="1"/>
  <c r="N18" i="11"/>
  <c r="H18"/>
  <c r="N17"/>
  <c r="H17"/>
  <c r="AA16"/>
  <c r="N16"/>
  <c r="H16"/>
  <c r="AA15"/>
  <c r="N15"/>
  <c r="H15"/>
  <c r="AA14"/>
  <c r="N14"/>
  <c r="H14"/>
  <c r="AA13"/>
  <c r="H13"/>
  <c r="AA12"/>
  <c r="H12"/>
  <c r="AA10"/>
  <c r="N10"/>
  <c r="H10"/>
  <c r="AA8"/>
  <c r="N8"/>
  <c r="H8"/>
  <c r="AA7"/>
  <c r="N7"/>
  <c r="H7"/>
  <c r="AA5"/>
  <c r="H5"/>
  <c r="R77" i="7" l="1"/>
  <c r="N14" i="10"/>
  <c r="H5"/>
  <c r="H8"/>
  <c r="H6"/>
  <c r="H7"/>
  <c r="H14" i="14"/>
  <c r="G8" i="10" s="1"/>
  <c r="H11" i="13"/>
  <c r="G7" i="10" s="1"/>
  <c r="H14" i="12"/>
  <c r="G6" i="10" s="1"/>
  <c r="H19" i="11"/>
  <c r="G5" i="10" s="1"/>
  <c r="N21" l="1"/>
  <c r="N16"/>
  <c r="N17" s="1"/>
  <c r="N19"/>
  <c r="K21"/>
  <c r="J21" l="1"/>
  <c r="D21"/>
  <c r="K19"/>
  <c r="J19"/>
  <c r="D19"/>
  <c r="K16"/>
  <c r="J16"/>
  <c r="J17" s="1"/>
  <c r="D16"/>
  <c r="F15"/>
  <c r="E15"/>
  <c r="I15" s="1"/>
  <c r="K17"/>
  <c r="J10" i="3"/>
  <c r="J18" s="1"/>
  <c r="J17"/>
  <c r="E10" i="9"/>
  <c r="D17" i="10" l="1"/>
  <c r="H15"/>
  <c r="G15"/>
  <c r="G6" i="2"/>
  <c r="H16" i="3" l="1"/>
  <c r="H15"/>
  <c r="H14"/>
  <c r="H13"/>
  <c r="H12"/>
  <c r="H11"/>
  <c r="H9"/>
  <c r="H8"/>
  <c r="H7"/>
  <c r="H6"/>
  <c r="H5"/>
  <c r="I8" i="2"/>
  <c r="F8"/>
  <c r="Q13" i="7"/>
  <c r="C14" i="9"/>
  <c r="I14"/>
  <c r="J14"/>
  <c r="G70" i="7"/>
  <c r="J11" i="9" l="1"/>
  <c r="I11"/>
  <c r="J7"/>
  <c r="I7"/>
  <c r="I12" l="1"/>
  <c r="J12"/>
  <c r="H4"/>
  <c r="F75" i="7" l="1"/>
  <c r="I75"/>
  <c r="J75"/>
  <c r="K75"/>
  <c r="L75"/>
  <c r="M75"/>
  <c r="N75"/>
  <c r="O75"/>
  <c r="Q75"/>
  <c r="T75"/>
  <c r="U75"/>
  <c r="V75"/>
  <c r="X75"/>
  <c r="Y75"/>
  <c r="Z75"/>
  <c r="AA75"/>
  <c r="AB75"/>
  <c r="AC75"/>
  <c r="AD75"/>
  <c r="AE75"/>
  <c r="AF75"/>
  <c r="AG75"/>
  <c r="AH75"/>
  <c r="AI75"/>
  <c r="C11" i="9" l="1"/>
  <c r="D10"/>
  <c r="H10" s="1"/>
  <c r="C7"/>
  <c r="C12" l="1"/>
  <c r="G10"/>
  <c r="F10"/>
  <c r="P16" i="2" l="1"/>
  <c r="P37" l="1"/>
  <c r="P30"/>
  <c r="P23"/>
  <c r="P8"/>
  <c r="P7" i="8"/>
  <c r="M15" i="10" s="1"/>
  <c r="I7" i="8"/>
  <c r="H7"/>
  <c r="F7"/>
  <c r="E6" i="4" s="1"/>
  <c r="E7" i="8"/>
  <c r="D6" i="4" s="1"/>
  <c r="H6" s="1"/>
  <c r="C7"/>
  <c r="Q10" i="3"/>
  <c r="Q17"/>
  <c r="G10"/>
  <c r="I6" i="4" l="1"/>
  <c r="K10" i="9"/>
  <c r="G6" i="4"/>
  <c r="Q18" i="3"/>
  <c r="M11" i="10" s="1"/>
  <c r="P38" i="2"/>
  <c r="M10" i="10" s="1"/>
  <c r="G5" i="8"/>
  <c r="G7" s="1"/>
  <c r="F6" i="4" s="1"/>
  <c r="I4" l="1"/>
  <c r="K5" i="9"/>
  <c r="I5" i="4"/>
  <c r="K6" i="9"/>
  <c r="Q61" i="7"/>
  <c r="Q54"/>
  <c r="Q35"/>
  <c r="Q19"/>
  <c r="Q36" l="1"/>
  <c r="M4" i="10" s="1"/>
  <c r="M9" s="1"/>
  <c r="M12" s="1"/>
  <c r="Q76" i="7"/>
  <c r="Q77" l="1"/>
  <c r="I3" i="4" s="1"/>
  <c r="I7" s="1"/>
  <c r="K4" i="9"/>
  <c r="K7" s="1"/>
  <c r="K9"/>
  <c r="K11" s="1"/>
  <c r="M14" i="10"/>
  <c r="J61" i="7"/>
  <c r="H74"/>
  <c r="H73"/>
  <c r="H72"/>
  <c r="W71"/>
  <c r="W75" s="1"/>
  <c r="H71"/>
  <c r="H70"/>
  <c r="H69"/>
  <c r="H68"/>
  <c r="H67"/>
  <c r="H66"/>
  <c r="H65"/>
  <c r="H64"/>
  <c r="H63"/>
  <c r="AI61"/>
  <c r="AH61"/>
  <c r="AG61"/>
  <c r="AF61"/>
  <c r="AE61"/>
  <c r="AD61"/>
  <c r="AC61"/>
  <c r="AB61"/>
  <c r="AA61"/>
  <c r="Z61"/>
  <c r="Y61"/>
  <c r="X61"/>
  <c r="V61"/>
  <c r="U61"/>
  <c r="T61"/>
  <c r="N61"/>
  <c r="L61"/>
  <c r="K61"/>
  <c r="I61"/>
  <c r="F61"/>
  <c r="W60"/>
  <c r="W61" s="1"/>
  <c r="H60"/>
  <c r="H59"/>
  <c r="H58"/>
  <c r="H56"/>
  <c r="H55"/>
  <c r="AI54"/>
  <c r="AH54"/>
  <c r="AG54"/>
  <c r="AF54"/>
  <c r="AE54"/>
  <c r="AD54"/>
  <c r="AC54"/>
  <c r="AB54"/>
  <c r="AA54"/>
  <c r="Z54"/>
  <c r="Y54"/>
  <c r="X54"/>
  <c r="V54"/>
  <c r="U54"/>
  <c r="T54"/>
  <c r="O54"/>
  <c r="N54"/>
  <c r="M54"/>
  <c r="L54"/>
  <c r="K54"/>
  <c r="J54"/>
  <c r="I54"/>
  <c r="F54"/>
  <c r="H53"/>
  <c r="W52"/>
  <c r="H52"/>
  <c r="W51"/>
  <c r="H51"/>
  <c r="H50"/>
  <c r="H49"/>
  <c r="W48"/>
  <c r="H48"/>
  <c r="W47"/>
  <c r="H47"/>
  <c r="W46"/>
  <c r="H46"/>
  <c r="H45"/>
  <c r="H44"/>
  <c r="H43"/>
  <c r="H42"/>
  <c r="H41"/>
  <c r="H40"/>
  <c r="H39"/>
  <c r="H38"/>
  <c r="M21" i="10" l="1"/>
  <c r="M16"/>
  <c r="M17" s="1"/>
  <c r="K14" i="9"/>
  <c r="M19" i="10"/>
  <c r="F76" i="7"/>
  <c r="K12" i="9"/>
  <c r="H62" i="7"/>
  <c r="G75"/>
  <c r="H75" s="1"/>
  <c r="AC76"/>
  <c r="AD76"/>
  <c r="AB76"/>
  <c r="I76"/>
  <c r="U76"/>
  <c r="V76"/>
  <c r="AE76"/>
  <c r="J76"/>
  <c r="X76"/>
  <c r="AF76"/>
  <c r="K76"/>
  <c r="AG76"/>
  <c r="Z76"/>
  <c r="Y76"/>
  <c r="AH76"/>
  <c r="AA76"/>
  <c r="AI76"/>
  <c r="T76"/>
  <c r="L76"/>
  <c r="W54"/>
  <c r="W76" s="1"/>
  <c r="G61"/>
  <c r="H54"/>
  <c r="G54"/>
  <c r="H57"/>
  <c r="H61" s="1"/>
  <c r="D9" i="9" l="1"/>
  <c r="E14" i="10"/>
  <c r="G76" i="7"/>
  <c r="D14" i="9" l="1"/>
  <c r="H9"/>
  <c r="D11"/>
  <c r="E16" i="10"/>
  <c r="I14"/>
  <c r="E9" i="9"/>
  <c r="G9" s="1"/>
  <c r="F14" i="10"/>
  <c r="H76" i="7"/>
  <c r="AA5"/>
  <c r="U13"/>
  <c r="U19"/>
  <c r="U35"/>
  <c r="F9" i="9" l="1"/>
  <c r="F11" s="1"/>
  <c r="H14" i="10"/>
  <c r="F16"/>
  <c r="E11" i="9"/>
  <c r="G11" s="1"/>
  <c r="G14" i="10"/>
  <c r="H14" i="9"/>
  <c r="H11"/>
  <c r="I16" i="10"/>
  <c r="N14" i="7"/>
  <c r="N19" s="1"/>
  <c r="H18"/>
  <c r="H17"/>
  <c r="H14"/>
  <c r="H11"/>
  <c r="H10"/>
  <c r="H8"/>
  <c r="H34"/>
  <c r="H33"/>
  <c r="H32"/>
  <c r="H31"/>
  <c r="H30"/>
  <c r="H29"/>
  <c r="H28"/>
  <c r="H27"/>
  <c r="H26"/>
  <c r="H25"/>
  <c r="H23"/>
  <c r="H22"/>
  <c r="H20"/>
  <c r="T19"/>
  <c r="L19"/>
  <c r="K19"/>
  <c r="J19"/>
  <c r="I19"/>
  <c r="T13"/>
  <c r="L13"/>
  <c r="K13"/>
  <c r="J13"/>
  <c r="I13"/>
  <c r="T35"/>
  <c r="L35"/>
  <c r="L36" s="1"/>
  <c r="L77" s="1"/>
  <c r="K35"/>
  <c r="J35"/>
  <c r="I35"/>
  <c r="I5" i="10"/>
  <c r="F19" i="7"/>
  <c r="F13"/>
  <c r="F35"/>
  <c r="I6" i="10"/>
  <c r="F36" i="7" l="1"/>
  <c r="J36"/>
  <c r="J77" s="1"/>
  <c r="K36"/>
  <c r="K77" s="1"/>
  <c r="I36"/>
  <c r="I77" s="1"/>
  <c r="G16" i="10"/>
  <c r="H16"/>
  <c r="N13" i="7"/>
  <c r="G19"/>
  <c r="H19"/>
  <c r="G13"/>
  <c r="G35"/>
  <c r="H13"/>
  <c r="H35"/>
  <c r="E4" i="10" l="1"/>
  <c r="F77" i="7"/>
  <c r="G36"/>
  <c r="N5"/>
  <c r="E19" i="10" l="1"/>
  <c r="E9"/>
  <c r="I4"/>
  <c r="F4"/>
  <c r="F9" s="1"/>
  <c r="G77" i="7"/>
  <c r="I8" i="10"/>
  <c r="I7"/>
  <c r="E21"/>
  <c r="D3" i="4"/>
  <c r="H5" i="7"/>
  <c r="H36" s="1"/>
  <c r="I19" i="10" l="1"/>
  <c r="I9"/>
  <c r="H9"/>
  <c r="F19"/>
  <c r="H19" s="1"/>
  <c r="G4"/>
  <c r="G9" s="1"/>
  <c r="H77" i="7"/>
  <c r="I21" i="10"/>
  <c r="H3" i="4"/>
  <c r="G19" i="10" l="1"/>
  <c r="G21"/>
  <c r="E3" i="4"/>
  <c r="E4" i="9"/>
  <c r="E14" s="1"/>
  <c r="D79" i="1"/>
  <c r="F21" i="10" l="1"/>
  <c r="H21" s="1"/>
  <c r="F14" i="9"/>
  <c r="G14"/>
  <c r="H4" i="10"/>
  <c r="F4" i="9"/>
  <c r="G4"/>
  <c r="F110" i="1"/>
  <c r="D110"/>
  <c r="AF83"/>
  <c r="E83" s="1"/>
  <c r="AF84"/>
  <c r="E84" s="1"/>
  <c r="AF85"/>
  <c r="X86"/>
  <c r="AF86" s="1"/>
  <c r="E86" s="1"/>
  <c r="X87"/>
  <c r="AF87" s="1"/>
  <c r="E87" s="1"/>
  <c r="X88"/>
  <c r="AF88" s="1"/>
  <c r="X89"/>
  <c r="AF89" s="1"/>
  <c r="E89" s="1"/>
  <c r="X90"/>
  <c r="AF90" s="1"/>
  <c r="E90" s="1"/>
  <c r="X91"/>
  <c r="AF91" s="1"/>
  <c r="E91" s="1"/>
  <c r="X92"/>
  <c r="AF92" s="1"/>
  <c r="X93"/>
  <c r="AF93" s="1"/>
  <c r="E93" s="1"/>
  <c r="X94"/>
  <c r="AF94" s="1"/>
  <c r="E94" s="1"/>
  <c r="X95"/>
  <c r="AF95" s="1"/>
  <c r="E95" s="1"/>
  <c r="X96"/>
  <c r="AF96" s="1"/>
  <c r="X97"/>
  <c r="AF97" s="1"/>
  <c r="E97" s="1"/>
  <c r="X98"/>
  <c r="AF98" s="1"/>
  <c r="E98" s="1"/>
  <c r="X99"/>
  <c r="AF99" s="1"/>
  <c r="AF100"/>
  <c r="E100" s="1"/>
  <c r="X101"/>
  <c r="AF101" s="1"/>
  <c r="E101" s="1"/>
  <c r="X102"/>
  <c r="AF102" s="1"/>
  <c r="E102" s="1"/>
  <c r="X103"/>
  <c r="AF103" s="1"/>
  <c r="X104"/>
  <c r="AF104" s="1"/>
  <c r="E104" s="1"/>
  <c r="X105"/>
  <c r="AF105" s="1"/>
  <c r="E105" s="1"/>
  <c r="X106"/>
  <c r="AF106" s="1"/>
  <c r="E106" s="1"/>
  <c r="X107"/>
  <c r="AF107" s="1"/>
  <c r="E107" s="1"/>
  <c r="X108"/>
  <c r="AF108" s="1"/>
  <c r="E108" s="1"/>
  <c r="X109"/>
  <c r="AF109" s="1"/>
  <c r="E109" s="1"/>
  <c r="AF82"/>
  <c r="E82" s="1"/>
  <c r="G82" s="1"/>
  <c r="E88" l="1"/>
  <c r="G88" s="1"/>
  <c r="E92"/>
  <c r="G92" s="1"/>
  <c r="E96"/>
  <c r="G96" s="1"/>
  <c r="G93"/>
  <c r="G89"/>
  <c r="E99"/>
  <c r="G99" s="1"/>
  <c r="E103"/>
  <c r="G103" s="1"/>
  <c r="G107"/>
  <c r="X110"/>
  <c r="E85"/>
  <c r="G85" s="1"/>
  <c r="G109"/>
  <c r="G108"/>
  <c r="G105"/>
  <c r="G104"/>
  <c r="G101"/>
  <c r="G100"/>
  <c r="G97"/>
  <c r="G95"/>
  <c r="G91"/>
  <c r="G87"/>
  <c r="G84"/>
  <c r="G106"/>
  <c r="G102"/>
  <c r="G98"/>
  <c r="G94"/>
  <c r="G90"/>
  <c r="G86"/>
  <c r="G83"/>
  <c r="E110" l="1"/>
  <c r="G110"/>
  <c r="X78"/>
  <c r="AF78" s="1"/>
  <c r="E78" s="1"/>
  <c r="X77"/>
  <c r="AF77" s="1"/>
  <c r="E77" s="1"/>
  <c r="X76"/>
  <c r="AF76" s="1"/>
  <c r="E76" s="1"/>
  <c r="X75"/>
  <c r="AF75" s="1"/>
  <c r="E75" s="1"/>
  <c r="X74"/>
  <c r="AF74" s="1"/>
  <c r="E74" s="1"/>
  <c r="X73"/>
  <c r="AF73" s="1"/>
  <c r="E73" s="1"/>
  <c r="X72"/>
  <c r="AF72" s="1"/>
  <c r="E72" s="1"/>
  <c r="X71"/>
  <c r="AF71" s="1"/>
  <c r="E71" s="1"/>
  <c r="X70"/>
  <c r="X68"/>
  <c r="AF68" s="1"/>
  <c r="E68" s="1"/>
  <c r="X67"/>
  <c r="AF67" s="1"/>
  <c r="E67" s="1"/>
  <c r="X66"/>
  <c r="AF66" s="1"/>
  <c r="E66" s="1"/>
  <c r="X65"/>
  <c r="AF65" s="1"/>
  <c r="E65" s="1"/>
  <c r="X64"/>
  <c r="AF64" s="1"/>
  <c r="E64" s="1"/>
  <c r="X63"/>
  <c r="AF63" s="1"/>
  <c r="E63" s="1"/>
  <c r="X62"/>
  <c r="AF62" s="1"/>
  <c r="E62" s="1"/>
  <c r="X61"/>
  <c r="AF61" s="1"/>
  <c r="E61" s="1"/>
  <c r="X60"/>
  <c r="AF60" s="1"/>
  <c r="E60" s="1"/>
  <c r="X58"/>
  <c r="AF58" s="1"/>
  <c r="E58" s="1"/>
  <c r="X57"/>
  <c r="AF57" s="1"/>
  <c r="E57" s="1"/>
  <c r="X56"/>
  <c r="AF56" s="1"/>
  <c r="E56" s="1"/>
  <c r="X55"/>
  <c r="AF55" s="1"/>
  <c r="E55" s="1"/>
  <c r="X54"/>
  <c r="AF54" s="1"/>
  <c r="E54" s="1"/>
  <c r="X53"/>
  <c r="AF53" s="1"/>
  <c r="E53" s="1"/>
  <c r="X52"/>
  <c r="AF52" s="1"/>
  <c r="E52" s="1"/>
  <c r="X51"/>
  <c r="AF51" s="1"/>
  <c r="E51" s="1"/>
  <c r="X50"/>
  <c r="X47"/>
  <c r="AF47" s="1"/>
  <c r="E47" s="1"/>
  <c r="X46"/>
  <c r="AF46" s="1"/>
  <c r="E46" s="1"/>
  <c r="X45"/>
  <c r="AF45" s="1"/>
  <c r="E45" s="1"/>
  <c r="X44"/>
  <c r="AF44" s="1"/>
  <c r="E44" s="1"/>
  <c r="X43"/>
  <c r="AF43" s="1"/>
  <c r="E43" s="1"/>
  <c r="X42"/>
  <c r="AF42" s="1"/>
  <c r="E42" s="1"/>
  <c r="X40"/>
  <c r="AF40" s="1"/>
  <c r="E40" s="1"/>
  <c r="X39"/>
  <c r="AF39" s="1"/>
  <c r="E39" s="1"/>
  <c r="X38"/>
  <c r="AF38" s="1"/>
  <c r="E38" s="1"/>
  <c r="AF35"/>
  <c r="E35" s="1"/>
  <c r="X37"/>
  <c r="AF37" s="1"/>
  <c r="X33"/>
  <c r="AF33" s="1"/>
  <c r="X29"/>
  <c r="AF29" s="1"/>
  <c r="X25"/>
  <c r="AF25" s="1"/>
  <c r="X22"/>
  <c r="AF22" s="1"/>
  <c r="X18"/>
  <c r="AF18" s="1"/>
  <c r="X15"/>
  <c r="AF15" s="1"/>
  <c r="X12"/>
  <c r="AF12" s="1"/>
  <c r="AG80"/>
  <c r="AF49"/>
  <c r="AF36"/>
  <c r="E36" s="1"/>
  <c r="AF34"/>
  <c r="E34" s="1"/>
  <c r="AF32"/>
  <c r="E32" s="1"/>
  <c r="AF31"/>
  <c r="E31" s="1"/>
  <c r="AF30"/>
  <c r="E30" s="1"/>
  <c r="AF28"/>
  <c r="E28" s="1"/>
  <c r="AF27"/>
  <c r="E27" s="1"/>
  <c r="AF26"/>
  <c r="E26" s="1"/>
  <c r="AF24"/>
  <c r="AF23"/>
  <c r="AF21"/>
  <c r="E21" s="1"/>
  <c r="AF20"/>
  <c r="E20" s="1"/>
  <c r="AF19"/>
  <c r="E19" s="1"/>
  <c r="AF17"/>
  <c r="E17" s="1"/>
  <c r="AF16"/>
  <c r="E16" s="1"/>
  <c r="AF14"/>
  <c r="E14" s="1"/>
  <c r="AF13"/>
  <c r="E13" s="1"/>
  <c r="AF11"/>
  <c r="E11" s="1"/>
  <c r="AF10"/>
  <c r="E10" s="1"/>
  <c r="AF9"/>
  <c r="E9" s="1"/>
  <c r="AF8"/>
  <c r="E8" s="1"/>
  <c r="AF7"/>
  <c r="E7" s="1"/>
  <c r="AF6"/>
  <c r="E6" s="1"/>
  <c r="F79"/>
  <c r="F69"/>
  <c r="F59"/>
  <c r="F48"/>
  <c r="F41"/>
  <c r="F37"/>
  <c r="F33"/>
  <c r="F29"/>
  <c r="F25"/>
  <c r="F22"/>
  <c r="F18"/>
  <c r="F15"/>
  <c r="F12"/>
  <c r="AB4" i="5"/>
  <c r="C4" s="1"/>
  <c r="G9" i="2"/>
  <c r="G11"/>
  <c r="G12"/>
  <c r="G13"/>
  <c r="G14"/>
  <c r="G15"/>
  <c r="G17"/>
  <c r="G18"/>
  <c r="G19"/>
  <c r="G20"/>
  <c r="G21"/>
  <c r="G22"/>
  <c r="G24"/>
  <c r="G25"/>
  <c r="G26"/>
  <c r="G27"/>
  <c r="G28"/>
  <c r="G29"/>
  <c r="G31"/>
  <c r="G32"/>
  <c r="G33"/>
  <c r="G34"/>
  <c r="G35"/>
  <c r="G36"/>
  <c r="G5"/>
  <c r="G30" l="1"/>
  <c r="G23"/>
  <c r="G10"/>
  <c r="G16" s="1"/>
  <c r="X48" i="1"/>
  <c r="AF48" s="1"/>
  <c r="X79"/>
  <c r="X59"/>
  <c r="AF59" s="1"/>
  <c r="X69"/>
  <c r="AF69" s="1"/>
  <c r="AF50"/>
  <c r="E50" s="1"/>
  <c r="AF70"/>
  <c r="E70" s="1"/>
  <c r="X41"/>
  <c r="AF41" s="1"/>
  <c r="F80"/>
  <c r="F111" s="1"/>
  <c r="G37" i="2"/>
  <c r="X80" i="1" l="1"/>
  <c r="X111" s="1"/>
  <c r="AF79"/>
  <c r="AF80" s="1"/>
  <c r="E4" i="5" l="1"/>
  <c r="V80" i="1"/>
  <c r="U80"/>
  <c r="U111" s="1"/>
  <c r="S80"/>
  <c r="S111" s="1"/>
  <c r="R80"/>
  <c r="R111" s="1"/>
  <c r="Q80"/>
  <c r="Q111" s="1"/>
  <c r="P80"/>
  <c r="P111" s="1"/>
  <c r="O80"/>
  <c r="O111" s="1"/>
  <c r="N80"/>
  <c r="N111" s="1"/>
  <c r="M80"/>
  <c r="M111" s="1"/>
  <c r="L80"/>
  <c r="L111" s="1"/>
  <c r="K80"/>
  <c r="K111" s="1"/>
  <c r="J80"/>
  <c r="J111" s="1"/>
  <c r="I80"/>
  <c r="I111" s="1"/>
  <c r="I17" i="3" l="1"/>
  <c r="H17"/>
  <c r="G17"/>
  <c r="F17"/>
  <c r="I10"/>
  <c r="H10"/>
  <c r="F10"/>
  <c r="H18" l="1"/>
  <c r="I18"/>
  <c r="G18"/>
  <c r="F11" i="10" s="1"/>
  <c r="F18" i="3"/>
  <c r="E11" i="10" s="1"/>
  <c r="H37" i="2"/>
  <c r="F37"/>
  <c r="E37"/>
  <c r="M36"/>
  <c r="M35"/>
  <c r="M34"/>
  <c r="M33"/>
  <c r="M32"/>
  <c r="M31"/>
  <c r="H30"/>
  <c r="F30"/>
  <c r="E30"/>
  <c r="M29"/>
  <c r="M28"/>
  <c r="M27"/>
  <c r="M26"/>
  <c r="M25"/>
  <c r="M24"/>
  <c r="F23"/>
  <c r="E23"/>
  <c r="M22"/>
  <c r="M21"/>
  <c r="M20"/>
  <c r="M19"/>
  <c r="M18"/>
  <c r="M17"/>
  <c r="H17"/>
  <c r="H23" s="1"/>
  <c r="H16"/>
  <c r="F16"/>
  <c r="E16"/>
  <c r="M15"/>
  <c r="M14"/>
  <c r="M13"/>
  <c r="M12"/>
  <c r="M11"/>
  <c r="M10"/>
  <c r="M9"/>
  <c r="M8"/>
  <c r="E8"/>
  <c r="G8" s="1"/>
  <c r="G38" s="1"/>
  <c r="M6"/>
  <c r="H6"/>
  <c r="H8" s="1"/>
  <c r="M5"/>
  <c r="H11" i="10" l="1"/>
  <c r="G11"/>
  <c r="I11"/>
  <c r="F38" i="2"/>
  <c r="F10" i="10" s="1"/>
  <c r="F12" s="1"/>
  <c r="H38" i="2"/>
  <c r="D5" i="4"/>
  <c r="H5" s="1"/>
  <c r="D6" i="9"/>
  <c r="H6" s="1"/>
  <c r="E5" i="4"/>
  <c r="E6" i="9"/>
  <c r="E38" i="2"/>
  <c r="D5" i="9" l="1"/>
  <c r="H5" s="1"/>
  <c r="E10" i="10"/>
  <c r="E12" s="1"/>
  <c r="D4" i="4"/>
  <c r="D7" s="1"/>
  <c r="G5"/>
  <c r="F5"/>
  <c r="G6" i="9"/>
  <c r="E4" i="4"/>
  <c r="E7" s="1"/>
  <c r="E5" i="9"/>
  <c r="D7"/>
  <c r="D12" s="1"/>
  <c r="F6"/>
  <c r="W79" i="1"/>
  <c r="W69"/>
  <c r="W59"/>
  <c r="W18"/>
  <c r="W48"/>
  <c r="W41"/>
  <c r="W37"/>
  <c r="W33"/>
  <c r="W29"/>
  <c r="W25"/>
  <c r="W22"/>
  <c r="W15"/>
  <c r="W12"/>
  <c r="E79"/>
  <c r="G78"/>
  <c r="G77"/>
  <c r="G76"/>
  <c r="G75"/>
  <c r="G74"/>
  <c r="G73"/>
  <c r="G72"/>
  <c r="G71"/>
  <c r="G70"/>
  <c r="H69"/>
  <c r="E69"/>
  <c r="D69"/>
  <c r="T68"/>
  <c r="G68"/>
  <c r="T67"/>
  <c r="G67"/>
  <c r="T66"/>
  <c r="G66"/>
  <c r="T65"/>
  <c r="G65"/>
  <c r="G64"/>
  <c r="T63"/>
  <c r="G63"/>
  <c r="T62"/>
  <c r="G62"/>
  <c r="T61"/>
  <c r="G61"/>
  <c r="T60"/>
  <c r="G60"/>
  <c r="H59"/>
  <c r="E59"/>
  <c r="D59"/>
  <c r="G58"/>
  <c r="G57"/>
  <c r="T56"/>
  <c r="G56"/>
  <c r="T55"/>
  <c r="G55"/>
  <c r="T54"/>
  <c r="G54"/>
  <c r="T53"/>
  <c r="G53"/>
  <c r="T52"/>
  <c r="G52"/>
  <c r="T51"/>
  <c r="G51"/>
  <c r="T50"/>
  <c r="G50"/>
  <c r="H48"/>
  <c r="H49" s="1"/>
  <c r="E48"/>
  <c r="D48"/>
  <c r="T47"/>
  <c r="G47"/>
  <c r="T46"/>
  <c r="G46"/>
  <c r="T45"/>
  <c r="G45"/>
  <c r="T44"/>
  <c r="G44"/>
  <c r="T43"/>
  <c r="G43"/>
  <c r="T42"/>
  <c r="G42"/>
  <c r="E41"/>
  <c r="D41"/>
  <c r="G40"/>
  <c r="T39"/>
  <c r="G39"/>
  <c r="T38"/>
  <c r="G38"/>
  <c r="E37"/>
  <c r="D37"/>
  <c r="G36"/>
  <c r="G35"/>
  <c r="T34"/>
  <c r="G34"/>
  <c r="E33"/>
  <c r="D33"/>
  <c r="G32"/>
  <c r="G31"/>
  <c r="T30"/>
  <c r="G30"/>
  <c r="E29"/>
  <c r="D29"/>
  <c r="G28"/>
  <c r="T27"/>
  <c r="G27"/>
  <c r="T26"/>
  <c r="G26"/>
  <c r="E25"/>
  <c r="D25"/>
  <c r="G24"/>
  <c r="T23"/>
  <c r="G23"/>
  <c r="E22"/>
  <c r="D22"/>
  <c r="G21"/>
  <c r="T20"/>
  <c r="G20"/>
  <c r="T19"/>
  <c r="G19"/>
  <c r="E18"/>
  <c r="D18"/>
  <c r="G17"/>
  <c r="T16"/>
  <c r="G16"/>
  <c r="E15"/>
  <c r="D15"/>
  <c r="G14"/>
  <c r="T13"/>
  <c r="G13"/>
  <c r="E12"/>
  <c r="D12"/>
  <c r="G11"/>
  <c r="G10"/>
  <c r="G9"/>
  <c r="G8"/>
  <c r="T7"/>
  <c r="G7"/>
  <c r="T6"/>
  <c r="G6"/>
  <c r="F5" i="9" l="1"/>
  <c r="H10" i="10"/>
  <c r="F17"/>
  <c r="I10"/>
  <c r="G10"/>
  <c r="E17"/>
  <c r="H4" i="4"/>
  <c r="H7" s="1"/>
  <c r="F4"/>
  <c r="F7" i="9"/>
  <c r="F12" s="1"/>
  <c r="H7"/>
  <c r="H12" s="1"/>
  <c r="E7"/>
  <c r="G5"/>
  <c r="G4" i="4"/>
  <c r="T80" i="1"/>
  <c r="T111" s="1"/>
  <c r="H80"/>
  <c r="H111" s="1"/>
  <c r="W80"/>
  <c r="G12"/>
  <c r="G48"/>
  <c r="G79"/>
  <c r="G22"/>
  <c r="G41"/>
  <c r="G29"/>
  <c r="G25"/>
  <c r="G15"/>
  <c r="G37"/>
  <c r="G59"/>
  <c r="G69"/>
  <c r="G18"/>
  <c r="G33"/>
  <c r="E80"/>
  <c r="E111" s="1"/>
  <c r="D80"/>
  <c r="D111" s="1"/>
  <c r="I12" i="10" l="1"/>
  <c r="I17" s="1"/>
  <c r="G12"/>
  <c r="G17" s="1"/>
  <c r="H17"/>
  <c r="H12"/>
  <c r="E12" i="9"/>
  <c r="G12" s="1"/>
  <c r="G7"/>
  <c r="F3" i="4"/>
  <c r="F7" s="1"/>
  <c r="G3"/>
  <c r="G80" i="1"/>
  <c r="G111" s="1"/>
  <c r="G7" i="4" l="1"/>
</calcChain>
</file>

<file path=xl/sharedStrings.xml><?xml version="1.0" encoding="utf-8"?>
<sst xmlns="http://schemas.openxmlformats.org/spreadsheetml/2006/main" count="1642" uniqueCount="522">
  <si>
    <t xml:space="preserve">Legacy Waste Scheduled timelines for completion of total quantity before 2nd October 2025 </t>
  </si>
  <si>
    <t>Agency</t>
  </si>
  <si>
    <t>Cluster</t>
  </si>
  <si>
    <t>ULB</t>
  </si>
  <si>
    <t>No of Machines</t>
  </si>
  <si>
    <t>Details of Machinery</t>
  </si>
  <si>
    <t>No-of days requred for Completion</t>
  </si>
  <si>
    <t>Expected date of completion</t>
  </si>
  <si>
    <t>Remarks</t>
  </si>
  <si>
    <t>Machine No</t>
  </si>
  <si>
    <t>Daily capacity</t>
  </si>
  <si>
    <t>Start date</t>
  </si>
  <si>
    <t>M/s Tharuni Associates</t>
  </si>
  <si>
    <t>Kadapa Municipal Corporation</t>
  </si>
  <si>
    <t>Kadapa</t>
  </si>
  <si>
    <t>M1</t>
  </si>
  <si>
    <t>M2</t>
  </si>
  <si>
    <t>M3</t>
  </si>
  <si>
    <t>Srikakulam</t>
  </si>
  <si>
    <t>M4</t>
  </si>
  <si>
    <t>M5</t>
  </si>
  <si>
    <t>Ichapuram</t>
  </si>
  <si>
    <t xml:space="preserve">Palasa -Kasibugga </t>
  </si>
  <si>
    <t>Amadalavalasa</t>
  </si>
  <si>
    <t>Palakonda</t>
  </si>
  <si>
    <t>Total</t>
  </si>
  <si>
    <t>Vizianagaram</t>
  </si>
  <si>
    <t>M6</t>
  </si>
  <si>
    <t>Nellimerla</t>
  </si>
  <si>
    <t>Rajahmundry</t>
  </si>
  <si>
    <t>M7</t>
  </si>
  <si>
    <t>M8</t>
  </si>
  <si>
    <t>Kovvuru</t>
  </si>
  <si>
    <t>Kakinada</t>
  </si>
  <si>
    <t>M9</t>
  </si>
  <si>
    <t>M10</t>
  </si>
  <si>
    <t>M11</t>
  </si>
  <si>
    <t>Amalapuram</t>
  </si>
  <si>
    <t>M12</t>
  </si>
  <si>
    <t>Mumidivaram</t>
  </si>
  <si>
    <t xml:space="preserve">Mumidivaram Qty shifted to amalapuram </t>
  </si>
  <si>
    <t>Guntur</t>
  </si>
  <si>
    <t>M13</t>
  </si>
  <si>
    <t>Ponnur</t>
  </si>
  <si>
    <t>Ponnur Qty Shifted to Guntur</t>
  </si>
  <si>
    <t>Chilakaluripet</t>
  </si>
  <si>
    <t>M14</t>
  </si>
  <si>
    <t>M6(M/C)</t>
  </si>
  <si>
    <t>M6(M/C) shifted to Chilakaluripet</t>
  </si>
  <si>
    <t>Bapatla</t>
  </si>
  <si>
    <t>M15</t>
  </si>
  <si>
    <t>Repalle</t>
  </si>
  <si>
    <t>Repalle Qty shifted to Bapatla</t>
  </si>
  <si>
    <t>Macherla</t>
  </si>
  <si>
    <t>M16</t>
  </si>
  <si>
    <t>Gurazala</t>
  </si>
  <si>
    <t>Gurazal Qty shifted to Macherla</t>
  </si>
  <si>
    <t>Dachepalli</t>
  </si>
  <si>
    <t>Dachepalle Qty shifted to Macherla</t>
  </si>
  <si>
    <t>Narasarao pet</t>
  </si>
  <si>
    <t>M17</t>
  </si>
  <si>
    <t>M18</t>
  </si>
  <si>
    <t>Vinukonda</t>
  </si>
  <si>
    <t>Vinukonda qty shifted to Narasaraopet</t>
  </si>
  <si>
    <t>Piduguralla</t>
  </si>
  <si>
    <t>Piduguralla qty shifted to Narasaraopet</t>
  </si>
  <si>
    <t>Palacole</t>
  </si>
  <si>
    <t>M19</t>
  </si>
  <si>
    <t>Bhimavaram</t>
  </si>
  <si>
    <t>M20</t>
  </si>
  <si>
    <t>M21</t>
  </si>
  <si>
    <t>Akividu</t>
  </si>
  <si>
    <t>Akeevidu Qty shifted to Bhimavaram</t>
  </si>
  <si>
    <t>Hindupur</t>
  </si>
  <si>
    <t>M25</t>
  </si>
  <si>
    <t>Dharmavaram</t>
  </si>
  <si>
    <t>M26</t>
  </si>
  <si>
    <t>Kadiri</t>
  </si>
  <si>
    <t>M27</t>
  </si>
  <si>
    <t>Penukonda</t>
  </si>
  <si>
    <t>M28(M/C) shifted from Puttaparty</t>
  </si>
  <si>
    <t>Puttaparthy</t>
  </si>
  <si>
    <t>M28</t>
  </si>
  <si>
    <t>Madakasira</t>
  </si>
  <si>
    <t>M27(M/C) shifted from Kadiri</t>
  </si>
  <si>
    <t>Per day Capacity</t>
  </si>
  <si>
    <t>Ongole</t>
  </si>
  <si>
    <t>K1</t>
  </si>
  <si>
    <t>Addanki</t>
  </si>
  <si>
    <t>K2</t>
  </si>
  <si>
    <t>Markapuram</t>
  </si>
  <si>
    <t>K3</t>
  </si>
  <si>
    <t>Chirala</t>
  </si>
  <si>
    <t>K4</t>
  </si>
  <si>
    <t>Kandukuru</t>
  </si>
  <si>
    <t>K5</t>
  </si>
  <si>
    <t>Chimakurthy</t>
  </si>
  <si>
    <t>K1(M/C)</t>
  </si>
  <si>
    <t>K1(M/C) shifted to Chimakurty</t>
  </si>
  <si>
    <t>Kanigiri</t>
  </si>
  <si>
    <t>K2(M/C)</t>
  </si>
  <si>
    <t>K2(M/C) shifted to Kanigiri</t>
  </si>
  <si>
    <t>Darsi</t>
  </si>
  <si>
    <t>K3(S)</t>
  </si>
  <si>
    <t>Material Shifted to Markapuram</t>
  </si>
  <si>
    <t>Podili</t>
  </si>
  <si>
    <t>K4(S)</t>
  </si>
  <si>
    <t>Material Shifted to Chirala</t>
  </si>
  <si>
    <t>Eluru</t>
  </si>
  <si>
    <t>CM1</t>
  </si>
  <si>
    <t>CM2</t>
  </si>
  <si>
    <t>Gudivada</t>
  </si>
  <si>
    <t>CM3</t>
  </si>
  <si>
    <t>Machilipatnam</t>
  </si>
  <si>
    <t>CM4</t>
  </si>
  <si>
    <t>CM5</t>
  </si>
  <si>
    <t>Tadepalligudem</t>
  </si>
  <si>
    <t>M22</t>
  </si>
  <si>
    <t>Vijayawada</t>
  </si>
  <si>
    <t>Jaggaiahpet</t>
  </si>
  <si>
    <t>CM6</t>
  </si>
  <si>
    <t>Kondapalli</t>
  </si>
  <si>
    <t>Nandigama</t>
  </si>
  <si>
    <t>Nuzvid</t>
  </si>
  <si>
    <t>Proddatur</t>
  </si>
  <si>
    <t>Rayachoti</t>
  </si>
  <si>
    <t>Badvel</t>
  </si>
  <si>
    <t>Rajampet</t>
  </si>
  <si>
    <t>M24</t>
  </si>
  <si>
    <t>Mydukur</t>
  </si>
  <si>
    <t>Pulivendula</t>
  </si>
  <si>
    <t>Jammalamadugu</t>
  </si>
  <si>
    <t>Yerraguntla</t>
  </si>
  <si>
    <t>Kamalapuram</t>
  </si>
  <si>
    <t>30th April 2025</t>
  </si>
  <si>
    <t>S.No.</t>
  </si>
  <si>
    <t>Name of the ULB</t>
  </si>
  <si>
    <t>Quantity to be remediated in MT</t>
  </si>
  <si>
    <t>Cumulative Quantity remediated till date in MT</t>
  </si>
  <si>
    <t>Balance Quantity in MT</t>
  </si>
  <si>
    <t>Difference b/w Col.11 &amp; Col.15</t>
  </si>
  <si>
    <t xml:space="preserve">No. Machines </t>
  </si>
  <si>
    <t>Starting date</t>
  </si>
  <si>
    <t xml:space="preserve">No. of days </t>
  </si>
  <si>
    <t>Completion Date</t>
  </si>
  <si>
    <t>Nellore Municipal Corporation</t>
  </si>
  <si>
    <t>Allipuram</t>
  </si>
  <si>
    <t>Donthali</t>
  </si>
  <si>
    <t>GVMC</t>
  </si>
  <si>
    <t>Chittoor</t>
  </si>
  <si>
    <t>M3(M/c)</t>
  </si>
  <si>
    <t>Madanapalle</t>
  </si>
  <si>
    <t>B.Kothakota</t>
  </si>
  <si>
    <t>M4(S)</t>
  </si>
  <si>
    <t>Qty Shifted to Madanapalle</t>
  </si>
  <si>
    <t>Punganur</t>
  </si>
  <si>
    <t>Kuppam</t>
  </si>
  <si>
    <t>Palamaneru</t>
  </si>
  <si>
    <t xml:space="preserve"> Tirupati</t>
  </si>
  <si>
    <t>Srikalahasti</t>
  </si>
  <si>
    <t>Sullurpet</t>
  </si>
  <si>
    <t>Nagari</t>
  </si>
  <si>
    <t>Qty shifted to Puttur</t>
  </si>
  <si>
    <t>Puttur</t>
  </si>
  <si>
    <t>M4(M/C)</t>
  </si>
  <si>
    <t>Venkatagiri</t>
  </si>
  <si>
    <t>Kavali</t>
  </si>
  <si>
    <t>M5(M/C)</t>
  </si>
  <si>
    <t>Gudur(N)</t>
  </si>
  <si>
    <t>M8(M/C)</t>
  </si>
  <si>
    <t>Atmakur(N)</t>
  </si>
  <si>
    <t>M9(M/C)</t>
  </si>
  <si>
    <t>Buchireddypalem</t>
  </si>
  <si>
    <t>Naidupet</t>
  </si>
  <si>
    <t>Qty Shifted to Gudur(N)</t>
  </si>
  <si>
    <t>Alluru</t>
  </si>
  <si>
    <t>M1(S)</t>
  </si>
  <si>
    <t>Qty Shifted to Nellore</t>
  </si>
  <si>
    <t>Anantapur, Cluster 
(6 ULBs)</t>
  </si>
  <si>
    <t>Anantapur</t>
  </si>
  <si>
    <t>Tadipatri</t>
  </si>
  <si>
    <t>Guntakal</t>
  </si>
  <si>
    <t>M7(M/C)</t>
  </si>
  <si>
    <t>Kalyanadurgam</t>
  </si>
  <si>
    <t>M9(M/C2)</t>
  </si>
  <si>
    <t>Rayadurgam</t>
  </si>
  <si>
    <t>Gooty</t>
  </si>
  <si>
    <t>M10(M/C)</t>
  </si>
  <si>
    <t>M/s Zigma global Enviro Solutions Private limited, Erode</t>
  </si>
  <si>
    <t>M/s Saurashtra Enviro private limited, Gujarat</t>
  </si>
  <si>
    <t xml:space="preserve">M/s Tharuni Assosiates, Guntur </t>
  </si>
  <si>
    <t>Kurnool</t>
  </si>
  <si>
    <t>29.04.2025</t>
  </si>
  <si>
    <t>15.06.2025</t>
  </si>
  <si>
    <t>Dhone</t>
  </si>
  <si>
    <t>30.06.2025</t>
  </si>
  <si>
    <t>Yemmiganur</t>
  </si>
  <si>
    <t>20.07.2025</t>
  </si>
  <si>
    <t>Adoni</t>
  </si>
  <si>
    <t>06.07.2025</t>
  </si>
  <si>
    <t>Gudur(K)</t>
  </si>
  <si>
    <t>20.06.2025</t>
  </si>
  <si>
    <t>Nandyal</t>
  </si>
  <si>
    <t>28.04.2025</t>
  </si>
  <si>
    <t>Bethamcherla</t>
  </si>
  <si>
    <t>10.06.2025</t>
  </si>
  <si>
    <t>Nandikotkur</t>
  </si>
  <si>
    <t>05.07.2025</t>
  </si>
  <si>
    <t>Atmakur(K)</t>
  </si>
  <si>
    <t>M5 (S)</t>
  </si>
  <si>
    <t>10.07.2025</t>
  </si>
  <si>
    <t>Giddalur</t>
  </si>
  <si>
    <t>30.05.2025</t>
  </si>
  <si>
    <t>Allagadda</t>
  </si>
  <si>
    <t>06.06.2025</t>
  </si>
  <si>
    <t>25.06.2025</t>
  </si>
  <si>
    <t>Difference b/n Col.11 &amp; Col.15</t>
  </si>
  <si>
    <t>M/s Saurastra Enviro Pvt Ltd, Gujarat</t>
  </si>
  <si>
    <t xml:space="preserve">S. No. </t>
  </si>
  <si>
    <t>Name of the Agency</t>
  </si>
  <si>
    <t>Total Quantity Awarded
(in MT)</t>
  </si>
  <si>
    <t>Total Quantity remediated till date
(in MT)</t>
  </si>
  <si>
    <t>Balance Quantity 
(in MT)</t>
  </si>
  <si>
    <t>% of work</t>
  </si>
  <si>
    <t>M/s Sudhakar Infra Pvt.Ltd.</t>
  </si>
  <si>
    <t>Tenali</t>
  </si>
  <si>
    <t>M1&amp;M2</t>
  </si>
  <si>
    <t>10.02.2025</t>
  </si>
  <si>
    <t xml:space="preserve">Quantity 
to be remediated (in MT) </t>
  </si>
  <si>
    <t>Quantity  remediated 
(in MT)</t>
  </si>
  <si>
    <t xml:space="preserve">Balance Quantity 
(in MT)   </t>
  </si>
  <si>
    <t>Actual Quantity  remediated per day 
(in MT)</t>
  </si>
  <si>
    <t>Qty will be Shifted to Vizianagaram</t>
  </si>
  <si>
    <t>Qty will be Shifted to Srikakulam</t>
  </si>
  <si>
    <t>Qty will be Shifted to Rahahmundry</t>
  </si>
  <si>
    <t>CM4
(M/C)</t>
  </si>
  <si>
    <t>CM6
(M/C)</t>
  </si>
  <si>
    <t>Kadapa, Cluster 
(9 ULBs)</t>
  </si>
  <si>
    <t>Eluru, Cluster 
(11 ULBs)</t>
  </si>
  <si>
    <t>Addanki, Cluster 
(9 ULBs)</t>
  </si>
  <si>
    <t>Hindupur, Cluster 
(6 ULBs)</t>
  </si>
  <si>
    <t>M28
(M/C)</t>
  </si>
  <si>
    <t>M27
(M/C)</t>
  </si>
  <si>
    <t xml:space="preserve">Kurnool, Cluster
 (5 ULBs) 
</t>
  </si>
  <si>
    <t>M2 
(M/c)</t>
  </si>
  <si>
    <t>Cumulative Quantity remediated till date 
in MT</t>
  </si>
  <si>
    <t>M5 
(M/c)</t>
  </si>
  <si>
    <t>M6 
(M/c)</t>
  </si>
  <si>
    <t xml:space="preserve">Nandyal, Cluster  
(6 ULBs) 
</t>
  </si>
  <si>
    <t>S.
No.</t>
  </si>
  <si>
    <t>Capacity of Machine per day to be installed 
(in MT)</t>
  </si>
  <si>
    <t xml:space="preserve">Chittoor, Cluster 
(6 ULBs)
</t>
  </si>
  <si>
    <t xml:space="preserve">Tirupati, Cluster 
(6 ULBs)
</t>
  </si>
  <si>
    <t xml:space="preserve">Nellore, Cluster 
(6 ULBs)
</t>
  </si>
  <si>
    <t>Quantity to be remediated 
in MT</t>
  </si>
  <si>
    <t>Balance Quantity 
in MT</t>
  </si>
  <si>
    <t>30th April 2025 
(Qty in MT)</t>
  </si>
  <si>
    <t>M8
(M/C)(S)</t>
  </si>
  <si>
    <t>M11
(M/C)</t>
  </si>
  <si>
    <t>M4
(M/C)(S)</t>
  </si>
  <si>
    <t>1st May 2025 
Qty in MT</t>
  </si>
  <si>
    <t>2nd May 2025 
Qty in MT</t>
  </si>
  <si>
    <t>3rd May 2025 
Qty in MT</t>
  </si>
  <si>
    <t>4th May 2025 
Qty in MT</t>
  </si>
  <si>
    <t>5th May 2025 
Qty in MT</t>
  </si>
  <si>
    <t>6th May 2025 
Qty in MT</t>
  </si>
  <si>
    <t>7th May 2025 
Qty in MT</t>
  </si>
  <si>
    <t xml:space="preserve">Status </t>
  </si>
  <si>
    <t xml:space="preserve"> Quantity remediated upto 30th April 2025 
in MT</t>
  </si>
  <si>
    <t>1st May 2025</t>
  </si>
  <si>
    <t>2nd May 2025</t>
  </si>
  <si>
    <t>3rd May 2025</t>
  </si>
  <si>
    <t>4th May 2025</t>
  </si>
  <si>
    <t>5th May 2025</t>
  </si>
  <si>
    <t>6th May 2025</t>
  </si>
  <si>
    <t>7th May 2025</t>
  </si>
  <si>
    <t>8th May 2025</t>
  </si>
  <si>
    <t>Quantity  remediated upto 30th April 
(in MT)</t>
  </si>
  <si>
    <t>Status</t>
  </si>
  <si>
    <t>Samalkot</t>
  </si>
  <si>
    <t>Rajam</t>
  </si>
  <si>
    <t>Bobbili</t>
  </si>
  <si>
    <t>Tuni</t>
  </si>
  <si>
    <t>Gollaprolu NP</t>
  </si>
  <si>
    <t>Parvathipuram</t>
  </si>
  <si>
    <t>Salur</t>
  </si>
  <si>
    <t xml:space="preserve">Narsipatnam </t>
  </si>
  <si>
    <t>Ramachandrapuram</t>
  </si>
  <si>
    <t xml:space="preserve"> Yeleswaram</t>
  </si>
  <si>
    <t>Mandapeta</t>
  </si>
  <si>
    <t>Jangareddygudem</t>
  </si>
  <si>
    <t>Narsapur</t>
  </si>
  <si>
    <t xml:space="preserve"> Vuyyuru</t>
  </si>
  <si>
    <t>Chintalapudi</t>
  </si>
  <si>
    <t>Pedana</t>
  </si>
  <si>
    <t>1st May to 8th 2025</t>
  </si>
  <si>
    <t>8th May 2025 
Qty in MT</t>
  </si>
  <si>
    <t>1st to 8th May 2025 
Qty in MT</t>
  </si>
  <si>
    <t>Work is in Progress</t>
  </si>
  <si>
    <t>No.of ULBs</t>
  </si>
  <si>
    <t xml:space="preserve">M/s Tharuni Assosiates &amp; Avinash agency, Guntur </t>
  </si>
  <si>
    <t>Yelamanchili</t>
  </si>
  <si>
    <t>Pithapuram</t>
  </si>
  <si>
    <t>Peddapuram</t>
  </si>
  <si>
    <t xml:space="preserve">Kovvur </t>
  </si>
  <si>
    <t>Nidadavole</t>
  </si>
  <si>
    <t>Tanuku</t>
  </si>
  <si>
    <t xml:space="preserve"> Nuzvid</t>
  </si>
  <si>
    <t>YSR Tadigadapa</t>
  </si>
  <si>
    <t xml:space="preserve"> Tiruvuru</t>
  </si>
  <si>
    <t>Mangalagiri Tadepalli</t>
  </si>
  <si>
    <t>-</t>
  </si>
  <si>
    <t>Sattenapalle</t>
  </si>
  <si>
    <t>Totals</t>
  </si>
  <si>
    <t>Cluster-1,2&amp;3</t>
  </si>
  <si>
    <t>Work on Hold dueto rain</t>
  </si>
  <si>
    <t>Trail run Completed,Procedding of Legacy yet to start</t>
  </si>
  <si>
    <t>Work is in Progress,but Processing material is less then the machine Capacity</t>
  </si>
  <si>
    <t>As per agency plan of Action Work should be started on 01 may 2025,But work not started.</t>
  </si>
  <si>
    <t>Chilakaluripeta, Cluster (13 ULBs)</t>
  </si>
  <si>
    <t>Narsaraopet</t>
  </si>
  <si>
    <t>Ponnuru</t>
  </si>
  <si>
    <t>Rajahmundry, Cluster 
(3 ULBs)</t>
  </si>
  <si>
    <t>Kakinada, Cluster 
(3 ULBs)</t>
  </si>
  <si>
    <t>Kovvur</t>
  </si>
  <si>
    <t>M17(s)</t>
  </si>
  <si>
    <t>Vinukonda qty  will be shifted to Narasaraopet</t>
  </si>
  <si>
    <t>M16(s)</t>
  </si>
  <si>
    <t>Dachepalli qty  will be shifted to Macherla</t>
  </si>
  <si>
    <t>Repalle qty  will be shifted to Bapatla</t>
  </si>
  <si>
    <t>Gurazala qty  will be shifted to Macherla</t>
  </si>
  <si>
    <t>1. Trail run Completed.
2.Processing of Legacy waste to be started.</t>
  </si>
  <si>
    <t>Work on Hold
(Inauguration is Completeed )</t>
  </si>
  <si>
    <t>S.no</t>
  </si>
  <si>
    <t>C-M1</t>
  </si>
  <si>
    <t>C-M2</t>
  </si>
  <si>
    <t>C-M3</t>
  </si>
  <si>
    <t>C-M4</t>
  </si>
  <si>
    <t>C-M5</t>
  </si>
  <si>
    <t>C-M4
(M/C)</t>
  </si>
  <si>
    <t>C-M5
(M/C)</t>
  </si>
  <si>
    <t>C-M1
(M/C)</t>
  </si>
  <si>
    <t>M23</t>
  </si>
  <si>
    <t>M7 (S)</t>
  </si>
  <si>
    <t xml:space="preserve">M1 functioning </t>
  </si>
  <si>
    <t>M2 functioning</t>
  </si>
  <si>
    <t>M3 errection work is in progress</t>
  </si>
  <si>
    <t>M8 (M/c)</t>
  </si>
  <si>
    <t>M8 Machinery will be shifted from Gollaprolu</t>
  </si>
  <si>
    <t>Machinery under installation</t>
  </si>
  <si>
    <t>Machinery in transit &amp; to be installed</t>
  </si>
  <si>
    <t>Cluster 01</t>
  </si>
  <si>
    <t>Nellimarla</t>
  </si>
  <si>
    <t>M6(S)</t>
  </si>
  <si>
    <t>M25(S)</t>
  </si>
  <si>
    <t>15.05.2025</t>
  </si>
  <si>
    <t xml:space="preserve">Narsipatnam Material will be shifted to Tuni </t>
  </si>
  <si>
    <t>Cluster 02</t>
  </si>
  <si>
    <t>M26(S)</t>
  </si>
  <si>
    <t xml:space="preserve">15.05.2025 </t>
  </si>
  <si>
    <t xml:space="preserve">Yelleswaram Material will be shifted to Samalkota </t>
  </si>
  <si>
    <t>Mummidivaram</t>
  </si>
  <si>
    <t>Qty will be Shifted to Amalapuram</t>
  </si>
  <si>
    <t>Cluster 03</t>
  </si>
  <si>
    <t>15.07.2025</t>
  </si>
  <si>
    <t>Work in progress</t>
  </si>
  <si>
    <t>Akiveedu</t>
  </si>
  <si>
    <t>M28(S)</t>
  </si>
  <si>
    <t>01.07.2025</t>
  </si>
  <si>
    <t>31.07.2025</t>
  </si>
  <si>
    <t>Vuyyuru material will be shifted to Pedana</t>
  </si>
  <si>
    <t>25.05.2025</t>
  </si>
  <si>
    <t>Erection Work in Progress</t>
  </si>
  <si>
    <t>Electrical connections under progress</t>
  </si>
  <si>
    <t>Material will be shifted to Vizainagaram</t>
  </si>
  <si>
    <t>M16 (s)</t>
  </si>
  <si>
    <t>M13 (S)</t>
  </si>
  <si>
    <t>Ponnuru material  will be shifted to Guntur</t>
  </si>
  <si>
    <t>M17 (M/c)</t>
  </si>
  <si>
    <t>M18 (M/c)</t>
  </si>
  <si>
    <t>01--7-2025</t>
  </si>
  <si>
    <t>M15 (S)</t>
  </si>
  <si>
    <t>H-M1</t>
  </si>
  <si>
    <t>H-M2</t>
  </si>
  <si>
    <t>H-M3</t>
  </si>
  <si>
    <t xml:space="preserve">Hindupur, Cluster 
(6 ULBs)
</t>
  </si>
  <si>
    <t>M24(S)</t>
  </si>
  <si>
    <t>30.09.2025</t>
  </si>
  <si>
    <t>01.06.2025</t>
  </si>
  <si>
    <t>Material Will be shifted to Tuni</t>
  </si>
  <si>
    <t>Material will be shifted to Srikkulam</t>
  </si>
  <si>
    <t>Material will be shifted to samalkota</t>
  </si>
  <si>
    <t>M12(S)</t>
  </si>
  <si>
    <t>M21(S)</t>
  </si>
  <si>
    <t>15.09.2025</t>
  </si>
  <si>
    <t>M18(S)</t>
  </si>
  <si>
    <t>Material will be shifted to Ramchandra puram</t>
  </si>
  <si>
    <t>Material will be shifted to Amalapuram</t>
  </si>
  <si>
    <t>H-M3 (M/c)</t>
  </si>
  <si>
    <t>H-M2 (M/c) shifted from Madakasira</t>
  </si>
  <si>
    <t>H-M4</t>
  </si>
  <si>
    <t>H-M5</t>
  </si>
  <si>
    <t>Difference B/W</t>
  </si>
  <si>
    <t>Agency Name</t>
  </si>
  <si>
    <t>o</t>
  </si>
  <si>
    <t>Material will be shifted to Bobbili</t>
  </si>
  <si>
    <t>Quantity  remediated per day 
(in MT)</t>
  </si>
  <si>
    <t>Avinash agency</t>
  </si>
  <si>
    <t>M/c will be shifted from Vizainagaram on 03.07.2025</t>
  </si>
  <si>
    <t>Piduguralla Material  will be shifted to Narasaraopet</t>
  </si>
  <si>
    <t>1.M/c will be shifted from Ramachandrapuram
2.Piduguralla Material (10793)  will be shifted to Narasaraopet from 01-07-2025</t>
  </si>
  <si>
    <t>1.M/c will be shifted from Jangareddigudem 
2.Vinukonda Material(11195) will be shifted  01-07-205</t>
  </si>
  <si>
    <t>Repalle material (7203) will be shifted to Bapatla from 15-06-2025</t>
  </si>
  <si>
    <t>Dachepalli materia(6194)l  will be shifted to Macherla from 15-07-2025
Gurazala material  will be shifted to Macherla</t>
  </si>
  <si>
    <t>Material Will be shifted to Pedana</t>
  </si>
  <si>
    <t>Material will be shifted to Bhimavaram</t>
  </si>
  <si>
    <t>M17(S)</t>
  </si>
  <si>
    <t>30.07.2025</t>
  </si>
  <si>
    <t xml:space="preserve">New machine arrived from Ponnur </t>
  </si>
  <si>
    <t>New machine arrived from Repalle</t>
  </si>
  <si>
    <t>A-M1</t>
  </si>
  <si>
    <t>A-M2</t>
  </si>
  <si>
    <t>A-M3</t>
  </si>
  <si>
    <t>A-M4</t>
  </si>
  <si>
    <t>A-M5</t>
  </si>
  <si>
    <t>A-M1(M/C)</t>
  </si>
  <si>
    <t>A-M2(M/C)</t>
  </si>
  <si>
    <t>A-M3(M/C)</t>
  </si>
  <si>
    <t>A-M4(M/C)</t>
  </si>
  <si>
    <t>Machine is functioning</t>
  </si>
  <si>
    <t>Required Rate of Progress 
(in MT)</t>
  </si>
  <si>
    <t>M2 M/c will be shifted from Dhone</t>
  </si>
  <si>
    <t>M5 M/c will be shifted from Bethamcherla</t>
  </si>
  <si>
    <t xml:space="preserve">Weighbridge under installation </t>
  </si>
  <si>
    <r>
      <rPr>
        <b/>
        <sz val="12"/>
        <color theme="1"/>
        <rFont val="Times New Roman"/>
        <family val="1"/>
      </rPr>
      <t>Work not yet started</t>
    </r>
    <r>
      <rPr>
        <sz val="12"/>
        <color theme="1"/>
        <rFont val="Times New Roman"/>
        <family val="1"/>
      </rPr>
      <t xml:space="preserve">
(Agency is awaiting for permission from municipality's to inauguration and  start the work.)</t>
    </r>
  </si>
  <si>
    <t>New Clusters Total</t>
  </si>
  <si>
    <t>M/s Tharuni Assosiates &amp; Avinash agency, Guntur (Old)</t>
  </si>
  <si>
    <t>Grand Total</t>
  </si>
  <si>
    <t>Quantity will be shifted to Nandikotkur</t>
  </si>
  <si>
    <t>Old Clusters Total</t>
  </si>
  <si>
    <t>Old clusters Total</t>
  </si>
  <si>
    <t>C-M1 is in site Under refurbish</t>
  </si>
  <si>
    <t>C-M3 is in transit, Will be reached by 12.05.2025</t>
  </si>
  <si>
    <t>C-M4 machine Under installation</t>
  </si>
  <si>
    <t>Quantity  remediated Today  
(in MT)</t>
  </si>
  <si>
    <t>No.of Machines Functioning</t>
  </si>
  <si>
    <t>*Note</t>
  </si>
  <si>
    <t>Agency Waiting for Weighbridge Callibration</t>
  </si>
  <si>
    <t>Machine Under Installation</t>
  </si>
  <si>
    <t>Capacity of the Functioning Machines 
(in MT)</t>
  </si>
  <si>
    <t>Required rate of progress per day to complete by 2nd October 2025 (in MT)</t>
  </si>
  <si>
    <t>M10 is Functioning</t>
  </si>
  <si>
    <t>Agency Wise Legacy Waste Status Abstract as on 11.05.2025</t>
  </si>
  <si>
    <t>Ramachandra-puram</t>
  </si>
  <si>
    <t>Work is in Progress.</t>
  </si>
  <si>
    <t>Machine Capacity 800 Mt  to be Increased</t>
  </si>
  <si>
    <r>
      <t>1.M3 M/c shifted to Chittoor
2.</t>
    </r>
    <r>
      <rPr>
        <b/>
        <sz val="12"/>
        <color theme="1"/>
        <rFont val="Times New Roman"/>
        <family val="1"/>
      </rPr>
      <t>Machine capacity of 2800 Mt to be Increased</t>
    </r>
  </si>
  <si>
    <t>M4(M/C) Shifted to Puttur
If Madanapalle machine shifted on 05.09.2025, the capacity of machine to be increased to 1500MT or If New Machine is Installed on 15.05.2025 , 600 machine Capacity is required</t>
  </si>
  <si>
    <t>M5(M/C)Shifted from Punganur</t>
  </si>
  <si>
    <t xml:space="preserve">
500mt Capacity New Machine required</t>
  </si>
  <si>
    <t>M5(M/C)Shifted from Srikalahasti</t>
  </si>
  <si>
    <t>M5(M/C)Shifted from Venkatagiri</t>
  </si>
  <si>
    <t>M1(M/C)</t>
  </si>
  <si>
    <t>If Nellore machine shifted on 10.07.2025, the capacity of machine to be increased to 1200MT or If New Machine is Installed on 15.05.2025 , 1200 machine Capacity is required</t>
  </si>
  <si>
    <t>M6(M/C) shifted from Kuppam</t>
  </si>
  <si>
    <t>M7(M/C) shifted from Palamaneru</t>
  </si>
  <si>
    <t>M9(M/C) Shifted from Srikalahasti</t>
  </si>
  <si>
    <t>New Machine to be  Installed</t>
  </si>
  <si>
    <t>M10(M/C) Shifted fromm Sullurpet</t>
  </si>
  <si>
    <t>Machine arrived on 20.05.2025</t>
  </si>
  <si>
    <t>M6 M/c shifted from Giddalur</t>
  </si>
  <si>
    <t>Kdp-M1</t>
  </si>
  <si>
    <t>M12 is Functioning</t>
  </si>
  <si>
    <t>Material will be shifted  to 
Jangareddy Gudem</t>
  </si>
  <si>
    <t>Machine is functioning in Day &amp; Night Shifts</t>
  </si>
  <si>
    <t>Machine yet to arrived</t>
  </si>
  <si>
    <t>Machine at to arrived</t>
  </si>
  <si>
    <t>M4 functional is slow due to bad weather conditions</t>
  </si>
  <si>
    <t>M5 functional is slow due to bad weather conditions</t>
  </si>
  <si>
    <t>M27 is functioning</t>
  </si>
  <si>
    <t>M1 is functioning</t>
  </si>
  <si>
    <t>M2 is functioning</t>
  </si>
  <si>
    <t>Agency Wise Legacy Waste Status Abstract as on 13.05.2025</t>
  </si>
  <si>
    <t>Work is in Progress.
Agency Installed new Weighbridge.</t>
  </si>
  <si>
    <t>1a</t>
  </si>
  <si>
    <t>1b</t>
  </si>
  <si>
    <t>1c</t>
  </si>
  <si>
    <t>1d</t>
  </si>
  <si>
    <t>Srinivas (HINDUPUR Cluster)</t>
  </si>
  <si>
    <t>1e</t>
  </si>
  <si>
    <t>Srinivas Setty (ADDANKI Cluster)</t>
  </si>
  <si>
    <t xml:space="preserve">M/s Tharuni Assosiates, Guntur and Sub- Contractor s </t>
  </si>
  <si>
    <t xml:space="preserve"> Green Tech (KADAPA Cluster)</t>
  </si>
  <si>
    <t>Sub Total</t>
  </si>
  <si>
    <t>Coastl line (ELURU Cluster)</t>
  </si>
  <si>
    <t>Quantity  remediated on 13.05.2025
(in MT)</t>
  </si>
  <si>
    <t>Quantity  remediated on 12.05.2025
(in MT)</t>
  </si>
  <si>
    <t>Agency Wise Legacy Waste Details</t>
  </si>
  <si>
    <t>M6 functioning</t>
  </si>
  <si>
    <t>Quantity  remediated on 13.05.2025 
(in MT)</t>
  </si>
  <si>
    <t>Quantity  remediated on  12.05.2025 
(in MT)</t>
  </si>
  <si>
    <t>Work Completed</t>
  </si>
  <si>
    <t>Machine to be arrived at 20.05.2025</t>
  </si>
  <si>
    <r>
      <t xml:space="preserve">C-M4 Machinery will be shifted from </t>
    </r>
    <r>
      <rPr>
        <b/>
        <sz val="12"/>
        <color theme="1"/>
        <rFont val="Times New Roman"/>
        <family val="1"/>
      </rPr>
      <t>Machilipatnam</t>
    </r>
  </si>
  <si>
    <r>
      <t xml:space="preserve">C-M5 Machinery will be shifted from </t>
    </r>
    <r>
      <rPr>
        <b/>
        <sz val="12"/>
        <color theme="1"/>
        <rFont val="Times New Roman"/>
        <family val="1"/>
      </rPr>
      <t>Machilipatnam</t>
    </r>
  </si>
  <si>
    <r>
      <t xml:space="preserve">C-M1 Machinery will be shifted from </t>
    </r>
    <r>
      <rPr>
        <b/>
        <sz val="12"/>
        <color theme="1"/>
        <rFont val="Times New Roman"/>
        <family val="1"/>
      </rPr>
      <t>Eluru</t>
    </r>
  </si>
  <si>
    <r>
      <t xml:space="preserve">Material (915MT) Will be shifted to </t>
    </r>
    <r>
      <rPr>
        <b/>
        <sz val="12"/>
        <color theme="1"/>
        <rFont val="Times New Roman"/>
        <family val="1"/>
      </rPr>
      <t>Bhimavaram</t>
    </r>
  </si>
  <si>
    <t>Tharuni Assosiates-Coastline</t>
  </si>
  <si>
    <t xml:space="preserve">Tharuni Assosiates-Green Tech </t>
  </si>
  <si>
    <t>Tharuni Assosiates-Srinivas</t>
  </si>
  <si>
    <t>Tharuni Assosiates-Srinivas setty</t>
  </si>
  <si>
    <t>Machine yet to arrive</t>
  </si>
  <si>
    <t>Qunatity 2666MT will be shifted to Kurnool</t>
  </si>
  <si>
    <t>Due to Some Internal Concerns agency planed to  machine Install in Nandikotkur (Machine Yet to arrive)</t>
  </si>
  <si>
    <t>CumulativeQuantity remediated till date
(in MT)</t>
  </si>
  <si>
    <t>Quantity  remediated on 14.05.2025 
(in MT)</t>
  </si>
  <si>
    <t>Quantity  remediated on 14.05.2025
(in MT)</t>
  </si>
  <si>
    <t>M15 is functioning</t>
  </si>
  <si>
    <t>20.05.2025</t>
  </si>
  <si>
    <t xml:space="preserve">M4 is functioning </t>
  </si>
  <si>
    <t xml:space="preserve">M5 is functioning </t>
  </si>
  <si>
    <t>Agency Wise Legacy Waste Status Abstract as on 15.05.2025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</si>
</sst>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Bookman Old Style"/>
      <family val="1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Bookman Old Style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sz val="12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b/>
      <sz val="12"/>
      <color theme="1"/>
      <name val="Bookman Old Style"/>
      <family val="1"/>
    </font>
    <font>
      <b/>
      <sz val="18"/>
      <name val="Times New Roman"/>
      <family val="1"/>
    </font>
    <font>
      <sz val="18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6768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0" fontId="16" fillId="0" borderId="0"/>
    <xf numFmtId="0" fontId="1" fillId="0" borderId="0"/>
    <xf numFmtId="0" fontId="17" fillId="0" borderId="0"/>
    <xf numFmtId="0" fontId="18" fillId="0" borderId="0">
      <protection locked="0"/>
    </xf>
  </cellStyleXfs>
  <cellXfs count="477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6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3" fontId="2" fillId="0" borderId="1" xfId="1" applyFont="1" applyBorder="1" applyAlignment="1">
      <alignment vertical="center" wrapText="1"/>
    </xf>
    <xf numFmtId="43" fontId="3" fillId="0" borderId="1" xfId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5" fillId="0" borderId="1" xfId="1" applyFont="1" applyBorder="1" applyAlignment="1">
      <alignment horizontal="center" vertical="center" wrapText="1"/>
    </xf>
    <xf numFmtId="43" fontId="5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164" fontId="10" fillId="8" borderId="1" xfId="1" applyNumberFormat="1" applyFont="1" applyFill="1" applyBorder="1" applyAlignment="1">
      <alignment horizontal="center" vertical="center"/>
    </xf>
    <xf numFmtId="0" fontId="0" fillId="8" borderId="0" xfId="0" applyFill="1"/>
    <xf numFmtId="0" fontId="0" fillId="0" borderId="0" xfId="0" applyAlignment="1">
      <alignment horizontal="center"/>
    </xf>
    <xf numFmtId="0" fontId="11" fillId="8" borderId="1" xfId="0" applyFont="1" applyFill="1" applyBorder="1"/>
    <xf numFmtId="0" fontId="11" fillId="0" borderId="1" xfId="0" applyFont="1" applyBorder="1" applyAlignment="1">
      <alignment horizontal="left" vertical="center" wrapText="1"/>
    </xf>
    <xf numFmtId="0" fontId="11" fillId="9" borderId="1" xfId="0" applyFont="1" applyFill="1" applyBorder="1"/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horizontal="center" vertical="center"/>
    </xf>
    <xf numFmtId="43" fontId="7" fillId="10" borderId="1" xfId="1" applyFont="1" applyFill="1" applyBorder="1" applyAlignment="1">
      <alignment horizontal="center" vertical="center"/>
    </xf>
    <xf numFmtId="43" fontId="4" fillId="10" borderId="1" xfId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3" fontId="6" fillId="0" borderId="1" xfId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43" fontId="6" fillId="0" borderId="1" xfId="1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43" fontId="6" fillId="9" borderId="1" xfId="1" applyFont="1" applyFill="1" applyBorder="1" applyAlignment="1">
      <alignment vertical="center" wrapText="1"/>
    </xf>
    <xf numFmtId="164" fontId="6" fillId="9" borderId="1" xfId="1" applyNumberFormat="1" applyFont="1" applyFill="1" applyBorder="1" applyAlignment="1">
      <alignment vertical="center" wrapText="1"/>
    </xf>
    <xf numFmtId="164" fontId="3" fillId="0" borderId="1" xfId="1" applyNumberFormat="1" applyFont="1" applyBorder="1" applyAlignment="1">
      <alignment horizontal="center" vertical="center"/>
    </xf>
    <xf numFmtId="164" fontId="6" fillId="0" borderId="1" xfId="1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3" fillId="10" borderId="1" xfId="0" applyNumberFormat="1" applyFont="1" applyFill="1" applyBorder="1" applyAlignment="1">
      <alignment vertical="center"/>
    </xf>
    <xf numFmtId="43" fontId="7" fillId="10" borderId="1" xfId="1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43" fontId="4" fillId="9" borderId="1" xfId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164" fontId="4" fillId="0" borderId="1" xfId="1" applyNumberFormat="1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4" fontId="3" fillId="0" borderId="4" xfId="0" applyNumberFormat="1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164" fontId="14" fillId="5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64" fontId="10" fillId="8" borderId="1" xfId="1" applyNumberFormat="1" applyFont="1" applyFill="1" applyBorder="1" applyAlignment="1">
      <alignment horizontal="right" vertical="center"/>
    </xf>
    <xf numFmtId="164" fontId="10" fillId="8" borderId="1" xfId="1" applyNumberFormat="1" applyFont="1" applyFill="1" applyBorder="1" applyAlignment="1">
      <alignment vertical="center"/>
    </xf>
    <xf numFmtId="1" fontId="10" fillId="5" borderId="1" xfId="0" applyNumberFormat="1" applyFont="1" applyFill="1" applyBorder="1" applyAlignment="1">
      <alignment horizontal="center" vertical="center"/>
    </xf>
    <xf numFmtId="1" fontId="10" fillId="9" borderId="1" xfId="0" applyNumberFormat="1" applyFont="1" applyFill="1" applyBorder="1" applyAlignment="1">
      <alignment horizontal="center" vertical="center"/>
    </xf>
    <xf numFmtId="164" fontId="14" fillId="8" borderId="1" xfId="1" applyNumberFormat="1" applyFont="1" applyFill="1" applyBorder="1" applyAlignment="1">
      <alignment horizontal="left" vertical="center" wrapText="1"/>
    </xf>
    <xf numFmtId="164" fontId="10" fillId="8" borderId="1" xfId="1" applyNumberFormat="1" applyFont="1" applyFill="1" applyBorder="1" applyAlignment="1">
      <alignment horizontal="center" vertical="center" wrapText="1"/>
    </xf>
    <xf numFmtId="164" fontId="10" fillId="8" borderId="1" xfId="1" applyNumberFormat="1" applyFont="1" applyFill="1" applyBorder="1" applyAlignment="1">
      <alignment horizontal="right" vertical="center" wrapText="1"/>
    </xf>
    <xf numFmtId="164" fontId="14" fillId="9" borderId="1" xfId="1" applyNumberFormat="1" applyFont="1" applyFill="1" applyBorder="1" applyAlignment="1">
      <alignment vertical="center" wrapText="1"/>
    </xf>
    <xf numFmtId="0" fontId="11" fillId="0" borderId="0" xfId="0" applyFont="1"/>
    <xf numFmtId="164" fontId="11" fillId="0" borderId="1" xfId="1" applyNumberFormat="1" applyFont="1" applyFill="1" applyBorder="1" applyAlignment="1">
      <alignment horizontal="left" vertical="center" wrapText="1"/>
    </xf>
    <xf numFmtId="164" fontId="11" fillId="4" borderId="1" xfId="1" applyNumberFormat="1" applyFont="1" applyFill="1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64" fontId="12" fillId="0" borderId="1" xfId="1" applyNumberFormat="1" applyFont="1" applyFill="1" applyBorder="1" applyAlignment="1">
      <alignment horizontal="left" vertical="center" wrapText="1"/>
    </xf>
    <xf numFmtId="164" fontId="11" fillId="0" borderId="1" xfId="1" applyNumberFormat="1" applyFont="1" applyFill="1" applyBorder="1" applyAlignment="1">
      <alignment horizontal="center" vertical="center"/>
    </xf>
    <xf numFmtId="164" fontId="11" fillId="8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Fill="1" applyBorder="1" applyAlignment="1">
      <alignment horizontal="center" vertical="center" wrapText="1"/>
    </xf>
    <xf numFmtId="164" fontId="11" fillId="4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left" vertical="center" wrapText="1"/>
    </xf>
    <xf numFmtId="164" fontId="11" fillId="4" borderId="1" xfId="1" applyNumberFormat="1" applyFont="1" applyFill="1" applyBorder="1" applyAlignment="1">
      <alignment horizontal="center" vertical="center"/>
    </xf>
    <xf numFmtId="164" fontId="11" fillId="14" borderId="1" xfId="1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164" fontId="20" fillId="4" borderId="1" xfId="0" applyNumberFormat="1" applyFont="1" applyFill="1" applyBorder="1" applyAlignment="1">
      <alignment horizontal="right" vertical="center"/>
    </xf>
    <xf numFmtId="164" fontId="20" fillId="4" borderId="1" xfId="2" applyNumberFormat="1" applyFont="1" applyFill="1" applyBorder="1" applyAlignment="1">
      <alignment horizontal="center" vertical="center" wrapText="1"/>
    </xf>
    <xf numFmtId="9" fontId="20" fillId="4" borderId="1" xfId="2" applyFont="1" applyFill="1" applyBorder="1" applyAlignment="1">
      <alignment vertical="center" wrapText="1"/>
    </xf>
    <xf numFmtId="0" fontId="21" fillId="6" borderId="1" xfId="0" applyFont="1" applyFill="1" applyBorder="1"/>
    <xf numFmtId="0" fontId="20" fillId="6" borderId="1" xfId="0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horizontal="center" vertical="center" wrapText="1"/>
    </xf>
    <xf numFmtId="9" fontId="20" fillId="6" borderId="1" xfId="2" applyFont="1" applyFill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164" fontId="10" fillId="5" borderId="1" xfId="1" applyNumberFormat="1" applyFont="1" applyFill="1" applyBorder="1" applyAlignment="1">
      <alignment horizontal="right" vertical="center" wrapText="1"/>
    </xf>
    <xf numFmtId="164" fontId="10" fillId="5" borderId="1" xfId="1" applyNumberFormat="1" applyFont="1" applyFill="1" applyBorder="1" applyAlignment="1">
      <alignment horizontal="center" vertical="center" wrapText="1"/>
    </xf>
    <xf numFmtId="164" fontId="10" fillId="5" borderId="1" xfId="1" applyNumberFormat="1" applyFont="1" applyFill="1" applyBorder="1" applyAlignment="1">
      <alignment horizontal="left" vertical="center" wrapText="1"/>
    </xf>
    <xf numFmtId="164" fontId="10" fillId="5" borderId="1" xfId="0" applyNumberFormat="1" applyFont="1" applyFill="1" applyBorder="1" applyAlignment="1">
      <alignment horizontal="center" vertical="center"/>
    </xf>
    <xf numFmtId="43" fontId="10" fillId="5" borderId="1" xfId="0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 vertical="center"/>
    </xf>
    <xf numFmtId="43" fontId="10" fillId="2" borderId="1" xfId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left" vertical="center"/>
    </xf>
    <xf numFmtId="0" fontId="10" fillId="1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164" fontId="11" fillId="0" borderId="0" xfId="1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4" fontId="11" fillId="0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11" fillId="12" borderId="1" xfId="1" applyNumberFormat="1" applyFont="1" applyFill="1" applyBorder="1" applyAlignment="1">
      <alignment vertical="center"/>
    </xf>
    <xf numFmtId="164" fontId="11" fillId="12" borderId="1" xfId="1" applyNumberFormat="1" applyFont="1" applyFill="1" applyBorder="1" applyAlignment="1">
      <alignment vertical="center" wrapText="1"/>
    </xf>
    <xf numFmtId="164" fontId="11" fillId="0" borderId="1" xfId="1" applyNumberFormat="1" applyFont="1" applyBorder="1" applyAlignment="1">
      <alignment vertical="center"/>
    </xf>
    <xf numFmtId="164" fontId="10" fillId="0" borderId="1" xfId="1" applyNumberFormat="1" applyFont="1" applyBorder="1" applyAlignment="1">
      <alignment vertical="center"/>
    </xf>
    <xf numFmtId="164" fontId="10" fillId="5" borderId="1" xfId="1" applyNumberFormat="1" applyFont="1" applyFill="1" applyBorder="1" applyAlignment="1">
      <alignment vertical="center" wrapText="1"/>
    </xf>
    <xf numFmtId="164" fontId="10" fillId="2" borderId="1" xfId="1" applyNumberFormat="1" applyFont="1" applyFill="1" applyBorder="1" applyAlignment="1">
      <alignment vertical="center"/>
    </xf>
    <xf numFmtId="164" fontId="10" fillId="2" borderId="1" xfId="1" applyNumberFormat="1" applyFont="1" applyFill="1" applyBorder="1" applyAlignment="1">
      <alignment horizontal="right" vertical="center"/>
    </xf>
    <xf numFmtId="164" fontId="10" fillId="3" borderId="1" xfId="0" applyNumberFormat="1" applyFont="1" applyFill="1" applyBorder="1" applyAlignment="1">
      <alignment horizontal="center" vertical="center"/>
    </xf>
    <xf numFmtId="164" fontId="12" fillId="0" borderId="1" xfId="1" applyNumberFormat="1" applyFont="1" applyFill="1" applyBorder="1" applyAlignment="1">
      <alignment vertical="center" wrapText="1"/>
    </xf>
    <xf numFmtId="164" fontId="14" fillId="5" borderId="1" xfId="1" applyNumberFormat="1" applyFont="1" applyFill="1" applyBorder="1" applyAlignment="1">
      <alignment vertical="center" wrapText="1"/>
    </xf>
    <xf numFmtId="164" fontId="10" fillId="5" borderId="1" xfId="1" applyNumberFormat="1" applyFont="1" applyFill="1" applyBorder="1" applyAlignment="1">
      <alignment vertical="center"/>
    </xf>
    <xf numFmtId="164" fontId="12" fillId="0" borderId="1" xfId="1" applyNumberFormat="1" applyFont="1" applyFill="1" applyBorder="1" applyAlignment="1">
      <alignment vertical="center"/>
    </xf>
    <xf numFmtId="164" fontId="11" fillId="0" borderId="0" xfId="1" applyNumberFormat="1" applyFont="1" applyAlignment="1">
      <alignment horizontal="right" vertical="center"/>
    </xf>
    <xf numFmtId="164" fontId="11" fillId="0" borderId="0" xfId="0" applyNumberFormat="1" applyFont="1" applyAlignment="1">
      <alignment horizontal="center" vertical="center"/>
    </xf>
    <xf numFmtId="164" fontId="20" fillId="4" borderId="1" xfId="1" applyNumberFormat="1" applyFont="1" applyFill="1" applyBorder="1" applyAlignment="1">
      <alignment vertical="center" wrapText="1"/>
    </xf>
    <xf numFmtId="1" fontId="20" fillId="6" borderId="1" xfId="0" applyNumberFormat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64" fontId="20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0" fillId="2" borderId="1" xfId="0" applyFont="1" applyFill="1" applyBorder="1" applyAlignment="1">
      <alignment horizontal="center" wrapText="1"/>
    </xf>
    <xf numFmtId="164" fontId="22" fillId="4" borderId="1" xfId="0" applyNumberFormat="1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164" fontId="11" fillId="13" borderId="1" xfId="1" applyNumberFormat="1" applyFont="1" applyFill="1" applyBorder="1" applyAlignment="1">
      <alignment horizontal="center" vertical="center" wrapText="1"/>
    </xf>
    <xf numFmtId="164" fontId="10" fillId="0" borderId="1" xfId="1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wrapText="1"/>
    </xf>
    <xf numFmtId="14" fontId="0" fillId="0" borderId="0" xfId="0" applyNumberFormat="1" applyAlignment="1">
      <alignment horizontal="center"/>
    </xf>
    <xf numFmtId="14" fontId="11" fillId="0" borderId="0" xfId="0" applyNumberFormat="1" applyFont="1"/>
    <xf numFmtId="14" fontId="0" fillId="0" borderId="0" xfId="0" applyNumberFormat="1"/>
    <xf numFmtId="0" fontId="22" fillId="0" borderId="0" xfId="0" applyFont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9" fontId="22" fillId="4" borderId="1" xfId="2" applyFont="1" applyFill="1" applyBorder="1" applyAlignment="1">
      <alignment horizontal="center" vertical="center" wrapText="1"/>
    </xf>
    <xf numFmtId="9" fontId="22" fillId="0" borderId="0" xfId="2" applyFont="1" applyFill="1" applyBorder="1" applyAlignment="1">
      <alignment horizontal="center" vertical="center"/>
    </xf>
    <xf numFmtId="9" fontId="20" fillId="6" borderId="1" xfId="2" applyFont="1" applyFill="1" applyBorder="1" applyAlignment="1">
      <alignment horizontal="center" vertical="center"/>
    </xf>
    <xf numFmtId="9" fontId="20" fillId="2" borderId="1" xfId="2" applyFont="1" applyFill="1" applyBorder="1" applyAlignment="1">
      <alignment horizontal="center" vertical="center"/>
    </xf>
    <xf numFmtId="9" fontId="20" fillId="9" borderId="1" xfId="2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 wrapText="1"/>
    </xf>
    <xf numFmtId="9" fontId="22" fillId="6" borderId="1" xfId="2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9" fontId="0" fillId="0" borderId="0" xfId="2" applyFont="1"/>
    <xf numFmtId="164" fontId="22" fillId="4" borderId="1" xfId="2" applyNumberFormat="1" applyFont="1" applyFill="1" applyBorder="1" applyAlignment="1">
      <alignment horizontal="center" vertical="center" wrapText="1"/>
    </xf>
    <xf numFmtId="164" fontId="22" fillId="4" borderId="1" xfId="1" applyNumberFormat="1" applyFont="1" applyFill="1" applyBorder="1" applyAlignment="1">
      <alignment horizontal="center" vertical="center" wrapText="1"/>
    </xf>
    <xf numFmtId="164" fontId="22" fillId="6" borderId="1" xfId="0" applyNumberFormat="1" applyFont="1" applyFill="1" applyBorder="1" applyAlignment="1">
      <alignment horizontal="center" vertical="center"/>
    </xf>
    <xf numFmtId="164" fontId="22" fillId="6" borderId="1" xfId="1" applyNumberFormat="1" applyFont="1" applyFill="1" applyBorder="1" applyAlignment="1">
      <alignment horizontal="center" vertical="center" wrapText="1"/>
    </xf>
    <xf numFmtId="164" fontId="22" fillId="0" borderId="0" xfId="0" applyNumberFormat="1" applyFont="1" applyAlignment="1">
      <alignment horizontal="center" vertical="center"/>
    </xf>
    <xf numFmtId="164" fontId="22" fillId="0" borderId="0" xfId="1" applyNumberFormat="1" applyFont="1" applyFill="1" applyBorder="1" applyAlignment="1">
      <alignment horizontal="center" vertical="center" wrapText="1"/>
    </xf>
    <xf numFmtId="164" fontId="22" fillId="4" borderId="1" xfId="1" applyNumberFormat="1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164" fontId="20" fillId="6" borderId="1" xfId="1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164" fontId="20" fillId="2" borderId="1" xfId="1" applyNumberFormat="1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164" fontId="20" fillId="9" borderId="1" xfId="1" applyNumberFormat="1" applyFont="1" applyFill="1" applyBorder="1" applyAlignment="1">
      <alignment horizontal="center" vertical="center" wrapText="1"/>
    </xf>
    <xf numFmtId="164" fontId="10" fillId="9" borderId="1" xfId="1" applyNumberFormat="1" applyFont="1" applyFill="1" applyBorder="1" applyAlignment="1">
      <alignment horizontal="center" vertical="center"/>
    </xf>
    <xf numFmtId="164" fontId="14" fillId="8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center" vertical="center" wrapText="1"/>
    </xf>
    <xf numFmtId="164" fontId="14" fillId="5" borderId="1" xfId="1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/>
    </xf>
    <xf numFmtId="1" fontId="10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164" fontId="14" fillId="5" borderId="6" xfId="0" applyNumberFormat="1" applyFont="1" applyFill="1" applyBorder="1" applyAlignment="1">
      <alignment horizontal="center" vertical="center" wrapText="1"/>
    </xf>
    <xf numFmtId="164" fontId="14" fillId="15" borderId="1" xfId="1" applyNumberFormat="1" applyFont="1" applyFill="1" applyBorder="1" applyAlignment="1">
      <alignment vertical="center" wrapText="1"/>
    </xf>
    <xf numFmtId="0" fontId="22" fillId="16" borderId="1" xfId="0" applyFont="1" applyFill="1" applyBorder="1" applyAlignment="1">
      <alignment horizontal="center" vertical="center" wrapText="1"/>
    </xf>
    <xf numFmtId="164" fontId="22" fillId="16" borderId="1" xfId="1" applyNumberFormat="1" applyFont="1" applyFill="1" applyBorder="1" applyAlignment="1">
      <alignment horizontal="center" vertical="center" wrapText="1"/>
    </xf>
    <xf numFmtId="164" fontId="22" fillId="4" borderId="1" xfId="1" applyNumberFormat="1" applyFont="1" applyFill="1" applyBorder="1" applyAlignment="1">
      <alignment vertical="center" wrapText="1"/>
    </xf>
    <xf numFmtId="164" fontId="22" fillId="16" borderId="1" xfId="1" applyNumberFormat="1" applyFont="1" applyFill="1" applyBorder="1" applyAlignment="1">
      <alignment vertical="center" wrapText="1"/>
    </xf>
    <xf numFmtId="164" fontId="22" fillId="6" borderId="1" xfId="1" applyNumberFormat="1" applyFont="1" applyFill="1" applyBorder="1" applyAlignment="1">
      <alignment vertical="center" wrapText="1"/>
    </xf>
    <xf numFmtId="9" fontId="22" fillId="16" borderId="1" xfId="2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wrapText="1"/>
    </xf>
    <xf numFmtId="164" fontId="12" fillId="0" borderId="2" xfId="1" applyNumberFormat="1" applyFont="1" applyBorder="1" applyAlignment="1">
      <alignment horizontal="center" vertical="center" wrapText="1"/>
    </xf>
    <xf numFmtId="164" fontId="11" fillId="0" borderId="2" xfId="1" applyNumberFormat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12" fillId="0" borderId="1" xfId="1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22" fillId="17" borderId="1" xfId="0" applyFont="1" applyFill="1" applyBorder="1" applyAlignment="1">
      <alignment horizontal="center" vertical="center" wrapText="1"/>
    </xf>
    <xf numFmtId="164" fontId="14" fillId="15" borderId="1" xfId="1" applyNumberFormat="1" applyFont="1" applyFill="1" applyBorder="1" applyAlignment="1">
      <alignment horizontal="center" vertical="center" wrapText="1"/>
    </xf>
    <xf numFmtId="164" fontId="10" fillId="3" borderId="3" xfId="1" applyNumberFormat="1" applyFont="1" applyFill="1" applyBorder="1" applyAlignment="1">
      <alignment horizontal="center" vertical="center"/>
    </xf>
    <xf numFmtId="164" fontId="10" fillId="3" borderId="1" xfId="1" applyNumberFormat="1" applyFont="1" applyFill="1" applyBorder="1" applyAlignment="1">
      <alignment horizontal="center" vertical="center"/>
    </xf>
    <xf numFmtId="164" fontId="10" fillId="3" borderId="1" xfId="1" applyNumberFormat="1" applyFont="1" applyFill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right" vertical="center"/>
    </xf>
    <xf numFmtId="164" fontId="11" fillId="0" borderId="1" xfId="1" applyNumberFormat="1" applyFont="1" applyBorder="1" applyAlignment="1">
      <alignment horizontal="left" vertical="center" wrapText="1"/>
    </xf>
    <xf numFmtId="164" fontId="12" fillId="4" borderId="2" xfId="1" applyNumberFormat="1" applyFont="1" applyFill="1" applyBorder="1" applyAlignment="1">
      <alignment horizontal="center" vertical="center" wrapText="1"/>
    </xf>
    <xf numFmtId="164" fontId="12" fillId="0" borderId="1" xfId="1" applyNumberFormat="1" applyFont="1" applyBorder="1" applyAlignment="1">
      <alignment horizontal="center" vertical="center" wrapText="1"/>
    </xf>
    <xf numFmtId="164" fontId="12" fillId="4" borderId="5" xfId="1" applyNumberFormat="1" applyFont="1" applyFill="1" applyBorder="1" applyAlignment="1">
      <alignment horizontal="center" vertical="center" wrapText="1"/>
    </xf>
    <xf numFmtId="164" fontId="11" fillId="13" borderId="1" xfId="1" applyNumberFormat="1" applyFont="1" applyFill="1" applyBorder="1" applyAlignment="1">
      <alignment horizontal="center" vertical="center"/>
    </xf>
    <xf numFmtId="164" fontId="11" fillId="0" borderId="3" xfId="1" applyNumberFormat="1" applyFont="1" applyBorder="1" applyAlignment="1">
      <alignment horizontal="center" vertical="center" wrapText="1"/>
    </xf>
    <xf numFmtId="164" fontId="14" fillId="5" borderId="1" xfId="1" applyNumberFormat="1" applyFont="1" applyFill="1" applyBorder="1" applyAlignment="1">
      <alignment horizontal="right" vertical="center" wrapText="1"/>
    </xf>
    <xf numFmtId="164" fontId="14" fillId="5" borderId="1" xfId="1" applyNumberFormat="1" applyFont="1" applyFill="1" applyBorder="1" applyAlignment="1">
      <alignment horizontal="left" vertical="center" wrapText="1"/>
    </xf>
    <xf numFmtId="164" fontId="11" fillId="12" borderId="1" xfId="1" applyNumberFormat="1" applyFont="1" applyFill="1" applyBorder="1" applyAlignment="1">
      <alignment horizontal="center" vertical="center"/>
    </xf>
    <xf numFmtId="164" fontId="14" fillId="15" borderId="1" xfId="1" applyNumberFormat="1" applyFont="1" applyFill="1" applyBorder="1" applyAlignment="1">
      <alignment horizontal="left" vertical="center" wrapText="1"/>
    </xf>
    <xf numFmtId="164" fontId="11" fillId="12" borderId="1" xfId="1" applyNumberFormat="1" applyFont="1" applyFill="1" applyBorder="1" applyAlignment="1">
      <alignment horizontal="center" vertical="center" wrapText="1"/>
    </xf>
    <xf numFmtId="164" fontId="11" fillId="12" borderId="1" xfId="1" applyNumberFormat="1" applyFont="1" applyFill="1" applyBorder="1" applyAlignment="1">
      <alignment horizontal="right" vertical="center"/>
    </xf>
    <xf numFmtId="164" fontId="11" fillId="12" borderId="1" xfId="1" applyNumberFormat="1" applyFont="1" applyFill="1" applyBorder="1" applyAlignment="1">
      <alignment horizontal="left" vertical="center"/>
    </xf>
    <xf numFmtId="164" fontId="11" fillId="0" borderId="1" xfId="1" applyNumberFormat="1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left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0" fillId="5" borderId="1" xfId="1" applyNumberFormat="1" applyFont="1" applyFill="1" applyBorder="1" applyAlignment="1">
      <alignment horizontal="center" vertical="center"/>
    </xf>
    <xf numFmtId="164" fontId="10" fillId="5" borderId="1" xfId="1" applyNumberFormat="1" applyFont="1" applyFill="1" applyBorder="1" applyAlignment="1">
      <alignment horizontal="right" vertical="center"/>
    </xf>
    <xf numFmtId="164" fontId="10" fillId="5" borderId="1" xfId="1" applyNumberFormat="1" applyFont="1" applyFill="1" applyBorder="1" applyAlignment="1">
      <alignment horizontal="left" vertical="center"/>
    </xf>
    <xf numFmtId="164" fontId="14" fillId="2" borderId="1" xfId="1" applyNumberFormat="1" applyFont="1" applyFill="1" applyBorder="1" applyAlignment="1">
      <alignment horizontal="center" vertical="center"/>
    </xf>
    <xf numFmtId="164" fontId="11" fillId="0" borderId="0" xfId="1" applyNumberFormat="1" applyFont="1" applyAlignment="1">
      <alignment vertical="center"/>
    </xf>
    <xf numFmtId="164" fontId="11" fillId="0" borderId="0" xfId="1" applyNumberFormat="1" applyFont="1" applyAlignment="1">
      <alignment horizontal="left" vertical="center" wrapText="1"/>
    </xf>
    <xf numFmtId="164" fontId="12" fillId="0" borderId="1" xfId="1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right" vertical="center"/>
    </xf>
    <xf numFmtId="164" fontId="11" fillId="14" borderId="1" xfId="1" applyNumberFormat="1" applyFont="1" applyFill="1" applyBorder="1" applyAlignment="1">
      <alignment horizontal="center" vertical="center"/>
    </xf>
    <xf numFmtId="164" fontId="10" fillId="3" borderId="1" xfId="1" applyNumberFormat="1" applyFont="1" applyFill="1" applyBorder="1" applyAlignment="1">
      <alignment vertical="center"/>
    </xf>
    <xf numFmtId="164" fontId="10" fillId="3" borderId="3" xfId="1" applyNumberFormat="1" applyFont="1" applyFill="1" applyBorder="1" applyAlignment="1">
      <alignment vertical="center"/>
    </xf>
    <xf numFmtId="164" fontId="10" fillId="3" borderId="1" xfId="1" applyNumberFormat="1" applyFont="1" applyFill="1" applyBorder="1" applyAlignment="1">
      <alignment vertical="center" wrapText="1"/>
    </xf>
    <xf numFmtId="164" fontId="10" fillId="0" borderId="1" xfId="1" applyNumberFormat="1" applyFont="1" applyBorder="1" applyAlignment="1">
      <alignment horizontal="left" vertical="center" wrapText="1"/>
    </xf>
    <xf numFmtId="164" fontId="11" fillId="8" borderId="1" xfId="1" applyNumberFormat="1" applyFont="1" applyFill="1" applyBorder="1" applyAlignment="1">
      <alignment horizontal="left" vertical="center" wrapText="1"/>
    </xf>
    <xf numFmtId="164" fontId="11" fillId="9" borderId="1" xfId="1" applyNumberFormat="1" applyFont="1" applyFill="1" applyBorder="1" applyAlignment="1">
      <alignment horizontal="center" vertical="center"/>
    </xf>
    <xf numFmtId="164" fontId="11" fillId="9" borderId="1" xfId="1" applyNumberFormat="1" applyFont="1" applyFill="1" applyBorder="1" applyAlignment="1">
      <alignment vertical="center"/>
    </xf>
    <xf numFmtId="164" fontId="10" fillId="9" borderId="1" xfId="1" applyNumberFormat="1" applyFont="1" applyFill="1" applyBorder="1" applyAlignment="1">
      <alignment vertical="center" wrapText="1"/>
    </xf>
    <xf numFmtId="164" fontId="10" fillId="9" borderId="1" xfId="1" applyNumberFormat="1" applyFont="1" applyFill="1" applyBorder="1" applyAlignment="1">
      <alignment vertical="center"/>
    </xf>
    <xf numFmtId="164" fontId="10" fillId="9" borderId="1" xfId="1" applyNumberFormat="1" applyFont="1" applyFill="1" applyBorder="1" applyAlignment="1">
      <alignment horizontal="right" vertical="center"/>
    </xf>
    <xf numFmtId="164" fontId="11" fillId="9" borderId="1" xfId="1" applyNumberFormat="1" applyFont="1" applyFill="1" applyBorder="1" applyAlignment="1">
      <alignment horizontal="left" vertical="center" wrapText="1"/>
    </xf>
    <xf numFmtId="164" fontId="3" fillId="0" borderId="1" xfId="1" applyNumberFormat="1" applyFont="1" applyBorder="1" applyAlignment="1">
      <alignment horizontal="left" vertical="center" wrapText="1"/>
    </xf>
    <xf numFmtId="164" fontId="12" fillId="8" borderId="1" xfId="1" applyNumberFormat="1" applyFont="1" applyFill="1" applyBorder="1" applyAlignment="1">
      <alignment horizontal="center" vertical="center" wrapText="1"/>
    </xf>
    <xf numFmtId="164" fontId="12" fillId="0" borderId="1" xfId="1" applyNumberFormat="1" applyFont="1" applyBorder="1" applyAlignment="1">
      <alignment horizontal="justify" vertical="center" wrapText="1"/>
    </xf>
    <xf numFmtId="164" fontId="11" fillId="8" borderId="1" xfId="1" applyNumberFormat="1" applyFont="1" applyFill="1" applyBorder="1"/>
    <xf numFmtId="164" fontId="11" fillId="8" borderId="1" xfId="1" applyNumberFormat="1" applyFont="1" applyFill="1" applyBorder="1" applyAlignment="1">
      <alignment vertical="center"/>
    </xf>
    <xf numFmtId="164" fontId="11" fillId="8" borderId="1" xfId="1" applyNumberFormat="1" applyFont="1" applyFill="1" applyBorder="1" applyAlignment="1">
      <alignment horizontal="left" vertical="center"/>
    </xf>
    <xf numFmtId="164" fontId="11" fillId="9" borderId="1" xfId="1" applyNumberFormat="1" applyFont="1" applyFill="1" applyBorder="1"/>
    <xf numFmtId="164" fontId="11" fillId="9" borderId="1" xfId="1" applyNumberFormat="1" applyFont="1" applyFill="1" applyBorder="1" applyAlignment="1">
      <alignment horizontal="left" vertical="center"/>
    </xf>
    <xf numFmtId="14" fontId="11" fillId="0" borderId="1" xfId="1" applyNumberFormat="1" applyFont="1" applyBorder="1" applyAlignment="1">
      <alignment horizontal="center" vertical="center"/>
    </xf>
    <xf numFmtId="14" fontId="12" fillId="0" borderId="1" xfId="1" applyNumberFormat="1" applyFont="1" applyBorder="1" applyAlignment="1">
      <alignment horizontal="center" vertical="center"/>
    </xf>
    <xf numFmtId="14" fontId="14" fillId="5" borderId="1" xfId="1" applyNumberFormat="1" applyFont="1" applyFill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 wrapText="1"/>
    </xf>
    <xf numFmtId="14" fontId="11" fillId="8" borderId="1" xfId="1" applyNumberFormat="1" applyFont="1" applyFill="1" applyBorder="1" applyAlignment="1">
      <alignment horizontal="center" vertical="center"/>
    </xf>
    <xf numFmtId="14" fontId="11" fillId="9" borderId="1" xfId="1" applyNumberFormat="1" applyFont="1" applyFill="1" applyBorder="1" applyAlignment="1">
      <alignment vertical="center"/>
    </xf>
    <xf numFmtId="0" fontId="20" fillId="7" borderId="1" xfId="0" applyFont="1" applyFill="1" applyBorder="1" applyAlignment="1">
      <alignment horizontal="center" vertical="center" wrapText="1"/>
    </xf>
    <xf numFmtId="164" fontId="12" fillId="4" borderId="2" xfId="1" applyNumberFormat="1" applyFont="1" applyFill="1" applyBorder="1" applyAlignment="1">
      <alignment horizontal="center" vertical="center" wrapText="1"/>
    </xf>
    <xf numFmtId="164" fontId="12" fillId="4" borderId="5" xfId="1" applyNumberFormat="1" applyFont="1" applyFill="1" applyBorder="1" applyAlignment="1">
      <alignment horizontal="center" vertical="center" wrapText="1"/>
    </xf>
    <xf numFmtId="164" fontId="11" fillId="0" borderId="2" xfId="1" applyNumberFormat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164" fontId="12" fillId="0" borderId="2" xfId="1" applyNumberFormat="1" applyFont="1" applyBorder="1" applyAlignment="1">
      <alignment horizontal="center" vertical="center" wrapText="1"/>
    </xf>
    <xf numFmtId="164" fontId="10" fillId="2" borderId="1" xfId="1" applyNumberFormat="1" applyFont="1" applyFill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 wrapText="1"/>
    </xf>
    <xf numFmtId="164" fontId="12" fillId="0" borderId="1" xfId="1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wrapText="1"/>
    </xf>
    <xf numFmtId="164" fontId="11" fillId="0" borderId="2" xfId="1" applyNumberFormat="1" applyFont="1" applyBorder="1" applyAlignment="1">
      <alignment horizontal="center" vertical="center"/>
    </xf>
    <xf numFmtId="164" fontId="11" fillId="0" borderId="4" xfId="1" applyNumberFormat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wrapText="1"/>
    </xf>
    <xf numFmtId="0" fontId="22" fillId="4" borderId="2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22" fillId="16" borderId="3" xfId="0" applyFont="1" applyFill="1" applyBorder="1" applyAlignment="1">
      <alignment horizontal="center" vertical="center"/>
    </xf>
    <xf numFmtId="0" fontId="22" fillId="16" borderId="6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0" fontId="22" fillId="6" borderId="3" xfId="0" applyFont="1" applyFill="1" applyBorder="1" applyAlignment="1">
      <alignment horizontal="center" vertical="center" wrapText="1"/>
    </xf>
    <xf numFmtId="0" fontId="22" fillId="6" borderId="6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4" fontId="14" fillId="5" borderId="3" xfId="1" applyNumberFormat="1" applyFont="1" applyFill="1" applyBorder="1" applyAlignment="1">
      <alignment horizontal="center" vertical="center" wrapText="1"/>
    </xf>
    <xf numFmtId="164" fontId="14" fillId="5" borderId="7" xfId="1" applyNumberFormat="1" applyFont="1" applyFill="1" applyBorder="1" applyAlignment="1">
      <alignment horizontal="center" vertical="center" wrapText="1"/>
    </xf>
    <xf numFmtId="164" fontId="14" fillId="5" borderId="6" xfId="1" applyNumberFormat="1" applyFont="1" applyFill="1" applyBorder="1" applyAlignment="1">
      <alignment horizontal="center" vertical="center" wrapText="1"/>
    </xf>
    <xf numFmtId="164" fontId="11" fillId="0" borderId="2" xfId="1" applyNumberFormat="1" applyFont="1" applyBorder="1" applyAlignment="1">
      <alignment horizontal="center" vertical="center" wrapText="1"/>
    </xf>
    <xf numFmtId="164" fontId="11" fillId="0" borderId="4" xfId="1" applyNumberFormat="1" applyFont="1" applyBorder="1" applyAlignment="1">
      <alignment horizontal="center" vertical="center" wrapText="1"/>
    </xf>
    <xf numFmtId="164" fontId="11" fillId="0" borderId="5" xfId="1" applyNumberFormat="1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164" fontId="11" fillId="0" borderId="2" xfId="1" applyNumberFormat="1" applyFont="1" applyBorder="1" applyAlignment="1">
      <alignment horizontal="center" vertical="center"/>
    </xf>
    <xf numFmtId="164" fontId="11" fillId="0" borderId="4" xfId="1" applyNumberFormat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164" fontId="14" fillId="0" borderId="0" xfId="1" applyNumberFormat="1" applyFont="1" applyAlignment="1">
      <alignment horizontal="center" vertical="center" wrapText="1"/>
    </xf>
    <xf numFmtId="164" fontId="12" fillId="0" borderId="2" xfId="1" applyNumberFormat="1" applyFont="1" applyBorder="1" applyAlignment="1">
      <alignment horizontal="center" vertical="center" wrapText="1"/>
    </xf>
    <xf numFmtId="164" fontId="12" fillId="0" borderId="4" xfId="1" applyNumberFormat="1" applyFont="1" applyBorder="1" applyAlignment="1">
      <alignment horizontal="center" vertical="center" wrapText="1"/>
    </xf>
    <xf numFmtId="164" fontId="12" fillId="0" borderId="5" xfId="1" applyNumberFormat="1" applyFont="1" applyBorder="1" applyAlignment="1">
      <alignment horizontal="center" vertical="center" wrapText="1"/>
    </xf>
    <xf numFmtId="164" fontId="14" fillId="2" borderId="3" xfId="1" applyNumberFormat="1" applyFont="1" applyFill="1" applyBorder="1" applyAlignment="1">
      <alignment horizontal="center" vertical="center"/>
    </xf>
    <xf numFmtId="164" fontId="14" fillId="2" borderId="7" xfId="1" applyNumberFormat="1" applyFont="1" applyFill="1" applyBorder="1" applyAlignment="1">
      <alignment horizontal="center" vertical="center"/>
    </xf>
    <xf numFmtId="164" fontId="14" fillId="2" borderId="6" xfId="1" applyNumberFormat="1" applyFont="1" applyFill="1" applyBorder="1" applyAlignment="1">
      <alignment horizontal="center" vertical="center"/>
    </xf>
    <xf numFmtId="164" fontId="14" fillId="15" borderId="3" xfId="1" applyNumberFormat="1" applyFont="1" applyFill="1" applyBorder="1" applyAlignment="1">
      <alignment horizontal="center" vertical="center" wrapText="1"/>
    </xf>
    <xf numFmtId="164" fontId="14" fillId="15" borderId="6" xfId="1" applyNumberFormat="1" applyFont="1" applyFill="1" applyBorder="1" applyAlignment="1">
      <alignment horizontal="center" vertical="center" wrapText="1"/>
    </xf>
    <xf numFmtId="164" fontId="10" fillId="2" borderId="1" xfId="1" applyNumberFormat="1" applyFont="1" applyFill="1" applyBorder="1" applyAlignment="1">
      <alignment horizontal="center" vertical="center" wrapText="1"/>
    </xf>
    <xf numFmtId="164" fontId="10" fillId="2" borderId="1" xfId="1" applyNumberFormat="1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164" fontId="10" fillId="2" borderId="1" xfId="1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/>
    </xf>
    <xf numFmtId="164" fontId="10" fillId="2" borderId="2" xfId="1" applyNumberFormat="1" applyFont="1" applyFill="1" applyBorder="1" applyAlignment="1">
      <alignment horizontal="center" vertical="center"/>
    </xf>
    <xf numFmtId="164" fontId="10" fillId="2" borderId="5" xfId="1" applyNumberFormat="1" applyFont="1" applyFill="1" applyBorder="1" applyAlignment="1">
      <alignment horizontal="center"/>
    </xf>
    <xf numFmtId="164" fontId="10" fillId="2" borderId="2" xfId="1" applyNumberFormat="1" applyFont="1" applyFill="1" applyBorder="1" applyAlignment="1">
      <alignment horizontal="center" vertical="center" wrapText="1"/>
    </xf>
    <xf numFmtId="164" fontId="10" fillId="2" borderId="5" xfId="1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164" fontId="11" fillId="0" borderId="2" xfId="1" applyNumberFormat="1" applyFont="1" applyFill="1" applyBorder="1" applyAlignment="1">
      <alignment vertical="center"/>
    </xf>
    <xf numFmtId="164" fontId="11" fillId="0" borderId="5" xfId="1" applyNumberFormat="1" applyFont="1" applyFill="1" applyBorder="1" applyAlignment="1">
      <alignment vertical="center"/>
    </xf>
    <xf numFmtId="164" fontId="11" fillId="0" borderId="2" xfId="1" applyNumberFormat="1" applyFont="1" applyBorder="1" applyAlignment="1">
      <alignment vertical="center"/>
    </xf>
    <xf numFmtId="164" fontId="11" fillId="0" borderId="5" xfId="1" applyNumberFormat="1" applyFont="1" applyBorder="1" applyAlignment="1">
      <alignment vertical="center"/>
    </xf>
    <xf numFmtId="164" fontId="11" fillId="0" borderId="4" xfId="1" applyNumberFormat="1" applyFont="1" applyBorder="1" applyAlignment="1">
      <alignment vertical="center"/>
    </xf>
    <xf numFmtId="164" fontId="11" fillId="0" borderId="2" xfId="1" applyNumberFormat="1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vertical="center"/>
    </xf>
    <xf numFmtId="0" fontId="25" fillId="0" borderId="3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164" fontId="12" fillId="4" borderId="2" xfId="1" applyNumberFormat="1" applyFont="1" applyFill="1" applyBorder="1" applyAlignment="1">
      <alignment horizontal="center" vertical="center" wrapText="1"/>
    </xf>
    <xf numFmtId="164" fontId="12" fillId="4" borderId="5" xfId="1" applyNumberFormat="1" applyFont="1" applyFill="1" applyBorder="1" applyAlignment="1">
      <alignment horizontal="center" vertical="center" wrapText="1"/>
    </xf>
    <xf numFmtId="164" fontId="10" fillId="2" borderId="5" xfId="1" applyNumberFormat="1" applyFont="1" applyFill="1" applyBorder="1" applyAlignment="1">
      <alignment horizontal="center" vertical="center"/>
    </xf>
    <xf numFmtId="164" fontId="12" fillId="0" borderId="2" xfId="1" applyNumberFormat="1" applyFont="1" applyBorder="1" applyAlignment="1">
      <alignment vertical="center"/>
    </xf>
    <xf numFmtId="164" fontId="12" fillId="0" borderId="5" xfId="1" applyNumberFormat="1" applyFont="1" applyBorder="1" applyAlignment="1">
      <alignment vertical="center"/>
    </xf>
    <xf numFmtId="164" fontId="12" fillId="0" borderId="2" xfId="1" applyNumberFormat="1" applyFont="1" applyBorder="1" applyAlignment="1">
      <alignment horizontal="center" vertical="center"/>
    </xf>
    <xf numFmtId="164" fontId="12" fillId="0" borderId="5" xfId="1" applyNumberFormat="1" applyFont="1" applyBorder="1" applyAlignment="1">
      <alignment horizontal="center" vertical="center"/>
    </xf>
    <xf numFmtId="14" fontId="12" fillId="0" borderId="2" xfId="1" applyNumberFormat="1" applyFont="1" applyBorder="1" applyAlignment="1">
      <alignment horizontal="center" vertical="center"/>
    </xf>
    <xf numFmtId="14" fontId="12" fillId="0" borderId="5" xfId="1" applyNumberFormat="1" applyFont="1" applyBorder="1" applyAlignment="1">
      <alignment horizontal="center" vertical="center"/>
    </xf>
    <xf numFmtId="14" fontId="11" fillId="0" borderId="2" xfId="1" applyNumberFormat="1" applyFont="1" applyBorder="1" applyAlignment="1">
      <alignment horizontal="center" vertical="center"/>
    </xf>
    <xf numFmtId="14" fontId="11" fillId="0" borderId="5" xfId="1" applyNumberFormat="1" applyFont="1" applyBorder="1" applyAlignment="1">
      <alignment horizontal="center" vertical="center"/>
    </xf>
    <xf numFmtId="14" fontId="10" fillId="2" borderId="2" xfId="0" applyNumberFormat="1" applyFont="1" applyFill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14" fontId="10" fillId="2" borderId="2" xfId="1" applyNumberFormat="1" applyFont="1" applyFill="1" applyBorder="1" applyAlignment="1">
      <alignment horizontal="center" vertical="center"/>
    </xf>
    <xf numFmtId="14" fontId="10" fillId="2" borderId="5" xfId="1" applyNumberFormat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wrapText="1"/>
    </xf>
    <xf numFmtId="164" fontId="11" fillId="0" borderId="1" xfId="1" applyNumberFormat="1" applyFont="1" applyFill="1" applyBorder="1" applyAlignment="1">
      <alignment horizontal="center" vertical="center" wrapText="1"/>
    </xf>
    <xf numFmtId="164" fontId="12" fillId="0" borderId="1" xfId="1" applyNumberFormat="1" applyFont="1" applyFill="1" applyBorder="1" applyAlignment="1">
      <alignment horizontal="center" vertical="center" wrapText="1"/>
    </xf>
    <xf numFmtId="164" fontId="12" fillId="0" borderId="2" xfId="1" applyNumberFormat="1" applyFont="1" applyFill="1" applyBorder="1" applyAlignment="1">
      <alignment horizontal="center" vertical="center" wrapText="1"/>
    </xf>
    <xf numFmtId="164" fontId="12" fillId="0" borderId="5" xfId="1" applyNumberFormat="1" applyFont="1" applyFill="1" applyBorder="1" applyAlignment="1">
      <alignment horizontal="center" vertical="center" wrapText="1"/>
    </xf>
    <xf numFmtId="164" fontId="12" fillId="0" borderId="4" xfId="1" applyNumberFormat="1" applyFont="1" applyFill="1" applyBorder="1" applyAlignment="1">
      <alignment horizontal="center" vertical="center" wrapText="1"/>
    </xf>
    <xf numFmtId="164" fontId="11" fillId="4" borderId="2" xfId="1" applyNumberFormat="1" applyFont="1" applyFill="1" applyBorder="1" applyAlignment="1">
      <alignment horizontal="center" vertical="center" wrapText="1"/>
    </xf>
    <xf numFmtId="164" fontId="11" fillId="4" borderId="5" xfId="1" applyNumberFormat="1" applyFont="1" applyFill="1" applyBorder="1" applyAlignment="1">
      <alignment horizontal="center" vertical="center" wrapText="1"/>
    </xf>
    <xf numFmtId="164" fontId="11" fillId="0" borderId="5" xfId="1" applyNumberFormat="1" applyFont="1" applyFill="1" applyBorder="1" applyAlignment="1">
      <alignment horizontal="center" vertical="center"/>
    </xf>
    <xf numFmtId="164" fontId="11" fillId="0" borderId="2" xfId="1" applyNumberFormat="1" applyFont="1" applyFill="1" applyBorder="1" applyAlignment="1">
      <alignment horizontal="center" vertical="center" wrapText="1"/>
    </xf>
    <xf numFmtId="164" fontId="11" fillId="0" borderId="5" xfId="1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/>
    </xf>
    <xf numFmtId="1" fontId="10" fillId="5" borderId="1" xfId="0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164" fontId="10" fillId="0" borderId="2" xfId="1" applyNumberFormat="1" applyFont="1" applyBorder="1" applyAlignment="1">
      <alignment horizontal="center" vertical="center" wrapText="1"/>
    </xf>
    <xf numFmtId="164" fontId="10" fillId="0" borderId="4" xfId="1" applyNumberFormat="1" applyFont="1" applyBorder="1" applyAlignment="1">
      <alignment horizontal="center" vertical="center" wrapText="1"/>
    </xf>
    <xf numFmtId="164" fontId="10" fillId="0" borderId="5" xfId="1" applyNumberFormat="1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 wrapText="1"/>
    </xf>
    <xf numFmtId="164" fontId="0" fillId="0" borderId="5" xfId="1" applyNumberFormat="1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6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14" fontId="14" fillId="15" borderId="1" xfId="1" applyNumberFormat="1" applyFont="1" applyFill="1" applyBorder="1" applyAlignment="1">
      <alignment vertical="center" wrapText="1"/>
    </xf>
    <xf numFmtId="14" fontId="11" fillId="12" borderId="1" xfId="1" applyNumberFormat="1" applyFont="1" applyFill="1" applyBorder="1" applyAlignment="1">
      <alignment horizontal="center" vertical="center"/>
    </xf>
    <xf numFmtId="14" fontId="10" fillId="5" borderId="1" xfId="1" applyNumberFormat="1" applyFont="1" applyFill="1" applyBorder="1" applyAlignment="1">
      <alignment horizontal="center" vertical="center" wrapText="1"/>
    </xf>
    <xf numFmtId="14" fontId="11" fillId="12" borderId="1" xfId="1" applyNumberFormat="1" applyFont="1" applyFill="1" applyBorder="1" applyAlignment="1">
      <alignment vertical="center"/>
    </xf>
    <xf numFmtId="14" fontId="10" fillId="5" borderId="1" xfId="1" applyNumberFormat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14" fontId="14" fillId="5" borderId="1" xfId="1" applyNumberFormat="1" applyFont="1" applyFill="1" applyBorder="1" applyAlignment="1">
      <alignment vertical="center" wrapText="1"/>
    </xf>
    <xf numFmtId="14" fontId="11" fillId="0" borderId="0" xfId="1" applyNumberFormat="1" applyFont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vertical="center"/>
    </xf>
    <xf numFmtId="0" fontId="11" fillId="0" borderId="1" xfId="1" applyNumberFormat="1" applyFont="1" applyBorder="1" applyAlignment="1">
      <alignment horizontal="center" vertical="center"/>
    </xf>
  </cellXfs>
  <cellStyles count="9">
    <cellStyle name="Comma" xfId="1" builtinId="3"/>
    <cellStyle name="Comma 2" xfId="3"/>
    <cellStyle name="Normal" xfId="0" builtinId="0"/>
    <cellStyle name="Normal 2" xfId="4"/>
    <cellStyle name="Normal 2 2" xfId="6"/>
    <cellStyle name="Normal 3" xfId="5"/>
    <cellStyle name="Normal 4" xfId="7"/>
    <cellStyle name="Normal 9" xfId="8"/>
    <cellStyle name="Percent" xfId="2" builtinId="5"/>
  </cellStyles>
  <dxfs count="0"/>
  <tableStyles count="0" defaultTableStyle="TableStyleMedium2" defaultPivotStyle="PivotStyleLight16"/>
  <colors>
    <mruColors>
      <color rgb="FFF67682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UIAML\Downloads\Legacy%20Waste%20Daily%20%20Status_08.05.20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stract"/>
      <sheetName val="Abstract (2)"/>
      <sheetName val=" Tharuni Associates"/>
      <sheetName val="Tharuni"/>
      <sheetName val="Zigma "/>
      <sheetName val="Saurastra"/>
      <sheetName val="Sudhakar (2)"/>
      <sheetName val="Sudhak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6">
          <cell r="E6">
            <v>63555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7"/>
  <sheetViews>
    <sheetView zoomScaleNormal="100" workbookViewId="0">
      <selection activeCell="I16" sqref="I16"/>
    </sheetView>
  </sheetViews>
  <sheetFormatPr defaultRowHeight="15"/>
  <cols>
    <col min="1" max="1" width="7.28515625" customWidth="1"/>
    <col min="2" max="2" width="49.140625" customWidth="1"/>
    <col min="3" max="3" width="9.5703125" customWidth="1"/>
    <col min="4" max="4" width="16.85546875" customWidth="1"/>
    <col min="5" max="5" width="16.5703125" customWidth="1"/>
    <col min="6" max="6" width="18.7109375" customWidth="1"/>
    <col min="7" max="7" width="11.42578125" customWidth="1"/>
    <col min="8" max="8" width="18.85546875" customWidth="1"/>
    <col min="9" max="9" width="26.28515625" customWidth="1"/>
  </cols>
  <sheetData>
    <row r="1" spans="1:9" ht="128.65" customHeight="1">
      <c r="A1" s="123" t="s">
        <v>218</v>
      </c>
      <c r="B1" s="123" t="s">
        <v>219</v>
      </c>
      <c r="C1" s="123" t="s">
        <v>299</v>
      </c>
      <c r="D1" s="123" t="s">
        <v>220</v>
      </c>
      <c r="E1" s="123" t="s">
        <v>221</v>
      </c>
      <c r="F1" s="123" t="s">
        <v>222</v>
      </c>
      <c r="G1" s="123" t="s">
        <v>223</v>
      </c>
      <c r="H1" s="123" t="s">
        <v>430</v>
      </c>
      <c r="I1" s="123" t="s">
        <v>406</v>
      </c>
    </row>
    <row r="2" spans="1:9" ht="18.75" hidden="1" customHeight="1">
      <c r="A2" s="123">
        <v>1</v>
      </c>
      <c r="B2" s="123">
        <v>2</v>
      </c>
      <c r="C2" s="123"/>
      <c r="D2" s="123">
        <v>3</v>
      </c>
      <c r="E2" s="123">
        <v>4</v>
      </c>
      <c r="F2" s="123">
        <v>5</v>
      </c>
      <c r="G2" s="123">
        <v>6</v>
      </c>
      <c r="H2" s="123"/>
      <c r="I2" s="123"/>
    </row>
    <row r="3" spans="1:9" ht="45">
      <c r="A3" s="124">
        <v>1</v>
      </c>
      <c r="B3" s="125" t="s">
        <v>300</v>
      </c>
      <c r="C3" s="126">
        <v>85</v>
      </c>
      <c r="D3" s="127">
        <f>' Tharuni Associates'!F77</f>
        <v>1944267.31</v>
      </c>
      <c r="E3" s="127">
        <f>' Tharuni Associates'!G77</f>
        <v>513316.56499999994</v>
      </c>
      <c r="F3" s="128">
        <f>D3-E3</f>
        <v>1430950.7450000001</v>
      </c>
      <c r="G3" s="129">
        <f>E3/D3</f>
        <v>0.26401542748769452</v>
      </c>
      <c r="H3" s="127">
        <f>D3/145</f>
        <v>13408.740068965517</v>
      </c>
      <c r="I3" s="173">
        <f>' Tharuni Associates'!Q77</f>
        <v>4127.415</v>
      </c>
    </row>
    <row r="4" spans="1:9" ht="67.5">
      <c r="A4" s="124">
        <v>2</v>
      </c>
      <c r="B4" s="125" t="s">
        <v>188</v>
      </c>
      <c r="C4" s="126">
        <v>26</v>
      </c>
      <c r="D4" s="127">
        <f>'Zigma '!E38</f>
        <v>1447375</v>
      </c>
      <c r="E4" s="127">
        <f>'Zigma '!F38</f>
        <v>109879.21</v>
      </c>
      <c r="F4" s="128">
        <f>D4-E4</f>
        <v>1337495.79</v>
      </c>
      <c r="G4" s="129">
        <f>E4/D4</f>
        <v>7.5916200017272659E-2</v>
      </c>
      <c r="H4" s="127">
        <f>D4/145</f>
        <v>9981.8965517241377</v>
      </c>
      <c r="I4" s="173">
        <f>'Zigma '!P38</f>
        <v>2295.63</v>
      </c>
    </row>
    <row r="5" spans="1:9" ht="45">
      <c r="A5" s="124">
        <v>3</v>
      </c>
      <c r="B5" s="125" t="s">
        <v>189</v>
      </c>
      <c r="C5" s="126">
        <v>11</v>
      </c>
      <c r="D5" s="127">
        <f>Saurastra!F18</f>
        <v>314825</v>
      </c>
      <c r="E5" s="127">
        <f>Saurastra!G18</f>
        <v>24655.135000000002</v>
      </c>
      <c r="F5" s="128">
        <f>D5-E5</f>
        <v>290169.86499999999</v>
      </c>
      <c r="G5" s="129">
        <f>E5/D5</f>
        <v>7.8313777495433973E-2</v>
      </c>
      <c r="H5" s="127">
        <f>D5/145</f>
        <v>2171.2068965517242</v>
      </c>
      <c r="I5" s="173">
        <f>Saurastra!Q18</f>
        <v>2252.1899999999996</v>
      </c>
    </row>
    <row r="6" spans="1:9" ht="33" customHeight="1">
      <c r="A6" s="124">
        <v>4</v>
      </c>
      <c r="B6" s="125" t="s">
        <v>224</v>
      </c>
      <c r="C6" s="126">
        <v>1</v>
      </c>
      <c r="D6" s="127">
        <f>'Sudhakar (2)'!E7</f>
        <v>63555</v>
      </c>
      <c r="E6" s="127">
        <f>'Sudhakar (2)'!F7</f>
        <v>48419.490000000005</v>
      </c>
      <c r="F6" s="127">
        <f>'Sudhakar (2)'!G7</f>
        <v>15135.509999999995</v>
      </c>
      <c r="G6" s="129">
        <f>E6/D6</f>
        <v>0.76185178192117076</v>
      </c>
      <c r="H6" s="127">
        <f>D6/45</f>
        <v>1412.3333333333333</v>
      </c>
      <c r="I6" s="173">
        <f>'Sudhakar (2)'!P7</f>
        <v>944.11</v>
      </c>
    </row>
    <row r="7" spans="1:9" ht="32.25" customHeight="1">
      <c r="A7" s="130"/>
      <c r="B7" s="131" t="s">
        <v>25</v>
      </c>
      <c r="C7" s="132">
        <f>SUM(C3:C6)</f>
        <v>123</v>
      </c>
      <c r="D7" s="174">
        <f>SUM(D3:D6)</f>
        <v>3770022.31</v>
      </c>
      <c r="E7" s="174">
        <f>SUM(E3:E6)</f>
        <v>696270.39999999991</v>
      </c>
      <c r="F7" s="174">
        <f>SUM(F3:F6)</f>
        <v>3073751.91</v>
      </c>
      <c r="G7" s="133">
        <f>E7/D7</f>
        <v>0.18468601582360394</v>
      </c>
      <c r="H7" s="174">
        <f>SUM(H3:H6)</f>
        <v>26974.176850574713</v>
      </c>
      <c r="I7" s="174">
        <f>SUM(I3:I6)</f>
        <v>9619.3450000000012</v>
      </c>
    </row>
  </sheetData>
  <printOptions horizontalCentered="1"/>
  <pageMargins left="0.70866141732283472" right="0.70866141732283472" top="0.74803149606299213" bottom="0.55118110236220474" header="0.31496062992125984" footer="0.31496062992125984"/>
  <pageSetup paperSize="9" scale="8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64"/>
  <sheetViews>
    <sheetView view="pageBreakPreview" topLeftCell="A10" zoomScale="66" zoomScaleNormal="60" zoomScaleSheetLayoutView="66" workbookViewId="0">
      <selection activeCell="U15" sqref="U15"/>
    </sheetView>
  </sheetViews>
  <sheetFormatPr defaultColWidth="9" defaultRowHeight="15.75"/>
  <cols>
    <col min="1" max="1" width="24.140625" style="111" customWidth="1"/>
    <col min="2" max="2" width="32.140625" style="111" customWidth="1"/>
    <col min="3" max="3" width="9.5703125" style="111" customWidth="1"/>
    <col min="4" max="4" width="22.28515625" style="111" customWidth="1"/>
    <col min="5" max="5" width="16.5703125" style="111" customWidth="1"/>
    <col min="6" max="6" width="15.85546875" style="111" customWidth="1"/>
    <col min="7" max="7" width="17.5703125" style="111" customWidth="1"/>
    <col min="8" max="8" width="15.85546875" style="111" customWidth="1"/>
    <col min="9" max="9" width="13.140625" style="111" customWidth="1"/>
    <col min="10" max="10" width="14.28515625" style="111" customWidth="1"/>
    <col min="11" max="11" width="12.7109375" style="111" customWidth="1"/>
    <col min="12" max="12" width="16.5703125" style="186" customWidth="1"/>
    <col min="13" max="13" width="10.140625" style="111" customWidth="1"/>
    <col min="14" max="14" width="20.7109375" style="186" customWidth="1"/>
    <col min="15" max="15" width="19.7109375" style="186" customWidth="1"/>
    <col min="16" max="16" width="18.28515625" style="111" customWidth="1"/>
    <col min="17" max="17" width="15.7109375" style="111" hidden="1" customWidth="1"/>
    <col min="18" max="18" width="14" style="111" hidden="1" customWidth="1"/>
    <col min="19" max="19" width="42.7109375" style="111" customWidth="1"/>
    <col min="20" max="20" width="0.5703125" style="111" customWidth="1"/>
    <col min="21" max="16384" width="9" style="111"/>
  </cols>
  <sheetData>
    <row r="1" spans="1:20" ht="36" customHeight="1">
      <c r="A1" s="373" t="s">
        <v>497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5"/>
    </row>
    <row r="2" spans="1:20" ht="15.75" customHeight="1">
      <c r="A2" s="424" t="s">
        <v>403</v>
      </c>
      <c r="B2" s="426" t="s">
        <v>2</v>
      </c>
      <c r="C2" s="426" t="s">
        <v>135</v>
      </c>
      <c r="D2" s="424" t="s">
        <v>136</v>
      </c>
      <c r="E2" s="424" t="s">
        <v>137</v>
      </c>
      <c r="F2" s="424" t="s">
        <v>138</v>
      </c>
      <c r="G2" s="424" t="s">
        <v>139</v>
      </c>
      <c r="H2" s="424" t="s">
        <v>250</v>
      </c>
      <c r="I2" s="424" t="s">
        <v>4</v>
      </c>
      <c r="J2" s="426" t="s">
        <v>5</v>
      </c>
      <c r="K2" s="426"/>
      <c r="L2" s="426"/>
      <c r="M2" s="426"/>
      <c r="N2" s="426"/>
      <c r="O2" s="424" t="s">
        <v>515</v>
      </c>
      <c r="P2" s="424" t="s">
        <v>499</v>
      </c>
      <c r="Q2" s="424" t="s">
        <v>500</v>
      </c>
      <c r="R2" s="424" t="s">
        <v>140</v>
      </c>
      <c r="S2" s="424" t="s">
        <v>8</v>
      </c>
    </row>
    <row r="3" spans="1:20" ht="104.25" customHeight="1">
      <c r="A3" s="425"/>
      <c r="B3" s="438"/>
      <c r="C3" s="438"/>
      <c r="D3" s="425"/>
      <c r="E3" s="425"/>
      <c r="F3" s="425"/>
      <c r="G3" s="425"/>
      <c r="H3" s="427"/>
      <c r="I3" s="425"/>
      <c r="J3" s="239" t="s">
        <v>141</v>
      </c>
      <c r="K3" s="10" t="s">
        <v>10</v>
      </c>
      <c r="L3" s="296" t="s">
        <v>142</v>
      </c>
      <c r="M3" s="10" t="s">
        <v>143</v>
      </c>
      <c r="N3" s="296" t="s">
        <v>144</v>
      </c>
      <c r="O3" s="425"/>
      <c r="P3" s="425"/>
      <c r="Q3" s="425"/>
      <c r="R3" s="424"/>
      <c r="S3" s="424"/>
    </row>
    <row r="4" spans="1:20" ht="15.75" customHeight="1">
      <c r="A4" s="9">
        <v>1</v>
      </c>
      <c r="B4" s="9">
        <v>2</v>
      </c>
      <c r="C4" s="9">
        <v>3</v>
      </c>
      <c r="D4" s="9">
        <v>4</v>
      </c>
      <c r="E4" s="9">
        <v>5</v>
      </c>
      <c r="F4" s="9">
        <v>6</v>
      </c>
      <c r="G4" s="9">
        <v>7</v>
      </c>
      <c r="H4" s="105">
        <v>8</v>
      </c>
      <c r="I4" s="9">
        <v>9</v>
      </c>
      <c r="J4" s="9">
        <v>10</v>
      </c>
      <c r="K4" s="9">
        <v>11</v>
      </c>
      <c r="L4" s="264">
        <v>12</v>
      </c>
      <c r="M4" s="9">
        <v>13</v>
      </c>
      <c r="N4" s="264">
        <v>14</v>
      </c>
      <c r="O4" s="316">
        <v>15</v>
      </c>
      <c r="P4" s="316">
        <v>16</v>
      </c>
      <c r="Q4" s="241">
        <v>16</v>
      </c>
      <c r="R4" s="9">
        <v>16</v>
      </c>
      <c r="S4" s="10">
        <v>17</v>
      </c>
    </row>
    <row r="5" spans="1:20" ht="45" customHeight="1">
      <c r="A5" s="337" t="s">
        <v>188</v>
      </c>
      <c r="B5" s="430" t="s">
        <v>145</v>
      </c>
      <c r="C5" s="341">
        <v>1</v>
      </c>
      <c r="D5" s="238" t="s">
        <v>146</v>
      </c>
      <c r="E5" s="238">
        <v>35000</v>
      </c>
      <c r="F5" s="119">
        <f>9463.34+809.76+698.47+403.27+435.27+703.96+709.64+795.67</f>
        <v>14019.38</v>
      </c>
      <c r="G5" s="119">
        <f>E5-F5</f>
        <v>20980.620000000003</v>
      </c>
      <c r="H5" s="238">
        <v>800</v>
      </c>
      <c r="I5" s="15">
        <v>1</v>
      </c>
      <c r="J5" s="15" t="s">
        <v>15</v>
      </c>
      <c r="K5" s="238">
        <v>800</v>
      </c>
      <c r="L5" s="292">
        <v>45766</v>
      </c>
      <c r="M5" s="15">
        <f>N5-L5</f>
        <v>57</v>
      </c>
      <c r="N5" s="292">
        <v>45823</v>
      </c>
      <c r="O5" s="247">
        <v>795.67</v>
      </c>
      <c r="P5" s="247">
        <v>709.64</v>
      </c>
      <c r="Q5" s="247">
        <v>703.96</v>
      </c>
      <c r="R5" s="15"/>
      <c r="S5" s="248" t="s">
        <v>429</v>
      </c>
    </row>
    <row r="6" spans="1:20" ht="45" customHeight="1">
      <c r="A6" s="338"/>
      <c r="B6" s="432"/>
      <c r="C6" s="342"/>
      <c r="D6" s="430" t="s">
        <v>147</v>
      </c>
      <c r="E6" s="436">
        <v>289479</v>
      </c>
      <c r="F6" s="433">
        <v>0</v>
      </c>
      <c r="G6" s="433">
        <f>E6-F6</f>
        <v>289479</v>
      </c>
      <c r="H6" s="371">
        <f>600+800</f>
        <v>1400</v>
      </c>
      <c r="I6" s="341">
        <v>2</v>
      </c>
      <c r="J6" s="15" t="s">
        <v>16</v>
      </c>
      <c r="K6" s="116">
        <v>600</v>
      </c>
      <c r="L6" s="385">
        <v>45792</v>
      </c>
      <c r="M6" s="341">
        <f>N6-L6</f>
        <v>138</v>
      </c>
      <c r="N6" s="385">
        <v>45930</v>
      </c>
      <c r="O6" s="341">
        <v>0</v>
      </c>
      <c r="P6" s="341">
        <v>0</v>
      </c>
      <c r="Q6" s="341">
        <v>0</v>
      </c>
      <c r="R6" s="341"/>
      <c r="S6" s="276" t="s">
        <v>448</v>
      </c>
    </row>
    <row r="7" spans="1:20" ht="45" customHeight="1">
      <c r="A7" s="339"/>
      <c r="B7" s="431"/>
      <c r="C7" s="343"/>
      <c r="D7" s="431"/>
      <c r="E7" s="437"/>
      <c r="F7" s="434"/>
      <c r="G7" s="434"/>
      <c r="H7" s="435"/>
      <c r="I7" s="343"/>
      <c r="J7" s="15" t="s">
        <v>38</v>
      </c>
      <c r="K7" s="116">
        <v>800</v>
      </c>
      <c r="L7" s="386"/>
      <c r="M7" s="343"/>
      <c r="N7" s="386"/>
      <c r="O7" s="343"/>
      <c r="P7" s="343"/>
      <c r="Q7" s="343"/>
      <c r="R7" s="343"/>
      <c r="S7" s="276" t="s">
        <v>455</v>
      </c>
    </row>
    <row r="8" spans="1:20" ht="45" customHeight="1">
      <c r="A8" s="215"/>
      <c r="B8" s="215"/>
      <c r="C8" s="215"/>
      <c r="D8" s="215"/>
      <c r="E8" s="108">
        <f>SUM(E5:E6)</f>
        <v>324479</v>
      </c>
      <c r="F8" s="108">
        <f>SUM(F5:F7)</f>
        <v>14019.38</v>
      </c>
      <c r="G8" s="108">
        <f>E8-F8</f>
        <v>310459.62</v>
      </c>
      <c r="H8" s="108">
        <f>SUM(H5:H7)</f>
        <v>2200</v>
      </c>
      <c r="I8" s="108">
        <f>SUM(I5:I6)</f>
        <v>3</v>
      </c>
      <c r="J8" s="117"/>
      <c r="K8" s="117"/>
      <c r="L8" s="297"/>
      <c r="M8" s="117">
        <f t="shared" ref="M8:M36" si="0">N8-L8</f>
        <v>0</v>
      </c>
      <c r="N8" s="297"/>
      <c r="O8" s="109">
        <f>SUM(O5:O6)</f>
        <v>795.67</v>
      </c>
      <c r="P8" s="109">
        <f>SUM(P5:P6)</f>
        <v>709.64</v>
      </c>
      <c r="Q8" s="109">
        <f>SUM(Q5:Q6)</f>
        <v>703.96</v>
      </c>
      <c r="R8" s="117"/>
      <c r="S8" s="277"/>
    </row>
    <row r="9" spans="1:20" ht="66.75" customHeight="1">
      <c r="A9" s="261" t="s">
        <v>188</v>
      </c>
      <c r="B9" s="240" t="s">
        <v>148</v>
      </c>
      <c r="C9" s="15">
        <v>2</v>
      </c>
      <c r="D9" s="240" t="s">
        <v>148</v>
      </c>
      <c r="E9" s="118">
        <v>201400</v>
      </c>
      <c r="F9" s="119">
        <f>87242.7+1195+1545.4+1648.74+1113+1585.99+1529</f>
        <v>95859.83</v>
      </c>
      <c r="G9" s="119">
        <f>E9-F9</f>
        <v>105540.17</v>
      </c>
      <c r="H9" s="116">
        <v>1300</v>
      </c>
      <c r="I9" s="15">
        <v>1</v>
      </c>
      <c r="J9" s="15" t="s">
        <v>17</v>
      </c>
      <c r="K9" s="116">
        <v>1300</v>
      </c>
      <c r="L9" s="292">
        <v>45726</v>
      </c>
      <c r="M9" s="15">
        <f t="shared" si="0"/>
        <v>158</v>
      </c>
      <c r="N9" s="292">
        <v>45884</v>
      </c>
      <c r="O9" s="476">
        <v>1529</v>
      </c>
      <c r="P9" s="247">
        <v>1585.99</v>
      </c>
      <c r="Q9" s="247">
        <v>1113</v>
      </c>
      <c r="R9" s="15"/>
      <c r="S9" s="248" t="s">
        <v>474</v>
      </c>
    </row>
    <row r="10" spans="1:20" ht="54.75" customHeight="1">
      <c r="A10" s="337" t="s">
        <v>188</v>
      </c>
      <c r="B10" s="429" t="s">
        <v>251</v>
      </c>
      <c r="C10" s="15">
        <v>3</v>
      </c>
      <c r="D10" s="240" t="s">
        <v>149</v>
      </c>
      <c r="E10" s="238">
        <v>146232</v>
      </c>
      <c r="F10" s="119">
        <v>0</v>
      </c>
      <c r="G10" s="119">
        <f t="shared" ref="G10:G36" si="1">E10-F10</f>
        <v>146232</v>
      </c>
      <c r="H10" s="116"/>
      <c r="I10" s="15"/>
      <c r="J10" s="252" t="s">
        <v>150</v>
      </c>
      <c r="K10" s="116">
        <v>1300</v>
      </c>
      <c r="L10" s="292">
        <v>45795</v>
      </c>
      <c r="M10" s="15">
        <f t="shared" si="0"/>
        <v>135</v>
      </c>
      <c r="N10" s="292">
        <v>45930</v>
      </c>
      <c r="O10" s="247">
        <v>0</v>
      </c>
      <c r="P10" s="247">
        <v>0</v>
      </c>
      <c r="Q10" s="247">
        <v>0</v>
      </c>
      <c r="R10" s="15"/>
      <c r="S10" s="248" t="s">
        <v>456</v>
      </c>
    </row>
    <row r="11" spans="1:20" ht="45" customHeight="1">
      <c r="A11" s="338"/>
      <c r="B11" s="429"/>
      <c r="C11" s="15">
        <v>4</v>
      </c>
      <c r="D11" s="240" t="s">
        <v>151</v>
      </c>
      <c r="E11" s="238">
        <v>27532</v>
      </c>
      <c r="F11" s="119">
        <v>0</v>
      </c>
      <c r="G11" s="119">
        <f t="shared" si="1"/>
        <v>27532</v>
      </c>
      <c r="H11" s="116">
        <v>500</v>
      </c>
      <c r="I11" s="15">
        <v>1</v>
      </c>
      <c r="J11" s="15" t="s">
        <v>19</v>
      </c>
      <c r="K11" s="116">
        <v>500</v>
      </c>
      <c r="L11" s="292">
        <v>45792</v>
      </c>
      <c r="M11" s="15">
        <f t="shared" si="0"/>
        <v>46</v>
      </c>
      <c r="N11" s="292">
        <v>45838</v>
      </c>
      <c r="O11" s="247">
        <v>0</v>
      </c>
      <c r="P11" s="247">
        <v>0</v>
      </c>
      <c r="Q11" s="247">
        <v>0</v>
      </c>
      <c r="R11" s="15"/>
      <c r="S11" s="248" t="s">
        <v>447</v>
      </c>
    </row>
    <row r="12" spans="1:20" ht="45" customHeight="1">
      <c r="A12" s="338"/>
      <c r="B12" s="429"/>
      <c r="C12" s="15">
        <v>5</v>
      </c>
      <c r="D12" s="216" t="s">
        <v>152</v>
      </c>
      <c r="E12" s="119">
        <v>25772</v>
      </c>
      <c r="F12" s="119">
        <v>0</v>
      </c>
      <c r="G12" s="119">
        <f t="shared" si="1"/>
        <v>25772</v>
      </c>
      <c r="H12" s="116"/>
      <c r="I12" s="15"/>
      <c r="J12" s="272" t="s">
        <v>153</v>
      </c>
      <c r="K12" s="116">
        <v>500</v>
      </c>
      <c r="L12" s="292">
        <v>45837</v>
      </c>
      <c r="M12" s="15">
        <f t="shared" si="0"/>
        <v>68</v>
      </c>
      <c r="N12" s="292">
        <v>45905</v>
      </c>
      <c r="O12" s="247">
        <v>0</v>
      </c>
      <c r="P12" s="247">
        <v>0</v>
      </c>
      <c r="Q12" s="247">
        <v>0</v>
      </c>
      <c r="R12" s="15"/>
      <c r="S12" s="248" t="s">
        <v>154</v>
      </c>
    </row>
    <row r="13" spans="1:20" ht="45" customHeight="1">
      <c r="A13" s="338"/>
      <c r="B13" s="429"/>
      <c r="C13" s="15">
        <v>6</v>
      </c>
      <c r="D13" s="240" t="s">
        <v>155</v>
      </c>
      <c r="E13" s="238">
        <v>22945</v>
      </c>
      <c r="F13" s="119">
        <v>0</v>
      </c>
      <c r="G13" s="119">
        <f t="shared" si="1"/>
        <v>22945</v>
      </c>
      <c r="H13" s="116">
        <v>500</v>
      </c>
      <c r="I13" s="15">
        <v>1</v>
      </c>
      <c r="J13" s="238" t="s">
        <v>20</v>
      </c>
      <c r="K13" s="116">
        <v>500</v>
      </c>
      <c r="L13" s="292">
        <v>45792</v>
      </c>
      <c r="M13" s="15">
        <f t="shared" si="0"/>
        <v>38</v>
      </c>
      <c r="N13" s="292">
        <v>45830</v>
      </c>
      <c r="O13" s="247">
        <v>0</v>
      </c>
      <c r="P13" s="247">
        <v>0</v>
      </c>
      <c r="Q13" s="247">
        <v>0</v>
      </c>
      <c r="R13" s="15"/>
      <c r="S13" s="248" t="s">
        <v>448</v>
      </c>
    </row>
    <row r="14" spans="1:20" ht="45" customHeight="1">
      <c r="A14" s="338"/>
      <c r="B14" s="429"/>
      <c r="C14" s="15">
        <v>7</v>
      </c>
      <c r="D14" s="240" t="s">
        <v>156</v>
      </c>
      <c r="E14" s="238">
        <v>20000</v>
      </c>
      <c r="F14" s="119">
        <v>0</v>
      </c>
      <c r="G14" s="119">
        <f t="shared" si="1"/>
        <v>20000</v>
      </c>
      <c r="H14" s="116">
        <v>500</v>
      </c>
      <c r="I14" s="15">
        <v>1</v>
      </c>
      <c r="J14" s="238" t="s">
        <v>27</v>
      </c>
      <c r="K14" s="116">
        <v>500</v>
      </c>
      <c r="L14" s="292">
        <v>45792</v>
      </c>
      <c r="M14" s="15">
        <f t="shared" si="0"/>
        <v>46</v>
      </c>
      <c r="N14" s="292">
        <v>45838</v>
      </c>
      <c r="O14" s="247">
        <v>0</v>
      </c>
      <c r="P14" s="247">
        <v>0</v>
      </c>
      <c r="Q14" s="247">
        <v>0</v>
      </c>
      <c r="R14" s="15"/>
      <c r="S14" s="248" t="s">
        <v>448</v>
      </c>
    </row>
    <row r="15" spans="1:20" ht="45" customHeight="1">
      <c r="A15" s="339"/>
      <c r="B15" s="429"/>
      <c r="C15" s="15">
        <v>8</v>
      </c>
      <c r="D15" s="115" t="s">
        <v>157</v>
      </c>
      <c r="E15" s="238">
        <v>13177</v>
      </c>
      <c r="F15" s="113">
        <v>0</v>
      </c>
      <c r="G15" s="119">
        <f t="shared" si="1"/>
        <v>13177</v>
      </c>
      <c r="H15" s="116">
        <v>500</v>
      </c>
      <c r="I15" s="15">
        <v>1</v>
      </c>
      <c r="J15" s="238" t="s">
        <v>30</v>
      </c>
      <c r="K15" s="116">
        <v>500</v>
      </c>
      <c r="L15" s="292">
        <v>45792</v>
      </c>
      <c r="M15" s="15">
        <f t="shared" si="0"/>
        <v>38</v>
      </c>
      <c r="N15" s="292">
        <v>45830</v>
      </c>
      <c r="O15" s="247">
        <v>0</v>
      </c>
      <c r="P15" s="247">
        <v>0</v>
      </c>
      <c r="Q15" s="247">
        <v>0</v>
      </c>
      <c r="R15" s="15"/>
      <c r="S15" s="248" t="s">
        <v>448</v>
      </c>
    </row>
    <row r="16" spans="1:20" ht="45" customHeight="1">
      <c r="A16" s="107"/>
      <c r="B16" s="107"/>
      <c r="C16" s="107"/>
      <c r="D16" s="107"/>
      <c r="E16" s="108">
        <f>SUM(E10:E15)</f>
        <v>255658</v>
      </c>
      <c r="F16" s="108">
        <f t="shared" ref="F16:G16" si="2">SUM(F10:F15)</f>
        <v>0</v>
      </c>
      <c r="G16" s="108">
        <f t="shared" si="2"/>
        <v>255658</v>
      </c>
      <c r="H16" s="108">
        <f>SUM(H10:H15)</f>
        <v>2000</v>
      </c>
      <c r="I16" s="117"/>
      <c r="J16" s="117"/>
      <c r="K16" s="117"/>
      <c r="L16" s="297"/>
      <c r="M16" s="117"/>
      <c r="N16" s="297"/>
      <c r="O16" s="109">
        <f>SUM(O10:O15)</f>
        <v>0</v>
      </c>
      <c r="P16" s="109">
        <f>SUM(P10:P15)</f>
        <v>0</v>
      </c>
      <c r="Q16" s="109">
        <f>SUM(Q10:Q15)</f>
        <v>0</v>
      </c>
      <c r="R16" s="117"/>
      <c r="S16" s="277"/>
    </row>
    <row r="17" spans="1:19" ht="45" customHeight="1">
      <c r="A17" s="340" t="s">
        <v>188</v>
      </c>
      <c r="B17" s="428" t="s">
        <v>252</v>
      </c>
      <c r="C17" s="15">
        <v>9</v>
      </c>
      <c r="D17" s="115" t="s">
        <v>158</v>
      </c>
      <c r="E17" s="238">
        <v>221473</v>
      </c>
      <c r="F17" s="113">
        <v>0</v>
      </c>
      <c r="G17" s="119">
        <f t="shared" si="1"/>
        <v>221473</v>
      </c>
      <c r="H17" s="116">
        <f>1000+800</f>
        <v>1800</v>
      </c>
      <c r="I17" s="15">
        <v>1</v>
      </c>
      <c r="J17" s="238" t="s">
        <v>31</v>
      </c>
      <c r="K17" s="116">
        <v>1800</v>
      </c>
      <c r="L17" s="292">
        <v>45792</v>
      </c>
      <c r="M17" s="15">
        <f t="shared" si="0"/>
        <v>128</v>
      </c>
      <c r="N17" s="292">
        <v>45920</v>
      </c>
      <c r="O17" s="247">
        <v>0</v>
      </c>
      <c r="P17" s="247">
        <v>0</v>
      </c>
      <c r="Q17" s="247">
        <v>0</v>
      </c>
      <c r="R17" s="15"/>
      <c r="S17" s="248" t="s">
        <v>448</v>
      </c>
    </row>
    <row r="18" spans="1:19" ht="45" customHeight="1">
      <c r="A18" s="340"/>
      <c r="B18" s="428"/>
      <c r="C18" s="15">
        <v>10</v>
      </c>
      <c r="D18" s="115" t="s">
        <v>159</v>
      </c>
      <c r="E18" s="238">
        <v>50307</v>
      </c>
      <c r="F18" s="113">
        <v>0</v>
      </c>
      <c r="G18" s="119">
        <f t="shared" si="1"/>
        <v>50307</v>
      </c>
      <c r="H18" s="116">
        <v>800</v>
      </c>
      <c r="I18" s="15">
        <v>1</v>
      </c>
      <c r="J18" s="238" t="s">
        <v>34</v>
      </c>
      <c r="K18" s="116">
        <v>800</v>
      </c>
      <c r="L18" s="292">
        <v>45793</v>
      </c>
      <c r="M18" s="15">
        <f t="shared" si="0"/>
        <v>65</v>
      </c>
      <c r="N18" s="292">
        <v>45858</v>
      </c>
      <c r="O18" s="247">
        <v>0</v>
      </c>
      <c r="P18" s="247">
        <v>0</v>
      </c>
      <c r="Q18" s="247">
        <v>0</v>
      </c>
      <c r="R18" s="15"/>
      <c r="S18" s="248" t="s">
        <v>448</v>
      </c>
    </row>
    <row r="19" spans="1:19" ht="45" customHeight="1">
      <c r="A19" s="340"/>
      <c r="B19" s="428"/>
      <c r="C19" s="15">
        <v>11</v>
      </c>
      <c r="D19" s="115" t="s">
        <v>160</v>
      </c>
      <c r="E19" s="238">
        <v>38261</v>
      </c>
      <c r="F19" s="113">
        <v>0</v>
      </c>
      <c r="G19" s="119">
        <f t="shared" si="1"/>
        <v>38261</v>
      </c>
      <c r="H19" s="116">
        <v>800</v>
      </c>
      <c r="I19" s="15">
        <v>1</v>
      </c>
      <c r="J19" s="238" t="s">
        <v>35</v>
      </c>
      <c r="K19" s="116">
        <v>800</v>
      </c>
      <c r="L19" s="292">
        <v>45807</v>
      </c>
      <c r="M19" s="15">
        <f t="shared" si="0"/>
        <v>50</v>
      </c>
      <c r="N19" s="292">
        <v>45857</v>
      </c>
      <c r="O19" s="247">
        <v>0</v>
      </c>
      <c r="P19" s="247">
        <v>0</v>
      </c>
      <c r="Q19" s="247">
        <v>0</v>
      </c>
      <c r="R19" s="15"/>
      <c r="S19" s="248" t="s">
        <v>475</v>
      </c>
    </row>
    <row r="20" spans="1:19" ht="45" customHeight="1">
      <c r="A20" s="340"/>
      <c r="B20" s="428"/>
      <c r="C20" s="15">
        <v>12</v>
      </c>
      <c r="D20" s="120" t="s">
        <v>161</v>
      </c>
      <c r="E20" s="119">
        <v>21977</v>
      </c>
      <c r="F20" s="113">
        <v>0</v>
      </c>
      <c r="G20" s="119">
        <f t="shared" si="1"/>
        <v>21977</v>
      </c>
      <c r="H20" s="121"/>
      <c r="I20" s="15"/>
      <c r="J20" s="122" t="s">
        <v>259</v>
      </c>
      <c r="K20" s="116">
        <v>500</v>
      </c>
      <c r="L20" s="292">
        <v>45876</v>
      </c>
      <c r="M20" s="15">
        <f t="shared" si="0"/>
        <v>54</v>
      </c>
      <c r="N20" s="292">
        <v>45930</v>
      </c>
      <c r="O20" s="247">
        <v>0</v>
      </c>
      <c r="P20" s="247">
        <v>0</v>
      </c>
      <c r="Q20" s="247">
        <v>0</v>
      </c>
      <c r="R20" s="15"/>
      <c r="S20" s="248" t="s">
        <v>162</v>
      </c>
    </row>
    <row r="21" spans="1:19" ht="98.25" customHeight="1">
      <c r="A21" s="340"/>
      <c r="B21" s="428"/>
      <c r="C21" s="15">
        <v>13</v>
      </c>
      <c r="D21" s="115" t="s">
        <v>163</v>
      </c>
      <c r="E21" s="238">
        <v>20034</v>
      </c>
      <c r="F21" s="113">
        <v>0</v>
      </c>
      <c r="G21" s="119">
        <f t="shared" si="1"/>
        <v>20034</v>
      </c>
      <c r="H21" s="116"/>
      <c r="I21" s="15"/>
      <c r="J21" s="252" t="s">
        <v>164</v>
      </c>
      <c r="K21" s="116">
        <v>500</v>
      </c>
      <c r="L21" s="292">
        <v>45889</v>
      </c>
      <c r="M21" s="15">
        <f t="shared" si="0"/>
        <v>41</v>
      </c>
      <c r="N21" s="292">
        <v>45930</v>
      </c>
      <c r="O21" s="247">
        <v>0</v>
      </c>
      <c r="P21" s="247">
        <v>0</v>
      </c>
      <c r="Q21" s="247">
        <v>0</v>
      </c>
      <c r="R21" s="15"/>
      <c r="S21" s="248" t="s">
        <v>457</v>
      </c>
    </row>
    <row r="22" spans="1:19" ht="45" customHeight="1">
      <c r="A22" s="340"/>
      <c r="B22" s="428"/>
      <c r="C22" s="15">
        <v>14</v>
      </c>
      <c r="D22" s="115" t="s">
        <v>165</v>
      </c>
      <c r="E22" s="238">
        <v>15093</v>
      </c>
      <c r="F22" s="113">
        <v>0</v>
      </c>
      <c r="G22" s="119">
        <f t="shared" si="1"/>
        <v>15093</v>
      </c>
      <c r="H22" s="116">
        <v>400</v>
      </c>
      <c r="I22" s="15">
        <v>1</v>
      </c>
      <c r="J22" s="238" t="s">
        <v>36</v>
      </c>
      <c r="K22" s="116">
        <v>400</v>
      </c>
      <c r="L22" s="292">
        <v>45792</v>
      </c>
      <c r="M22" s="15">
        <f t="shared" si="0"/>
        <v>36</v>
      </c>
      <c r="N22" s="292">
        <v>45828</v>
      </c>
      <c r="O22" s="247">
        <v>0</v>
      </c>
      <c r="P22" s="247">
        <v>0</v>
      </c>
      <c r="Q22" s="247">
        <v>0</v>
      </c>
      <c r="R22" s="15"/>
      <c r="S22" s="248" t="s">
        <v>476</v>
      </c>
    </row>
    <row r="23" spans="1:19" ht="45" customHeight="1">
      <c r="A23" s="117"/>
      <c r="B23" s="117"/>
      <c r="C23" s="117"/>
      <c r="D23" s="107"/>
      <c r="E23" s="108">
        <f>SUM(E17:E22)</f>
        <v>367145</v>
      </c>
      <c r="F23" s="108">
        <f>SUM(F17:F22)</f>
        <v>0</v>
      </c>
      <c r="G23" s="108">
        <f>SUM(G17:G22)</f>
        <v>367145</v>
      </c>
      <c r="H23" s="108">
        <f>SUM(H17:H22)</f>
        <v>3800</v>
      </c>
      <c r="I23" s="117"/>
      <c r="J23" s="117"/>
      <c r="K23" s="117"/>
      <c r="L23" s="297"/>
      <c r="M23" s="117"/>
      <c r="N23" s="297"/>
      <c r="O23" s="109">
        <f>SUM(O17:O22)</f>
        <v>0</v>
      </c>
      <c r="P23" s="109">
        <f>SUM(P17:P22)</f>
        <v>0</v>
      </c>
      <c r="Q23" s="109">
        <f>SUM(Q17:Q22)</f>
        <v>0</v>
      </c>
      <c r="R23" s="117"/>
      <c r="S23" s="277"/>
    </row>
    <row r="24" spans="1:19" ht="45" customHeight="1">
      <c r="A24" s="340" t="s">
        <v>188</v>
      </c>
      <c r="B24" s="428" t="s">
        <v>253</v>
      </c>
      <c r="C24" s="15">
        <v>15</v>
      </c>
      <c r="D24" s="115" t="s">
        <v>166</v>
      </c>
      <c r="E24" s="238">
        <v>18536</v>
      </c>
      <c r="F24" s="113">
        <v>0</v>
      </c>
      <c r="G24" s="119">
        <f t="shared" si="1"/>
        <v>18536</v>
      </c>
      <c r="H24" s="116"/>
      <c r="I24" s="15"/>
      <c r="J24" s="182" t="s">
        <v>167</v>
      </c>
      <c r="K24" s="116">
        <v>500</v>
      </c>
      <c r="L24" s="292">
        <v>45833</v>
      </c>
      <c r="M24" s="15">
        <f t="shared" si="0"/>
        <v>64</v>
      </c>
      <c r="N24" s="292">
        <v>45897</v>
      </c>
      <c r="O24" s="247">
        <v>0</v>
      </c>
      <c r="P24" s="247">
        <v>0</v>
      </c>
      <c r="Q24" s="247">
        <v>0</v>
      </c>
      <c r="R24" s="15"/>
      <c r="S24" s="112" t="s">
        <v>458</v>
      </c>
    </row>
    <row r="25" spans="1:19" ht="53.25" customHeight="1">
      <c r="A25" s="340"/>
      <c r="B25" s="428"/>
      <c r="C25" s="15">
        <v>16</v>
      </c>
      <c r="D25" s="115" t="s">
        <v>168</v>
      </c>
      <c r="E25" s="238">
        <v>26563</v>
      </c>
      <c r="F25" s="113">
        <v>0</v>
      </c>
      <c r="G25" s="119">
        <f t="shared" si="1"/>
        <v>26563</v>
      </c>
      <c r="H25" s="116"/>
      <c r="I25" s="15"/>
      <c r="J25" s="182" t="s">
        <v>169</v>
      </c>
      <c r="K25" s="116">
        <v>1800</v>
      </c>
      <c r="L25" s="292">
        <v>45881</v>
      </c>
      <c r="M25" s="15">
        <f t="shared" si="0"/>
        <v>44</v>
      </c>
      <c r="N25" s="292">
        <v>45925</v>
      </c>
      <c r="O25" s="247">
        <v>0</v>
      </c>
      <c r="P25" s="247">
        <v>0</v>
      </c>
      <c r="Q25" s="247">
        <v>0</v>
      </c>
      <c r="R25" s="15"/>
      <c r="S25" s="183" t="s">
        <v>459</v>
      </c>
    </row>
    <row r="26" spans="1:19" ht="45" customHeight="1">
      <c r="A26" s="340"/>
      <c r="B26" s="428"/>
      <c r="C26" s="15">
        <v>17</v>
      </c>
      <c r="D26" s="115" t="s">
        <v>170</v>
      </c>
      <c r="E26" s="238">
        <v>12784</v>
      </c>
      <c r="F26" s="113">
        <v>0</v>
      </c>
      <c r="G26" s="119">
        <f t="shared" si="1"/>
        <v>12784</v>
      </c>
      <c r="H26" s="116"/>
      <c r="I26" s="15">
        <v>1</v>
      </c>
      <c r="J26" s="182" t="s">
        <v>171</v>
      </c>
      <c r="K26" s="116">
        <v>800</v>
      </c>
      <c r="L26" s="292">
        <v>45870</v>
      </c>
      <c r="M26" s="15">
        <f t="shared" si="0"/>
        <v>19</v>
      </c>
      <c r="N26" s="292">
        <v>45889</v>
      </c>
      <c r="O26" s="247">
        <v>0</v>
      </c>
      <c r="P26" s="247">
        <v>0</v>
      </c>
      <c r="Q26" s="247">
        <v>0</v>
      </c>
      <c r="R26" s="15"/>
      <c r="S26" s="112" t="s">
        <v>460</v>
      </c>
    </row>
    <row r="27" spans="1:19" ht="45" customHeight="1">
      <c r="A27" s="340"/>
      <c r="B27" s="428"/>
      <c r="C27" s="15">
        <v>18</v>
      </c>
      <c r="D27" s="115" t="s">
        <v>172</v>
      </c>
      <c r="E27" s="238">
        <v>6030</v>
      </c>
      <c r="F27" s="113">
        <v>0</v>
      </c>
      <c r="G27" s="119">
        <f t="shared" si="1"/>
        <v>6030</v>
      </c>
      <c r="H27" s="116"/>
      <c r="I27" s="15"/>
      <c r="J27" s="182" t="s">
        <v>258</v>
      </c>
      <c r="K27" s="116">
        <v>400</v>
      </c>
      <c r="L27" s="292">
        <v>45830</v>
      </c>
      <c r="M27" s="15">
        <f t="shared" si="0"/>
        <v>23</v>
      </c>
      <c r="N27" s="292">
        <v>45853</v>
      </c>
      <c r="O27" s="247">
        <v>0</v>
      </c>
      <c r="P27" s="247">
        <v>0</v>
      </c>
      <c r="Q27" s="247">
        <v>0</v>
      </c>
      <c r="R27" s="15"/>
      <c r="S27" s="112" t="s">
        <v>461</v>
      </c>
    </row>
    <row r="28" spans="1:19" ht="45" customHeight="1">
      <c r="A28" s="340"/>
      <c r="B28" s="428"/>
      <c r="C28" s="15">
        <v>19</v>
      </c>
      <c r="D28" s="120" t="s">
        <v>173</v>
      </c>
      <c r="E28" s="119">
        <v>4186</v>
      </c>
      <c r="F28" s="113">
        <v>0</v>
      </c>
      <c r="G28" s="119">
        <f t="shared" si="1"/>
        <v>4186</v>
      </c>
      <c r="H28" s="121"/>
      <c r="I28" s="15"/>
      <c r="J28" s="122" t="s">
        <v>257</v>
      </c>
      <c r="K28" s="116">
        <v>1800</v>
      </c>
      <c r="L28" s="292">
        <v>45925</v>
      </c>
      <c r="M28" s="15">
        <f t="shared" si="0"/>
        <v>5</v>
      </c>
      <c r="N28" s="292">
        <v>45930</v>
      </c>
      <c r="O28" s="247">
        <v>0</v>
      </c>
      <c r="P28" s="247">
        <v>0</v>
      </c>
      <c r="Q28" s="247">
        <v>0</v>
      </c>
      <c r="R28" s="15"/>
      <c r="S28" s="112" t="s">
        <v>174</v>
      </c>
    </row>
    <row r="29" spans="1:19" ht="45" customHeight="1">
      <c r="A29" s="340"/>
      <c r="B29" s="428"/>
      <c r="C29" s="15">
        <v>20</v>
      </c>
      <c r="D29" s="120" t="s">
        <v>175</v>
      </c>
      <c r="E29" s="119">
        <v>908</v>
      </c>
      <c r="F29" s="113">
        <v>0</v>
      </c>
      <c r="G29" s="119">
        <f t="shared" si="1"/>
        <v>908</v>
      </c>
      <c r="H29" s="121"/>
      <c r="I29" s="15"/>
      <c r="J29" s="272" t="s">
        <v>176</v>
      </c>
      <c r="K29" s="238">
        <v>800</v>
      </c>
      <c r="L29" s="292">
        <v>45813</v>
      </c>
      <c r="M29" s="15">
        <f t="shared" si="0"/>
        <v>33</v>
      </c>
      <c r="N29" s="292">
        <v>45846</v>
      </c>
      <c r="O29" s="247">
        <v>0</v>
      </c>
      <c r="P29" s="247">
        <v>0</v>
      </c>
      <c r="Q29" s="247">
        <v>0</v>
      </c>
      <c r="R29" s="15"/>
      <c r="S29" s="112" t="s">
        <v>177</v>
      </c>
    </row>
    <row r="30" spans="1:19" ht="45" customHeight="1">
      <c r="A30" s="117"/>
      <c r="B30" s="117"/>
      <c r="C30" s="117"/>
      <c r="D30" s="107"/>
      <c r="E30" s="108">
        <f>SUM(E24:E29)</f>
        <v>69007</v>
      </c>
      <c r="F30" s="108">
        <f t="shared" ref="F30:G30" si="3">SUM(F24:F29)</f>
        <v>0</v>
      </c>
      <c r="G30" s="108">
        <f t="shared" si="3"/>
        <v>69007</v>
      </c>
      <c r="H30" s="108">
        <f>SUM(H24:H29)</f>
        <v>0</v>
      </c>
      <c r="I30" s="117"/>
      <c r="J30" s="117"/>
      <c r="K30" s="117"/>
      <c r="L30" s="297"/>
      <c r="M30" s="117"/>
      <c r="N30" s="297"/>
      <c r="O30" s="109">
        <f>SUM(O24:O29)</f>
        <v>0</v>
      </c>
      <c r="P30" s="109">
        <f>SUM(P24:P29)</f>
        <v>0</v>
      </c>
      <c r="Q30" s="109">
        <f>SUM(Q24:Q29)</f>
        <v>0</v>
      </c>
      <c r="R30" s="117"/>
      <c r="S30" s="277"/>
    </row>
    <row r="31" spans="1:19" ht="84" customHeight="1">
      <c r="A31" s="340" t="s">
        <v>188</v>
      </c>
      <c r="B31" s="428" t="s">
        <v>178</v>
      </c>
      <c r="C31" s="15">
        <v>21</v>
      </c>
      <c r="D31" s="115" t="s">
        <v>179</v>
      </c>
      <c r="E31" s="238">
        <v>168285</v>
      </c>
      <c r="F31" s="113">
        <v>0</v>
      </c>
      <c r="G31" s="119">
        <f t="shared" si="1"/>
        <v>168285</v>
      </c>
      <c r="H31" s="116"/>
      <c r="I31" s="15"/>
      <c r="J31" s="182" t="s">
        <v>462</v>
      </c>
      <c r="K31" s="15">
        <v>1800</v>
      </c>
      <c r="L31" s="292">
        <v>45848</v>
      </c>
      <c r="M31" s="15">
        <f t="shared" si="0"/>
        <v>82</v>
      </c>
      <c r="N31" s="292">
        <v>45930</v>
      </c>
      <c r="O31" s="247">
        <v>0</v>
      </c>
      <c r="P31" s="247">
        <v>0</v>
      </c>
      <c r="Q31" s="247">
        <v>0</v>
      </c>
      <c r="R31" s="15"/>
      <c r="S31" s="248" t="s">
        <v>463</v>
      </c>
    </row>
    <row r="32" spans="1:19" ht="45" customHeight="1">
      <c r="A32" s="340"/>
      <c r="B32" s="428"/>
      <c r="C32" s="15">
        <v>22</v>
      </c>
      <c r="D32" s="115" t="s">
        <v>180</v>
      </c>
      <c r="E32" s="238">
        <v>22735</v>
      </c>
      <c r="F32" s="113">
        <v>0</v>
      </c>
      <c r="G32" s="119">
        <f t="shared" si="1"/>
        <v>22735</v>
      </c>
      <c r="H32" s="116"/>
      <c r="I32" s="15"/>
      <c r="J32" s="182" t="s">
        <v>47</v>
      </c>
      <c r="K32" s="116">
        <v>500</v>
      </c>
      <c r="L32" s="292">
        <v>45833</v>
      </c>
      <c r="M32" s="15">
        <f t="shared" si="0"/>
        <v>46</v>
      </c>
      <c r="N32" s="292">
        <v>45879</v>
      </c>
      <c r="O32" s="247">
        <v>0</v>
      </c>
      <c r="P32" s="247">
        <v>0</v>
      </c>
      <c r="Q32" s="247">
        <v>0</v>
      </c>
      <c r="R32" s="15"/>
      <c r="S32" s="112" t="s">
        <v>464</v>
      </c>
    </row>
    <row r="33" spans="1:19" ht="45" customHeight="1">
      <c r="A33" s="340"/>
      <c r="B33" s="428"/>
      <c r="C33" s="15">
        <v>23</v>
      </c>
      <c r="D33" s="115" t="s">
        <v>181</v>
      </c>
      <c r="E33" s="238">
        <v>20000</v>
      </c>
      <c r="F33" s="113">
        <v>0</v>
      </c>
      <c r="G33" s="119">
        <f t="shared" si="1"/>
        <v>20000</v>
      </c>
      <c r="H33" s="116"/>
      <c r="I33" s="15"/>
      <c r="J33" s="182" t="s">
        <v>182</v>
      </c>
      <c r="K33" s="116">
        <v>500</v>
      </c>
      <c r="L33" s="292">
        <v>45833</v>
      </c>
      <c r="M33" s="15">
        <f t="shared" si="0"/>
        <v>46</v>
      </c>
      <c r="N33" s="292">
        <v>45879</v>
      </c>
      <c r="O33" s="247">
        <v>0</v>
      </c>
      <c r="P33" s="247">
        <v>0</v>
      </c>
      <c r="Q33" s="247">
        <v>0</v>
      </c>
      <c r="R33" s="15"/>
      <c r="S33" s="112" t="s">
        <v>465</v>
      </c>
    </row>
    <row r="34" spans="1:19" ht="45" customHeight="1">
      <c r="A34" s="340"/>
      <c r="B34" s="428"/>
      <c r="C34" s="15">
        <v>24</v>
      </c>
      <c r="D34" s="115" t="s">
        <v>183</v>
      </c>
      <c r="E34" s="238">
        <v>7184</v>
      </c>
      <c r="F34" s="113">
        <v>0</v>
      </c>
      <c r="G34" s="119">
        <f t="shared" si="1"/>
        <v>7184</v>
      </c>
      <c r="H34" s="116"/>
      <c r="I34" s="15"/>
      <c r="J34" s="182" t="s">
        <v>184</v>
      </c>
      <c r="K34" s="116">
        <v>800</v>
      </c>
      <c r="L34" s="292">
        <v>45879</v>
      </c>
      <c r="M34" s="15">
        <f t="shared" si="0"/>
        <v>10</v>
      </c>
      <c r="N34" s="292">
        <v>45889</v>
      </c>
      <c r="O34" s="247">
        <v>0</v>
      </c>
      <c r="P34" s="247">
        <v>0</v>
      </c>
      <c r="Q34" s="247">
        <v>0</v>
      </c>
      <c r="R34" s="15"/>
      <c r="S34" s="183" t="s">
        <v>467</v>
      </c>
    </row>
    <row r="35" spans="1:19" ht="45" customHeight="1">
      <c r="A35" s="340"/>
      <c r="B35" s="428"/>
      <c r="C35" s="15">
        <v>25</v>
      </c>
      <c r="D35" s="115" t="s">
        <v>185</v>
      </c>
      <c r="E35" s="238">
        <v>6919</v>
      </c>
      <c r="F35" s="113">
        <v>0</v>
      </c>
      <c r="G35" s="119">
        <f t="shared" si="1"/>
        <v>6919</v>
      </c>
      <c r="H35" s="116"/>
      <c r="I35" s="15"/>
      <c r="J35" s="182" t="s">
        <v>171</v>
      </c>
      <c r="K35" s="116">
        <v>800</v>
      </c>
      <c r="L35" s="292">
        <v>45866</v>
      </c>
      <c r="M35" s="15">
        <f t="shared" si="0"/>
        <v>11</v>
      </c>
      <c r="N35" s="292">
        <v>45877</v>
      </c>
      <c r="O35" s="247">
        <v>0</v>
      </c>
      <c r="P35" s="247">
        <v>0</v>
      </c>
      <c r="Q35" s="247">
        <v>0</v>
      </c>
      <c r="R35" s="15"/>
      <c r="S35" s="112" t="s">
        <v>466</v>
      </c>
    </row>
    <row r="36" spans="1:19" ht="45" customHeight="1">
      <c r="A36" s="340"/>
      <c r="B36" s="428"/>
      <c r="C36" s="15">
        <v>26</v>
      </c>
      <c r="D36" s="115" t="s">
        <v>186</v>
      </c>
      <c r="E36" s="238">
        <v>4563</v>
      </c>
      <c r="F36" s="113">
        <v>0</v>
      </c>
      <c r="G36" s="119">
        <f t="shared" si="1"/>
        <v>4563</v>
      </c>
      <c r="H36" s="116"/>
      <c r="I36" s="15"/>
      <c r="J36" s="182" t="s">
        <v>187</v>
      </c>
      <c r="K36" s="116">
        <v>400</v>
      </c>
      <c r="L36" s="292">
        <v>45884</v>
      </c>
      <c r="M36" s="15">
        <f t="shared" si="0"/>
        <v>21</v>
      </c>
      <c r="N36" s="292">
        <v>45905</v>
      </c>
      <c r="O36" s="247">
        <v>0</v>
      </c>
      <c r="P36" s="247">
        <v>0</v>
      </c>
      <c r="Q36" s="247">
        <v>0</v>
      </c>
      <c r="R36" s="15"/>
      <c r="S36" s="112" t="s">
        <v>468</v>
      </c>
    </row>
    <row r="37" spans="1:19" ht="45" customHeight="1">
      <c r="A37" s="117"/>
      <c r="B37" s="117"/>
      <c r="C37" s="117"/>
      <c r="D37" s="42"/>
      <c r="E37" s="108">
        <f>SUM(E31:E36)</f>
        <v>229686</v>
      </c>
      <c r="F37" s="108">
        <f t="shared" ref="F37:G37" si="4">SUM(F31:F36)</f>
        <v>0</v>
      </c>
      <c r="G37" s="42">
        <f t="shared" si="4"/>
        <v>229686</v>
      </c>
      <c r="H37" s="42">
        <f>SUM(H31:H36)</f>
        <v>0</v>
      </c>
      <c r="I37" s="117"/>
      <c r="J37" s="117"/>
      <c r="K37" s="117"/>
      <c r="L37" s="297"/>
      <c r="M37" s="117"/>
      <c r="N37" s="297"/>
      <c r="O37" s="103">
        <f>SUM(O31:O36)</f>
        <v>0</v>
      </c>
      <c r="P37" s="103">
        <f>SUM(P31:P36)</f>
        <v>0</v>
      </c>
      <c r="Q37" s="103">
        <f>SUM(Q31:Q36)</f>
        <v>0</v>
      </c>
      <c r="R37" s="117"/>
      <c r="S37" s="277"/>
    </row>
    <row r="38" spans="1:19" ht="45" customHeight="1">
      <c r="A38" s="278"/>
      <c r="B38" s="278"/>
      <c r="C38" s="279"/>
      <c r="D38" s="110" t="s">
        <v>25</v>
      </c>
      <c r="E38" s="280">
        <f>E8+E9+E16+E23+E30+E37</f>
        <v>1447375</v>
      </c>
      <c r="F38" s="280">
        <f>SUM(F30,F23,F16,F9,F8)</f>
        <v>109879.21</v>
      </c>
      <c r="G38" s="280">
        <f>SUM(G37,G30,G23,G16,G9,G8)</f>
        <v>1337495.79</v>
      </c>
      <c r="H38" s="281">
        <f>H8+H9+H16+H23+H30+H37</f>
        <v>9300</v>
      </c>
      <c r="I38" s="279"/>
      <c r="J38" s="279"/>
      <c r="K38" s="279"/>
      <c r="L38" s="298"/>
      <c r="M38" s="279"/>
      <c r="N38" s="298"/>
      <c r="O38" s="282">
        <f>O8+O9+O16+O23+O30+O37</f>
        <v>2324.67</v>
      </c>
      <c r="P38" s="282">
        <f>P8+P9+P16+P23+P30+P37</f>
        <v>2295.63</v>
      </c>
      <c r="Q38" s="282">
        <f>Q8+Q9+Q16+Q23+Q30+Q37</f>
        <v>1816.96</v>
      </c>
      <c r="R38" s="279"/>
      <c r="S38" s="283"/>
    </row>
    <row r="39" spans="1:19">
      <c r="E39" s="184"/>
      <c r="F39" s="184"/>
    </row>
    <row r="60" spans="13:17" hidden="1"/>
    <row r="61" spans="13:17" hidden="1">
      <c r="M61" s="186">
        <v>45802</v>
      </c>
      <c r="P61" s="186">
        <v>45823</v>
      </c>
      <c r="Q61" s="186"/>
    </row>
    <row r="62" spans="13:17" hidden="1"/>
    <row r="63" spans="13:17" hidden="1">
      <c r="M63" s="186">
        <v>45792</v>
      </c>
      <c r="P63" s="186">
        <v>45822</v>
      </c>
      <c r="Q63" s="186"/>
    </row>
    <row r="64" spans="13:17" hidden="1"/>
  </sheetData>
  <mergeCells count="40">
    <mergeCell ref="O6:O7"/>
    <mergeCell ref="N6:N7"/>
    <mergeCell ref="P6:P7"/>
    <mergeCell ref="R6:R7"/>
    <mergeCell ref="B17:B22"/>
    <mergeCell ref="S2:S3"/>
    <mergeCell ref="G6:G7"/>
    <mergeCell ref="H6:H7"/>
    <mergeCell ref="I6:I7"/>
    <mergeCell ref="L6:L7"/>
    <mergeCell ref="M6:M7"/>
    <mergeCell ref="E6:E7"/>
    <mergeCell ref="F6:F7"/>
    <mergeCell ref="Q2:Q3"/>
    <mergeCell ref="Q6:Q7"/>
    <mergeCell ref="B2:B3"/>
    <mergeCell ref="C2:C3"/>
    <mergeCell ref="B31:B36"/>
    <mergeCell ref="B10:B15"/>
    <mergeCell ref="B24:B29"/>
    <mergeCell ref="D6:D7"/>
    <mergeCell ref="B5:B7"/>
    <mergeCell ref="C5:C7"/>
    <mergeCell ref="I2:I3"/>
    <mergeCell ref="J2:N2"/>
    <mergeCell ref="P2:P3"/>
    <mergeCell ref="R2:R3"/>
    <mergeCell ref="A1:T1"/>
    <mergeCell ref="D2:D3"/>
    <mergeCell ref="E2:E3"/>
    <mergeCell ref="F2:F3"/>
    <mergeCell ref="G2:G3"/>
    <mergeCell ref="H2:H3"/>
    <mergeCell ref="O2:O3"/>
    <mergeCell ref="A31:A36"/>
    <mergeCell ref="A17:A22"/>
    <mergeCell ref="A24:A29"/>
    <mergeCell ref="A2:A3"/>
    <mergeCell ref="A10:A15"/>
    <mergeCell ref="A5:A7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40" fitToHeight="2" orientation="landscape" r:id="rId1"/>
  <rowBreaks count="1" manualBreakCount="1">
    <brk id="23" max="16" man="1"/>
  </rowBreaks>
  <ignoredErrors>
    <ignoredError sqref="F8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X63"/>
  <sheetViews>
    <sheetView topLeftCell="C7" zoomScale="70" zoomScaleNormal="70" zoomScaleSheetLayoutView="70" workbookViewId="0">
      <selection activeCell="U15" sqref="U15"/>
    </sheetView>
  </sheetViews>
  <sheetFormatPr defaultRowHeight="15"/>
  <cols>
    <col min="1" max="1" width="0" hidden="1" customWidth="1"/>
    <col min="2" max="2" width="29" customWidth="1"/>
    <col min="3" max="3" width="13.85546875" customWidth="1"/>
    <col min="4" max="4" width="7.28515625" customWidth="1"/>
    <col min="5" max="5" width="14.42578125" customWidth="1"/>
    <col min="6" max="6" width="15.42578125" customWidth="1"/>
    <col min="7" max="8" width="13.85546875" customWidth="1"/>
    <col min="9" max="9" width="15.7109375" customWidth="1"/>
    <col min="10" max="10" width="14.28515625" customWidth="1"/>
    <col min="11" max="11" width="10" customWidth="1"/>
    <col min="12" max="12" width="11.28515625" customWidth="1"/>
    <col min="13" max="13" width="11.85546875" customWidth="1"/>
    <col min="14" max="14" width="7.28515625" style="44" customWidth="1"/>
    <col min="15" max="16" width="13.85546875" customWidth="1"/>
    <col min="17" max="17" width="12.7109375" customWidth="1"/>
    <col min="18" max="18" width="12.7109375" hidden="1" customWidth="1"/>
    <col min="19" max="19" width="13.28515625" hidden="1" customWidth="1"/>
    <col min="20" max="20" width="48.140625" style="102" customWidth="1"/>
  </cols>
  <sheetData>
    <row r="1" spans="1:76" ht="25.5" customHeight="1">
      <c r="C1" s="373" t="s">
        <v>497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4"/>
      <c r="U1" s="375"/>
    </row>
    <row r="2" spans="1:76" ht="21.75" customHeight="1">
      <c r="A2" s="426" t="s">
        <v>1</v>
      </c>
      <c r="B2" s="446" t="s">
        <v>403</v>
      </c>
      <c r="C2" s="426" t="s">
        <v>2</v>
      </c>
      <c r="D2" s="424" t="s">
        <v>249</v>
      </c>
      <c r="E2" s="426" t="s">
        <v>3</v>
      </c>
      <c r="F2" s="424" t="s">
        <v>137</v>
      </c>
      <c r="G2" s="424" t="s">
        <v>245</v>
      </c>
      <c r="H2" s="424" t="s">
        <v>139</v>
      </c>
      <c r="I2" s="424" t="s">
        <v>250</v>
      </c>
      <c r="J2" s="424" t="s">
        <v>4</v>
      </c>
      <c r="K2" s="426" t="s">
        <v>5</v>
      </c>
      <c r="L2" s="426"/>
      <c r="M2" s="426"/>
      <c r="N2" s="426"/>
      <c r="O2" s="426"/>
      <c r="P2" s="424" t="s">
        <v>515</v>
      </c>
      <c r="Q2" s="424" t="s">
        <v>499</v>
      </c>
      <c r="R2" s="424" t="s">
        <v>500</v>
      </c>
      <c r="S2" s="424" t="s">
        <v>216</v>
      </c>
      <c r="T2" s="426" t="s">
        <v>8</v>
      </c>
    </row>
    <row r="3" spans="1:76" ht="85.5" customHeight="1">
      <c r="A3" s="426"/>
      <c r="B3" s="447"/>
      <c r="C3" s="426"/>
      <c r="D3" s="424"/>
      <c r="E3" s="426"/>
      <c r="F3" s="424"/>
      <c r="G3" s="424"/>
      <c r="H3" s="424"/>
      <c r="I3" s="439"/>
      <c r="J3" s="424"/>
      <c r="K3" s="10" t="s">
        <v>141</v>
      </c>
      <c r="L3" s="10" t="s">
        <v>10</v>
      </c>
      <c r="M3" s="10" t="s">
        <v>142</v>
      </c>
      <c r="N3" s="10" t="s">
        <v>143</v>
      </c>
      <c r="O3" s="10" t="s">
        <v>144</v>
      </c>
      <c r="P3" s="425"/>
      <c r="Q3" s="425"/>
      <c r="R3" s="425"/>
      <c r="S3" s="424"/>
      <c r="T3" s="426"/>
    </row>
    <row r="4" spans="1:76" ht="15.75">
      <c r="A4" s="219">
        <v>1</v>
      </c>
      <c r="B4" s="219">
        <v>1</v>
      </c>
      <c r="C4" s="219">
        <v>2</v>
      </c>
      <c r="D4" s="219">
        <v>3</v>
      </c>
      <c r="E4" s="219">
        <v>4</v>
      </c>
      <c r="F4" s="219">
        <v>5</v>
      </c>
      <c r="G4" s="219">
        <v>6</v>
      </c>
      <c r="H4" s="219">
        <v>7</v>
      </c>
      <c r="I4" s="220">
        <v>8</v>
      </c>
      <c r="J4" s="219">
        <v>9</v>
      </c>
      <c r="K4" s="219">
        <v>10</v>
      </c>
      <c r="L4" s="9">
        <v>11</v>
      </c>
      <c r="M4" s="9">
        <v>12</v>
      </c>
      <c r="N4" s="9">
        <v>13</v>
      </c>
      <c r="O4" s="9">
        <v>14</v>
      </c>
      <c r="P4" s="316">
        <v>15</v>
      </c>
      <c r="Q4" s="316">
        <v>16</v>
      </c>
      <c r="R4" s="241">
        <v>16</v>
      </c>
      <c r="S4" s="9">
        <v>16</v>
      </c>
      <c r="T4" s="101">
        <v>17</v>
      </c>
    </row>
    <row r="5" spans="1:76" ht="45" customHeight="1">
      <c r="A5" s="440" t="s">
        <v>217</v>
      </c>
      <c r="B5" s="440" t="s">
        <v>217</v>
      </c>
      <c r="C5" s="443" t="s">
        <v>243</v>
      </c>
      <c r="D5" s="261">
        <v>1</v>
      </c>
      <c r="E5" s="250" t="s">
        <v>191</v>
      </c>
      <c r="F5" s="15">
        <v>67308</v>
      </c>
      <c r="G5" s="15">
        <f>(5586.53-22.895)+1104.02+911.11+1603.15+1406.45+974.22+1055.11+715.115</f>
        <v>13332.81</v>
      </c>
      <c r="H5" s="15">
        <f>F5-G5</f>
        <v>53975.19</v>
      </c>
      <c r="I5" s="15">
        <v>1800</v>
      </c>
      <c r="J5" s="15">
        <v>1</v>
      </c>
      <c r="K5" s="15" t="s">
        <v>15</v>
      </c>
      <c r="L5" s="15">
        <v>1800</v>
      </c>
      <c r="M5" s="15" t="s">
        <v>192</v>
      </c>
      <c r="N5" s="15">
        <v>45</v>
      </c>
      <c r="O5" s="15" t="s">
        <v>193</v>
      </c>
      <c r="P5" s="15">
        <v>715.11500000000001</v>
      </c>
      <c r="Q5" s="247">
        <v>1055.1099999999999</v>
      </c>
      <c r="R5" s="247">
        <v>974.22</v>
      </c>
      <c r="S5" s="15"/>
      <c r="T5" s="284" t="s">
        <v>454</v>
      </c>
    </row>
    <row r="6" spans="1:76" ht="45" customHeight="1">
      <c r="A6" s="441"/>
      <c r="B6" s="441"/>
      <c r="C6" s="444"/>
      <c r="D6" s="15">
        <v>2</v>
      </c>
      <c r="E6" s="250" t="s">
        <v>194</v>
      </c>
      <c r="F6" s="15">
        <v>50000</v>
      </c>
      <c r="G6" s="15">
        <v>0</v>
      </c>
      <c r="H6" s="15">
        <f t="shared" ref="H6:H9" si="0">F6-G6</f>
        <v>50000</v>
      </c>
      <c r="I6" s="15">
        <v>1800</v>
      </c>
      <c r="J6" s="15">
        <v>1</v>
      </c>
      <c r="K6" s="15" t="s">
        <v>16</v>
      </c>
      <c r="L6" s="15">
        <v>1800</v>
      </c>
      <c r="M6" s="15" t="s">
        <v>355</v>
      </c>
      <c r="N6" s="15">
        <v>35</v>
      </c>
      <c r="O6" s="15" t="s">
        <v>195</v>
      </c>
      <c r="P6" s="15">
        <v>0</v>
      </c>
      <c r="Q6" s="247">
        <v>0</v>
      </c>
      <c r="R6" s="247">
        <v>0</v>
      </c>
      <c r="S6" s="15"/>
      <c r="T6" s="248" t="s">
        <v>511</v>
      </c>
    </row>
    <row r="7" spans="1:76" ht="45" customHeight="1">
      <c r="A7" s="441"/>
      <c r="B7" s="441"/>
      <c r="C7" s="444"/>
      <c r="D7" s="15">
        <v>3</v>
      </c>
      <c r="E7" s="250" t="s">
        <v>196</v>
      </c>
      <c r="F7" s="15">
        <v>41357</v>
      </c>
      <c r="G7" s="15">
        <v>0</v>
      </c>
      <c r="H7" s="15">
        <f t="shared" si="0"/>
        <v>41357</v>
      </c>
      <c r="I7" s="15">
        <v>600</v>
      </c>
      <c r="J7" s="15">
        <v>1</v>
      </c>
      <c r="K7" s="15" t="s">
        <v>17</v>
      </c>
      <c r="L7" s="15">
        <v>600</v>
      </c>
      <c r="M7" s="15" t="s">
        <v>355</v>
      </c>
      <c r="N7" s="15">
        <v>75</v>
      </c>
      <c r="O7" s="15" t="s">
        <v>197</v>
      </c>
      <c r="P7" s="15">
        <v>0</v>
      </c>
      <c r="Q7" s="247">
        <v>0</v>
      </c>
      <c r="R7" s="247">
        <v>0</v>
      </c>
      <c r="S7" s="15"/>
      <c r="T7" s="248" t="s">
        <v>511</v>
      </c>
    </row>
    <row r="8" spans="1:76" ht="45" customHeight="1">
      <c r="A8" s="441"/>
      <c r="B8" s="441"/>
      <c r="C8" s="444"/>
      <c r="D8" s="15">
        <v>4</v>
      </c>
      <c r="E8" s="250" t="s">
        <v>198</v>
      </c>
      <c r="F8" s="15">
        <v>10000</v>
      </c>
      <c r="G8" s="15">
        <v>0</v>
      </c>
      <c r="H8" s="15">
        <f t="shared" si="0"/>
        <v>10000</v>
      </c>
      <c r="I8" s="15"/>
      <c r="J8" s="15"/>
      <c r="K8" s="182" t="s">
        <v>244</v>
      </c>
      <c r="L8" s="15">
        <v>1800</v>
      </c>
      <c r="M8" s="15" t="s">
        <v>199</v>
      </c>
      <c r="N8" s="15">
        <v>10</v>
      </c>
      <c r="O8" s="15" t="s">
        <v>197</v>
      </c>
      <c r="P8" s="15">
        <v>0</v>
      </c>
      <c r="Q8" s="247">
        <v>0</v>
      </c>
      <c r="R8" s="247">
        <v>0</v>
      </c>
      <c r="S8" s="15"/>
      <c r="T8" s="248" t="s">
        <v>431</v>
      </c>
    </row>
    <row r="9" spans="1:76" ht="45" customHeight="1">
      <c r="A9" s="441"/>
      <c r="B9" s="442"/>
      <c r="C9" s="445"/>
      <c r="D9" s="15">
        <v>5</v>
      </c>
      <c r="E9" s="250" t="s">
        <v>200</v>
      </c>
      <c r="F9" s="15">
        <v>2666</v>
      </c>
      <c r="G9" s="15">
        <v>0</v>
      </c>
      <c r="H9" s="15">
        <f t="shared" si="0"/>
        <v>2666</v>
      </c>
      <c r="I9" s="15"/>
      <c r="J9" s="15"/>
      <c r="K9" s="272" t="s">
        <v>176</v>
      </c>
      <c r="L9" s="15">
        <v>1800</v>
      </c>
      <c r="M9" s="15" t="s">
        <v>193</v>
      </c>
      <c r="N9" s="15">
        <v>5</v>
      </c>
      <c r="O9" s="15" t="s">
        <v>201</v>
      </c>
      <c r="P9" s="15">
        <v>0</v>
      </c>
      <c r="Q9" s="247">
        <v>0</v>
      </c>
      <c r="R9" s="247">
        <v>0</v>
      </c>
      <c r="S9" s="15"/>
      <c r="T9" s="248" t="s">
        <v>512</v>
      </c>
    </row>
    <row r="10" spans="1:76" s="43" customFormat="1" ht="34.5" customHeight="1">
      <c r="A10" s="441"/>
      <c r="B10" s="41"/>
      <c r="C10" s="117"/>
      <c r="D10" s="117"/>
      <c r="E10" s="285"/>
      <c r="F10" s="42">
        <f>SUM(F5:F9)</f>
        <v>171331</v>
      </c>
      <c r="G10" s="42">
        <f>SUM(G5:G9)</f>
        <v>13332.81</v>
      </c>
      <c r="H10" s="42">
        <f>SUM(H5:H9)</f>
        <v>157998.19</v>
      </c>
      <c r="I10" s="42">
        <f>SUM(I5:I9)</f>
        <v>4200</v>
      </c>
      <c r="J10" s="42">
        <f>SUM(J5:J9)</f>
        <v>3</v>
      </c>
      <c r="K10" s="117"/>
      <c r="L10" s="117"/>
      <c r="M10" s="117"/>
      <c r="N10" s="117"/>
      <c r="O10" s="117"/>
      <c r="P10" s="103">
        <f>SUM(P5:P9)</f>
        <v>715.11500000000001</v>
      </c>
      <c r="Q10" s="103">
        <f>SUM(Q5:Q9)</f>
        <v>1055.1099999999999</v>
      </c>
      <c r="R10" s="103">
        <f>SUM(R5:R9)</f>
        <v>974.22</v>
      </c>
      <c r="S10" s="117"/>
      <c r="T10" s="277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</row>
    <row r="11" spans="1:76" ht="42.75" customHeight="1">
      <c r="A11" s="441"/>
      <c r="B11" s="440" t="s">
        <v>217</v>
      </c>
      <c r="C11" s="443" t="s">
        <v>248</v>
      </c>
      <c r="D11" s="261">
        <v>6</v>
      </c>
      <c r="E11" s="250" t="s">
        <v>202</v>
      </c>
      <c r="F11" s="15">
        <v>80083</v>
      </c>
      <c r="G11" s="116">
        <f>4813.87+1053.64+1066.16+378.065+1015.58+668.01+1197+1130</f>
        <v>11322.325000000001</v>
      </c>
      <c r="H11" s="15">
        <f>F11-G11</f>
        <v>68760.675000000003</v>
      </c>
      <c r="I11" s="15">
        <v>1800</v>
      </c>
      <c r="J11" s="15">
        <v>1</v>
      </c>
      <c r="K11" s="15" t="s">
        <v>19</v>
      </c>
      <c r="L11" s="15">
        <v>1800</v>
      </c>
      <c r="M11" s="15" t="s">
        <v>203</v>
      </c>
      <c r="N11" s="15">
        <v>50</v>
      </c>
      <c r="O11" s="15" t="s">
        <v>201</v>
      </c>
      <c r="P11" s="15">
        <v>1130.1300000000001</v>
      </c>
      <c r="Q11" s="247">
        <v>1197.08</v>
      </c>
      <c r="R11" s="247">
        <v>668.01</v>
      </c>
      <c r="S11" s="15"/>
      <c r="T11" s="284" t="s">
        <v>483</v>
      </c>
    </row>
    <row r="12" spans="1:76" ht="53.25" customHeight="1">
      <c r="A12" s="441"/>
      <c r="B12" s="441"/>
      <c r="C12" s="444"/>
      <c r="D12" s="15">
        <v>7</v>
      </c>
      <c r="E12" s="250" t="s">
        <v>204</v>
      </c>
      <c r="F12" s="15">
        <v>24189</v>
      </c>
      <c r="G12" s="15">
        <v>0</v>
      </c>
      <c r="H12" s="15">
        <f t="shared" ref="H12:H16" si="1">F12-G12</f>
        <v>24189</v>
      </c>
      <c r="I12" s="15">
        <v>1200</v>
      </c>
      <c r="J12" s="15">
        <v>1</v>
      </c>
      <c r="K12" s="15" t="s">
        <v>20</v>
      </c>
      <c r="L12" s="15">
        <v>1200</v>
      </c>
      <c r="M12" s="15" t="s">
        <v>355</v>
      </c>
      <c r="N12" s="15">
        <v>30</v>
      </c>
      <c r="O12" s="15" t="s">
        <v>205</v>
      </c>
      <c r="P12" s="15">
        <v>0</v>
      </c>
      <c r="Q12" s="247">
        <v>0</v>
      </c>
      <c r="R12" s="247">
        <v>0</v>
      </c>
      <c r="S12" s="15"/>
      <c r="T12" s="248" t="s">
        <v>513</v>
      </c>
    </row>
    <row r="13" spans="1:76" ht="45" customHeight="1">
      <c r="A13" s="441"/>
      <c r="B13" s="441"/>
      <c r="C13" s="444"/>
      <c r="D13" s="15">
        <v>8</v>
      </c>
      <c r="E13" s="250" t="s">
        <v>206</v>
      </c>
      <c r="F13" s="15">
        <v>19700</v>
      </c>
      <c r="G13" s="15">
        <v>0</v>
      </c>
      <c r="H13" s="15">
        <f t="shared" si="1"/>
        <v>19700</v>
      </c>
      <c r="I13" s="15"/>
      <c r="J13" s="15"/>
      <c r="K13" s="182" t="s">
        <v>246</v>
      </c>
      <c r="L13" s="15">
        <v>1200</v>
      </c>
      <c r="M13" s="15" t="s">
        <v>193</v>
      </c>
      <c r="N13" s="15">
        <v>20</v>
      </c>
      <c r="O13" s="15" t="s">
        <v>207</v>
      </c>
      <c r="P13" s="15">
        <v>0</v>
      </c>
      <c r="Q13" s="247">
        <v>0</v>
      </c>
      <c r="R13" s="247">
        <v>0</v>
      </c>
      <c r="S13" s="15"/>
      <c r="T13" s="248" t="s">
        <v>432</v>
      </c>
    </row>
    <row r="14" spans="1:76" ht="45" customHeight="1">
      <c r="A14" s="441"/>
      <c r="B14" s="441"/>
      <c r="C14" s="444"/>
      <c r="D14" s="15">
        <v>9</v>
      </c>
      <c r="E14" s="250" t="s">
        <v>208</v>
      </c>
      <c r="F14" s="15">
        <v>3596</v>
      </c>
      <c r="G14" s="15">
        <v>0</v>
      </c>
      <c r="H14" s="15">
        <f t="shared" si="1"/>
        <v>3596</v>
      </c>
      <c r="I14" s="15"/>
      <c r="J14" s="15"/>
      <c r="K14" s="272" t="s">
        <v>209</v>
      </c>
      <c r="L14" s="15">
        <v>1200</v>
      </c>
      <c r="M14" s="15" t="s">
        <v>199</v>
      </c>
      <c r="N14" s="15">
        <v>5</v>
      </c>
      <c r="O14" s="15" t="s">
        <v>210</v>
      </c>
      <c r="P14" s="15">
        <v>0</v>
      </c>
      <c r="Q14" s="247">
        <v>0</v>
      </c>
      <c r="R14" s="247">
        <v>0</v>
      </c>
      <c r="S14" s="15"/>
      <c r="T14" s="248" t="s">
        <v>438</v>
      </c>
    </row>
    <row r="15" spans="1:76" ht="45" customHeight="1">
      <c r="A15" s="441"/>
      <c r="B15" s="441"/>
      <c r="C15" s="444"/>
      <c r="D15" s="15">
        <v>10</v>
      </c>
      <c r="E15" s="250" t="s">
        <v>211</v>
      </c>
      <c r="F15" s="15">
        <v>9773</v>
      </c>
      <c r="G15" s="15">
        <v>0</v>
      </c>
      <c r="H15" s="15">
        <f t="shared" si="1"/>
        <v>9773</v>
      </c>
      <c r="I15" s="15">
        <v>600</v>
      </c>
      <c r="J15" s="15">
        <v>1</v>
      </c>
      <c r="K15" s="15" t="s">
        <v>27</v>
      </c>
      <c r="L15" s="15">
        <v>600</v>
      </c>
      <c r="M15" s="15" t="s">
        <v>371</v>
      </c>
      <c r="N15" s="15">
        <v>20</v>
      </c>
      <c r="O15" s="15" t="s">
        <v>212</v>
      </c>
      <c r="P15" s="15">
        <v>0</v>
      </c>
      <c r="Q15" s="247">
        <v>0</v>
      </c>
      <c r="R15" s="247">
        <v>0</v>
      </c>
      <c r="S15" s="15"/>
      <c r="T15" s="262" t="s">
        <v>469</v>
      </c>
    </row>
    <row r="16" spans="1:76" ht="45" customHeight="1">
      <c r="A16" s="441"/>
      <c r="B16" s="442"/>
      <c r="C16" s="445"/>
      <c r="D16" s="15">
        <v>11</v>
      </c>
      <c r="E16" s="286" t="s">
        <v>213</v>
      </c>
      <c r="F16" s="15">
        <v>6153</v>
      </c>
      <c r="G16" s="247">
        <v>0</v>
      </c>
      <c r="H16" s="15">
        <f t="shared" si="1"/>
        <v>6153</v>
      </c>
      <c r="I16" s="247"/>
      <c r="J16" s="15"/>
      <c r="K16" s="182" t="s">
        <v>247</v>
      </c>
      <c r="L16" s="15">
        <v>600</v>
      </c>
      <c r="M16" s="15" t="s">
        <v>214</v>
      </c>
      <c r="N16" s="15">
        <v>15</v>
      </c>
      <c r="O16" s="15" t="s">
        <v>215</v>
      </c>
      <c r="P16" s="15">
        <v>0</v>
      </c>
      <c r="Q16" s="247">
        <v>0</v>
      </c>
      <c r="R16" s="247">
        <v>0</v>
      </c>
      <c r="S16" s="15"/>
      <c r="T16" s="248" t="s">
        <v>470</v>
      </c>
    </row>
    <row r="17" spans="1:20" ht="36" customHeight="1">
      <c r="A17" s="442"/>
      <c r="B17" s="45"/>
      <c r="C17" s="287"/>
      <c r="D17" s="287"/>
      <c r="E17" s="287"/>
      <c r="F17" s="104">
        <f>SUM(F11:F16)</f>
        <v>143494</v>
      </c>
      <c r="G17" s="104">
        <f>SUM(G11:G16)</f>
        <v>11322.325000000001</v>
      </c>
      <c r="H17" s="104">
        <f>SUM(H11:H16)</f>
        <v>132171.67499999999</v>
      </c>
      <c r="I17" s="103">
        <f>SUM(I11:I16)</f>
        <v>3600</v>
      </c>
      <c r="J17" s="42">
        <f>SUM(J11:J16)</f>
        <v>3</v>
      </c>
      <c r="K17" s="288"/>
      <c r="L17" s="288"/>
      <c r="M17" s="288"/>
      <c r="N17" s="117"/>
      <c r="O17" s="288"/>
      <c r="P17" s="103">
        <f>SUM(P11:P16)</f>
        <v>1130.1300000000001</v>
      </c>
      <c r="Q17" s="103">
        <f>SUM(Q11:Q16)</f>
        <v>1197.08</v>
      </c>
      <c r="R17" s="103">
        <f>SUM(R11:R16)</f>
        <v>668.01</v>
      </c>
      <c r="S17" s="288"/>
      <c r="T17" s="289"/>
    </row>
    <row r="18" spans="1:20" ht="33.75" customHeight="1">
      <c r="A18" s="17"/>
      <c r="B18" s="17"/>
      <c r="C18" s="290"/>
      <c r="D18" s="290"/>
      <c r="E18" s="281" t="s">
        <v>25</v>
      </c>
      <c r="F18" s="281">
        <f>F10+F17</f>
        <v>314825</v>
      </c>
      <c r="G18" s="281">
        <f>G10+G17</f>
        <v>24655.135000000002</v>
      </c>
      <c r="H18" s="281">
        <f>H10+H17</f>
        <v>290169.86499999999</v>
      </c>
      <c r="I18" s="282">
        <f>I10+I17</f>
        <v>7800</v>
      </c>
      <c r="J18" s="214">
        <f>J10+J17</f>
        <v>6</v>
      </c>
      <c r="K18" s="281"/>
      <c r="L18" s="281"/>
      <c r="M18" s="281"/>
      <c r="N18" s="214"/>
      <c r="O18" s="279"/>
      <c r="P18" s="282">
        <f>P10+P17</f>
        <v>1845.2450000000001</v>
      </c>
      <c r="Q18" s="282">
        <f>Q10+Q17</f>
        <v>2252.1899999999996</v>
      </c>
      <c r="R18" s="282">
        <f>R10+R17</f>
        <v>1642.23</v>
      </c>
      <c r="S18" s="279"/>
      <c r="T18" s="291"/>
    </row>
    <row r="61" spans="14:18">
      <c r="N61" s="185">
        <v>45802</v>
      </c>
      <c r="Q61" s="187">
        <v>45823</v>
      </c>
      <c r="R61" s="187"/>
    </row>
    <row r="63" spans="14:18">
      <c r="N63" s="185">
        <v>45792</v>
      </c>
      <c r="Q63" s="187">
        <v>45822</v>
      </c>
      <c r="R63" s="187"/>
    </row>
  </sheetData>
  <mergeCells count="22">
    <mergeCell ref="C1:U1"/>
    <mergeCell ref="A5:A17"/>
    <mergeCell ref="C5:C9"/>
    <mergeCell ref="B5:B9"/>
    <mergeCell ref="B11:B16"/>
    <mergeCell ref="C11:C16"/>
    <mergeCell ref="A2:A3"/>
    <mergeCell ref="C2:C3"/>
    <mergeCell ref="D2:D3"/>
    <mergeCell ref="E2:E3"/>
    <mergeCell ref="F2:F3"/>
    <mergeCell ref="Q2:Q3"/>
    <mergeCell ref="S2:S3"/>
    <mergeCell ref="T2:T3"/>
    <mergeCell ref="B2:B3"/>
    <mergeCell ref="G2:G3"/>
    <mergeCell ref="H2:H3"/>
    <mergeCell ref="I2:I3"/>
    <mergeCell ref="J2:J3"/>
    <mergeCell ref="K2:O2"/>
    <mergeCell ref="R2:R3"/>
    <mergeCell ref="P2:P3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49" fitToHeight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M96"/>
  <sheetViews>
    <sheetView topLeftCell="B1" zoomScale="60" zoomScaleNormal="60" zoomScaleSheetLayoutView="66" workbookViewId="0">
      <pane ySplit="4" topLeftCell="A59" activePane="bottomLeft" state="frozen"/>
      <selection activeCell="U15" sqref="U15"/>
      <selection pane="bottomLeft" activeCell="U15" sqref="U15"/>
    </sheetView>
  </sheetViews>
  <sheetFormatPr defaultColWidth="10.7109375" defaultRowHeight="15.75"/>
  <cols>
    <col min="1" max="1" width="9.7109375" style="135" hidden="1" customWidth="1"/>
    <col min="2" max="2" width="24.140625" style="135" customWidth="1"/>
    <col min="3" max="3" width="21.28515625" style="135" customWidth="1"/>
    <col min="4" max="4" width="10" style="135" customWidth="1"/>
    <col min="5" max="5" width="21.85546875" style="154" customWidth="1"/>
    <col min="6" max="6" width="17.28515625" style="171" customWidth="1"/>
    <col min="7" max="7" width="16.28515625" style="155" customWidth="1"/>
    <col min="8" max="8" width="17.140625" style="155" customWidth="1"/>
    <col min="9" max="9" width="18.140625" style="172" customWidth="1"/>
    <col min="10" max="10" width="14.85546875" style="135" customWidth="1"/>
    <col min="11" max="11" width="13.85546875" style="135" customWidth="1"/>
    <col min="12" max="12" width="15.140625" style="135" customWidth="1"/>
    <col min="13" max="13" width="16.42578125" style="135" customWidth="1"/>
    <col min="14" max="14" width="17.5703125" style="135" customWidth="1"/>
    <col min="15" max="15" width="16" style="135" customWidth="1"/>
    <col min="16" max="16" width="18.140625" style="135" customWidth="1"/>
    <col min="17" max="17" width="18.42578125" style="135" customWidth="1"/>
    <col min="18" max="19" width="17.85546875" style="135" hidden="1" customWidth="1"/>
    <col min="20" max="20" width="16.85546875" style="135" hidden="1" customWidth="1"/>
    <col min="21" max="21" width="46.28515625" style="156" customWidth="1"/>
    <col min="22" max="23" width="11.85546875" style="135" hidden="1" customWidth="1"/>
    <col min="24" max="24" width="15.140625" style="135" hidden="1" customWidth="1"/>
    <col min="25" max="25" width="15.42578125" style="135" hidden="1" customWidth="1"/>
    <col min="26" max="28" width="11.85546875" style="135" hidden="1" customWidth="1"/>
    <col min="29" max="29" width="62.42578125" style="156" hidden="1" customWidth="1"/>
    <col min="30" max="30" width="20.5703125" style="135" hidden="1" customWidth="1"/>
    <col min="31" max="40" width="0" style="135" hidden="1" customWidth="1"/>
    <col min="41" max="16384" width="10.7109375" style="135"/>
  </cols>
  <sheetData>
    <row r="1" spans="1:29" ht="27.6" customHeight="1">
      <c r="A1" s="134" t="s">
        <v>452</v>
      </c>
      <c r="B1" s="373" t="s">
        <v>497</v>
      </c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4"/>
      <c r="U1" s="375"/>
      <c r="V1" s="16"/>
      <c r="W1" s="16"/>
      <c r="X1" s="16"/>
      <c r="Y1" s="16"/>
      <c r="Z1" s="16"/>
      <c r="AA1" s="16"/>
      <c r="AB1" s="16"/>
      <c r="AC1" s="100"/>
    </row>
    <row r="2" spans="1:29" ht="57.6" customHeight="1">
      <c r="A2" s="355" t="s">
        <v>1</v>
      </c>
      <c r="B2" s="357" t="s">
        <v>1</v>
      </c>
      <c r="C2" s="357" t="s">
        <v>2</v>
      </c>
      <c r="D2" s="359" t="s">
        <v>333</v>
      </c>
      <c r="E2" s="357" t="s">
        <v>3</v>
      </c>
      <c r="F2" s="353" t="s">
        <v>137</v>
      </c>
      <c r="G2" s="353" t="s">
        <v>245</v>
      </c>
      <c r="H2" s="353" t="s">
        <v>139</v>
      </c>
      <c r="I2" s="353" t="s">
        <v>250</v>
      </c>
      <c r="J2" s="353" t="s">
        <v>4</v>
      </c>
      <c r="K2" s="361" t="s">
        <v>9</v>
      </c>
      <c r="L2" s="361" t="s">
        <v>10</v>
      </c>
      <c r="M2" s="359" t="s">
        <v>11</v>
      </c>
      <c r="N2" s="353" t="s">
        <v>6</v>
      </c>
      <c r="O2" s="353" t="s">
        <v>7</v>
      </c>
      <c r="P2" s="353" t="s">
        <v>515</v>
      </c>
      <c r="Q2" s="353" t="s">
        <v>499</v>
      </c>
      <c r="R2" s="353" t="s">
        <v>499</v>
      </c>
      <c r="S2" s="353" t="s">
        <v>500</v>
      </c>
      <c r="T2" s="361" t="s">
        <v>402</v>
      </c>
      <c r="U2" s="353" t="s">
        <v>8</v>
      </c>
      <c r="V2" s="364" t="s">
        <v>134</v>
      </c>
      <c r="W2" s="364" t="s">
        <v>272</v>
      </c>
      <c r="X2" s="364" t="s">
        <v>273</v>
      </c>
      <c r="Y2" s="364" t="s">
        <v>274</v>
      </c>
      <c r="Z2" s="364" t="s">
        <v>275</v>
      </c>
      <c r="AA2" s="364" t="s">
        <v>276</v>
      </c>
      <c r="AB2" s="364" t="s">
        <v>295</v>
      </c>
      <c r="AC2" s="363" t="s">
        <v>278</v>
      </c>
    </row>
    <row r="3" spans="1:29" ht="42" customHeight="1">
      <c r="A3" s="356"/>
      <c r="B3" s="358"/>
      <c r="C3" s="358"/>
      <c r="D3" s="360"/>
      <c r="E3" s="358"/>
      <c r="F3" s="354"/>
      <c r="G3" s="354"/>
      <c r="H3" s="354"/>
      <c r="I3" s="354"/>
      <c r="J3" s="354"/>
      <c r="K3" s="362"/>
      <c r="L3" s="362"/>
      <c r="M3" s="378"/>
      <c r="N3" s="353"/>
      <c r="O3" s="353"/>
      <c r="P3" s="353"/>
      <c r="Q3" s="353"/>
      <c r="R3" s="353"/>
      <c r="S3" s="353"/>
      <c r="T3" s="362"/>
      <c r="U3" s="353"/>
      <c r="V3" s="365"/>
      <c r="W3" s="365"/>
      <c r="X3" s="365"/>
      <c r="Y3" s="365"/>
      <c r="Z3" s="365"/>
      <c r="AA3" s="365"/>
      <c r="AB3" s="365"/>
      <c r="AC3" s="363"/>
    </row>
    <row r="4" spans="1:29" ht="26.25" customHeight="1">
      <c r="A4" s="136">
        <v>1</v>
      </c>
      <c r="B4" s="244">
        <v>1</v>
      </c>
      <c r="C4" s="245">
        <v>2</v>
      </c>
      <c r="D4" s="245">
        <v>3</v>
      </c>
      <c r="E4" s="245">
        <v>4</v>
      </c>
      <c r="F4" s="245">
        <v>5</v>
      </c>
      <c r="G4" s="245">
        <v>6</v>
      </c>
      <c r="H4" s="245">
        <v>7</v>
      </c>
      <c r="I4" s="245">
        <v>8</v>
      </c>
      <c r="J4" s="245">
        <v>9</v>
      </c>
      <c r="K4" s="245">
        <v>10</v>
      </c>
      <c r="L4" s="245">
        <v>11</v>
      </c>
      <c r="M4" s="245">
        <v>12</v>
      </c>
      <c r="N4" s="245">
        <v>13</v>
      </c>
      <c r="O4" s="245">
        <v>14</v>
      </c>
      <c r="P4" s="245">
        <v>15</v>
      </c>
      <c r="Q4" s="245">
        <v>16</v>
      </c>
      <c r="R4" s="245">
        <v>16</v>
      </c>
      <c r="S4" s="245">
        <v>16</v>
      </c>
      <c r="T4" s="245">
        <v>16</v>
      </c>
      <c r="U4" s="246">
        <v>17</v>
      </c>
      <c r="V4" s="138">
        <v>21</v>
      </c>
      <c r="W4" s="138">
        <v>24</v>
      </c>
      <c r="X4" s="138">
        <v>25</v>
      </c>
      <c r="Y4" s="138"/>
      <c r="Z4" s="138">
        <v>26</v>
      </c>
      <c r="AA4" s="138">
        <v>27</v>
      </c>
      <c r="AB4" s="138">
        <v>28</v>
      </c>
      <c r="AC4" s="13">
        <v>20</v>
      </c>
    </row>
    <row r="5" spans="1:29" ht="62.25" hidden="1" customHeight="1">
      <c r="A5" s="139" t="s">
        <v>12</v>
      </c>
      <c r="B5" s="337" t="s">
        <v>190</v>
      </c>
      <c r="C5" s="304" t="s">
        <v>13</v>
      </c>
      <c r="D5" s="345">
        <v>1</v>
      </c>
      <c r="E5" s="345" t="s">
        <v>14</v>
      </c>
      <c r="F5" s="345">
        <v>400000</v>
      </c>
      <c r="G5" s="345">
        <f>1735.9+1112.89+1214.59+1060.85+1324.18+1204.46+1393.96</f>
        <v>9046.83</v>
      </c>
      <c r="H5" s="345">
        <f>F5-G5</f>
        <v>390953.17</v>
      </c>
      <c r="I5" s="345">
        <v>2800</v>
      </c>
      <c r="J5" s="345">
        <v>3</v>
      </c>
      <c r="K5" s="15" t="s">
        <v>15</v>
      </c>
      <c r="L5" s="247">
        <v>900</v>
      </c>
      <c r="M5" s="15">
        <v>45783</v>
      </c>
      <c r="N5" s="345">
        <f>O5-M5</f>
        <v>147</v>
      </c>
      <c r="O5" s="15">
        <v>45930</v>
      </c>
      <c r="P5" s="311"/>
      <c r="Q5" s="311"/>
      <c r="R5" s="341">
        <v>1393.96</v>
      </c>
      <c r="S5" s="341">
        <v>1204.46</v>
      </c>
      <c r="T5" s="341"/>
      <c r="U5" s="248" t="s">
        <v>344</v>
      </c>
      <c r="V5" s="12">
        <v>0</v>
      </c>
      <c r="W5" s="12"/>
      <c r="X5" s="12"/>
      <c r="Y5" s="12"/>
      <c r="Z5" s="12"/>
      <c r="AA5" s="12"/>
      <c r="AB5" s="12">
        <f>SUM(W5:AA5)</f>
        <v>0</v>
      </c>
      <c r="AC5" s="12" t="s">
        <v>434</v>
      </c>
    </row>
    <row r="6" spans="1:29" ht="53.25" hidden="1" customHeight="1">
      <c r="A6" s="139"/>
      <c r="B6" s="338"/>
      <c r="C6" s="304" t="s">
        <v>13</v>
      </c>
      <c r="D6" s="346"/>
      <c r="E6" s="346"/>
      <c r="F6" s="346"/>
      <c r="G6" s="346"/>
      <c r="H6" s="346"/>
      <c r="I6" s="346"/>
      <c r="J6" s="346"/>
      <c r="K6" s="15" t="s">
        <v>16</v>
      </c>
      <c r="L6" s="247">
        <v>1100</v>
      </c>
      <c r="M6" s="15">
        <v>45783</v>
      </c>
      <c r="N6" s="346"/>
      <c r="O6" s="15">
        <v>45930</v>
      </c>
      <c r="P6" s="312"/>
      <c r="Q6" s="312"/>
      <c r="R6" s="342"/>
      <c r="S6" s="342"/>
      <c r="T6" s="342"/>
      <c r="U6" s="248" t="s">
        <v>345</v>
      </c>
      <c r="V6" s="12"/>
      <c r="W6" s="12"/>
      <c r="X6" s="12"/>
      <c r="Y6" s="12"/>
      <c r="Z6" s="12"/>
      <c r="AA6" s="12"/>
      <c r="AB6" s="12"/>
      <c r="AC6" s="12"/>
    </row>
    <row r="7" spans="1:29" ht="53.25" hidden="1" customHeight="1">
      <c r="A7" s="139"/>
      <c r="B7" s="339"/>
      <c r="C7" s="304" t="s">
        <v>13</v>
      </c>
      <c r="D7" s="347"/>
      <c r="E7" s="347"/>
      <c r="F7" s="347"/>
      <c r="G7" s="347"/>
      <c r="H7" s="347"/>
      <c r="I7" s="347"/>
      <c r="J7" s="347"/>
      <c r="K7" s="15" t="s">
        <v>17</v>
      </c>
      <c r="L7" s="247">
        <v>800</v>
      </c>
      <c r="M7" s="15">
        <v>45792</v>
      </c>
      <c r="N7" s="347"/>
      <c r="O7" s="15">
        <v>45930</v>
      </c>
      <c r="P7" s="313"/>
      <c r="Q7" s="313"/>
      <c r="R7" s="343"/>
      <c r="S7" s="343"/>
      <c r="T7" s="343"/>
      <c r="U7" s="248" t="s">
        <v>346</v>
      </c>
      <c r="V7" s="12"/>
      <c r="W7" s="12"/>
      <c r="X7" s="12"/>
      <c r="Y7" s="12"/>
      <c r="Z7" s="12"/>
      <c r="AA7" s="12"/>
      <c r="AB7" s="12"/>
      <c r="AC7" s="12"/>
    </row>
    <row r="8" spans="1:29" ht="48" hidden="1" customHeight="1">
      <c r="A8" s="139"/>
      <c r="B8" s="337" t="s">
        <v>190</v>
      </c>
      <c r="C8" s="376" t="s">
        <v>322</v>
      </c>
      <c r="D8" s="345">
        <v>2</v>
      </c>
      <c r="E8" s="345" t="s">
        <v>18</v>
      </c>
      <c r="F8" s="345">
        <v>80978</v>
      </c>
      <c r="G8" s="345">
        <f>850.64+366+244.72+495.76+1078.68+1214.22+429.655+376.715</f>
        <v>5056.3900000000003</v>
      </c>
      <c r="H8" s="345">
        <f>F8-G8</f>
        <v>75921.61</v>
      </c>
      <c r="I8" s="341">
        <v>1500</v>
      </c>
      <c r="J8" s="341">
        <v>2</v>
      </c>
      <c r="K8" s="15" t="s">
        <v>19</v>
      </c>
      <c r="L8" s="247">
        <v>800</v>
      </c>
      <c r="M8" s="15">
        <v>45782</v>
      </c>
      <c r="N8" s="341">
        <v>60</v>
      </c>
      <c r="O8" s="15">
        <v>45843</v>
      </c>
      <c r="P8" s="311"/>
      <c r="Q8" s="311"/>
      <c r="R8" s="341">
        <v>376.71499999999997</v>
      </c>
      <c r="S8" s="341">
        <v>429.65499999999997</v>
      </c>
      <c r="T8" s="341"/>
      <c r="U8" s="248" t="s">
        <v>477</v>
      </c>
      <c r="V8" s="140"/>
      <c r="W8" s="12"/>
      <c r="X8" s="12"/>
      <c r="Y8" s="12"/>
      <c r="Z8" s="12"/>
      <c r="AA8" s="12"/>
      <c r="AB8" s="12"/>
      <c r="AC8" s="13" t="s">
        <v>332</v>
      </c>
    </row>
    <row r="9" spans="1:29" ht="48" hidden="1" customHeight="1">
      <c r="A9" s="139"/>
      <c r="B9" s="338"/>
      <c r="C9" s="377"/>
      <c r="D9" s="347"/>
      <c r="E9" s="347"/>
      <c r="F9" s="347"/>
      <c r="G9" s="347"/>
      <c r="H9" s="347"/>
      <c r="I9" s="343"/>
      <c r="J9" s="343"/>
      <c r="K9" s="15" t="s">
        <v>20</v>
      </c>
      <c r="L9" s="247">
        <v>700</v>
      </c>
      <c r="M9" s="15">
        <v>45786</v>
      </c>
      <c r="N9" s="343"/>
      <c r="O9" s="15">
        <v>45843</v>
      </c>
      <c r="P9" s="313"/>
      <c r="Q9" s="313"/>
      <c r="R9" s="343"/>
      <c r="S9" s="343"/>
      <c r="T9" s="343"/>
      <c r="U9" s="248" t="s">
        <v>478</v>
      </c>
      <c r="V9" s="140"/>
      <c r="W9" s="12"/>
      <c r="X9" s="12"/>
      <c r="Y9" s="12"/>
      <c r="Z9" s="12"/>
      <c r="AA9" s="12"/>
      <c r="AB9" s="12"/>
      <c r="AC9" s="13"/>
    </row>
    <row r="10" spans="1:29" ht="69" hidden="1" customHeight="1">
      <c r="A10" s="139"/>
      <c r="B10" s="338"/>
      <c r="C10" s="300" t="s">
        <v>322</v>
      </c>
      <c r="D10" s="250">
        <v>3</v>
      </c>
      <c r="E10" s="250" t="s">
        <v>26</v>
      </c>
      <c r="F10" s="307">
        <v>30604</v>
      </c>
      <c r="G10" s="116">
        <f>6128.21+537+774.18+692.55+645.08+117.1+661.21</f>
        <v>9555.3300000000017</v>
      </c>
      <c r="H10" s="116">
        <f>F10-G10</f>
        <v>21048.67</v>
      </c>
      <c r="I10" s="15">
        <v>800</v>
      </c>
      <c r="J10" s="15">
        <v>1</v>
      </c>
      <c r="K10" s="15" t="s">
        <v>27</v>
      </c>
      <c r="L10" s="247">
        <v>800</v>
      </c>
      <c r="M10" s="15">
        <v>45773</v>
      </c>
      <c r="N10" s="15">
        <v>50</v>
      </c>
      <c r="O10" s="15">
        <v>45838</v>
      </c>
      <c r="P10" s="15"/>
      <c r="Q10" s="15"/>
      <c r="R10" s="15">
        <v>661.21</v>
      </c>
      <c r="S10" s="15">
        <v>117.1</v>
      </c>
      <c r="T10" s="15"/>
      <c r="U10" s="248" t="s">
        <v>498</v>
      </c>
      <c r="V10" s="140"/>
      <c r="W10" s="12"/>
      <c r="X10" s="12"/>
      <c r="Y10" s="12"/>
      <c r="Z10" s="12"/>
      <c r="AA10" s="12"/>
      <c r="AB10" s="12"/>
      <c r="AC10" s="12"/>
    </row>
    <row r="11" spans="1:29" ht="50.25" hidden="1" customHeight="1">
      <c r="A11" s="139"/>
      <c r="B11" s="338"/>
      <c r="C11" s="300" t="s">
        <v>322</v>
      </c>
      <c r="D11" s="345">
        <v>4</v>
      </c>
      <c r="E11" s="341" t="s">
        <v>29</v>
      </c>
      <c r="F11" s="341">
        <v>76735</v>
      </c>
      <c r="G11" s="341">
        <v>0</v>
      </c>
      <c r="H11" s="341">
        <f>F11-G11</f>
        <v>76735</v>
      </c>
      <c r="I11" s="341">
        <v>1200</v>
      </c>
      <c r="J11" s="341">
        <v>2</v>
      </c>
      <c r="K11" s="15" t="s">
        <v>30</v>
      </c>
      <c r="L11" s="247">
        <v>600</v>
      </c>
      <c r="M11" s="15">
        <v>45792</v>
      </c>
      <c r="N11" s="341">
        <v>70</v>
      </c>
      <c r="O11" s="15">
        <v>45930</v>
      </c>
      <c r="P11" s="311"/>
      <c r="Q11" s="311"/>
      <c r="R11" s="341">
        <v>0</v>
      </c>
      <c r="S11" s="341" t="s">
        <v>404</v>
      </c>
      <c r="T11" s="15"/>
      <c r="U11" s="248" t="s">
        <v>433</v>
      </c>
      <c r="V11" s="140"/>
      <c r="W11" s="12"/>
      <c r="X11" s="12"/>
      <c r="Y11" s="12"/>
      <c r="Z11" s="12"/>
      <c r="AA11" s="12"/>
      <c r="AB11" s="12"/>
      <c r="AC11" s="12"/>
    </row>
    <row r="12" spans="1:29" ht="48" hidden="1" customHeight="1">
      <c r="A12" s="139"/>
      <c r="B12" s="339"/>
      <c r="C12" s="301"/>
      <c r="D12" s="347"/>
      <c r="E12" s="343"/>
      <c r="F12" s="343"/>
      <c r="G12" s="343"/>
      <c r="H12" s="343"/>
      <c r="I12" s="343"/>
      <c r="J12" s="343"/>
      <c r="K12" s="252" t="s">
        <v>347</v>
      </c>
      <c r="L12" s="247">
        <v>600</v>
      </c>
      <c r="M12" s="15">
        <v>45809</v>
      </c>
      <c r="N12" s="343"/>
      <c r="O12" s="15">
        <v>45930</v>
      </c>
      <c r="P12" s="313"/>
      <c r="Q12" s="313"/>
      <c r="R12" s="343"/>
      <c r="S12" s="343"/>
      <c r="T12" s="15"/>
      <c r="U12" s="248" t="s">
        <v>348</v>
      </c>
      <c r="V12" s="140"/>
      <c r="W12" s="12"/>
      <c r="X12" s="12"/>
      <c r="Y12" s="12"/>
      <c r="Z12" s="12"/>
      <c r="AA12" s="12"/>
      <c r="AB12" s="12"/>
      <c r="AC12" s="12"/>
    </row>
    <row r="13" spans="1:29" ht="36" hidden="1" customHeight="1">
      <c r="A13" s="139"/>
      <c r="B13" s="253"/>
      <c r="C13" s="217" t="s">
        <v>25</v>
      </c>
      <c r="D13" s="217"/>
      <c r="E13" s="217"/>
      <c r="F13" s="217">
        <f>SUM(F8:F11)</f>
        <v>188317</v>
      </c>
      <c r="G13" s="217">
        <f t="shared" ref="G13:V13" si="0">SUM(G8:G11)</f>
        <v>14611.720000000001</v>
      </c>
      <c r="H13" s="217">
        <f t="shared" si="0"/>
        <v>173705.28</v>
      </c>
      <c r="I13" s="217">
        <f t="shared" si="0"/>
        <v>3500</v>
      </c>
      <c r="J13" s="217">
        <f t="shared" si="0"/>
        <v>5</v>
      </c>
      <c r="K13" s="217">
        <f t="shared" si="0"/>
        <v>0</v>
      </c>
      <c r="L13" s="254">
        <f t="shared" si="0"/>
        <v>2900</v>
      </c>
      <c r="M13" s="217">
        <f t="shared" si="0"/>
        <v>183133</v>
      </c>
      <c r="N13" s="217">
        <f t="shared" si="0"/>
        <v>180</v>
      </c>
      <c r="O13" s="217">
        <f t="shared" si="0"/>
        <v>183454</v>
      </c>
      <c r="P13" s="217"/>
      <c r="Q13" s="217"/>
      <c r="R13" s="217">
        <f>SUM(R8:R12)</f>
        <v>1037.925</v>
      </c>
      <c r="S13" s="217">
        <f>SUM(S8:S12)</f>
        <v>546.755</v>
      </c>
      <c r="T13" s="217"/>
      <c r="U13" s="255">
        <f t="shared" si="0"/>
        <v>0</v>
      </c>
      <c r="V13" s="97">
        <f t="shared" si="0"/>
        <v>0</v>
      </c>
      <c r="W13" s="308"/>
      <c r="X13" s="308"/>
      <c r="Y13" s="308"/>
      <c r="Z13" s="308"/>
      <c r="AA13" s="308"/>
      <c r="AB13" s="308"/>
      <c r="AC13" s="141"/>
    </row>
    <row r="14" spans="1:29" ht="36.75" hidden="1" customHeight="1">
      <c r="A14" s="139"/>
      <c r="B14" s="337" t="s">
        <v>190</v>
      </c>
      <c r="C14" s="216" t="s">
        <v>323</v>
      </c>
      <c r="D14" s="341">
        <v>5</v>
      </c>
      <c r="E14" s="341" t="s">
        <v>33</v>
      </c>
      <c r="F14" s="371">
        <v>300000</v>
      </c>
      <c r="G14" s="371">
        <f>168.78+128+215.68+158.43+230.23+212.31+233.16</f>
        <v>1346.5900000000001</v>
      </c>
      <c r="H14" s="371">
        <f>F14-G14</f>
        <v>298653.40999999997</v>
      </c>
      <c r="I14" s="341">
        <v>3400</v>
      </c>
      <c r="J14" s="341">
        <v>3</v>
      </c>
      <c r="K14" s="15" t="s">
        <v>34</v>
      </c>
      <c r="L14" s="247">
        <v>900</v>
      </c>
      <c r="M14" s="15">
        <v>45792</v>
      </c>
      <c r="N14" s="341">
        <f>O14-M14</f>
        <v>138</v>
      </c>
      <c r="O14" s="15">
        <v>45930</v>
      </c>
      <c r="P14" s="311"/>
      <c r="Q14" s="311"/>
      <c r="R14" s="341">
        <v>233.16</v>
      </c>
      <c r="S14" s="341">
        <v>212.31</v>
      </c>
      <c r="T14" s="341"/>
      <c r="U14" s="248" t="s">
        <v>349</v>
      </c>
      <c r="V14" s="12"/>
      <c r="W14" s="12"/>
      <c r="X14" s="12"/>
      <c r="Y14" s="12"/>
      <c r="Z14" s="12"/>
      <c r="AA14" s="12"/>
      <c r="AB14" s="12"/>
      <c r="AC14" s="46" t="s">
        <v>331</v>
      </c>
    </row>
    <row r="15" spans="1:29" ht="36.75" hidden="1" customHeight="1">
      <c r="A15" s="139"/>
      <c r="B15" s="338"/>
      <c r="C15" s="216" t="s">
        <v>323</v>
      </c>
      <c r="D15" s="342"/>
      <c r="E15" s="342"/>
      <c r="F15" s="372"/>
      <c r="G15" s="372"/>
      <c r="H15" s="372"/>
      <c r="I15" s="370"/>
      <c r="J15" s="342"/>
      <c r="K15" s="15" t="s">
        <v>35</v>
      </c>
      <c r="L15" s="247">
        <v>1100</v>
      </c>
      <c r="M15" s="15">
        <v>45782</v>
      </c>
      <c r="N15" s="342"/>
      <c r="O15" s="15">
        <v>45930</v>
      </c>
      <c r="P15" s="312"/>
      <c r="Q15" s="312"/>
      <c r="R15" s="342"/>
      <c r="S15" s="342"/>
      <c r="T15" s="342"/>
      <c r="U15" s="248" t="s">
        <v>451</v>
      </c>
      <c r="V15" s="12"/>
      <c r="W15" s="12"/>
      <c r="X15" s="12"/>
      <c r="Y15" s="12"/>
      <c r="Z15" s="12"/>
      <c r="AA15" s="12"/>
      <c r="AB15" s="12"/>
      <c r="AC15" s="46"/>
    </row>
    <row r="16" spans="1:29" ht="36.75" hidden="1" customHeight="1">
      <c r="A16" s="139"/>
      <c r="B16" s="338"/>
      <c r="C16" s="216" t="s">
        <v>323</v>
      </c>
      <c r="D16" s="343"/>
      <c r="E16" s="343"/>
      <c r="F16" s="367"/>
      <c r="G16" s="367"/>
      <c r="H16" s="367"/>
      <c r="I16" s="369"/>
      <c r="J16" s="343"/>
      <c r="K16" s="15" t="s">
        <v>36</v>
      </c>
      <c r="L16" s="247">
        <v>1400</v>
      </c>
      <c r="M16" s="15">
        <v>45797</v>
      </c>
      <c r="N16" s="343"/>
      <c r="O16" s="15">
        <v>45930</v>
      </c>
      <c r="P16" s="313"/>
      <c r="Q16" s="313"/>
      <c r="R16" s="343"/>
      <c r="S16" s="343"/>
      <c r="T16" s="343"/>
      <c r="U16" s="248" t="s">
        <v>350</v>
      </c>
      <c r="V16" s="12"/>
      <c r="W16" s="12"/>
      <c r="X16" s="12"/>
      <c r="Y16" s="12"/>
      <c r="Z16" s="12"/>
      <c r="AA16" s="12"/>
      <c r="AB16" s="12"/>
      <c r="AC16" s="46"/>
    </row>
    <row r="17" spans="1:29" ht="37.5" hidden="1" customHeight="1">
      <c r="A17" s="139"/>
      <c r="B17" s="338"/>
      <c r="C17" s="216" t="s">
        <v>323</v>
      </c>
      <c r="D17" s="216">
        <v>6</v>
      </c>
      <c r="E17" s="250" t="s">
        <v>66</v>
      </c>
      <c r="F17" s="167">
        <v>30000</v>
      </c>
      <c r="G17" s="158">
        <v>0</v>
      </c>
      <c r="H17" s="157">
        <f>F17-G17</f>
        <v>30000</v>
      </c>
      <c r="I17" s="161">
        <v>600</v>
      </c>
      <c r="J17" s="15">
        <v>1</v>
      </c>
      <c r="K17" s="15" t="s">
        <v>67</v>
      </c>
      <c r="L17" s="247">
        <v>600</v>
      </c>
      <c r="M17" s="15">
        <v>45797</v>
      </c>
      <c r="N17" s="15">
        <v>55</v>
      </c>
      <c r="O17" s="15">
        <v>45930</v>
      </c>
      <c r="P17" s="15"/>
      <c r="Q17" s="15"/>
      <c r="R17" s="15">
        <v>0</v>
      </c>
      <c r="S17" s="15">
        <v>0</v>
      </c>
      <c r="T17" s="15"/>
      <c r="U17" s="248" t="s">
        <v>349</v>
      </c>
      <c r="V17" s="12"/>
      <c r="W17" s="12"/>
      <c r="X17" s="12"/>
      <c r="Y17" s="12"/>
      <c r="Z17" s="12"/>
      <c r="AA17" s="12"/>
      <c r="AB17" s="12"/>
      <c r="AC17" s="12"/>
    </row>
    <row r="18" spans="1:29" ht="37.5" hidden="1" customHeight="1">
      <c r="A18" s="139"/>
      <c r="B18" s="339"/>
      <c r="C18" s="216" t="s">
        <v>323</v>
      </c>
      <c r="D18" s="216">
        <v>7</v>
      </c>
      <c r="E18" s="250" t="s">
        <v>37</v>
      </c>
      <c r="F18" s="167">
        <v>27543</v>
      </c>
      <c r="G18" s="157">
        <f>186.67+335.21+354.83</f>
        <v>876.71</v>
      </c>
      <c r="H18" s="157">
        <f>F18-G18</f>
        <v>26666.29</v>
      </c>
      <c r="I18" s="161">
        <v>600</v>
      </c>
      <c r="J18" s="15">
        <v>1</v>
      </c>
      <c r="K18" s="15" t="s">
        <v>38</v>
      </c>
      <c r="L18" s="247">
        <v>600</v>
      </c>
      <c r="M18" s="15">
        <v>45788</v>
      </c>
      <c r="N18" s="15">
        <v>50</v>
      </c>
      <c r="O18" s="15">
        <v>45930</v>
      </c>
      <c r="P18" s="15"/>
      <c r="Q18" s="15"/>
      <c r="R18" s="15">
        <v>354.83</v>
      </c>
      <c r="S18" s="15">
        <v>335.21</v>
      </c>
      <c r="T18" s="15"/>
      <c r="U18" s="248" t="s">
        <v>472</v>
      </c>
      <c r="V18" s="12"/>
      <c r="W18" s="12"/>
      <c r="X18" s="12"/>
      <c r="Y18" s="12"/>
      <c r="Z18" s="12"/>
      <c r="AA18" s="12"/>
      <c r="AB18" s="12"/>
      <c r="AC18" s="12" t="s">
        <v>434</v>
      </c>
    </row>
    <row r="19" spans="1:29" ht="34.5" hidden="1" customHeight="1">
      <c r="A19" s="139"/>
      <c r="B19" s="253"/>
      <c r="C19" s="217" t="s">
        <v>25</v>
      </c>
      <c r="D19" s="217"/>
      <c r="E19" s="217"/>
      <c r="F19" s="168">
        <f>SUM(F14:F18)</f>
        <v>357543</v>
      </c>
      <c r="G19" s="168">
        <f t="shared" ref="G19:V19" si="1">SUM(G14:G18)</f>
        <v>2223.3000000000002</v>
      </c>
      <c r="H19" s="168">
        <f t="shared" si="1"/>
        <v>355319.69999999995</v>
      </c>
      <c r="I19" s="168">
        <f t="shared" si="1"/>
        <v>4600</v>
      </c>
      <c r="J19" s="217">
        <f t="shared" si="1"/>
        <v>5</v>
      </c>
      <c r="K19" s="217">
        <f t="shared" si="1"/>
        <v>0</v>
      </c>
      <c r="L19" s="254">
        <f t="shared" si="1"/>
        <v>4600</v>
      </c>
      <c r="M19" s="217">
        <f t="shared" si="1"/>
        <v>228956</v>
      </c>
      <c r="N19" s="217">
        <f t="shared" si="1"/>
        <v>243</v>
      </c>
      <c r="O19" s="217">
        <f t="shared" si="1"/>
        <v>229650</v>
      </c>
      <c r="P19" s="217"/>
      <c r="Q19" s="217"/>
      <c r="R19" s="217">
        <f t="shared" si="1"/>
        <v>587.99</v>
      </c>
      <c r="S19" s="217">
        <f t="shared" si="1"/>
        <v>547.52</v>
      </c>
      <c r="T19" s="217"/>
      <c r="U19" s="255">
        <f t="shared" si="1"/>
        <v>0</v>
      </c>
      <c r="V19" s="97">
        <f t="shared" si="1"/>
        <v>0</v>
      </c>
      <c r="W19" s="308"/>
      <c r="X19" s="308"/>
      <c r="Y19" s="308"/>
      <c r="Z19" s="308"/>
      <c r="AA19" s="308"/>
      <c r="AB19" s="308"/>
      <c r="AC19" s="141"/>
    </row>
    <row r="20" spans="1:29" ht="40.5" hidden="1" customHeight="1">
      <c r="A20" s="139"/>
      <c r="B20" s="337" t="s">
        <v>190</v>
      </c>
      <c r="C20" s="250" t="s">
        <v>319</v>
      </c>
      <c r="D20" s="341">
        <v>8</v>
      </c>
      <c r="E20" s="341" t="s">
        <v>45</v>
      </c>
      <c r="F20" s="368">
        <v>166278</v>
      </c>
      <c r="G20" s="368">
        <v>0</v>
      </c>
      <c r="H20" s="368">
        <f>F20-G20</f>
        <v>166278</v>
      </c>
      <c r="I20" s="161">
        <v>800</v>
      </c>
      <c r="J20" s="15">
        <v>1</v>
      </c>
      <c r="K20" s="15" t="s">
        <v>46</v>
      </c>
      <c r="L20" s="247">
        <v>800</v>
      </c>
      <c r="M20" s="15">
        <v>45792</v>
      </c>
      <c r="N20" s="341">
        <v>120</v>
      </c>
      <c r="O20" s="15">
        <v>45930</v>
      </c>
      <c r="P20" s="311"/>
      <c r="Q20" s="311"/>
      <c r="R20" s="341">
        <v>0</v>
      </c>
      <c r="S20" s="341">
        <v>0</v>
      </c>
      <c r="T20" s="15"/>
      <c r="U20" s="248" t="s">
        <v>373</v>
      </c>
      <c r="V20" s="12"/>
      <c r="W20" s="12"/>
      <c r="X20" s="12"/>
      <c r="Y20" s="12"/>
      <c r="Z20" s="12"/>
      <c r="AA20" s="12"/>
      <c r="AB20" s="12"/>
      <c r="AC20" s="12"/>
    </row>
    <row r="21" spans="1:29" ht="42.75" hidden="1" customHeight="1">
      <c r="A21" s="139"/>
      <c r="B21" s="338"/>
      <c r="C21" s="250" t="s">
        <v>319</v>
      </c>
      <c r="D21" s="343"/>
      <c r="E21" s="343"/>
      <c r="F21" s="369"/>
      <c r="G21" s="369"/>
      <c r="H21" s="369"/>
      <c r="I21" s="161">
        <v>800</v>
      </c>
      <c r="J21" s="15">
        <v>1</v>
      </c>
      <c r="K21" s="252" t="s">
        <v>47</v>
      </c>
      <c r="L21" s="247">
        <v>800</v>
      </c>
      <c r="M21" s="15">
        <v>45853</v>
      </c>
      <c r="N21" s="343"/>
      <c r="O21" s="15">
        <v>45930</v>
      </c>
      <c r="P21" s="313"/>
      <c r="Q21" s="313"/>
      <c r="R21" s="343"/>
      <c r="S21" s="343"/>
      <c r="T21" s="15"/>
      <c r="U21" s="248" t="s">
        <v>408</v>
      </c>
      <c r="V21" s="12"/>
      <c r="W21" s="12"/>
      <c r="X21" s="12"/>
      <c r="Y21" s="12"/>
      <c r="Z21" s="12"/>
      <c r="AA21" s="12"/>
      <c r="AB21" s="12"/>
      <c r="AC21" s="12"/>
    </row>
    <row r="22" spans="1:29" ht="39" hidden="1" customHeight="1">
      <c r="A22" s="139"/>
      <c r="B22" s="338"/>
      <c r="C22" s="250" t="s">
        <v>319</v>
      </c>
      <c r="D22" s="250">
        <v>9</v>
      </c>
      <c r="E22" s="250" t="s">
        <v>41</v>
      </c>
      <c r="F22" s="167">
        <v>43811</v>
      </c>
      <c r="G22" s="157">
        <f>12617.71+65.16+334.37</f>
        <v>13017.24</v>
      </c>
      <c r="H22" s="157">
        <f>F22-G22</f>
        <v>30793.760000000002</v>
      </c>
      <c r="I22" s="161">
        <v>900</v>
      </c>
      <c r="J22" s="15">
        <v>1</v>
      </c>
      <c r="K22" s="15" t="s">
        <v>42</v>
      </c>
      <c r="L22" s="247">
        <v>900</v>
      </c>
      <c r="M22" s="15">
        <v>45756</v>
      </c>
      <c r="N22" s="15">
        <v>40</v>
      </c>
      <c r="O22" s="15">
        <v>45930</v>
      </c>
      <c r="P22" s="15"/>
      <c r="Q22" s="15"/>
      <c r="R22" s="15">
        <v>334.37</v>
      </c>
      <c r="S22" s="15">
        <v>0</v>
      </c>
      <c r="T22" s="15"/>
      <c r="U22" s="248" t="s">
        <v>298</v>
      </c>
      <c r="V22" s="12"/>
      <c r="W22" s="12"/>
      <c r="X22" s="12"/>
      <c r="Y22" s="12"/>
      <c r="Z22" s="12"/>
      <c r="AA22" s="12"/>
      <c r="AB22" s="12"/>
      <c r="AC22" s="12"/>
    </row>
    <row r="23" spans="1:29" ht="70.5" hidden="1" customHeight="1">
      <c r="A23" s="139"/>
      <c r="B23" s="338"/>
      <c r="C23" s="250" t="s">
        <v>319</v>
      </c>
      <c r="D23" s="341">
        <v>10</v>
      </c>
      <c r="E23" s="341" t="s">
        <v>320</v>
      </c>
      <c r="F23" s="366">
        <v>30609</v>
      </c>
      <c r="G23" s="368">
        <v>0</v>
      </c>
      <c r="H23" s="366">
        <f>F23-G23</f>
        <v>30609</v>
      </c>
      <c r="I23" s="161">
        <v>600</v>
      </c>
      <c r="J23" s="302">
        <v>1</v>
      </c>
      <c r="K23" s="252" t="s">
        <v>378</v>
      </c>
      <c r="L23" s="247">
        <v>600</v>
      </c>
      <c r="M23" s="15">
        <v>45823</v>
      </c>
      <c r="N23" s="341">
        <v>60</v>
      </c>
      <c r="O23" s="15">
        <v>45930</v>
      </c>
      <c r="P23" s="311"/>
      <c r="Q23" s="311"/>
      <c r="R23" s="341">
        <v>0</v>
      </c>
      <c r="S23" s="341">
        <v>0</v>
      </c>
      <c r="T23" s="15"/>
      <c r="U23" s="248" t="s">
        <v>411</v>
      </c>
      <c r="V23" s="12"/>
      <c r="W23" s="12"/>
      <c r="X23" s="12"/>
      <c r="Y23" s="12"/>
      <c r="Z23" s="12"/>
      <c r="AA23" s="12"/>
      <c r="AB23" s="12"/>
      <c r="AC23" s="12"/>
    </row>
    <row r="24" spans="1:29" ht="73.5" hidden="1" customHeight="1">
      <c r="A24" s="139"/>
      <c r="B24" s="338"/>
      <c r="C24" s="250" t="s">
        <v>319</v>
      </c>
      <c r="D24" s="343"/>
      <c r="E24" s="343"/>
      <c r="F24" s="367"/>
      <c r="G24" s="369"/>
      <c r="H24" s="367"/>
      <c r="I24" s="161">
        <v>1100</v>
      </c>
      <c r="J24" s="303">
        <v>1</v>
      </c>
      <c r="K24" s="252" t="s">
        <v>379</v>
      </c>
      <c r="L24" s="247">
        <v>1100</v>
      </c>
      <c r="M24" s="15">
        <v>45853</v>
      </c>
      <c r="N24" s="343"/>
      <c r="O24" s="15">
        <v>45930</v>
      </c>
      <c r="P24" s="313"/>
      <c r="Q24" s="313"/>
      <c r="R24" s="343"/>
      <c r="S24" s="343"/>
      <c r="T24" s="15"/>
      <c r="U24" s="248" t="s">
        <v>410</v>
      </c>
      <c r="V24" s="12"/>
      <c r="W24" s="12"/>
      <c r="X24" s="12"/>
      <c r="Y24" s="12"/>
      <c r="Z24" s="12"/>
      <c r="AA24" s="12"/>
      <c r="AB24" s="12"/>
      <c r="AC24" s="12"/>
    </row>
    <row r="25" spans="1:29" ht="51.75" hidden="1" customHeight="1">
      <c r="A25" s="139"/>
      <c r="B25" s="338"/>
      <c r="C25" s="250" t="s">
        <v>319</v>
      </c>
      <c r="D25" s="250">
        <v>11</v>
      </c>
      <c r="E25" s="250" t="s">
        <v>49</v>
      </c>
      <c r="F25" s="167">
        <v>46264</v>
      </c>
      <c r="G25" s="158">
        <v>0</v>
      </c>
      <c r="H25" s="157">
        <f t="shared" ref="H25:H34" si="2">F25-G25</f>
        <v>46264</v>
      </c>
      <c r="I25" s="161">
        <v>1400</v>
      </c>
      <c r="J25" s="15">
        <v>1</v>
      </c>
      <c r="K25" s="15" t="s">
        <v>50</v>
      </c>
      <c r="L25" s="247">
        <v>1400</v>
      </c>
      <c r="M25" s="15">
        <v>45791</v>
      </c>
      <c r="N25" s="15">
        <v>40</v>
      </c>
      <c r="O25" s="15">
        <v>45838</v>
      </c>
      <c r="P25" s="15"/>
      <c r="Q25" s="15"/>
      <c r="R25" s="15">
        <v>0</v>
      </c>
      <c r="S25" s="15">
        <v>0</v>
      </c>
      <c r="T25" s="15"/>
      <c r="U25" s="248" t="s">
        <v>412</v>
      </c>
      <c r="V25" s="12"/>
      <c r="W25" s="12"/>
      <c r="X25" s="12"/>
      <c r="Y25" s="12"/>
      <c r="Z25" s="12"/>
      <c r="AA25" s="12"/>
      <c r="AB25" s="12"/>
      <c r="AC25" s="12"/>
    </row>
    <row r="26" spans="1:29" ht="69" hidden="1" customHeight="1">
      <c r="A26" s="139"/>
      <c r="B26" s="338"/>
      <c r="C26" s="250" t="s">
        <v>319</v>
      </c>
      <c r="D26" s="250">
        <v>12</v>
      </c>
      <c r="E26" s="250" t="s">
        <v>53</v>
      </c>
      <c r="F26" s="167">
        <v>30894</v>
      </c>
      <c r="G26" s="158">
        <v>0</v>
      </c>
      <c r="H26" s="157">
        <f t="shared" si="2"/>
        <v>30894</v>
      </c>
      <c r="I26" s="161">
        <v>600</v>
      </c>
      <c r="J26" s="15">
        <v>1</v>
      </c>
      <c r="K26" s="15" t="s">
        <v>54</v>
      </c>
      <c r="L26" s="247">
        <v>600</v>
      </c>
      <c r="M26" s="15">
        <v>45802</v>
      </c>
      <c r="N26" s="15">
        <v>60</v>
      </c>
      <c r="O26" s="15">
        <v>45868</v>
      </c>
      <c r="P26" s="15"/>
      <c r="Q26" s="15"/>
      <c r="R26" s="15">
        <v>0</v>
      </c>
      <c r="S26" s="15">
        <v>0</v>
      </c>
      <c r="T26" s="15"/>
      <c r="U26" s="248" t="s">
        <v>413</v>
      </c>
      <c r="V26" s="12"/>
      <c r="W26" s="12"/>
      <c r="X26" s="12"/>
      <c r="Y26" s="12"/>
      <c r="Z26" s="12"/>
      <c r="AA26" s="12"/>
      <c r="AB26" s="12"/>
      <c r="AC26" s="12"/>
    </row>
    <row r="27" spans="1:29" ht="51.75" hidden="1" customHeight="1">
      <c r="A27" s="139"/>
      <c r="B27" s="338"/>
      <c r="C27" s="250" t="s">
        <v>319</v>
      </c>
      <c r="D27" s="250">
        <v>13</v>
      </c>
      <c r="E27" s="250" t="s">
        <v>64</v>
      </c>
      <c r="F27" s="167">
        <v>10793</v>
      </c>
      <c r="G27" s="158">
        <v>0</v>
      </c>
      <c r="H27" s="157">
        <f t="shared" si="2"/>
        <v>10793</v>
      </c>
      <c r="I27" s="162"/>
      <c r="J27" s="15"/>
      <c r="K27" s="256" t="s">
        <v>325</v>
      </c>
      <c r="L27" s="247">
        <v>600</v>
      </c>
      <c r="M27" s="15" t="s">
        <v>380</v>
      </c>
      <c r="N27" s="15"/>
      <c r="O27" s="15">
        <v>45930</v>
      </c>
      <c r="P27" s="15"/>
      <c r="Q27" s="15"/>
      <c r="R27" s="15">
        <v>0</v>
      </c>
      <c r="S27" s="15">
        <v>0</v>
      </c>
      <c r="T27" s="15"/>
      <c r="U27" s="248" t="s">
        <v>409</v>
      </c>
      <c r="V27" s="12"/>
      <c r="W27" s="12"/>
      <c r="X27" s="12"/>
      <c r="Y27" s="12"/>
      <c r="Z27" s="12"/>
      <c r="AA27" s="12"/>
      <c r="AB27" s="12"/>
      <c r="AC27" s="12"/>
    </row>
    <row r="28" spans="1:29" ht="51.75" hidden="1" customHeight="1">
      <c r="A28" s="139"/>
      <c r="B28" s="338"/>
      <c r="C28" s="250" t="s">
        <v>319</v>
      </c>
      <c r="D28" s="250">
        <v>14</v>
      </c>
      <c r="E28" s="250" t="s">
        <v>62</v>
      </c>
      <c r="F28" s="167">
        <v>11195</v>
      </c>
      <c r="G28" s="158">
        <v>0</v>
      </c>
      <c r="H28" s="157">
        <f t="shared" si="2"/>
        <v>11195</v>
      </c>
      <c r="I28" s="162"/>
      <c r="J28" s="15"/>
      <c r="K28" s="256" t="s">
        <v>325</v>
      </c>
      <c r="L28" s="247">
        <v>600</v>
      </c>
      <c r="M28" s="15" t="s">
        <v>380</v>
      </c>
      <c r="N28" s="15"/>
      <c r="O28" s="15">
        <v>45930</v>
      </c>
      <c r="P28" s="15"/>
      <c r="Q28" s="15"/>
      <c r="R28" s="15">
        <v>0</v>
      </c>
      <c r="S28" s="15">
        <v>0</v>
      </c>
      <c r="T28" s="15"/>
      <c r="U28" s="248" t="s">
        <v>326</v>
      </c>
      <c r="V28" s="12"/>
      <c r="W28" s="12"/>
      <c r="X28" s="12"/>
      <c r="Y28" s="12"/>
      <c r="Z28" s="12"/>
      <c r="AA28" s="12"/>
      <c r="AB28" s="12"/>
      <c r="AC28" s="12"/>
    </row>
    <row r="29" spans="1:29" ht="51.75" hidden="1" customHeight="1">
      <c r="A29" s="139"/>
      <c r="B29" s="338"/>
      <c r="C29" s="250" t="s">
        <v>319</v>
      </c>
      <c r="D29" s="250">
        <v>15</v>
      </c>
      <c r="E29" s="250" t="s">
        <v>57</v>
      </c>
      <c r="F29" s="167">
        <v>6194</v>
      </c>
      <c r="G29" s="158">
        <v>0</v>
      </c>
      <c r="H29" s="157">
        <f t="shared" si="2"/>
        <v>6194</v>
      </c>
      <c r="I29" s="162"/>
      <c r="J29" s="15"/>
      <c r="K29" s="256" t="s">
        <v>375</v>
      </c>
      <c r="L29" s="247">
        <v>600</v>
      </c>
      <c r="M29" s="15">
        <v>45853</v>
      </c>
      <c r="N29" s="15">
        <v>15</v>
      </c>
      <c r="O29" s="15">
        <v>45868</v>
      </c>
      <c r="P29" s="15"/>
      <c r="Q29" s="15"/>
      <c r="R29" s="15">
        <v>0</v>
      </c>
      <c r="S29" s="15">
        <v>0</v>
      </c>
      <c r="T29" s="15"/>
      <c r="U29" s="248" t="s">
        <v>328</v>
      </c>
      <c r="V29" s="12"/>
      <c r="W29" s="12"/>
      <c r="X29" s="12"/>
      <c r="Y29" s="12"/>
      <c r="Z29" s="12"/>
      <c r="AA29" s="12"/>
      <c r="AB29" s="12"/>
      <c r="AC29" s="12"/>
    </row>
    <row r="30" spans="1:29" ht="51.75" hidden="1" customHeight="1">
      <c r="A30" s="139"/>
      <c r="B30" s="338"/>
      <c r="C30" s="250" t="s">
        <v>319</v>
      </c>
      <c r="D30" s="250">
        <v>16</v>
      </c>
      <c r="E30" s="250" t="s">
        <v>321</v>
      </c>
      <c r="F30" s="167">
        <v>8376</v>
      </c>
      <c r="G30" s="158">
        <v>0</v>
      </c>
      <c r="H30" s="157">
        <f t="shared" si="2"/>
        <v>8376</v>
      </c>
      <c r="I30" s="162"/>
      <c r="J30" s="15"/>
      <c r="K30" s="256" t="s">
        <v>376</v>
      </c>
      <c r="L30" s="247">
        <v>900</v>
      </c>
      <c r="M30" s="15">
        <v>45829</v>
      </c>
      <c r="N30" s="15">
        <v>10</v>
      </c>
      <c r="O30" s="15">
        <v>45838</v>
      </c>
      <c r="P30" s="15"/>
      <c r="Q30" s="15"/>
      <c r="R30" s="15">
        <v>0</v>
      </c>
      <c r="S30" s="15">
        <v>0</v>
      </c>
      <c r="T30" s="15"/>
      <c r="U30" s="248" t="s">
        <v>377</v>
      </c>
      <c r="V30" s="12"/>
      <c r="W30" s="12"/>
      <c r="X30" s="12"/>
      <c r="Y30" s="12"/>
      <c r="Z30" s="12"/>
      <c r="AA30" s="12"/>
      <c r="AB30" s="12"/>
      <c r="AC30" s="12"/>
    </row>
    <row r="31" spans="1:29" ht="51.75" hidden="1" customHeight="1">
      <c r="A31" s="139"/>
      <c r="B31" s="338"/>
      <c r="C31" s="250" t="s">
        <v>319</v>
      </c>
      <c r="D31" s="250">
        <v>17</v>
      </c>
      <c r="E31" s="250" t="s">
        <v>51</v>
      </c>
      <c r="F31" s="167">
        <v>7203</v>
      </c>
      <c r="G31" s="158">
        <v>0</v>
      </c>
      <c r="H31" s="157">
        <f t="shared" si="2"/>
        <v>7203</v>
      </c>
      <c r="I31" s="162"/>
      <c r="J31" s="15"/>
      <c r="K31" s="256" t="s">
        <v>381</v>
      </c>
      <c r="L31" s="247">
        <v>1400</v>
      </c>
      <c r="M31" s="15">
        <v>45823</v>
      </c>
      <c r="N31" s="15">
        <v>10</v>
      </c>
      <c r="O31" s="15">
        <v>45838</v>
      </c>
      <c r="P31" s="15"/>
      <c r="Q31" s="15"/>
      <c r="R31" s="15">
        <v>0</v>
      </c>
      <c r="S31" s="15">
        <v>0</v>
      </c>
      <c r="T31" s="15"/>
      <c r="U31" s="248" t="s">
        <v>329</v>
      </c>
      <c r="V31" s="12"/>
      <c r="W31" s="12"/>
      <c r="X31" s="12"/>
      <c r="Y31" s="12"/>
      <c r="Z31" s="12"/>
      <c r="AA31" s="12"/>
      <c r="AB31" s="12"/>
      <c r="AC31" s="12"/>
    </row>
    <row r="32" spans="1:29" ht="51.75" hidden="1" customHeight="1">
      <c r="A32" s="139"/>
      <c r="B32" s="338"/>
      <c r="C32" s="250" t="s">
        <v>319</v>
      </c>
      <c r="D32" s="250">
        <v>18</v>
      </c>
      <c r="E32" s="250" t="s">
        <v>55</v>
      </c>
      <c r="F32" s="167">
        <v>1675</v>
      </c>
      <c r="G32" s="158">
        <v>0</v>
      </c>
      <c r="H32" s="157">
        <f t="shared" si="2"/>
        <v>1675</v>
      </c>
      <c r="I32" s="162"/>
      <c r="J32" s="15"/>
      <c r="K32" s="256" t="s">
        <v>327</v>
      </c>
      <c r="L32" s="247">
        <v>600</v>
      </c>
      <c r="M32" s="15">
        <v>45858</v>
      </c>
      <c r="N32" s="15">
        <v>10</v>
      </c>
      <c r="O32" s="15">
        <v>45868</v>
      </c>
      <c r="P32" s="15"/>
      <c r="Q32" s="15"/>
      <c r="R32" s="15">
        <v>0</v>
      </c>
      <c r="S32" s="15">
        <v>0</v>
      </c>
      <c r="T32" s="15"/>
      <c r="U32" s="248" t="s">
        <v>330</v>
      </c>
      <c r="V32" s="12"/>
      <c r="W32" s="12"/>
      <c r="X32" s="12"/>
      <c r="Y32" s="12"/>
      <c r="Z32" s="12"/>
      <c r="AA32" s="12"/>
      <c r="AB32" s="12"/>
      <c r="AC32" s="12"/>
    </row>
    <row r="33" spans="1:39" ht="51" hidden="1" customHeight="1">
      <c r="A33" s="139"/>
      <c r="B33" s="338"/>
      <c r="C33" s="250" t="s">
        <v>319</v>
      </c>
      <c r="D33" s="250">
        <v>19</v>
      </c>
      <c r="E33" s="250" t="s">
        <v>312</v>
      </c>
      <c r="F33" s="167">
        <v>0</v>
      </c>
      <c r="G33" s="158">
        <v>0</v>
      </c>
      <c r="H33" s="157">
        <f t="shared" si="2"/>
        <v>0</v>
      </c>
      <c r="I33" s="162"/>
      <c r="J33" s="15"/>
      <c r="K33" s="15" t="s">
        <v>311</v>
      </c>
      <c r="L33" s="247"/>
      <c r="M33" s="15"/>
      <c r="N33" s="15"/>
      <c r="O33" s="15"/>
      <c r="P33" s="15"/>
      <c r="Q33" s="15"/>
      <c r="R33" s="15">
        <v>0</v>
      </c>
      <c r="S33" s="15">
        <v>0</v>
      </c>
      <c r="T33" s="15"/>
      <c r="U33" s="248"/>
      <c r="V33" s="12"/>
      <c r="W33" s="12"/>
      <c r="X33" s="12"/>
      <c r="Y33" s="12"/>
      <c r="Z33" s="12"/>
      <c r="AA33" s="12"/>
      <c r="AB33" s="12"/>
      <c r="AC33" s="12"/>
    </row>
    <row r="34" spans="1:39" ht="55.5" hidden="1" customHeight="1">
      <c r="A34" s="139"/>
      <c r="B34" s="339"/>
      <c r="C34" s="250" t="s">
        <v>319</v>
      </c>
      <c r="D34" s="250">
        <v>20</v>
      </c>
      <c r="E34" s="250" t="s">
        <v>310</v>
      </c>
      <c r="F34" s="167">
        <v>0</v>
      </c>
      <c r="G34" s="158">
        <v>0</v>
      </c>
      <c r="H34" s="157">
        <f t="shared" si="2"/>
        <v>0</v>
      </c>
      <c r="I34" s="162"/>
      <c r="J34" s="15"/>
      <c r="K34" s="15" t="s">
        <v>311</v>
      </c>
      <c r="L34" s="247"/>
      <c r="M34" s="15"/>
      <c r="N34" s="15"/>
      <c r="O34" s="15"/>
      <c r="P34" s="15"/>
      <c r="Q34" s="15"/>
      <c r="R34" s="15">
        <v>0</v>
      </c>
      <c r="S34" s="15">
        <v>0</v>
      </c>
      <c r="T34" s="15"/>
      <c r="U34" s="248"/>
      <c r="V34" s="12"/>
      <c r="W34" s="12"/>
      <c r="X34" s="12"/>
      <c r="Y34" s="12"/>
      <c r="Z34" s="12"/>
      <c r="AA34" s="12"/>
      <c r="AB34" s="12"/>
      <c r="AC34" s="12"/>
    </row>
    <row r="35" spans="1:39" ht="51.75" hidden="1" customHeight="1">
      <c r="A35" s="139"/>
      <c r="B35" s="334" t="s">
        <v>25</v>
      </c>
      <c r="C35" s="336"/>
      <c r="D35" s="217"/>
      <c r="E35" s="217"/>
      <c r="F35" s="168">
        <f>SUM(F20:F34)</f>
        <v>363292</v>
      </c>
      <c r="G35" s="168">
        <f t="shared" ref="G35:V35" si="3">SUM(G20:G34)</f>
        <v>13017.24</v>
      </c>
      <c r="H35" s="168">
        <f t="shared" si="3"/>
        <v>350274.76</v>
      </c>
      <c r="I35" s="168">
        <f t="shared" si="3"/>
        <v>6200</v>
      </c>
      <c r="J35" s="217">
        <f t="shared" si="3"/>
        <v>7</v>
      </c>
      <c r="K35" s="217">
        <f t="shared" si="3"/>
        <v>0</v>
      </c>
      <c r="L35" s="254">
        <f t="shared" si="3"/>
        <v>10900</v>
      </c>
      <c r="M35" s="217"/>
      <c r="N35" s="217"/>
      <c r="O35" s="217"/>
      <c r="P35" s="217"/>
      <c r="Q35" s="217"/>
      <c r="R35" s="217">
        <f t="shared" ref="R35:S35" si="4">SUM(R20:R34)</f>
        <v>334.37</v>
      </c>
      <c r="S35" s="217">
        <f t="shared" si="4"/>
        <v>0</v>
      </c>
      <c r="T35" s="217"/>
      <c r="U35" s="255">
        <f t="shared" si="3"/>
        <v>0</v>
      </c>
      <c r="V35" s="97">
        <f t="shared" si="3"/>
        <v>0</v>
      </c>
      <c r="W35" s="308"/>
      <c r="X35" s="308"/>
      <c r="Y35" s="308"/>
      <c r="Z35" s="308"/>
      <c r="AA35" s="308"/>
      <c r="AB35" s="308"/>
      <c r="AC35" s="141"/>
    </row>
    <row r="36" spans="1:39" ht="51.75" hidden="1" customHeight="1">
      <c r="A36" s="139"/>
      <c r="B36" s="351" t="s">
        <v>435</v>
      </c>
      <c r="C36" s="352"/>
      <c r="D36" s="243"/>
      <c r="E36" s="243"/>
      <c r="F36" s="226">
        <f>SUM(F35,F19,F13,F5)</f>
        <v>1309152</v>
      </c>
      <c r="G36" s="226">
        <f t="shared" ref="G36:S36" si="5">SUM(G35,G19,G13,G5)</f>
        <v>38899.090000000004</v>
      </c>
      <c r="H36" s="226">
        <f t="shared" si="5"/>
        <v>1270252.9099999999</v>
      </c>
      <c r="I36" s="226">
        <f t="shared" si="5"/>
        <v>17100</v>
      </c>
      <c r="J36" s="226">
        <f t="shared" si="5"/>
        <v>20</v>
      </c>
      <c r="K36" s="226">
        <f t="shared" si="5"/>
        <v>0</v>
      </c>
      <c r="L36" s="226">
        <f t="shared" si="5"/>
        <v>19300</v>
      </c>
      <c r="M36" s="226"/>
      <c r="N36" s="226"/>
      <c r="O36" s="226"/>
      <c r="P36" s="226"/>
      <c r="Q36" s="226"/>
      <c r="R36" s="243">
        <f t="shared" si="5"/>
        <v>3354.2449999999999</v>
      </c>
      <c r="S36" s="226">
        <f t="shared" si="5"/>
        <v>2298.7350000000001</v>
      </c>
      <c r="T36" s="243"/>
      <c r="U36" s="257"/>
      <c r="V36" s="97"/>
      <c r="W36" s="308"/>
      <c r="X36" s="308"/>
      <c r="Y36" s="308"/>
      <c r="Z36" s="308"/>
      <c r="AA36" s="308"/>
      <c r="AB36" s="308"/>
      <c r="AC36" s="141"/>
    </row>
    <row r="37" spans="1:39" ht="35.25" hidden="1" customHeight="1">
      <c r="A37" s="178"/>
      <c r="B37" s="344"/>
      <c r="C37" s="344"/>
      <c r="D37" s="344"/>
      <c r="E37" s="344"/>
      <c r="F37" s="344"/>
      <c r="G37" s="344"/>
      <c r="H37" s="344"/>
      <c r="I37" s="344"/>
      <c r="J37" s="344"/>
      <c r="K37" s="344"/>
      <c r="L37" s="344"/>
      <c r="M37" s="344"/>
      <c r="N37" s="344"/>
      <c r="O37" s="344"/>
      <c r="P37" s="344"/>
      <c r="Q37" s="344"/>
      <c r="R37" s="344"/>
      <c r="S37" s="344"/>
      <c r="T37" s="344"/>
      <c r="U37" s="344"/>
      <c r="V37" s="225"/>
      <c r="W37" s="308"/>
      <c r="X37" s="308"/>
      <c r="Y37" s="308"/>
      <c r="Z37" s="308"/>
      <c r="AA37" s="308"/>
      <c r="AB37" s="308"/>
      <c r="AC37" s="141"/>
    </row>
    <row r="38" spans="1:39" ht="32.25" customHeight="1">
      <c r="B38" s="340" t="s">
        <v>190</v>
      </c>
      <c r="C38" s="216" t="s">
        <v>351</v>
      </c>
      <c r="D38" s="216">
        <v>1</v>
      </c>
      <c r="E38" s="258" t="s">
        <v>301</v>
      </c>
      <c r="F38" s="159">
        <v>8719</v>
      </c>
      <c r="G38" s="159">
        <v>8719</v>
      </c>
      <c r="H38" s="159">
        <f t="shared" ref="H38:H76" si="6">F38-G38</f>
        <v>0</v>
      </c>
      <c r="I38" s="159" t="s">
        <v>311</v>
      </c>
      <c r="J38" s="256" t="s">
        <v>311</v>
      </c>
      <c r="K38" s="256" t="s">
        <v>311</v>
      </c>
      <c r="L38" s="259" t="s">
        <v>311</v>
      </c>
      <c r="M38" s="256" t="s">
        <v>311</v>
      </c>
      <c r="N38" s="256" t="s">
        <v>311</v>
      </c>
      <c r="O38" s="256" t="s">
        <v>311</v>
      </c>
      <c r="P38" s="256"/>
      <c r="Q38" s="256"/>
      <c r="R38" s="256" t="s">
        <v>311</v>
      </c>
      <c r="S38" s="256" t="s">
        <v>311</v>
      </c>
      <c r="T38" s="256"/>
      <c r="U38" s="260" t="s">
        <v>501</v>
      </c>
      <c r="V38" s="142" t="s">
        <v>311</v>
      </c>
      <c r="W38" s="142" t="s">
        <v>311</v>
      </c>
      <c r="X38" s="142" t="s">
        <v>311</v>
      </c>
      <c r="Y38" s="142" t="s">
        <v>311</v>
      </c>
      <c r="Z38" s="142" t="s">
        <v>311</v>
      </c>
      <c r="AA38" s="142" t="s">
        <v>311</v>
      </c>
      <c r="AB38" s="142">
        <v>0</v>
      </c>
      <c r="AC38" s="142">
        <v>0</v>
      </c>
      <c r="AD38" s="142">
        <v>0</v>
      </c>
      <c r="AE38" s="142">
        <v>0</v>
      </c>
      <c r="AF38" s="142"/>
      <c r="AG38" s="142"/>
      <c r="AH38" s="142"/>
      <c r="AI38" s="142"/>
      <c r="AJ38" s="142"/>
      <c r="AK38" s="142"/>
      <c r="AL38" s="142"/>
      <c r="AM38" s="12"/>
    </row>
    <row r="39" spans="1:39" ht="32.25" customHeight="1">
      <c r="B39" s="340"/>
      <c r="C39" s="216" t="s">
        <v>351</v>
      </c>
      <c r="D39" s="216">
        <v>2</v>
      </c>
      <c r="E39" s="258" t="s">
        <v>302</v>
      </c>
      <c r="F39" s="160">
        <v>24910</v>
      </c>
      <c r="G39" s="160">
        <v>24910</v>
      </c>
      <c r="H39" s="159">
        <f t="shared" si="6"/>
        <v>0</v>
      </c>
      <c r="I39" s="159" t="s">
        <v>311</v>
      </c>
      <c r="J39" s="256" t="s">
        <v>311</v>
      </c>
      <c r="K39" s="256" t="s">
        <v>311</v>
      </c>
      <c r="L39" s="259" t="s">
        <v>311</v>
      </c>
      <c r="M39" s="256" t="s">
        <v>311</v>
      </c>
      <c r="N39" s="256" t="s">
        <v>311</v>
      </c>
      <c r="O39" s="256" t="s">
        <v>311</v>
      </c>
      <c r="P39" s="256"/>
      <c r="Q39" s="256"/>
      <c r="R39" s="256" t="s">
        <v>311</v>
      </c>
      <c r="S39" s="256" t="s">
        <v>311</v>
      </c>
      <c r="T39" s="256"/>
      <c r="U39" s="260" t="s">
        <v>501</v>
      </c>
      <c r="V39" s="142" t="s">
        <v>311</v>
      </c>
      <c r="W39" s="142" t="s">
        <v>311</v>
      </c>
      <c r="X39" s="142" t="s">
        <v>311</v>
      </c>
      <c r="Y39" s="142" t="s">
        <v>311</v>
      </c>
      <c r="Z39" s="142" t="s">
        <v>311</v>
      </c>
      <c r="AA39" s="142" t="s">
        <v>311</v>
      </c>
      <c r="AB39" s="142">
        <v>0</v>
      </c>
      <c r="AC39" s="142">
        <v>0</v>
      </c>
      <c r="AD39" s="142">
        <v>0</v>
      </c>
      <c r="AE39" s="142">
        <v>0</v>
      </c>
      <c r="AF39" s="142"/>
      <c r="AG39" s="142"/>
      <c r="AH39" s="142"/>
      <c r="AI39" s="142"/>
      <c r="AJ39" s="142"/>
      <c r="AK39" s="142"/>
      <c r="AL39" s="142"/>
      <c r="AM39" s="12"/>
    </row>
    <row r="40" spans="1:39" ht="32.25" customHeight="1">
      <c r="B40" s="340"/>
      <c r="C40" s="216" t="s">
        <v>351</v>
      </c>
      <c r="D40" s="216">
        <v>3</v>
      </c>
      <c r="E40" s="258" t="s">
        <v>303</v>
      </c>
      <c r="F40" s="160">
        <v>19612</v>
      </c>
      <c r="G40" s="160">
        <v>19612</v>
      </c>
      <c r="H40" s="159">
        <f t="shared" si="6"/>
        <v>0</v>
      </c>
      <c r="I40" s="159" t="s">
        <v>311</v>
      </c>
      <c r="J40" s="256" t="s">
        <v>311</v>
      </c>
      <c r="K40" s="256" t="s">
        <v>311</v>
      </c>
      <c r="L40" s="259" t="s">
        <v>311</v>
      </c>
      <c r="M40" s="256" t="s">
        <v>311</v>
      </c>
      <c r="N40" s="256" t="s">
        <v>311</v>
      </c>
      <c r="O40" s="256" t="s">
        <v>311</v>
      </c>
      <c r="P40" s="256"/>
      <c r="Q40" s="256"/>
      <c r="R40" s="256" t="s">
        <v>311</v>
      </c>
      <c r="S40" s="256" t="s">
        <v>311</v>
      </c>
      <c r="T40" s="256"/>
      <c r="U40" s="260" t="s">
        <v>501</v>
      </c>
      <c r="V40" s="142" t="s">
        <v>311</v>
      </c>
      <c r="W40" s="142" t="s">
        <v>311</v>
      </c>
      <c r="X40" s="142" t="s">
        <v>311</v>
      </c>
      <c r="Y40" s="142" t="s">
        <v>311</v>
      </c>
      <c r="Z40" s="142" t="s">
        <v>311</v>
      </c>
      <c r="AA40" s="142" t="s">
        <v>311</v>
      </c>
      <c r="AB40" s="142">
        <v>0</v>
      </c>
      <c r="AC40" s="142">
        <v>0</v>
      </c>
      <c r="AD40" s="142">
        <v>0</v>
      </c>
      <c r="AE40" s="142">
        <v>0</v>
      </c>
      <c r="AF40" s="142"/>
      <c r="AG40" s="142"/>
      <c r="AH40" s="142"/>
      <c r="AI40" s="142"/>
      <c r="AJ40" s="142"/>
      <c r="AK40" s="142"/>
      <c r="AL40" s="142"/>
      <c r="AM40" s="12"/>
    </row>
    <row r="41" spans="1:39" ht="32.25" customHeight="1">
      <c r="B41" s="340"/>
      <c r="C41" s="216" t="s">
        <v>351</v>
      </c>
      <c r="D41" s="216">
        <v>4</v>
      </c>
      <c r="E41" s="258" t="s">
        <v>280</v>
      </c>
      <c r="F41" s="160">
        <v>12849.14</v>
      </c>
      <c r="G41" s="160">
        <v>12849.14</v>
      </c>
      <c r="H41" s="159">
        <f t="shared" si="6"/>
        <v>0</v>
      </c>
      <c r="I41" s="159" t="s">
        <v>311</v>
      </c>
      <c r="J41" s="256" t="s">
        <v>311</v>
      </c>
      <c r="K41" s="256" t="s">
        <v>311</v>
      </c>
      <c r="L41" s="259" t="s">
        <v>311</v>
      </c>
      <c r="M41" s="256" t="s">
        <v>311</v>
      </c>
      <c r="N41" s="256" t="s">
        <v>311</v>
      </c>
      <c r="O41" s="256" t="s">
        <v>311</v>
      </c>
      <c r="P41" s="256"/>
      <c r="Q41" s="256"/>
      <c r="R41" s="256" t="s">
        <v>311</v>
      </c>
      <c r="S41" s="256" t="s">
        <v>311</v>
      </c>
      <c r="T41" s="256"/>
      <c r="U41" s="260" t="s">
        <v>501</v>
      </c>
      <c r="V41" s="142" t="s">
        <v>311</v>
      </c>
      <c r="W41" s="142" t="s">
        <v>311</v>
      </c>
      <c r="X41" s="142" t="s">
        <v>311</v>
      </c>
      <c r="Y41" s="142" t="s">
        <v>311</v>
      </c>
      <c r="Z41" s="142" t="s">
        <v>311</v>
      </c>
      <c r="AA41" s="142" t="s">
        <v>311</v>
      </c>
      <c r="AB41" s="142">
        <v>0</v>
      </c>
      <c r="AC41" s="142">
        <v>0</v>
      </c>
      <c r="AD41" s="142">
        <v>0</v>
      </c>
      <c r="AE41" s="142">
        <v>0</v>
      </c>
      <c r="AF41" s="142"/>
      <c r="AG41" s="142"/>
      <c r="AH41" s="142"/>
      <c r="AI41" s="142"/>
      <c r="AJ41" s="142"/>
      <c r="AK41" s="142"/>
      <c r="AL41" s="142"/>
      <c r="AM41" s="12"/>
    </row>
    <row r="42" spans="1:39" ht="32.25" customHeight="1">
      <c r="B42" s="340"/>
      <c r="C42" s="216" t="s">
        <v>351</v>
      </c>
      <c r="D42" s="216">
        <v>5</v>
      </c>
      <c r="E42" s="258" t="s">
        <v>282</v>
      </c>
      <c r="F42" s="160">
        <v>22097.82</v>
      </c>
      <c r="G42" s="160">
        <v>22097.82</v>
      </c>
      <c r="H42" s="159">
        <f t="shared" si="6"/>
        <v>0</v>
      </c>
      <c r="I42" s="159" t="s">
        <v>311</v>
      </c>
      <c r="J42" s="256" t="s">
        <v>311</v>
      </c>
      <c r="K42" s="256" t="s">
        <v>74</v>
      </c>
      <c r="L42" s="259" t="s">
        <v>311</v>
      </c>
      <c r="M42" s="256" t="s">
        <v>311</v>
      </c>
      <c r="N42" s="256" t="s">
        <v>311</v>
      </c>
      <c r="O42" s="256" t="s">
        <v>311</v>
      </c>
      <c r="P42" s="256"/>
      <c r="Q42" s="256"/>
      <c r="R42" s="256" t="s">
        <v>311</v>
      </c>
      <c r="S42" s="256" t="s">
        <v>311</v>
      </c>
      <c r="T42" s="256"/>
      <c r="U42" s="260" t="s">
        <v>501</v>
      </c>
      <c r="V42" s="142" t="s">
        <v>311</v>
      </c>
      <c r="W42" s="142" t="s">
        <v>311</v>
      </c>
      <c r="X42" s="142" t="s">
        <v>311</v>
      </c>
      <c r="Y42" s="142" t="s">
        <v>311</v>
      </c>
      <c r="Z42" s="142" t="s">
        <v>311</v>
      </c>
      <c r="AA42" s="142" t="s">
        <v>311</v>
      </c>
      <c r="AB42" s="142">
        <v>0</v>
      </c>
      <c r="AC42" s="142">
        <v>0</v>
      </c>
      <c r="AD42" s="142">
        <v>0</v>
      </c>
      <c r="AE42" s="142">
        <v>0</v>
      </c>
      <c r="AF42" s="142"/>
      <c r="AG42" s="142"/>
      <c r="AH42" s="142"/>
      <c r="AI42" s="142"/>
      <c r="AJ42" s="142"/>
      <c r="AK42" s="142"/>
      <c r="AL42" s="142"/>
      <c r="AM42" s="12"/>
    </row>
    <row r="43" spans="1:39" ht="32.25" customHeight="1">
      <c r="B43" s="340"/>
      <c r="C43" s="216" t="s">
        <v>351</v>
      </c>
      <c r="D43" s="216">
        <v>6</v>
      </c>
      <c r="E43" s="258" t="s">
        <v>279</v>
      </c>
      <c r="F43" s="160">
        <v>37786</v>
      </c>
      <c r="G43" s="160">
        <v>37786</v>
      </c>
      <c r="H43" s="159">
        <f t="shared" si="6"/>
        <v>0</v>
      </c>
      <c r="I43" s="159" t="s">
        <v>311</v>
      </c>
      <c r="J43" s="256" t="s">
        <v>311</v>
      </c>
      <c r="K43" s="256" t="s">
        <v>76</v>
      </c>
      <c r="L43" s="259" t="s">
        <v>311</v>
      </c>
      <c r="M43" s="256" t="s">
        <v>311</v>
      </c>
      <c r="N43" s="256" t="s">
        <v>311</v>
      </c>
      <c r="O43" s="256" t="s">
        <v>311</v>
      </c>
      <c r="P43" s="256"/>
      <c r="Q43" s="256"/>
      <c r="R43" s="256" t="s">
        <v>311</v>
      </c>
      <c r="S43" s="256" t="s">
        <v>311</v>
      </c>
      <c r="T43" s="256"/>
      <c r="U43" s="260" t="s">
        <v>501</v>
      </c>
      <c r="V43" s="142" t="s">
        <v>311</v>
      </c>
      <c r="W43" s="142" t="s">
        <v>311</v>
      </c>
      <c r="X43" s="142" t="s">
        <v>311</v>
      </c>
      <c r="Y43" s="142" t="s">
        <v>311</v>
      </c>
      <c r="Z43" s="142" t="s">
        <v>311</v>
      </c>
      <c r="AA43" s="142" t="s">
        <v>311</v>
      </c>
      <c r="AB43" s="142">
        <v>0</v>
      </c>
      <c r="AC43" s="142">
        <v>0</v>
      </c>
      <c r="AD43" s="142">
        <v>0</v>
      </c>
      <c r="AE43" s="142">
        <v>0</v>
      </c>
      <c r="AF43" s="142"/>
      <c r="AG43" s="142"/>
      <c r="AH43" s="142"/>
      <c r="AI43" s="142"/>
      <c r="AJ43" s="142"/>
      <c r="AK43" s="142"/>
      <c r="AL43" s="142"/>
      <c r="AM43" s="12"/>
    </row>
    <row r="44" spans="1:39" ht="32.25" customHeight="1">
      <c r="B44" s="340"/>
      <c r="C44" s="216" t="s">
        <v>351</v>
      </c>
      <c r="D44" s="216">
        <v>7</v>
      </c>
      <c r="E44" s="306" t="s">
        <v>281</v>
      </c>
      <c r="F44" s="113">
        <v>14711</v>
      </c>
      <c r="G44" s="161">
        <f>12431.79+187.42+206.52+121.15</f>
        <v>12946.880000000001</v>
      </c>
      <c r="H44" s="161">
        <f t="shared" si="6"/>
        <v>1764.119999999999</v>
      </c>
      <c r="I44" s="161"/>
      <c r="J44" s="15">
        <v>1</v>
      </c>
      <c r="K44" s="15" t="s">
        <v>128</v>
      </c>
      <c r="L44" s="247">
        <v>600</v>
      </c>
      <c r="M44" s="15" t="s">
        <v>311</v>
      </c>
      <c r="N44" s="15"/>
      <c r="O44" s="15" t="s">
        <v>212</v>
      </c>
      <c r="P44" s="15">
        <v>0</v>
      </c>
      <c r="Q44" s="15">
        <v>121.15</v>
      </c>
      <c r="R44" s="15">
        <v>121.15</v>
      </c>
      <c r="S44" s="15">
        <v>0</v>
      </c>
      <c r="T44" s="15"/>
      <c r="U44" s="262" t="s">
        <v>365</v>
      </c>
      <c r="V44" s="16"/>
      <c r="W44" s="16"/>
      <c r="X44" s="16"/>
      <c r="Y44" s="16"/>
      <c r="Z44" s="12"/>
      <c r="AA44" s="16"/>
      <c r="AB44" s="16">
        <v>0</v>
      </c>
      <c r="AC44" s="16">
        <v>0</v>
      </c>
      <c r="AD44" s="16">
        <v>0</v>
      </c>
      <c r="AE44" s="16">
        <v>0</v>
      </c>
      <c r="AF44" s="16"/>
      <c r="AG44" s="16"/>
      <c r="AH44" s="16"/>
      <c r="AI44" s="16"/>
      <c r="AJ44" s="16"/>
      <c r="AK44" s="16"/>
      <c r="AL44" s="16"/>
      <c r="AM44" s="12"/>
    </row>
    <row r="45" spans="1:39" ht="32.25" customHeight="1">
      <c r="B45" s="340"/>
      <c r="C45" s="216" t="s">
        <v>351</v>
      </c>
      <c r="D45" s="216">
        <v>8</v>
      </c>
      <c r="E45" s="119" t="s">
        <v>283</v>
      </c>
      <c r="F45" s="113">
        <v>13135</v>
      </c>
      <c r="G45" s="161">
        <f>10452.13+129+221.43+87.15</f>
        <v>10889.71</v>
      </c>
      <c r="H45" s="161">
        <f t="shared" si="6"/>
        <v>2245.2900000000009</v>
      </c>
      <c r="I45" s="161"/>
      <c r="J45" s="15">
        <v>1</v>
      </c>
      <c r="K45" s="15" t="s">
        <v>31</v>
      </c>
      <c r="L45" s="247">
        <v>600</v>
      </c>
      <c r="M45" s="15"/>
      <c r="N45" s="15"/>
      <c r="O45" s="15" t="s">
        <v>212</v>
      </c>
      <c r="P45" s="15">
        <v>0</v>
      </c>
      <c r="Q45" s="15">
        <v>87.15</v>
      </c>
      <c r="R45" s="15">
        <v>87.15</v>
      </c>
      <c r="S45" s="15">
        <v>0</v>
      </c>
      <c r="T45" s="15"/>
      <c r="U45" s="262" t="s">
        <v>365</v>
      </c>
      <c r="V45" s="16"/>
      <c r="W45" s="16"/>
      <c r="X45" s="16"/>
      <c r="Y45" s="16"/>
      <c r="Z45" s="12"/>
      <c r="AA45" s="16"/>
      <c r="AB45" s="16">
        <v>0</v>
      </c>
      <c r="AC45" s="16">
        <v>181.53</v>
      </c>
      <c r="AD45" s="16">
        <v>262.02999999999997</v>
      </c>
      <c r="AE45" s="16">
        <v>0</v>
      </c>
      <c r="AF45" s="16"/>
      <c r="AG45" s="16"/>
      <c r="AH45" s="16"/>
      <c r="AI45" s="16"/>
      <c r="AJ45" s="16"/>
      <c r="AK45" s="16"/>
      <c r="AL45" s="16"/>
      <c r="AM45" s="12"/>
    </row>
    <row r="46" spans="1:39" ht="48.75" customHeight="1">
      <c r="B46" s="340"/>
      <c r="C46" s="216" t="s">
        <v>351</v>
      </c>
      <c r="D46" s="216">
        <v>9</v>
      </c>
      <c r="E46" s="119" t="s">
        <v>23</v>
      </c>
      <c r="F46" s="113">
        <v>6678.68</v>
      </c>
      <c r="G46" s="162">
        <v>0</v>
      </c>
      <c r="H46" s="161">
        <f t="shared" si="6"/>
        <v>6678.68</v>
      </c>
      <c r="I46" s="161"/>
      <c r="J46" s="15"/>
      <c r="K46" s="256" t="s">
        <v>153</v>
      </c>
      <c r="L46" s="247">
        <v>800</v>
      </c>
      <c r="M46" s="15" t="s">
        <v>201</v>
      </c>
      <c r="N46" s="15">
        <v>15</v>
      </c>
      <c r="O46" s="15" t="s">
        <v>207</v>
      </c>
      <c r="P46" s="15">
        <v>0</v>
      </c>
      <c r="Q46" s="15">
        <v>0</v>
      </c>
      <c r="R46" s="15">
        <v>0</v>
      </c>
      <c r="S46" s="15">
        <v>0</v>
      </c>
      <c r="T46" s="15"/>
      <c r="U46" s="262" t="s">
        <v>390</v>
      </c>
      <c r="V46" s="16"/>
      <c r="W46" s="16"/>
      <c r="X46" s="16" t="e">
        <f>Y46-M46</f>
        <v>#VALUE!</v>
      </c>
      <c r="Y46" s="114">
        <v>45930</v>
      </c>
      <c r="Z46" s="12" t="s">
        <v>233</v>
      </c>
      <c r="AA46" s="16"/>
      <c r="AB46" s="16">
        <v>0</v>
      </c>
      <c r="AC46" s="16">
        <v>0</v>
      </c>
      <c r="AD46" s="16">
        <v>0</v>
      </c>
      <c r="AE46" s="16">
        <v>0</v>
      </c>
      <c r="AF46" s="16"/>
      <c r="AG46" s="16"/>
      <c r="AH46" s="16"/>
      <c r="AI46" s="16"/>
      <c r="AJ46" s="16"/>
      <c r="AK46" s="16"/>
      <c r="AL46" s="16"/>
      <c r="AM46" s="12"/>
    </row>
    <row r="47" spans="1:39" ht="48.75" customHeight="1">
      <c r="B47" s="340"/>
      <c r="C47" s="216" t="s">
        <v>351</v>
      </c>
      <c r="D47" s="216">
        <v>10</v>
      </c>
      <c r="E47" s="119" t="s">
        <v>21</v>
      </c>
      <c r="F47" s="113">
        <v>6260</v>
      </c>
      <c r="G47" s="162">
        <v>0</v>
      </c>
      <c r="H47" s="161">
        <f t="shared" si="6"/>
        <v>6260</v>
      </c>
      <c r="I47" s="161"/>
      <c r="J47" s="15"/>
      <c r="K47" s="256" t="s">
        <v>153</v>
      </c>
      <c r="L47" s="247">
        <v>800</v>
      </c>
      <c r="M47" s="15" t="s">
        <v>201</v>
      </c>
      <c r="N47" s="15">
        <v>15</v>
      </c>
      <c r="O47" s="15" t="s">
        <v>207</v>
      </c>
      <c r="P47" s="15">
        <v>0</v>
      </c>
      <c r="Q47" s="15">
        <v>0</v>
      </c>
      <c r="R47" s="15">
        <v>0</v>
      </c>
      <c r="S47" s="15">
        <v>0</v>
      </c>
      <c r="T47" s="15"/>
      <c r="U47" s="262" t="s">
        <v>390</v>
      </c>
      <c r="V47" s="16"/>
      <c r="W47" s="16"/>
      <c r="X47" s="16" t="e">
        <f>Y47-M47</f>
        <v>#VALUE!</v>
      </c>
      <c r="Y47" s="114">
        <v>45930</v>
      </c>
      <c r="Z47" s="12" t="s">
        <v>233</v>
      </c>
      <c r="AA47" s="16"/>
      <c r="AB47" s="16">
        <v>0</v>
      </c>
      <c r="AC47" s="16">
        <v>0</v>
      </c>
      <c r="AD47" s="16">
        <v>0</v>
      </c>
      <c r="AE47" s="16">
        <v>0</v>
      </c>
      <c r="AF47" s="16"/>
      <c r="AG47" s="16"/>
      <c r="AH47" s="16"/>
      <c r="AI47" s="16"/>
      <c r="AJ47" s="16"/>
      <c r="AK47" s="16"/>
      <c r="AL47" s="16"/>
      <c r="AM47" s="12"/>
    </row>
    <row r="48" spans="1:39" ht="48.75" customHeight="1">
      <c r="B48" s="340"/>
      <c r="C48" s="216" t="s">
        <v>351</v>
      </c>
      <c r="D48" s="216">
        <v>11</v>
      </c>
      <c r="E48" s="119" t="s">
        <v>22</v>
      </c>
      <c r="F48" s="113">
        <v>9625.8799999999992</v>
      </c>
      <c r="G48" s="162">
        <v>0</v>
      </c>
      <c r="H48" s="161">
        <f t="shared" si="6"/>
        <v>9625.8799999999992</v>
      </c>
      <c r="I48" s="161"/>
      <c r="J48" s="15"/>
      <c r="K48" s="256" t="s">
        <v>153</v>
      </c>
      <c r="L48" s="247">
        <v>800</v>
      </c>
      <c r="M48" s="15" t="s">
        <v>193</v>
      </c>
      <c r="N48" s="15">
        <v>20</v>
      </c>
      <c r="O48" s="15" t="s">
        <v>207</v>
      </c>
      <c r="P48" s="15">
        <v>0</v>
      </c>
      <c r="Q48" s="15">
        <v>0</v>
      </c>
      <c r="R48" s="15">
        <v>0</v>
      </c>
      <c r="S48" s="15">
        <v>0</v>
      </c>
      <c r="T48" s="15"/>
      <c r="U48" s="262" t="s">
        <v>390</v>
      </c>
      <c r="V48" s="16"/>
      <c r="W48" s="16"/>
      <c r="X48" s="16" t="e">
        <f>Y48-M48</f>
        <v>#VALUE!</v>
      </c>
      <c r="Y48" s="114">
        <v>45930</v>
      </c>
      <c r="Z48" s="12" t="s">
        <v>233</v>
      </c>
      <c r="AA48" s="16"/>
      <c r="AB48" s="16">
        <v>0</v>
      </c>
      <c r="AC48" s="16">
        <v>0</v>
      </c>
      <c r="AD48" s="16">
        <v>0</v>
      </c>
      <c r="AE48" s="16">
        <v>0</v>
      </c>
      <c r="AF48" s="16"/>
      <c r="AG48" s="16"/>
      <c r="AH48" s="16"/>
      <c r="AI48" s="16"/>
      <c r="AJ48" s="16"/>
      <c r="AK48" s="16"/>
      <c r="AL48" s="16"/>
      <c r="AM48" s="12"/>
    </row>
    <row r="49" spans="2:39" ht="41.25" customHeight="1">
      <c r="B49" s="340"/>
      <c r="C49" s="216" t="s">
        <v>351</v>
      </c>
      <c r="D49" s="216">
        <v>12</v>
      </c>
      <c r="E49" s="119" t="s">
        <v>284</v>
      </c>
      <c r="F49" s="113">
        <v>11921.09</v>
      </c>
      <c r="G49" s="162">
        <v>0</v>
      </c>
      <c r="H49" s="161">
        <f t="shared" si="6"/>
        <v>11921.09</v>
      </c>
      <c r="I49" s="161"/>
      <c r="J49" s="15"/>
      <c r="K49" s="256" t="s">
        <v>386</v>
      </c>
      <c r="L49" s="247">
        <v>600</v>
      </c>
      <c r="M49" s="15" t="s">
        <v>388</v>
      </c>
      <c r="N49" s="15">
        <v>20</v>
      </c>
      <c r="O49" s="15" t="s">
        <v>201</v>
      </c>
      <c r="P49" s="15">
        <v>0</v>
      </c>
      <c r="Q49" s="15">
        <v>0</v>
      </c>
      <c r="R49" s="15">
        <v>0</v>
      </c>
      <c r="S49" s="15">
        <v>0</v>
      </c>
      <c r="T49" s="15"/>
      <c r="U49" s="262" t="s">
        <v>405</v>
      </c>
      <c r="V49" s="16"/>
      <c r="W49" s="16"/>
      <c r="X49" s="16"/>
      <c r="Y49" s="16"/>
      <c r="Z49" s="12"/>
      <c r="AA49" s="16"/>
      <c r="AB49" s="16">
        <v>0</v>
      </c>
      <c r="AC49" s="16">
        <v>0</v>
      </c>
      <c r="AD49" s="16">
        <v>0</v>
      </c>
      <c r="AE49" s="16">
        <v>0</v>
      </c>
      <c r="AF49" s="16"/>
      <c r="AG49" s="16"/>
      <c r="AH49" s="16"/>
      <c r="AI49" s="16"/>
      <c r="AJ49" s="16"/>
      <c r="AK49" s="16"/>
      <c r="AL49" s="16"/>
      <c r="AM49" s="12"/>
    </row>
    <row r="50" spans="2:39" ht="41.25" customHeight="1">
      <c r="B50" s="340"/>
      <c r="C50" s="216" t="s">
        <v>351</v>
      </c>
      <c r="D50" s="216">
        <v>13</v>
      </c>
      <c r="E50" s="119" t="s">
        <v>285</v>
      </c>
      <c r="F50" s="113">
        <v>12042</v>
      </c>
      <c r="G50" s="162">
        <v>0</v>
      </c>
      <c r="H50" s="161">
        <f t="shared" si="6"/>
        <v>12042</v>
      </c>
      <c r="I50" s="161"/>
      <c r="J50" s="15"/>
      <c r="K50" s="256" t="s">
        <v>386</v>
      </c>
      <c r="L50" s="247">
        <v>600</v>
      </c>
      <c r="M50" s="15" t="s">
        <v>193</v>
      </c>
      <c r="N50" s="15">
        <v>20</v>
      </c>
      <c r="O50" s="15" t="s">
        <v>207</v>
      </c>
      <c r="P50" s="15">
        <v>0</v>
      </c>
      <c r="Q50" s="15">
        <v>0</v>
      </c>
      <c r="R50" s="15">
        <v>0</v>
      </c>
      <c r="S50" s="15">
        <v>0</v>
      </c>
      <c r="T50" s="15"/>
      <c r="U50" s="262" t="s">
        <v>405</v>
      </c>
      <c r="V50" s="16"/>
      <c r="W50" s="16"/>
      <c r="X50" s="16"/>
      <c r="Y50" s="16"/>
      <c r="Z50" s="12"/>
      <c r="AA50" s="16"/>
      <c r="AB50" s="16">
        <v>0</v>
      </c>
      <c r="AC50" s="16">
        <v>0</v>
      </c>
      <c r="AD50" s="16">
        <v>0</v>
      </c>
      <c r="AE50" s="16">
        <v>0</v>
      </c>
      <c r="AF50" s="16"/>
      <c r="AG50" s="16"/>
      <c r="AH50" s="16"/>
      <c r="AI50" s="16"/>
      <c r="AJ50" s="16"/>
      <c r="AK50" s="16"/>
      <c r="AL50" s="16"/>
      <c r="AM50" s="12"/>
    </row>
    <row r="51" spans="2:39" ht="47.25" customHeight="1">
      <c r="B51" s="340"/>
      <c r="C51" s="216" t="s">
        <v>351</v>
      </c>
      <c r="D51" s="216">
        <v>14</v>
      </c>
      <c r="E51" s="119" t="s">
        <v>24</v>
      </c>
      <c r="F51" s="113">
        <v>7700</v>
      </c>
      <c r="G51" s="162">
        <v>0</v>
      </c>
      <c r="H51" s="161">
        <f t="shared" si="6"/>
        <v>7700</v>
      </c>
      <c r="I51" s="161"/>
      <c r="J51" s="15"/>
      <c r="K51" s="256" t="s">
        <v>153</v>
      </c>
      <c r="L51" s="247">
        <v>800</v>
      </c>
      <c r="M51" s="15" t="s">
        <v>193</v>
      </c>
      <c r="N51" s="15">
        <v>20</v>
      </c>
      <c r="O51" s="15" t="s">
        <v>207</v>
      </c>
      <c r="P51" s="15">
        <v>0</v>
      </c>
      <c r="Q51" s="15">
        <v>0</v>
      </c>
      <c r="R51" s="15">
        <v>0</v>
      </c>
      <c r="S51" s="15">
        <v>0</v>
      </c>
      <c r="T51" s="15"/>
      <c r="U51" s="262" t="s">
        <v>390</v>
      </c>
      <c r="V51" s="16"/>
      <c r="W51" s="16"/>
      <c r="X51" s="16" t="e">
        <f>Y51-M51</f>
        <v>#VALUE!</v>
      </c>
      <c r="Y51" s="114">
        <v>45930</v>
      </c>
      <c r="Z51" s="12" t="s">
        <v>233</v>
      </c>
      <c r="AA51" s="16"/>
      <c r="AB51" s="16">
        <v>0</v>
      </c>
      <c r="AC51" s="16">
        <v>0</v>
      </c>
      <c r="AD51" s="16">
        <v>0</v>
      </c>
      <c r="AE51" s="16">
        <v>0</v>
      </c>
      <c r="AF51" s="16"/>
      <c r="AG51" s="16"/>
      <c r="AH51" s="16"/>
      <c r="AI51" s="16"/>
      <c r="AJ51" s="16"/>
      <c r="AK51" s="16"/>
      <c r="AL51" s="16"/>
      <c r="AM51" s="12"/>
    </row>
    <row r="52" spans="2:39" ht="47.25" customHeight="1">
      <c r="B52" s="340"/>
      <c r="C52" s="216" t="s">
        <v>351</v>
      </c>
      <c r="D52" s="216">
        <v>15</v>
      </c>
      <c r="E52" s="119" t="s">
        <v>352</v>
      </c>
      <c r="F52" s="113">
        <v>7727.4</v>
      </c>
      <c r="G52" s="162">
        <v>0</v>
      </c>
      <c r="H52" s="161">
        <f t="shared" si="6"/>
        <v>7727.4</v>
      </c>
      <c r="I52" s="161"/>
      <c r="J52" s="15"/>
      <c r="K52" s="256" t="s">
        <v>353</v>
      </c>
      <c r="L52" s="247">
        <v>800</v>
      </c>
      <c r="M52" s="15">
        <v>45818</v>
      </c>
      <c r="N52" s="15">
        <v>20</v>
      </c>
      <c r="O52" s="15">
        <v>45838</v>
      </c>
      <c r="P52" s="15">
        <v>0</v>
      </c>
      <c r="Q52" s="15">
        <v>0</v>
      </c>
      <c r="R52" s="15">
        <v>0</v>
      </c>
      <c r="S52" s="15">
        <v>0</v>
      </c>
      <c r="T52" s="15"/>
      <c r="U52" s="262" t="s">
        <v>374</v>
      </c>
      <c r="V52" s="16"/>
      <c r="W52" s="16"/>
      <c r="X52" s="16">
        <f>Y52-M52</f>
        <v>20</v>
      </c>
      <c r="Y52" s="114">
        <v>45838</v>
      </c>
      <c r="Z52" s="12" t="s">
        <v>232</v>
      </c>
      <c r="AA52" s="16"/>
      <c r="AB52" s="16">
        <v>0</v>
      </c>
      <c r="AC52" s="16">
        <v>0</v>
      </c>
      <c r="AD52" s="16">
        <v>0</v>
      </c>
      <c r="AE52" s="16">
        <v>0</v>
      </c>
      <c r="AF52" s="16"/>
      <c r="AG52" s="16"/>
      <c r="AH52" s="16"/>
      <c r="AI52" s="16"/>
      <c r="AJ52" s="16"/>
      <c r="AK52" s="16"/>
      <c r="AL52" s="16"/>
      <c r="AM52" s="12"/>
    </row>
    <row r="53" spans="2:39" ht="42.75" customHeight="1">
      <c r="B53" s="340"/>
      <c r="C53" s="216" t="s">
        <v>351</v>
      </c>
      <c r="D53" s="216">
        <v>16</v>
      </c>
      <c r="E53" s="119" t="s">
        <v>286</v>
      </c>
      <c r="F53" s="113">
        <v>6250</v>
      </c>
      <c r="G53" s="162">
        <v>0</v>
      </c>
      <c r="H53" s="161">
        <f t="shared" si="6"/>
        <v>6250</v>
      </c>
      <c r="I53" s="161"/>
      <c r="J53" s="15"/>
      <c r="K53" s="256" t="s">
        <v>354</v>
      </c>
      <c r="L53" s="247">
        <v>600</v>
      </c>
      <c r="M53" s="15" t="s">
        <v>355</v>
      </c>
      <c r="N53" s="15">
        <v>20</v>
      </c>
      <c r="O53" s="15">
        <v>45838</v>
      </c>
      <c r="P53" s="15">
        <v>0</v>
      </c>
      <c r="Q53" s="15">
        <v>0</v>
      </c>
      <c r="R53" s="15">
        <v>0</v>
      </c>
      <c r="S53" s="15">
        <v>0</v>
      </c>
      <c r="T53" s="15"/>
      <c r="U53" s="262" t="s">
        <v>389</v>
      </c>
      <c r="V53" s="16"/>
      <c r="W53" s="16"/>
      <c r="X53" s="16"/>
      <c r="Y53" s="16" t="s">
        <v>193</v>
      </c>
      <c r="Z53" s="12"/>
      <c r="AA53" s="16"/>
      <c r="AB53" s="16">
        <v>0</v>
      </c>
      <c r="AC53" s="16">
        <v>0</v>
      </c>
      <c r="AD53" s="16">
        <v>0</v>
      </c>
      <c r="AE53" s="16">
        <v>0</v>
      </c>
      <c r="AF53" s="16"/>
      <c r="AG53" s="16"/>
      <c r="AH53" s="16"/>
      <c r="AI53" s="16"/>
      <c r="AJ53" s="16"/>
      <c r="AK53" s="16"/>
      <c r="AL53" s="16"/>
      <c r="AM53" s="12" t="s">
        <v>356</v>
      </c>
    </row>
    <row r="54" spans="2:39" ht="37.5" customHeight="1">
      <c r="B54" s="263"/>
      <c r="C54" s="263"/>
      <c r="D54" s="263"/>
      <c r="E54" s="263"/>
      <c r="F54" s="163">
        <f>SUM(F38:F53)</f>
        <v>222025.00999999998</v>
      </c>
      <c r="G54" s="163">
        <f t="shared" ref="G54:K54" si="7">SUM(G38:G53)</f>
        <v>149810.54999999999</v>
      </c>
      <c r="H54" s="163">
        <f t="shared" si="7"/>
        <v>72214.459999999992</v>
      </c>
      <c r="I54" s="163">
        <f t="shared" si="7"/>
        <v>0</v>
      </c>
      <c r="J54" s="145">
        <f t="shared" si="7"/>
        <v>2</v>
      </c>
      <c r="K54" s="145">
        <f t="shared" si="7"/>
        <v>0</v>
      </c>
      <c r="L54" s="144">
        <f>SUM(L38:L53)</f>
        <v>7000</v>
      </c>
      <c r="M54" s="145">
        <f t="shared" ref="M54:AJ54" si="8">SUM(M38:M53)</f>
        <v>45818</v>
      </c>
      <c r="N54" s="145">
        <f t="shared" si="8"/>
        <v>150</v>
      </c>
      <c r="O54" s="145">
        <f t="shared" si="8"/>
        <v>91676</v>
      </c>
      <c r="P54" s="163">
        <f t="shared" si="8"/>
        <v>0</v>
      </c>
      <c r="Q54" s="163">
        <f t="shared" si="8"/>
        <v>208.3</v>
      </c>
      <c r="R54" s="145">
        <f t="shared" si="8"/>
        <v>208.3</v>
      </c>
      <c r="S54" s="145">
        <f t="shared" si="8"/>
        <v>0</v>
      </c>
      <c r="T54" s="145"/>
      <c r="U54" s="146">
        <f t="shared" si="8"/>
        <v>0</v>
      </c>
      <c r="V54" s="145">
        <f t="shared" si="8"/>
        <v>0</v>
      </c>
      <c r="W54" s="145">
        <f t="shared" si="8"/>
        <v>0</v>
      </c>
      <c r="X54" s="145" t="e">
        <f t="shared" si="8"/>
        <v>#VALUE!</v>
      </c>
      <c r="Y54" s="145">
        <f t="shared" si="8"/>
        <v>229558</v>
      </c>
      <c r="Z54" s="145">
        <f t="shared" si="8"/>
        <v>0</v>
      </c>
      <c r="AA54" s="145">
        <f t="shared" si="8"/>
        <v>0</v>
      </c>
      <c r="AB54" s="145">
        <f t="shared" si="8"/>
        <v>0</v>
      </c>
      <c r="AC54" s="145">
        <f t="shared" si="8"/>
        <v>181.53</v>
      </c>
      <c r="AD54" s="145">
        <f t="shared" si="8"/>
        <v>262.02999999999997</v>
      </c>
      <c r="AE54" s="145">
        <f t="shared" si="8"/>
        <v>0</v>
      </c>
      <c r="AF54" s="145">
        <f t="shared" si="8"/>
        <v>0</v>
      </c>
      <c r="AG54" s="145">
        <f t="shared" si="8"/>
        <v>0</v>
      </c>
      <c r="AH54" s="145">
        <f t="shared" si="8"/>
        <v>0</v>
      </c>
      <c r="AI54" s="145">
        <f t="shared" si="8"/>
        <v>0</v>
      </c>
      <c r="AJ54" s="145">
        <f t="shared" si="8"/>
        <v>0</v>
      </c>
      <c r="AK54" s="145"/>
      <c r="AL54" s="145"/>
      <c r="AM54" s="12"/>
    </row>
    <row r="55" spans="2:39" ht="30" customHeight="1">
      <c r="B55" s="337" t="s">
        <v>190</v>
      </c>
      <c r="C55" s="15" t="s">
        <v>357</v>
      </c>
      <c r="D55" s="15">
        <v>17</v>
      </c>
      <c r="E55" s="258" t="s">
        <v>305</v>
      </c>
      <c r="F55" s="160">
        <v>37207.269999999997</v>
      </c>
      <c r="G55" s="160">
        <v>37207.269999999997</v>
      </c>
      <c r="H55" s="159">
        <f t="shared" si="6"/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/>
      <c r="Q55" s="159"/>
      <c r="R55" s="159">
        <v>0</v>
      </c>
      <c r="S55" s="159">
        <v>0</v>
      </c>
      <c r="T55" s="256"/>
      <c r="U55" s="260" t="s">
        <v>501</v>
      </c>
      <c r="V55" s="142"/>
      <c r="W55" s="142"/>
      <c r="X55" s="142"/>
      <c r="Y55" s="142"/>
      <c r="Z55" s="143"/>
      <c r="AA55" s="142"/>
      <c r="AB55" s="142">
        <v>0</v>
      </c>
      <c r="AC55" s="142">
        <v>0</v>
      </c>
      <c r="AD55" s="142">
        <v>0</v>
      </c>
      <c r="AE55" s="142">
        <v>0</v>
      </c>
      <c r="AF55" s="142"/>
      <c r="AG55" s="142"/>
      <c r="AH55" s="142"/>
      <c r="AI55" s="142"/>
      <c r="AJ55" s="142"/>
      <c r="AK55" s="142"/>
      <c r="AL55" s="142"/>
      <c r="AM55" s="12"/>
    </row>
    <row r="56" spans="2:39" ht="30" customHeight="1">
      <c r="B56" s="338"/>
      <c r="C56" s="15" t="s">
        <v>357</v>
      </c>
      <c r="D56" s="15">
        <v>18</v>
      </c>
      <c r="E56" s="258" t="s">
        <v>306</v>
      </c>
      <c r="F56" s="160">
        <v>74206</v>
      </c>
      <c r="G56" s="160">
        <v>74206</v>
      </c>
      <c r="H56" s="159">
        <f t="shared" si="6"/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/>
      <c r="Q56" s="159"/>
      <c r="R56" s="159">
        <v>0</v>
      </c>
      <c r="S56" s="159">
        <v>0</v>
      </c>
      <c r="T56" s="256"/>
      <c r="U56" s="260" t="s">
        <v>501</v>
      </c>
      <c r="V56" s="142"/>
      <c r="W56" s="142"/>
      <c r="X56" s="142"/>
      <c r="Y56" s="142"/>
      <c r="Z56" s="143"/>
      <c r="AA56" s="142"/>
      <c r="AB56" s="142">
        <v>0</v>
      </c>
      <c r="AC56" s="142">
        <v>0</v>
      </c>
      <c r="AD56" s="142">
        <v>0</v>
      </c>
      <c r="AE56" s="142">
        <v>0</v>
      </c>
      <c r="AF56" s="142"/>
      <c r="AG56" s="142"/>
      <c r="AH56" s="142"/>
      <c r="AI56" s="142"/>
      <c r="AJ56" s="142"/>
      <c r="AK56" s="142"/>
      <c r="AL56" s="142"/>
      <c r="AM56" s="12"/>
    </row>
    <row r="57" spans="2:39" ht="42.75" customHeight="1">
      <c r="B57" s="338"/>
      <c r="C57" s="15" t="s">
        <v>357</v>
      </c>
      <c r="D57" s="15">
        <v>19</v>
      </c>
      <c r="E57" s="119" t="s">
        <v>453</v>
      </c>
      <c r="F57" s="113">
        <v>22142.68</v>
      </c>
      <c r="G57" s="161">
        <v>4255</v>
      </c>
      <c r="H57" s="161">
        <f t="shared" si="6"/>
        <v>17887.68</v>
      </c>
      <c r="I57" s="161"/>
      <c r="J57" s="15">
        <v>1</v>
      </c>
      <c r="K57" s="15" t="s">
        <v>61</v>
      </c>
      <c r="L57" s="247">
        <v>1100</v>
      </c>
      <c r="M57" s="15"/>
      <c r="N57" s="15"/>
      <c r="O57" s="15" t="s">
        <v>368</v>
      </c>
      <c r="P57" s="15">
        <v>0</v>
      </c>
      <c r="Q57" s="15">
        <v>0</v>
      </c>
      <c r="R57" s="15">
        <v>0</v>
      </c>
      <c r="S57" s="15">
        <v>0</v>
      </c>
      <c r="T57" s="15"/>
      <c r="U57" s="262" t="s">
        <v>298</v>
      </c>
      <c r="V57" s="16"/>
      <c r="W57" s="16"/>
      <c r="X57" s="16"/>
      <c r="Y57" s="16"/>
      <c r="Z57" s="12"/>
      <c r="AA57" s="16"/>
      <c r="AB57" s="16">
        <v>0</v>
      </c>
      <c r="AC57" s="16">
        <v>0</v>
      </c>
      <c r="AD57" s="16">
        <v>0</v>
      </c>
      <c r="AE57" s="16">
        <v>0</v>
      </c>
      <c r="AF57" s="16"/>
      <c r="AG57" s="16"/>
      <c r="AH57" s="16"/>
      <c r="AI57" s="16"/>
      <c r="AJ57" s="16"/>
      <c r="AK57" s="16"/>
      <c r="AL57" s="16"/>
      <c r="AM57" s="12"/>
    </row>
    <row r="58" spans="2:39" ht="42.75" customHeight="1">
      <c r="B58" s="338"/>
      <c r="C58" s="15" t="s">
        <v>357</v>
      </c>
      <c r="D58" s="15">
        <v>20</v>
      </c>
      <c r="E58" s="119" t="s">
        <v>288</v>
      </c>
      <c r="F58" s="113">
        <v>11022</v>
      </c>
      <c r="G58" s="161">
        <v>0</v>
      </c>
      <c r="H58" s="161">
        <f t="shared" si="6"/>
        <v>11022</v>
      </c>
      <c r="I58" s="161"/>
      <c r="J58" s="15"/>
      <c r="K58" s="256" t="s">
        <v>358</v>
      </c>
      <c r="L58" s="247">
        <v>600</v>
      </c>
      <c r="M58" s="15" t="s">
        <v>359</v>
      </c>
      <c r="N58" s="15"/>
      <c r="O58" s="15" t="s">
        <v>205</v>
      </c>
      <c r="P58" s="15">
        <v>0</v>
      </c>
      <c r="Q58" s="15">
        <v>0</v>
      </c>
      <c r="R58" s="15">
        <v>0</v>
      </c>
      <c r="S58" s="15">
        <v>0</v>
      </c>
      <c r="T58" s="15"/>
      <c r="U58" s="262" t="s">
        <v>391</v>
      </c>
      <c r="V58" s="16"/>
      <c r="W58" s="16"/>
      <c r="X58" s="16"/>
      <c r="Y58" s="16" t="s">
        <v>193</v>
      </c>
      <c r="Z58" s="12"/>
      <c r="AA58" s="16"/>
      <c r="AB58" s="16">
        <v>0</v>
      </c>
      <c r="AC58" s="16">
        <v>0</v>
      </c>
      <c r="AD58" s="16">
        <v>0</v>
      </c>
      <c r="AE58" s="16">
        <v>0</v>
      </c>
      <c r="AF58" s="16"/>
      <c r="AG58" s="16"/>
      <c r="AH58" s="16"/>
      <c r="AI58" s="16"/>
      <c r="AJ58" s="16"/>
      <c r="AK58" s="16"/>
      <c r="AL58" s="16"/>
      <c r="AM58" s="12" t="s">
        <v>360</v>
      </c>
    </row>
    <row r="59" spans="2:39" ht="42.75" customHeight="1">
      <c r="B59" s="338"/>
      <c r="C59" s="15" t="s">
        <v>357</v>
      </c>
      <c r="D59" s="15">
        <v>21</v>
      </c>
      <c r="E59" s="119" t="s">
        <v>289</v>
      </c>
      <c r="F59" s="113">
        <v>8779</v>
      </c>
      <c r="G59" s="161">
        <v>0</v>
      </c>
      <c r="H59" s="161">
        <f t="shared" si="6"/>
        <v>8779</v>
      </c>
      <c r="I59" s="161"/>
      <c r="J59" s="15"/>
      <c r="K59" s="256" t="s">
        <v>395</v>
      </c>
      <c r="L59" s="247">
        <v>1100</v>
      </c>
      <c r="M59" s="15" t="s">
        <v>201</v>
      </c>
      <c r="N59" s="15"/>
      <c r="O59" s="15" t="s">
        <v>368</v>
      </c>
      <c r="P59" s="15">
        <v>0</v>
      </c>
      <c r="Q59" s="15">
        <v>0</v>
      </c>
      <c r="R59" s="15">
        <v>0</v>
      </c>
      <c r="S59" s="15">
        <v>0</v>
      </c>
      <c r="T59" s="15"/>
      <c r="U59" s="248" t="s">
        <v>396</v>
      </c>
      <c r="V59" s="16"/>
      <c r="W59" s="16"/>
      <c r="X59" s="16"/>
      <c r="Y59" s="16"/>
      <c r="Z59" s="12"/>
      <c r="AA59" s="16"/>
      <c r="AB59" s="16">
        <v>0</v>
      </c>
      <c r="AC59" s="16">
        <v>0</v>
      </c>
      <c r="AD59" s="16">
        <v>0</v>
      </c>
      <c r="AE59" s="16">
        <v>0</v>
      </c>
      <c r="AF59" s="16"/>
      <c r="AG59" s="16"/>
      <c r="AH59" s="16"/>
      <c r="AI59" s="16"/>
      <c r="AJ59" s="16"/>
      <c r="AK59" s="16"/>
      <c r="AL59" s="16"/>
      <c r="AM59" s="12"/>
    </row>
    <row r="60" spans="2:39" ht="42.75" customHeight="1">
      <c r="B60" s="339"/>
      <c r="C60" s="15" t="s">
        <v>357</v>
      </c>
      <c r="D60" s="15">
        <v>22</v>
      </c>
      <c r="E60" s="119" t="s">
        <v>361</v>
      </c>
      <c r="F60" s="113">
        <v>5624</v>
      </c>
      <c r="G60" s="161">
        <v>0</v>
      </c>
      <c r="H60" s="161">
        <f t="shared" si="6"/>
        <v>5624</v>
      </c>
      <c r="I60" s="161"/>
      <c r="J60" s="15"/>
      <c r="K60" s="256" t="s">
        <v>392</v>
      </c>
      <c r="L60" s="247">
        <v>600</v>
      </c>
      <c r="M60" s="15">
        <v>45915</v>
      </c>
      <c r="N60" s="15"/>
      <c r="O60" s="15">
        <v>45930</v>
      </c>
      <c r="P60" s="15">
        <v>0</v>
      </c>
      <c r="Q60" s="15">
        <v>0</v>
      </c>
      <c r="R60" s="15">
        <v>0</v>
      </c>
      <c r="S60" s="15">
        <v>0</v>
      </c>
      <c r="T60" s="15"/>
      <c r="U60" s="262" t="s">
        <v>397</v>
      </c>
      <c r="V60" s="16"/>
      <c r="W60" s="16"/>
      <c r="X60" s="16">
        <f>Y60-M60</f>
        <v>15</v>
      </c>
      <c r="Y60" s="114">
        <v>45930</v>
      </c>
      <c r="Z60" s="12" t="s">
        <v>362</v>
      </c>
      <c r="AA60" s="16"/>
      <c r="AB60" s="16">
        <v>0</v>
      </c>
      <c r="AC60" s="16">
        <v>0</v>
      </c>
      <c r="AD60" s="16">
        <v>0</v>
      </c>
      <c r="AE60" s="16">
        <v>0</v>
      </c>
      <c r="AF60" s="16"/>
      <c r="AG60" s="16"/>
      <c r="AH60" s="16"/>
      <c r="AI60" s="16"/>
      <c r="AJ60" s="16"/>
      <c r="AK60" s="16"/>
      <c r="AL60" s="16"/>
      <c r="AM60" s="12"/>
    </row>
    <row r="61" spans="2:39" ht="36.75" customHeight="1">
      <c r="B61" s="263"/>
      <c r="C61" s="263"/>
      <c r="D61" s="263"/>
      <c r="E61" s="263"/>
      <c r="F61" s="163">
        <f>SUM(F55:F60)</f>
        <v>158980.94999999998</v>
      </c>
      <c r="G61" s="163">
        <f t="shared" ref="G61:AJ61" si="9">SUM(G55:G60)</f>
        <v>115668.26999999999</v>
      </c>
      <c r="H61" s="163">
        <f t="shared" si="9"/>
        <v>43312.68</v>
      </c>
      <c r="I61" s="163">
        <f t="shared" si="9"/>
        <v>0</v>
      </c>
      <c r="J61" s="145">
        <f t="shared" si="9"/>
        <v>1</v>
      </c>
      <c r="K61" s="145">
        <f t="shared" si="9"/>
        <v>0</v>
      </c>
      <c r="L61" s="144">
        <f t="shared" si="9"/>
        <v>3400</v>
      </c>
      <c r="M61" s="145"/>
      <c r="N61" s="145">
        <f t="shared" si="9"/>
        <v>0</v>
      </c>
      <c r="O61" s="145"/>
      <c r="P61" s="163">
        <f t="shared" ref="P61:Q61" si="10">SUM(P55:P60)</f>
        <v>0</v>
      </c>
      <c r="Q61" s="163">
        <f t="shared" si="10"/>
        <v>0</v>
      </c>
      <c r="R61" s="145">
        <f t="shared" ref="R61:S61" si="11">SUM(R55:R60)</f>
        <v>0</v>
      </c>
      <c r="S61" s="145">
        <f t="shared" si="11"/>
        <v>0</v>
      </c>
      <c r="T61" s="145"/>
      <c r="U61" s="146">
        <f t="shared" si="9"/>
        <v>0</v>
      </c>
      <c r="V61" s="145">
        <f t="shared" si="9"/>
        <v>0</v>
      </c>
      <c r="W61" s="145">
        <f t="shared" si="9"/>
        <v>0</v>
      </c>
      <c r="X61" s="145">
        <f t="shared" si="9"/>
        <v>15</v>
      </c>
      <c r="Y61" s="145">
        <f t="shared" si="9"/>
        <v>45930</v>
      </c>
      <c r="Z61" s="145">
        <f t="shared" si="9"/>
        <v>0</v>
      </c>
      <c r="AA61" s="145">
        <f t="shared" si="9"/>
        <v>0</v>
      </c>
      <c r="AB61" s="145">
        <f t="shared" si="9"/>
        <v>0</v>
      </c>
      <c r="AC61" s="145">
        <f t="shared" si="9"/>
        <v>0</v>
      </c>
      <c r="AD61" s="145">
        <f t="shared" si="9"/>
        <v>0</v>
      </c>
      <c r="AE61" s="145">
        <f t="shared" si="9"/>
        <v>0</v>
      </c>
      <c r="AF61" s="145">
        <f t="shared" si="9"/>
        <v>0</v>
      </c>
      <c r="AG61" s="145">
        <f t="shared" si="9"/>
        <v>0</v>
      </c>
      <c r="AH61" s="145">
        <f t="shared" si="9"/>
        <v>0</v>
      </c>
      <c r="AI61" s="145">
        <f t="shared" si="9"/>
        <v>0</v>
      </c>
      <c r="AJ61" s="145">
        <f t="shared" si="9"/>
        <v>0</v>
      </c>
      <c r="AK61" s="145"/>
      <c r="AL61" s="145"/>
      <c r="AM61" s="12"/>
    </row>
    <row r="62" spans="2:39" ht="36.75" customHeight="1">
      <c r="B62" s="341" t="s">
        <v>407</v>
      </c>
      <c r="C62" s="15" t="s">
        <v>363</v>
      </c>
      <c r="D62" s="15">
        <v>23</v>
      </c>
      <c r="E62" s="256" t="s">
        <v>308</v>
      </c>
      <c r="F62" s="160">
        <v>50000</v>
      </c>
      <c r="G62" s="160">
        <v>50000</v>
      </c>
      <c r="H62" s="159">
        <f t="shared" si="6"/>
        <v>0</v>
      </c>
      <c r="I62" s="159">
        <v>0</v>
      </c>
      <c r="J62" s="159">
        <v>0</v>
      </c>
      <c r="K62" s="159">
        <v>0</v>
      </c>
      <c r="L62" s="159">
        <v>0</v>
      </c>
      <c r="M62" s="159">
        <v>0</v>
      </c>
      <c r="N62" s="159">
        <v>0</v>
      </c>
      <c r="O62" s="159">
        <v>0</v>
      </c>
      <c r="P62" s="159">
        <v>0</v>
      </c>
      <c r="Q62" s="159">
        <v>0</v>
      </c>
      <c r="R62" s="159">
        <v>0</v>
      </c>
      <c r="S62" s="159">
        <v>0</v>
      </c>
      <c r="T62" s="256"/>
      <c r="U62" s="260" t="s">
        <v>501</v>
      </c>
      <c r="V62" s="142"/>
      <c r="W62" s="142"/>
      <c r="X62" s="142"/>
      <c r="Y62" s="142"/>
      <c r="Z62" s="143"/>
      <c r="AA62" s="142"/>
      <c r="AB62" s="142">
        <v>0</v>
      </c>
      <c r="AC62" s="142">
        <v>0</v>
      </c>
      <c r="AD62" s="142">
        <v>0</v>
      </c>
      <c r="AE62" s="142">
        <v>0</v>
      </c>
      <c r="AF62" s="142"/>
      <c r="AG62" s="142"/>
      <c r="AH62" s="142"/>
      <c r="AI62" s="142"/>
      <c r="AJ62" s="142"/>
      <c r="AK62" s="142"/>
      <c r="AL62" s="142"/>
      <c r="AM62" s="12"/>
    </row>
    <row r="63" spans="2:39" ht="36.75" customHeight="1">
      <c r="B63" s="342"/>
      <c r="C63" s="15" t="s">
        <v>363</v>
      </c>
      <c r="D63" s="15">
        <v>24</v>
      </c>
      <c r="E63" s="258" t="s">
        <v>309</v>
      </c>
      <c r="F63" s="160">
        <v>20842</v>
      </c>
      <c r="G63" s="160">
        <v>20842</v>
      </c>
      <c r="H63" s="159">
        <f t="shared" si="6"/>
        <v>0</v>
      </c>
      <c r="I63" s="159">
        <v>0</v>
      </c>
      <c r="J63" s="159">
        <v>0</v>
      </c>
      <c r="K63" s="159">
        <v>0</v>
      </c>
      <c r="L63" s="159">
        <v>0</v>
      </c>
      <c r="M63" s="159">
        <v>0</v>
      </c>
      <c r="N63" s="159">
        <v>0</v>
      </c>
      <c r="O63" s="159">
        <v>0</v>
      </c>
      <c r="P63" s="159">
        <v>0</v>
      </c>
      <c r="Q63" s="159">
        <v>0</v>
      </c>
      <c r="R63" s="159">
        <v>0</v>
      </c>
      <c r="S63" s="159">
        <v>0</v>
      </c>
      <c r="T63" s="256"/>
      <c r="U63" s="260" t="s">
        <v>501</v>
      </c>
      <c r="V63" s="142"/>
      <c r="W63" s="142"/>
      <c r="X63" s="142"/>
      <c r="Y63" s="142"/>
      <c r="Z63" s="143"/>
      <c r="AA63" s="142"/>
      <c r="AB63" s="142">
        <v>0</v>
      </c>
      <c r="AC63" s="142">
        <v>0</v>
      </c>
      <c r="AD63" s="142">
        <v>0</v>
      </c>
      <c r="AE63" s="142">
        <v>0</v>
      </c>
      <c r="AF63" s="142"/>
      <c r="AG63" s="142"/>
      <c r="AH63" s="142"/>
      <c r="AI63" s="142"/>
      <c r="AJ63" s="142"/>
      <c r="AK63" s="142"/>
      <c r="AL63" s="142"/>
      <c r="AM63" s="12"/>
    </row>
    <row r="64" spans="2:39" ht="36.75" customHeight="1">
      <c r="B64" s="342"/>
      <c r="C64" s="15" t="s">
        <v>363</v>
      </c>
      <c r="D64" s="15"/>
      <c r="E64" s="256" t="s">
        <v>307</v>
      </c>
      <c r="F64" s="159">
        <v>15995</v>
      </c>
      <c r="G64" s="159">
        <v>15995</v>
      </c>
      <c r="H64" s="159">
        <f t="shared" si="6"/>
        <v>0</v>
      </c>
      <c r="I64" s="159">
        <v>0</v>
      </c>
      <c r="J64" s="159">
        <v>0</v>
      </c>
      <c r="K64" s="159">
        <v>0</v>
      </c>
      <c r="L64" s="159">
        <v>0</v>
      </c>
      <c r="M64" s="159">
        <v>0</v>
      </c>
      <c r="N64" s="159">
        <v>0</v>
      </c>
      <c r="O64" s="159">
        <v>0</v>
      </c>
      <c r="P64" s="159">
        <v>0</v>
      </c>
      <c r="Q64" s="159">
        <v>0</v>
      </c>
      <c r="R64" s="159">
        <v>0</v>
      </c>
      <c r="S64" s="159">
        <v>0</v>
      </c>
      <c r="T64" s="256"/>
      <c r="U64" s="260" t="s">
        <v>501</v>
      </c>
      <c r="V64" s="142"/>
      <c r="W64" s="142"/>
      <c r="X64" s="142"/>
      <c r="Y64" s="142"/>
      <c r="Z64" s="143"/>
      <c r="AA64" s="142"/>
      <c r="AB64" s="142">
        <v>0</v>
      </c>
      <c r="AC64" s="142">
        <v>0</v>
      </c>
      <c r="AD64" s="142">
        <v>0</v>
      </c>
      <c r="AE64" s="142">
        <v>0</v>
      </c>
      <c r="AF64" s="142"/>
      <c r="AG64" s="142"/>
      <c r="AH64" s="142"/>
      <c r="AI64" s="142"/>
      <c r="AJ64" s="142"/>
      <c r="AK64" s="142"/>
      <c r="AL64" s="142"/>
      <c r="AM64" s="12"/>
    </row>
    <row r="65" spans="1:39" ht="36.75" customHeight="1">
      <c r="B65" s="342"/>
      <c r="C65" s="15" t="s">
        <v>363</v>
      </c>
      <c r="D65" s="15"/>
      <c r="E65" s="256" t="s">
        <v>121</v>
      </c>
      <c r="F65" s="160">
        <v>4925</v>
      </c>
      <c r="G65" s="160">
        <v>4925</v>
      </c>
      <c r="H65" s="159">
        <f t="shared" si="6"/>
        <v>0</v>
      </c>
      <c r="I65" s="159">
        <v>0</v>
      </c>
      <c r="J65" s="159">
        <v>0</v>
      </c>
      <c r="K65" s="159">
        <v>0</v>
      </c>
      <c r="L65" s="159">
        <v>0</v>
      </c>
      <c r="M65" s="159">
        <v>0</v>
      </c>
      <c r="N65" s="159">
        <v>0</v>
      </c>
      <c r="O65" s="159">
        <v>0</v>
      </c>
      <c r="P65" s="159">
        <v>0</v>
      </c>
      <c r="Q65" s="159">
        <v>0</v>
      </c>
      <c r="R65" s="159">
        <v>0</v>
      </c>
      <c r="S65" s="159">
        <v>0</v>
      </c>
      <c r="T65" s="256"/>
      <c r="U65" s="260" t="s">
        <v>501</v>
      </c>
      <c r="V65" s="142"/>
      <c r="W65" s="142"/>
      <c r="X65" s="142"/>
      <c r="Y65" s="142"/>
      <c r="Z65" s="143"/>
      <c r="AA65" s="142"/>
      <c r="AB65" s="142">
        <v>0</v>
      </c>
      <c r="AC65" s="142">
        <v>0</v>
      </c>
      <c r="AD65" s="142">
        <v>0</v>
      </c>
      <c r="AE65" s="142">
        <v>0</v>
      </c>
      <c r="AF65" s="142"/>
      <c r="AG65" s="142"/>
      <c r="AH65" s="142"/>
      <c r="AI65" s="142"/>
      <c r="AJ65" s="142"/>
      <c r="AK65" s="142"/>
      <c r="AL65" s="142"/>
      <c r="AM65" s="12"/>
    </row>
    <row r="66" spans="1:39" ht="36.75" customHeight="1">
      <c r="B66" s="342"/>
      <c r="C66" s="15" t="s">
        <v>363</v>
      </c>
      <c r="D66" s="15"/>
      <c r="E66" s="256" t="s">
        <v>66</v>
      </c>
      <c r="F66" s="159">
        <v>25181</v>
      </c>
      <c r="G66" s="159">
        <v>25181</v>
      </c>
      <c r="H66" s="159">
        <f t="shared" si="6"/>
        <v>0</v>
      </c>
      <c r="I66" s="159">
        <v>0</v>
      </c>
      <c r="J66" s="159">
        <v>0</v>
      </c>
      <c r="K66" s="159">
        <v>0</v>
      </c>
      <c r="L66" s="159">
        <v>0</v>
      </c>
      <c r="M66" s="159">
        <v>0</v>
      </c>
      <c r="N66" s="159">
        <v>0</v>
      </c>
      <c r="O66" s="159">
        <v>0</v>
      </c>
      <c r="P66" s="159">
        <v>0</v>
      </c>
      <c r="Q66" s="159">
        <v>0</v>
      </c>
      <c r="R66" s="159">
        <v>0</v>
      </c>
      <c r="S66" s="159">
        <v>0</v>
      </c>
      <c r="T66" s="256"/>
      <c r="U66" s="260" t="s">
        <v>501</v>
      </c>
      <c r="V66" s="142"/>
      <c r="W66" s="142"/>
      <c r="X66" s="142"/>
      <c r="Y66" s="142"/>
      <c r="Z66" s="143"/>
      <c r="AA66" s="142"/>
      <c r="AB66" s="142">
        <v>0</v>
      </c>
      <c r="AC66" s="142">
        <v>0</v>
      </c>
      <c r="AD66" s="142">
        <v>0</v>
      </c>
      <c r="AE66" s="142">
        <v>0</v>
      </c>
      <c r="AF66" s="142"/>
      <c r="AG66" s="142"/>
      <c r="AH66" s="142"/>
      <c r="AI66" s="142"/>
      <c r="AJ66" s="142"/>
      <c r="AK66" s="142"/>
      <c r="AL66" s="142"/>
      <c r="AM66" s="12"/>
    </row>
    <row r="67" spans="1:39" ht="36.75" customHeight="1">
      <c r="B67" s="342"/>
      <c r="C67" s="15" t="s">
        <v>363</v>
      </c>
      <c r="D67" s="15"/>
      <c r="E67" s="256" t="s">
        <v>304</v>
      </c>
      <c r="F67" s="159">
        <v>8775.1299999999992</v>
      </c>
      <c r="G67" s="159">
        <v>8775.1299999999992</v>
      </c>
      <c r="H67" s="159">
        <f t="shared" si="6"/>
        <v>0</v>
      </c>
      <c r="I67" s="159">
        <v>0</v>
      </c>
      <c r="J67" s="159">
        <v>0</v>
      </c>
      <c r="K67" s="159">
        <v>0</v>
      </c>
      <c r="L67" s="159">
        <v>0</v>
      </c>
      <c r="M67" s="159">
        <v>0</v>
      </c>
      <c r="N67" s="159">
        <v>0</v>
      </c>
      <c r="O67" s="159">
        <v>0</v>
      </c>
      <c r="P67" s="159">
        <v>0</v>
      </c>
      <c r="Q67" s="159">
        <v>0</v>
      </c>
      <c r="R67" s="159">
        <v>0</v>
      </c>
      <c r="S67" s="159">
        <v>0</v>
      </c>
      <c r="T67" s="256"/>
      <c r="U67" s="260" t="s">
        <v>501</v>
      </c>
      <c r="V67" s="142"/>
      <c r="W67" s="142"/>
      <c r="X67" s="142"/>
      <c r="Y67" s="142"/>
      <c r="Z67" s="143"/>
      <c r="AA67" s="142"/>
      <c r="AB67" s="142">
        <v>0</v>
      </c>
      <c r="AC67" s="142">
        <v>0</v>
      </c>
      <c r="AD67" s="142">
        <v>0</v>
      </c>
      <c r="AE67" s="142">
        <v>0</v>
      </c>
      <c r="AF67" s="142"/>
      <c r="AG67" s="142"/>
      <c r="AH67" s="142"/>
      <c r="AI67" s="142"/>
      <c r="AJ67" s="142"/>
      <c r="AK67" s="142"/>
      <c r="AL67" s="142"/>
      <c r="AM67" s="12"/>
    </row>
    <row r="68" spans="1:39" ht="36.75" customHeight="1">
      <c r="B68" s="342"/>
      <c r="C68" s="15" t="s">
        <v>363</v>
      </c>
      <c r="D68" s="15"/>
      <c r="E68" s="258" t="s">
        <v>37</v>
      </c>
      <c r="F68" s="160">
        <v>27910.22</v>
      </c>
      <c r="G68" s="160">
        <v>27910.22</v>
      </c>
      <c r="H68" s="159">
        <f t="shared" si="6"/>
        <v>0</v>
      </c>
      <c r="I68" s="159">
        <v>0</v>
      </c>
      <c r="J68" s="159">
        <v>0</v>
      </c>
      <c r="K68" s="159">
        <v>0</v>
      </c>
      <c r="L68" s="159">
        <v>0</v>
      </c>
      <c r="M68" s="159">
        <v>0</v>
      </c>
      <c r="N68" s="159">
        <v>0</v>
      </c>
      <c r="O68" s="159">
        <v>0</v>
      </c>
      <c r="P68" s="159">
        <v>0</v>
      </c>
      <c r="Q68" s="159">
        <v>0</v>
      </c>
      <c r="R68" s="159">
        <v>0</v>
      </c>
      <c r="S68" s="159">
        <v>0</v>
      </c>
      <c r="T68" s="256"/>
      <c r="U68" s="260" t="s">
        <v>501</v>
      </c>
      <c r="V68" s="142"/>
      <c r="W68" s="142"/>
      <c r="X68" s="142"/>
      <c r="Y68" s="142"/>
      <c r="Z68" s="143"/>
      <c r="AA68" s="142"/>
      <c r="AB68" s="142">
        <v>0</v>
      </c>
      <c r="AC68" s="142">
        <v>0</v>
      </c>
      <c r="AD68" s="142">
        <v>0</v>
      </c>
      <c r="AE68" s="142">
        <v>0</v>
      </c>
      <c r="AF68" s="142"/>
      <c r="AG68" s="142"/>
      <c r="AH68" s="142"/>
      <c r="AI68" s="142"/>
      <c r="AJ68" s="142"/>
      <c r="AK68" s="142"/>
      <c r="AL68" s="142"/>
      <c r="AM68" s="12"/>
    </row>
    <row r="69" spans="1:39" ht="36.75" customHeight="1">
      <c r="B69" s="342"/>
      <c r="C69" s="15" t="s">
        <v>363</v>
      </c>
      <c r="D69" s="15">
        <v>25</v>
      </c>
      <c r="E69" s="119" t="s">
        <v>291</v>
      </c>
      <c r="F69" s="113">
        <v>51312</v>
      </c>
      <c r="G69" s="161">
        <f>36556+440+323.29+448.23+515.54+545.09+564.87</f>
        <v>39393.020000000004</v>
      </c>
      <c r="H69" s="161">
        <f t="shared" si="6"/>
        <v>11918.979999999996</v>
      </c>
      <c r="I69" s="161">
        <v>600</v>
      </c>
      <c r="J69" s="15">
        <v>1</v>
      </c>
      <c r="K69" s="15" t="s">
        <v>78</v>
      </c>
      <c r="L69" s="247">
        <v>600</v>
      </c>
      <c r="M69" s="15"/>
      <c r="N69" s="15"/>
      <c r="O69" s="15" t="s">
        <v>387</v>
      </c>
      <c r="P69" s="15">
        <v>0</v>
      </c>
      <c r="Q69" s="15">
        <v>564.87</v>
      </c>
      <c r="R69" s="15">
        <v>564.87</v>
      </c>
      <c r="S69" s="15">
        <v>545.09</v>
      </c>
      <c r="T69" s="15"/>
      <c r="U69" s="262" t="s">
        <v>479</v>
      </c>
      <c r="V69" s="16"/>
      <c r="W69" s="16"/>
      <c r="X69" s="16"/>
      <c r="Y69" s="16" t="s">
        <v>364</v>
      </c>
      <c r="Z69" s="12"/>
      <c r="AA69" s="16"/>
      <c r="AB69" s="16">
        <v>394.4</v>
      </c>
      <c r="AC69" s="16">
        <v>562.24</v>
      </c>
      <c r="AD69" s="16">
        <v>510.27</v>
      </c>
      <c r="AE69" s="16">
        <v>0</v>
      </c>
      <c r="AF69" s="16"/>
      <c r="AG69" s="16"/>
      <c r="AH69" s="16"/>
      <c r="AI69" s="16"/>
      <c r="AJ69" s="16"/>
      <c r="AK69" s="16"/>
      <c r="AL69" s="16"/>
      <c r="AM69" s="12" t="s">
        <v>365</v>
      </c>
    </row>
    <row r="70" spans="1:39" ht="36.75" customHeight="1">
      <c r="B70" s="342"/>
      <c r="C70" s="15" t="s">
        <v>363</v>
      </c>
      <c r="D70" s="15">
        <v>26</v>
      </c>
      <c r="E70" s="119" t="s">
        <v>290</v>
      </c>
      <c r="F70" s="113">
        <v>18736</v>
      </c>
      <c r="G70" s="161">
        <f>16364+242.03</f>
        <v>16606.03</v>
      </c>
      <c r="H70" s="161">
        <f t="shared" si="6"/>
        <v>2129.9700000000012</v>
      </c>
      <c r="I70" s="161">
        <v>600</v>
      </c>
      <c r="J70" s="15">
        <v>1</v>
      </c>
      <c r="K70" s="15" t="s">
        <v>60</v>
      </c>
      <c r="L70" s="247">
        <v>600</v>
      </c>
      <c r="M70" s="15"/>
      <c r="N70" s="15"/>
      <c r="O70" s="15" t="s">
        <v>205</v>
      </c>
      <c r="P70" s="15">
        <v>267.82</v>
      </c>
      <c r="Q70" s="15">
        <v>0</v>
      </c>
      <c r="R70" s="15">
        <v>0</v>
      </c>
      <c r="S70" s="15">
        <v>0</v>
      </c>
      <c r="T70" s="15"/>
      <c r="U70" s="262" t="s">
        <v>365</v>
      </c>
      <c r="V70" s="16"/>
      <c r="W70" s="16"/>
      <c r="X70" s="16"/>
      <c r="Y70" s="16"/>
      <c r="Z70" s="12"/>
      <c r="AA70" s="16"/>
      <c r="AB70" s="16">
        <v>0</v>
      </c>
      <c r="AC70" s="16">
        <v>210.47</v>
      </c>
      <c r="AD70" s="16">
        <v>0</v>
      </c>
      <c r="AE70" s="16">
        <v>0</v>
      </c>
      <c r="AF70" s="16"/>
      <c r="AG70" s="16"/>
      <c r="AH70" s="16"/>
      <c r="AI70" s="16"/>
      <c r="AJ70" s="16"/>
      <c r="AK70" s="16"/>
      <c r="AL70" s="16"/>
      <c r="AM70" s="12"/>
    </row>
    <row r="71" spans="1:39" ht="36.75" customHeight="1">
      <c r="B71" s="342"/>
      <c r="C71" s="15" t="s">
        <v>363</v>
      </c>
      <c r="D71" s="15">
        <v>27</v>
      </c>
      <c r="E71" s="119" t="s">
        <v>366</v>
      </c>
      <c r="F71" s="113">
        <v>7312</v>
      </c>
      <c r="G71" s="162">
        <v>0</v>
      </c>
      <c r="H71" s="161">
        <f t="shared" si="6"/>
        <v>7312</v>
      </c>
      <c r="I71" s="161"/>
      <c r="J71" s="15"/>
      <c r="K71" s="256" t="s">
        <v>393</v>
      </c>
      <c r="L71" s="247">
        <v>500</v>
      </c>
      <c r="M71" s="15" t="s">
        <v>394</v>
      </c>
      <c r="N71" s="15">
        <v>15</v>
      </c>
      <c r="O71" s="15" t="s">
        <v>387</v>
      </c>
      <c r="P71" s="15">
        <v>0</v>
      </c>
      <c r="Q71" s="15">
        <v>0</v>
      </c>
      <c r="R71" s="15">
        <v>0</v>
      </c>
      <c r="S71" s="15">
        <v>0</v>
      </c>
      <c r="T71" s="15"/>
      <c r="U71" s="262" t="s">
        <v>415</v>
      </c>
      <c r="V71" s="16"/>
      <c r="W71" s="16"/>
      <c r="X71" s="16" t="e">
        <f>Y71-M71</f>
        <v>#VALUE!</v>
      </c>
      <c r="Y71" s="114">
        <v>45930</v>
      </c>
      <c r="Z71" s="12"/>
      <c r="AA71" s="16"/>
      <c r="AB71" s="16">
        <v>0</v>
      </c>
      <c r="AC71" s="16">
        <v>0</v>
      </c>
      <c r="AD71" s="16">
        <v>0</v>
      </c>
      <c r="AE71" s="16">
        <v>0</v>
      </c>
      <c r="AF71" s="16"/>
      <c r="AG71" s="16"/>
      <c r="AH71" s="16"/>
      <c r="AI71" s="16"/>
      <c r="AJ71" s="16"/>
      <c r="AK71" s="16"/>
      <c r="AL71" s="16"/>
      <c r="AM71" s="12"/>
    </row>
    <row r="72" spans="1:39" ht="36.75" customHeight="1">
      <c r="B72" s="342"/>
      <c r="C72" s="15" t="s">
        <v>363</v>
      </c>
      <c r="D72" s="15">
        <v>28</v>
      </c>
      <c r="E72" s="119" t="s">
        <v>293</v>
      </c>
      <c r="F72" s="113">
        <v>7300</v>
      </c>
      <c r="G72" s="162">
        <v>0</v>
      </c>
      <c r="H72" s="161">
        <f t="shared" si="6"/>
        <v>7300</v>
      </c>
      <c r="I72" s="161"/>
      <c r="J72" s="15"/>
      <c r="K72" s="256" t="s">
        <v>416</v>
      </c>
      <c r="L72" s="247"/>
      <c r="M72" s="15" t="s">
        <v>371</v>
      </c>
      <c r="N72" s="15"/>
      <c r="O72" s="15" t="s">
        <v>205</v>
      </c>
      <c r="P72" s="15">
        <v>0</v>
      </c>
      <c r="Q72" s="15">
        <v>0</v>
      </c>
      <c r="R72" s="15">
        <v>0</v>
      </c>
      <c r="S72" s="15">
        <v>0</v>
      </c>
      <c r="T72" s="15"/>
      <c r="U72" s="248" t="s">
        <v>473</v>
      </c>
      <c r="V72" s="16"/>
      <c r="W72" s="16"/>
      <c r="X72" s="16"/>
      <c r="Y72" s="16"/>
      <c r="Z72" s="12"/>
      <c r="AA72" s="16"/>
      <c r="AB72" s="16">
        <v>0</v>
      </c>
      <c r="AC72" s="16">
        <v>0</v>
      </c>
      <c r="AD72" s="16">
        <v>0</v>
      </c>
      <c r="AE72" s="16">
        <v>0</v>
      </c>
      <c r="AF72" s="16"/>
      <c r="AG72" s="16"/>
      <c r="AH72" s="16"/>
      <c r="AI72" s="16"/>
      <c r="AJ72" s="16"/>
      <c r="AK72" s="16"/>
      <c r="AL72" s="16"/>
      <c r="AM72" s="12"/>
    </row>
    <row r="73" spans="1:39" ht="43.5" customHeight="1">
      <c r="B73" s="342"/>
      <c r="C73" s="15" t="s">
        <v>363</v>
      </c>
      <c r="D73" s="15">
        <v>29</v>
      </c>
      <c r="E73" s="119" t="s">
        <v>292</v>
      </c>
      <c r="F73" s="113">
        <v>10000</v>
      </c>
      <c r="G73" s="162">
        <v>0</v>
      </c>
      <c r="H73" s="161">
        <f t="shared" si="6"/>
        <v>10000</v>
      </c>
      <c r="I73" s="161"/>
      <c r="J73" s="15"/>
      <c r="K73" s="256" t="s">
        <v>367</v>
      </c>
      <c r="L73" s="247">
        <v>400</v>
      </c>
      <c r="M73" s="15" t="s">
        <v>368</v>
      </c>
      <c r="N73" s="15"/>
      <c r="O73" s="15" t="s">
        <v>417</v>
      </c>
      <c r="P73" s="15">
        <v>0</v>
      </c>
      <c r="Q73" s="15">
        <v>0</v>
      </c>
      <c r="R73" s="15">
        <v>0</v>
      </c>
      <c r="S73" s="15">
        <v>0</v>
      </c>
      <c r="T73" s="15"/>
      <c r="U73" s="262" t="s">
        <v>414</v>
      </c>
      <c r="V73" s="16"/>
      <c r="W73" s="16"/>
      <c r="X73" s="16"/>
      <c r="Y73" s="16" t="s">
        <v>369</v>
      </c>
      <c r="Z73" s="12"/>
      <c r="AA73" s="16"/>
      <c r="AB73" s="16">
        <v>0</v>
      </c>
      <c r="AC73" s="16">
        <v>0</v>
      </c>
      <c r="AD73" s="16">
        <v>0</v>
      </c>
      <c r="AE73" s="16">
        <v>0</v>
      </c>
      <c r="AF73" s="16"/>
      <c r="AG73" s="16"/>
      <c r="AH73" s="16"/>
      <c r="AI73" s="16"/>
      <c r="AJ73" s="16"/>
      <c r="AK73" s="16"/>
      <c r="AL73" s="16"/>
      <c r="AM73" s="12" t="s">
        <v>370</v>
      </c>
    </row>
    <row r="74" spans="1:39" ht="47.25">
      <c r="B74" s="343"/>
      <c r="C74" s="15" t="s">
        <v>363</v>
      </c>
      <c r="D74" s="15">
        <v>30</v>
      </c>
      <c r="E74" s="119" t="s">
        <v>294</v>
      </c>
      <c r="F74" s="113">
        <v>5821</v>
      </c>
      <c r="G74" s="162">
        <v>0</v>
      </c>
      <c r="H74" s="161">
        <f t="shared" si="6"/>
        <v>5821</v>
      </c>
      <c r="I74" s="161">
        <v>400</v>
      </c>
      <c r="J74" s="15">
        <v>1</v>
      </c>
      <c r="K74" s="15" t="s">
        <v>82</v>
      </c>
      <c r="L74" s="247">
        <v>400</v>
      </c>
      <c r="M74" s="15" t="s">
        <v>371</v>
      </c>
      <c r="N74" s="15"/>
      <c r="O74" s="15" t="s">
        <v>210</v>
      </c>
      <c r="P74" s="15">
        <v>0</v>
      </c>
      <c r="Q74" s="15">
        <v>0</v>
      </c>
      <c r="R74" s="15">
        <v>0</v>
      </c>
      <c r="S74" s="15">
        <v>0</v>
      </c>
      <c r="T74" s="15"/>
      <c r="U74" s="262" t="s">
        <v>372</v>
      </c>
      <c r="V74" s="16"/>
      <c r="W74" s="16"/>
      <c r="X74" s="16"/>
      <c r="Y74" s="16" t="s">
        <v>195</v>
      </c>
      <c r="Z74" s="12"/>
      <c r="AA74" s="16"/>
      <c r="AB74" s="16">
        <v>0</v>
      </c>
      <c r="AC74" s="16">
        <v>0</v>
      </c>
      <c r="AD74" s="16">
        <v>0</v>
      </c>
      <c r="AE74" s="16">
        <v>0</v>
      </c>
      <c r="AF74" s="16"/>
      <c r="AG74" s="16"/>
      <c r="AH74" s="16"/>
      <c r="AI74" s="16"/>
      <c r="AJ74" s="16"/>
      <c r="AK74" s="16"/>
      <c r="AL74" s="16"/>
      <c r="AM74" s="12" t="s">
        <v>372</v>
      </c>
    </row>
    <row r="75" spans="1:39" ht="33.75" customHeight="1">
      <c r="B75" s="263"/>
      <c r="C75" s="263"/>
      <c r="D75" s="263"/>
      <c r="E75" s="263"/>
      <c r="F75" s="169">
        <f>SUM(F62:F74)</f>
        <v>254109.35</v>
      </c>
      <c r="G75" s="169">
        <f t="shared" ref="G75" si="12">SUM(G62:G74)</f>
        <v>209627.4</v>
      </c>
      <c r="H75" s="169">
        <f t="shared" si="6"/>
        <v>44481.950000000012</v>
      </c>
      <c r="I75" s="169">
        <f t="shared" ref="I75:AJ75" si="13">SUM(I62:I74)</f>
        <v>1600</v>
      </c>
      <c r="J75" s="264">
        <f t="shared" si="13"/>
        <v>3</v>
      </c>
      <c r="K75" s="264">
        <f t="shared" si="13"/>
        <v>0</v>
      </c>
      <c r="L75" s="265">
        <f t="shared" si="13"/>
        <v>2500</v>
      </c>
      <c r="M75" s="264">
        <f t="shared" si="13"/>
        <v>0</v>
      </c>
      <c r="N75" s="264">
        <f t="shared" si="13"/>
        <v>15</v>
      </c>
      <c r="O75" s="264">
        <f t="shared" si="13"/>
        <v>0</v>
      </c>
      <c r="P75" s="169">
        <f t="shared" si="13"/>
        <v>267.82</v>
      </c>
      <c r="Q75" s="169">
        <f t="shared" si="13"/>
        <v>564.87</v>
      </c>
      <c r="R75" s="264">
        <f t="shared" si="13"/>
        <v>564.87</v>
      </c>
      <c r="S75" s="264">
        <f t="shared" si="13"/>
        <v>545.09</v>
      </c>
      <c r="T75" s="264"/>
      <c r="U75" s="266">
        <f t="shared" si="13"/>
        <v>0</v>
      </c>
      <c r="V75" s="147">
        <f t="shared" si="13"/>
        <v>0</v>
      </c>
      <c r="W75" s="147">
        <f t="shared" si="13"/>
        <v>0</v>
      </c>
      <c r="X75" s="147" t="e">
        <f t="shared" si="13"/>
        <v>#VALUE!</v>
      </c>
      <c r="Y75" s="147">
        <f t="shared" si="13"/>
        <v>45930</v>
      </c>
      <c r="Z75" s="147">
        <f t="shared" si="13"/>
        <v>0</v>
      </c>
      <c r="AA75" s="147">
        <f t="shared" si="13"/>
        <v>0</v>
      </c>
      <c r="AB75" s="148">
        <f t="shared" si="13"/>
        <v>394.4</v>
      </c>
      <c r="AC75" s="148">
        <f t="shared" si="13"/>
        <v>772.71</v>
      </c>
      <c r="AD75" s="147">
        <f t="shared" si="13"/>
        <v>510.27</v>
      </c>
      <c r="AE75" s="147">
        <f t="shared" si="13"/>
        <v>0</v>
      </c>
      <c r="AF75" s="147">
        <f t="shared" si="13"/>
        <v>0</v>
      </c>
      <c r="AG75" s="147">
        <f t="shared" si="13"/>
        <v>0</v>
      </c>
      <c r="AH75" s="147">
        <f t="shared" si="13"/>
        <v>0</v>
      </c>
      <c r="AI75" s="147">
        <f t="shared" si="13"/>
        <v>0</v>
      </c>
      <c r="AJ75" s="147">
        <f t="shared" si="13"/>
        <v>0</v>
      </c>
      <c r="AK75" s="147"/>
      <c r="AL75" s="147"/>
      <c r="AM75" s="12"/>
    </row>
    <row r="76" spans="1:39" ht="33" customHeight="1">
      <c r="B76" s="267"/>
      <c r="C76" s="348" t="s">
        <v>440</v>
      </c>
      <c r="D76" s="349"/>
      <c r="E76" s="350"/>
      <c r="F76" s="164">
        <f>F54+F61+F75</f>
        <v>635115.30999999994</v>
      </c>
      <c r="G76" s="164">
        <f>G54+G61+G75</f>
        <v>475106.22</v>
      </c>
      <c r="H76" s="164">
        <f t="shared" si="6"/>
        <v>160009.08999999997</v>
      </c>
      <c r="I76" s="164">
        <f t="shared" ref="I76:S76" si="14">I54+I61+I75</f>
        <v>1600</v>
      </c>
      <c r="J76" s="305">
        <f t="shared" si="14"/>
        <v>6</v>
      </c>
      <c r="K76" s="305">
        <f t="shared" si="14"/>
        <v>0</v>
      </c>
      <c r="L76" s="165">
        <f t="shared" si="14"/>
        <v>12900</v>
      </c>
      <c r="M76" s="305"/>
      <c r="N76" s="305"/>
      <c r="O76" s="305"/>
      <c r="P76" s="164">
        <f t="shared" ref="P76:Q76" si="15">P54+P61+P75</f>
        <v>267.82</v>
      </c>
      <c r="Q76" s="164">
        <f t="shared" si="15"/>
        <v>773.17000000000007</v>
      </c>
      <c r="R76" s="305">
        <f t="shared" si="14"/>
        <v>773.17000000000007</v>
      </c>
      <c r="S76" s="305">
        <f t="shared" si="14"/>
        <v>545.09</v>
      </c>
      <c r="T76" s="305"/>
      <c r="U76" s="151">
        <f t="shared" ref="U76:AJ76" si="16">U54+U61+U75</f>
        <v>0</v>
      </c>
      <c r="V76" s="305">
        <f t="shared" si="16"/>
        <v>0</v>
      </c>
      <c r="W76" s="305">
        <f t="shared" si="16"/>
        <v>0</v>
      </c>
      <c r="X76" s="305" t="e">
        <f t="shared" si="16"/>
        <v>#VALUE!</v>
      </c>
      <c r="Y76" s="305">
        <f t="shared" si="16"/>
        <v>321418</v>
      </c>
      <c r="Z76" s="305">
        <f t="shared" si="16"/>
        <v>0</v>
      </c>
      <c r="AA76" s="305">
        <f t="shared" si="16"/>
        <v>0</v>
      </c>
      <c r="AB76" s="150">
        <f t="shared" si="16"/>
        <v>394.4</v>
      </c>
      <c r="AC76" s="150">
        <f t="shared" si="16"/>
        <v>954.24</v>
      </c>
      <c r="AD76" s="305">
        <f t="shared" si="16"/>
        <v>772.3</v>
      </c>
      <c r="AE76" s="305">
        <f t="shared" si="16"/>
        <v>0</v>
      </c>
      <c r="AF76" s="305">
        <f t="shared" si="16"/>
        <v>0</v>
      </c>
      <c r="AG76" s="305">
        <f t="shared" si="16"/>
        <v>0</v>
      </c>
      <c r="AH76" s="305">
        <f t="shared" si="16"/>
        <v>0</v>
      </c>
      <c r="AI76" s="305">
        <f t="shared" si="16"/>
        <v>0</v>
      </c>
      <c r="AJ76" s="305">
        <f t="shared" si="16"/>
        <v>0</v>
      </c>
      <c r="AK76" s="305"/>
      <c r="AL76" s="305"/>
      <c r="AM76" s="12"/>
    </row>
    <row r="77" spans="1:39" ht="31.5" hidden="1" customHeight="1">
      <c r="A77" s="139"/>
      <c r="B77" s="217"/>
      <c r="C77" s="334" t="s">
        <v>437</v>
      </c>
      <c r="D77" s="335"/>
      <c r="E77" s="336"/>
      <c r="F77" s="168">
        <f>SUM(F76,F36)</f>
        <v>1944267.31</v>
      </c>
      <c r="G77" s="168">
        <f t="shared" ref="G77:S77" si="17">SUM(G76,G36)</f>
        <v>514005.31</v>
      </c>
      <c r="H77" s="168">
        <f t="shared" si="17"/>
        <v>1430262</v>
      </c>
      <c r="I77" s="168">
        <f t="shared" si="17"/>
        <v>18700</v>
      </c>
      <c r="J77" s="168">
        <f t="shared" si="17"/>
        <v>26</v>
      </c>
      <c r="K77" s="168">
        <f t="shared" si="17"/>
        <v>0</v>
      </c>
      <c r="L77" s="168">
        <f t="shared" si="17"/>
        <v>32200</v>
      </c>
      <c r="M77" s="168"/>
      <c r="N77" s="168"/>
      <c r="O77" s="168"/>
      <c r="P77" s="168"/>
      <c r="Q77" s="168"/>
      <c r="R77" s="168">
        <f t="shared" si="17"/>
        <v>4127.415</v>
      </c>
      <c r="S77" s="168">
        <f t="shared" si="17"/>
        <v>2843.8250000000003</v>
      </c>
      <c r="T77" s="217"/>
      <c r="U77" s="255"/>
      <c r="V77" s="97"/>
      <c r="W77" s="308"/>
      <c r="X77" s="308"/>
      <c r="Y77" s="308"/>
      <c r="Z77" s="308"/>
      <c r="AA77" s="308"/>
      <c r="AB77" s="308"/>
      <c r="AC77" s="141"/>
    </row>
    <row r="78" spans="1:39" ht="24.75" customHeight="1">
      <c r="B78" s="155"/>
      <c r="C78" s="155"/>
      <c r="D78" s="155"/>
      <c r="E78" s="268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269"/>
    </row>
    <row r="80" spans="1:39" ht="33" customHeight="1"/>
    <row r="81" ht="33" customHeight="1"/>
    <row r="82" ht="33" customHeight="1"/>
    <row r="83" ht="33" customHeight="1"/>
    <row r="84" ht="33" customHeight="1"/>
    <row r="85" ht="33" customHeight="1"/>
    <row r="86" ht="33" customHeight="1"/>
    <row r="87" ht="33" customHeight="1"/>
    <row r="88" ht="33" customHeight="1"/>
    <row r="89" ht="33" customHeight="1"/>
    <row r="90" ht="33" customHeight="1"/>
    <row r="91" ht="33" customHeight="1"/>
    <row r="92" ht="33" customHeight="1"/>
    <row r="93" ht="33" customHeight="1"/>
    <row r="94" ht="33" customHeight="1"/>
    <row r="95" ht="33" customHeight="1"/>
    <row r="96" ht="33" customHeight="1"/>
  </sheetData>
  <mergeCells count="102">
    <mergeCell ref="Q2:Q3"/>
    <mergeCell ref="P2:P3"/>
    <mergeCell ref="C77:E77"/>
    <mergeCell ref="B35:C35"/>
    <mergeCell ref="B36:C36"/>
    <mergeCell ref="B37:U37"/>
    <mergeCell ref="B38:B53"/>
    <mergeCell ref="B55:B60"/>
    <mergeCell ref="B62:B74"/>
    <mergeCell ref="H23:H24"/>
    <mergeCell ref="N23:N24"/>
    <mergeCell ref="R23:R24"/>
    <mergeCell ref="S23:S24"/>
    <mergeCell ref="C76:E76"/>
    <mergeCell ref="R14:R16"/>
    <mergeCell ref="S14:S16"/>
    <mergeCell ref="T14:T16"/>
    <mergeCell ref="B20:B34"/>
    <mergeCell ref="D20:D21"/>
    <mergeCell ref="E20:E21"/>
    <mergeCell ref="F20:F21"/>
    <mergeCell ref="G20:G21"/>
    <mergeCell ref="H20:H21"/>
    <mergeCell ref="N20:N21"/>
    <mergeCell ref="R20:R21"/>
    <mergeCell ref="S20:S21"/>
    <mergeCell ref="D23:D24"/>
    <mergeCell ref="E23:E24"/>
    <mergeCell ref="F23:F24"/>
    <mergeCell ref="G23:G24"/>
    <mergeCell ref="S11:S12"/>
    <mergeCell ref="B14:B18"/>
    <mergeCell ref="D14:D16"/>
    <mergeCell ref="E14:E16"/>
    <mergeCell ref="F14:F16"/>
    <mergeCell ref="G14:G16"/>
    <mergeCell ref="H14:H16"/>
    <mergeCell ref="I14:I16"/>
    <mergeCell ref="J14:J16"/>
    <mergeCell ref="N14:N16"/>
    <mergeCell ref="B8:B12"/>
    <mergeCell ref="C8:C9"/>
    <mergeCell ref="D8:D9"/>
    <mergeCell ref="E8:E9"/>
    <mergeCell ref="F8:F9"/>
    <mergeCell ref="G8:G9"/>
    <mergeCell ref="T8:T9"/>
    <mergeCell ref="D11:D12"/>
    <mergeCell ref="E11:E12"/>
    <mergeCell ref="F11:F12"/>
    <mergeCell ref="G11:G12"/>
    <mergeCell ref="H11:H12"/>
    <mergeCell ref="I11:I12"/>
    <mergeCell ref="J11:J12"/>
    <mergeCell ref="N11:N12"/>
    <mergeCell ref="R11:R12"/>
    <mergeCell ref="H8:H9"/>
    <mergeCell ref="I8:I9"/>
    <mergeCell ref="J8:J9"/>
    <mergeCell ref="N8:N9"/>
    <mergeCell ref="R8:R9"/>
    <mergeCell ref="S8:S9"/>
    <mergeCell ref="T5:T7"/>
    <mergeCell ref="B5:B7"/>
    <mergeCell ref="D5:D7"/>
    <mergeCell ref="E5:E7"/>
    <mergeCell ref="F5:F7"/>
    <mergeCell ref="G5:G7"/>
    <mergeCell ref="H5:H7"/>
    <mergeCell ref="I5:I7"/>
    <mergeCell ref="J5:J7"/>
    <mergeCell ref="N5:N7"/>
    <mergeCell ref="R5:R7"/>
    <mergeCell ref="S5:S7"/>
    <mergeCell ref="AC2:AC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O2:O3"/>
    <mergeCell ref="B1:U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rintOptions horizontalCentered="1"/>
  <pageMargins left="0.19685039370078741" right="0.31496062992125984" top="0.74803149606299213" bottom="0.55118110236220474" header="0.31496062992125984" footer="0.31496062992125984"/>
  <pageSetup paperSize="9" scale="41" fitToHeight="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5"/>
  <sheetViews>
    <sheetView zoomScale="90" zoomScaleNormal="90" workbookViewId="0">
      <selection activeCell="U15" sqref="U15"/>
    </sheetView>
  </sheetViews>
  <sheetFormatPr defaultRowHeight="15"/>
  <cols>
    <col min="1" max="1" width="13.7109375" customWidth="1"/>
    <col min="2" max="2" width="9.28515625" customWidth="1"/>
    <col min="3" max="3" width="6" customWidth="1"/>
    <col min="4" max="4" width="8.42578125" customWidth="1"/>
    <col min="5" max="5" width="13.7109375" customWidth="1"/>
    <col min="6" max="6" width="12.85546875" customWidth="1"/>
    <col min="7" max="7" width="10.85546875" customWidth="1"/>
    <col min="8" max="8" width="11" customWidth="1"/>
    <col min="9" max="9" width="9.7109375" customWidth="1"/>
    <col min="10" max="10" width="10.28515625" customWidth="1"/>
    <col min="11" max="11" width="9" customWidth="1"/>
    <col min="12" max="12" width="10.42578125" customWidth="1"/>
    <col min="13" max="13" width="6.7109375" customWidth="1"/>
    <col min="14" max="14" width="13.7109375" customWidth="1"/>
    <col min="15" max="15" width="15.7109375" customWidth="1"/>
    <col min="16" max="16" width="14.7109375" customWidth="1"/>
    <col min="17" max="17" width="13.85546875" hidden="1" customWidth="1"/>
    <col min="18" max="18" width="12.42578125" hidden="1" customWidth="1"/>
    <col min="19" max="19" width="26" customWidth="1"/>
    <col min="20" max="20" width="9.140625" customWidth="1"/>
  </cols>
  <sheetData>
    <row r="1" spans="1:19" ht="20.25" customHeight="1">
      <c r="A1" s="449" t="s">
        <v>497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</row>
    <row r="2" spans="1:19" ht="14.25" customHeight="1">
      <c r="A2" s="446" t="s">
        <v>452</v>
      </c>
      <c r="B2" s="426" t="s">
        <v>2</v>
      </c>
      <c r="C2" s="424" t="s">
        <v>249</v>
      </c>
      <c r="D2" s="426" t="s">
        <v>3</v>
      </c>
      <c r="E2" s="424" t="s">
        <v>137</v>
      </c>
      <c r="F2" s="424" t="s">
        <v>245</v>
      </c>
      <c r="G2" s="424" t="s">
        <v>139</v>
      </c>
      <c r="H2" s="424" t="s">
        <v>430</v>
      </c>
      <c r="I2" s="424" t="s">
        <v>4</v>
      </c>
      <c r="J2" s="426" t="s">
        <v>5</v>
      </c>
      <c r="K2" s="426"/>
      <c r="L2" s="426"/>
      <c r="M2" s="426"/>
      <c r="N2" s="426"/>
      <c r="O2" s="424" t="s">
        <v>515</v>
      </c>
      <c r="P2" s="424" t="s">
        <v>499</v>
      </c>
      <c r="Q2" s="424" t="s">
        <v>500</v>
      </c>
      <c r="R2" s="424" t="s">
        <v>216</v>
      </c>
      <c r="S2" s="426" t="s">
        <v>8</v>
      </c>
    </row>
    <row r="3" spans="1:19" ht="93.75" customHeight="1">
      <c r="A3" s="447"/>
      <c r="B3" s="426"/>
      <c r="C3" s="424"/>
      <c r="D3" s="426"/>
      <c r="E3" s="424"/>
      <c r="F3" s="424"/>
      <c r="G3" s="424"/>
      <c r="H3" s="424"/>
      <c r="I3" s="424"/>
      <c r="J3" s="10" t="s">
        <v>141</v>
      </c>
      <c r="K3" s="10" t="s">
        <v>10</v>
      </c>
      <c r="L3" s="10" t="s">
        <v>11</v>
      </c>
      <c r="M3" s="10" t="s">
        <v>143</v>
      </c>
      <c r="N3" s="10" t="s">
        <v>7</v>
      </c>
      <c r="O3" s="425"/>
      <c r="P3" s="425"/>
      <c r="Q3" s="425"/>
      <c r="R3" s="424"/>
      <c r="S3" s="426"/>
    </row>
    <row r="4" spans="1:19" ht="19.5" customHeight="1">
      <c r="A4" s="219">
        <v>1</v>
      </c>
      <c r="B4" s="219">
        <v>2</v>
      </c>
      <c r="C4" s="218">
        <v>3</v>
      </c>
      <c r="D4" s="219">
        <v>4</v>
      </c>
      <c r="E4" s="219">
        <v>5</v>
      </c>
      <c r="F4" s="218">
        <v>6</v>
      </c>
      <c r="G4" s="219">
        <v>7</v>
      </c>
      <c r="H4" s="218">
        <v>8</v>
      </c>
      <c r="I4" s="220">
        <v>9</v>
      </c>
      <c r="J4" s="218">
        <v>10</v>
      </c>
      <c r="K4" s="219">
        <v>11</v>
      </c>
      <c r="L4" s="10">
        <v>12</v>
      </c>
      <c r="M4" s="9">
        <v>13</v>
      </c>
      <c r="N4" s="10">
        <v>14</v>
      </c>
      <c r="O4" s="315"/>
      <c r="P4" s="241">
        <v>15</v>
      </c>
      <c r="Q4" s="241">
        <v>16</v>
      </c>
      <c r="R4" s="10">
        <v>16</v>
      </c>
      <c r="S4" s="9">
        <v>17</v>
      </c>
    </row>
    <row r="5" spans="1:19" ht="44.25" customHeight="1">
      <c r="A5" s="448" t="s">
        <v>224</v>
      </c>
      <c r="B5" s="448" t="s">
        <v>225</v>
      </c>
      <c r="C5" s="448">
        <v>1</v>
      </c>
      <c r="D5" s="448" t="s">
        <v>225</v>
      </c>
      <c r="E5" s="457">
        <v>63555</v>
      </c>
      <c r="F5" s="455">
        <f>44519.3+381.1+741.72+896.94+944.11+936.32</f>
        <v>48419.490000000005</v>
      </c>
      <c r="G5" s="457">
        <f>E5-F5</f>
        <v>15135.509999999995</v>
      </c>
      <c r="H5" s="448">
        <v>1300</v>
      </c>
      <c r="I5" s="450">
        <v>2</v>
      </c>
      <c r="J5" s="11" t="s">
        <v>15</v>
      </c>
      <c r="K5" s="11">
        <v>650</v>
      </c>
      <c r="L5" s="458" t="s">
        <v>227</v>
      </c>
      <c r="M5" s="458">
        <v>20</v>
      </c>
      <c r="N5" s="458" t="s">
        <v>205</v>
      </c>
      <c r="O5" s="450">
        <v>936.32</v>
      </c>
      <c r="P5" s="450">
        <v>944.11</v>
      </c>
      <c r="Q5" s="450">
        <v>896.94</v>
      </c>
      <c r="R5" s="450"/>
      <c r="S5" s="199" t="s">
        <v>480</v>
      </c>
    </row>
    <row r="6" spans="1:19" ht="34.9" customHeight="1">
      <c r="A6" s="448"/>
      <c r="B6" s="448"/>
      <c r="C6" s="448"/>
      <c r="D6" s="448"/>
      <c r="E6" s="457"/>
      <c r="F6" s="456"/>
      <c r="G6" s="457"/>
      <c r="H6" s="448"/>
      <c r="I6" s="451"/>
      <c r="J6" s="11" t="s">
        <v>16</v>
      </c>
      <c r="K6" s="11">
        <v>650</v>
      </c>
      <c r="L6" s="459"/>
      <c r="M6" s="459"/>
      <c r="N6" s="459"/>
      <c r="O6" s="451"/>
      <c r="P6" s="451"/>
      <c r="Q6" s="451"/>
      <c r="R6" s="451"/>
      <c r="S6" s="199" t="s">
        <v>481</v>
      </c>
    </row>
    <row r="7" spans="1:19" ht="19.5" customHeight="1">
      <c r="A7" s="452" t="s">
        <v>25</v>
      </c>
      <c r="B7" s="453"/>
      <c r="C7" s="453"/>
      <c r="D7" s="454"/>
      <c r="E7" s="214">
        <f>E5</f>
        <v>63555</v>
      </c>
      <c r="F7" s="214">
        <f>F5</f>
        <v>48419.490000000005</v>
      </c>
      <c r="G7" s="214">
        <f>G5</f>
        <v>15135.509999999995</v>
      </c>
      <c r="H7" s="49">
        <f>H5</f>
        <v>1300</v>
      </c>
      <c r="I7" s="106">
        <f>I5</f>
        <v>2</v>
      </c>
      <c r="J7" s="49"/>
      <c r="K7" s="49"/>
      <c r="L7" s="48"/>
      <c r="M7" s="48"/>
      <c r="N7" s="49"/>
      <c r="O7" s="106">
        <f>O5</f>
        <v>936.32</v>
      </c>
      <c r="P7" s="106">
        <f>P5</f>
        <v>944.11</v>
      </c>
      <c r="Q7" s="106">
        <f>Q5</f>
        <v>896.94</v>
      </c>
      <c r="R7" s="106"/>
      <c r="S7" s="47"/>
    </row>
    <row r="8" spans="1:19">
      <c r="A8" s="221"/>
      <c r="B8" s="221"/>
      <c r="C8" s="221"/>
      <c r="D8" s="221"/>
      <c r="E8" s="221"/>
      <c r="F8" s="221"/>
      <c r="G8" s="221"/>
      <c r="H8" s="221"/>
      <c r="I8" s="223"/>
      <c r="J8" s="221"/>
      <c r="K8" s="221"/>
    </row>
    <row r="9" spans="1:19">
      <c r="A9" s="221"/>
      <c r="B9" s="221"/>
      <c r="C9" s="221"/>
      <c r="D9" s="221"/>
      <c r="E9" s="221"/>
      <c r="F9" s="221"/>
      <c r="G9" s="221"/>
      <c r="H9" s="221"/>
      <c r="I9" s="221"/>
      <c r="J9" s="221"/>
      <c r="K9" s="221"/>
    </row>
    <row r="10" spans="1:19">
      <c r="A10" s="221"/>
      <c r="B10" s="221"/>
      <c r="C10" s="221"/>
      <c r="D10" s="221"/>
      <c r="E10" s="221"/>
      <c r="F10" s="221"/>
      <c r="G10" s="221"/>
      <c r="H10" s="221"/>
      <c r="I10" s="221"/>
      <c r="J10" s="221"/>
      <c r="K10" s="221"/>
    </row>
    <row r="11" spans="1:19">
      <c r="A11" s="221"/>
      <c r="B11" s="221"/>
      <c r="C11" s="221"/>
      <c r="D11" s="221"/>
      <c r="E11" s="221"/>
      <c r="F11" s="221"/>
      <c r="G11" s="221"/>
      <c r="H11" s="221"/>
      <c r="I11" s="221"/>
      <c r="J11" s="221"/>
      <c r="K11" s="221"/>
    </row>
    <row r="12" spans="1:19">
      <c r="A12" s="221"/>
      <c r="B12" s="221"/>
      <c r="C12" s="221"/>
      <c r="D12" s="221"/>
      <c r="E12" s="221"/>
      <c r="F12" s="221"/>
      <c r="G12" s="221"/>
      <c r="H12" s="221"/>
      <c r="I12" s="221"/>
      <c r="J12" s="221"/>
      <c r="K12" s="221"/>
    </row>
    <row r="13" spans="1:19">
      <c r="A13" s="221"/>
      <c r="B13" s="221"/>
      <c r="C13" s="221"/>
      <c r="D13" s="221"/>
      <c r="E13" s="221"/>
      <c r="F13" s="221"/>
      <c r="G13" s="221"/>
      <c r="H13" s="221"/>
      <c r="I13" s="221"/>
      <c r="J13" s="221"/>
      <c r="K13" s="221"/>
    </row>
    <row r="14" spans="1:19">
      <c r="A14" s="221"/>
      <c r="B14" s="221"/>
      <c r="C14" s="221"/>
      <c r="D14" s="221"/>
      <c r="E14" s="221"/>
      <c r="F14" s="221"/>
      <c r="G14" s="221"/>
      <c r="H14" s="221"/>
      <c r="I14" s="221"/>
      <c r="J14" s="221"/>
      <c r="K14" s="221"/>
    </row>
    <row r="15" spans="1:19">
      <c r="A15" s="221"/>
      <c r="B15" s="221"/>
      <c r="C15" s="221"/>
      <c r="D15" s="221"/>
      <c r="E15" s="221"/>
      <c r="F15" s="221"/>
      <c r="G15" s="221"/>
      <c r="H15" s="221"/>
      <c r="I15" s="221"/>
      <c r="J15" s="221"/>
      <c r="K15" s="221"/>
    </row>
  </sheetData>
  <mergeCells count="33">
    <mergeCell ref="O5:O6"/>
    <mergeCell ref="A1:S1"/>
    <mergeCell ref="Q2:Q3"/>
    <mergeCell ref="Q5:Q6"/>
    <mergeCell ref="A7:D7"/>
    <mergeCell ref="R5:R6"/>
    <mergeCell ref="F5:F6"/>
    <mergeCell ref="G5:G6"/>
    <mergeCell ref="H5:H6"/>
    <mergeCell ref="I5:I6"/>
    <mergeCell ref="L5:L6"/>
    <mergeCell ref="E5:E6"/>
    <mergeCell ref="M5:M6"/>
    <mergeCell ref="N5:N6"/>
    <mergeCell ref="P5:P6"/>
    <mergeCell ref="A2:A3"/>
    <mergeCell ref="A5:A6"/>
    <mergeCell ref="B5:B6"/>
    <mergeCell ref="C5:C6"/>
    <mergeCell ref="D5:D6"/>
    <mergeCell ref="R2:R3"/>
    <mergeCell ref="S2:S3"/>
    <mergeCell ref="G2:G3"/>
    <mergeCell ref="B2:B3"/>
    <mergeCell ref="C2:C3"/>
    <mergeCell ref="D2:D3"/>
    <mergeCell ref="E2:E3"/>
    <mergeCell ref="F2:F3"/>
    <mergeCell ref="H2:H3"/>
    <mergeCell ref="I2:I3"/>
    <mergeCell ref="J2:N2"/>
    <mergeCell ref="P2:P3"/>
    <mergeCell ref="O2:O3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64" fitToHeight="2" orientation="landscape" r:id="rId1"/>
  <colBreaks count="1" manualBreakCount="1">
    <brk id="12" min="1" max="6" man="1"/>
  </colBreak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4"/>
  <sheetViews>
    <sheetView zoomScaleNormal="100" workbookViewId="0">
      <selection activeCell="A4" sqref="A4"/>
    </sheetView>
  </sheetViews>
  <sheetFormatPr defaultRowHeight="15"/>
  <cols>
    <col min="1" max="1" width="14.28515625" customWidth="1"/>
    <col min="2" max="2" width="13.85546875" customWidth="1"/>
    <col min="3" max="3" width="12.28515625" customWidth="1"/>
    <col min="4" max="4" width="12" hidden="1" customWidth="1"/>
    <col min="5" max="5" width="12.28515625" customWidth="1"/>
    <col min="6" max="6" width="14.85546875" customWidth="1"/>
    <col min="7" max="7" width="11.85546875" hidden="1" customWidth="1"/>
    <col min="8" max="8" width="11.28515625" customWidth="1"/>
    <col min="9" max="9" width="13.85546875" customWidth="1"/>
    <col min="10" max="10" width="12.7109375" customWidth="1"/>
    <col min="11" max="11" width="15.7109375" hidden="1" customWidth="1"/>
    <col min="12" max="12" width="15.5703125" hidden="1" customWidth="1"/>
    <col min="13" max="19" width="0" hidden="1" customWidth="1"/>
    <col min="20" max="22" width="13.85546875" customWidth="1"/>
    <col min="23" max="28" width="13.85546875" hidden="1" customWidth="1"/>
    <col min="29" max="29" width="28.7109375" customWidth="1"/>
  </cols>
  <sheetData>
    <row r="1" spans="1:29" ht="14.25" customHeight="1">
      <c r="A1" s="426" t="s">
        <v>3</v>
      </c>
      <c r="B1" s="446" t="s">
        <v>254</v>
      </c>
      <c r="C1" s="446" t="s">
        <v>245</v>
      </c>
      <c r="D1" s="446" t="s">
        <v>268</v>
      </c>
      <c r="E1" s="446" t="s">
        <v>255</v>
      </c>
      <c r="F1" s="446" t="s">
        <v>250</v>
      </c>
      <c r="G1" s="424" t="s">
        <v>4</v>
      </c>
      <c r="H1" s="463" t="s">
        <v>5</v>
      </c>
      <c r="I1" s="464"/>
      <c r="J1" s="465"/>
      <c r="K1" s="426" t="s">
        <v>8</v>
      </c>
      <c r="L1" s="424" t="s">
        <v>256</v>
      </c>
      <c r="T1" s="424" t="s">
        <v>260</v>
      </c>
      <c r="U1" s="424" t="s">
        <v>261</v>
      </c>
      <c r="V1" s="424" t="s">
        <v>262</v>
      </c>
      <c r="W1" s="424" t="s">
        <v>263</v>
      </c>
      <c r="X1" s="424" t="s">
        <v>264</v>
      </c>
      <c r="Y1" s="424" t="s">
        <v>265</v>
      </c>
      <c r="Z1" s="424" t="s">
        <v>266</v>
      </c>
      <c r="AA1" s="424" t="s">
        <v>296</v>
      </c>
      <c r="AB1" s="424" t="s">
        <v>297</v>
      </c>
      <c r="AC1" s="424" t="s">
        <v>267</v>
      </c>
    </row>
    <row r="2" spans="1:29" ht="84.75" customHeight="1">
      <c r="A2" s="426"/>
      <c r="B2" s="447"/>
      <c r="C2" s="447"/>
      <c r="D2" s="447"/>
      <c r="E2" s="447"/>
      <c r="F2" s="447"/>
      <c r="G2" s="424"/>
      <c r="H2" s="10" t="s">
        <v>141</v>
      </c>
      <c r="I2" s="10" t="s">
        <v>10</v>
      </c>
      <c r="J2" s="10" t="s">
        <v>142</v>
      </c>
      <c r="K2" s="426"/>
      <c r="L2" s="424"/>
      <c r="T2" s="424"/>
      <c r="U2" s="424"/>
      <c r="V2" s="424"/>
      <c r="W2" s="424"/>
      <c r="X2" s="424"/>
      <c r="Y2" s="424"/>
      <c r="Z2" s="424"/>
      <c r="AA2" s="424"/>
      <c r="AB2" s="424"/>
      <c r="AC2" s="424"/>
    </row>
    <row r="3" spans="1:29" s="1" customFormat="1" ht="28.5" customHeight="1">
      <c r="A3" s="460" t="s">
        <v>224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461"/>
      <c r="S3" s="461"/>
      <c r="T3" s="461"/>
      <c r="U3" s="461"/>
      <c r="V3" s="461"/>
      <c r="W3" s="461"/>
      <c r="X3" s="461"/>
      <c r="Y3" s="461"/>
      <c r="Z3" s="461"/>
      <c r="AA3" s="461"/>
      <c r="AB3" s="461"/>
      <c r="AC3" s="462"/>
    </row>
    <row r="4" spans="1:29" ht="44.25" customHeight="1">
      <c r="A4" s="11" t="s">
        <v>225</v>
      </c>
      <c r="B4" s="11">
        <v>63550</v>
      </c>
      <c r="C4" s="11">
        <f>D4+AB4</f>
        <v>41388.449999999997</v>
      </c>
      <c r="D4" s="11">
        <v>39685.25</v>
      </c>
      <c r="E4" s="11">
        <f>B4-C4</f>
        <v>22161.550000000003</v>
      </c>
      <c r="F4" s="11">
        <v>1000</v>
      </c>
      <c r="G4" s="11">
        <v>2</v>
      </c>
      <c r="H4" s="11" t="s">
        <v>226</v>
      </c>
      <c r="I4" s="11">
        <v>1000</v>
      </c>
      <c r="J4" s="11" t="s">
        <v>227</v>
      </c>
      <c r="K4" s="11"/>
      <c r="L4" s="11">
        <v>905.48</v>
      </c>
      <c r="T4" s="11">
        <v>0</v>
      </c>
      <c r="U4" s="11">
        <v>864.15</v>
      </c>
      <c r="V4" s="11">
        <v>839.05</v>
      </c>
      <c r="W4" s="11"/>
      <c r="X4" s="11"/>
      <c r="Y4" s="11"/>
      <c r="Z4" s="11"/>
      <c r="AA4" s="11"/>
      <c r="AB4" s="11">
        <f>SUM(T4:AA4)</f>
        <v>1703.1999999999998</v>
      </c>
      <c r="AC4" s="14"/>
    </row>
  </sheetData>
  <mergeCells count="21">
    <mergeCell ref="T1:T2"/>
    <mergeCell ref="U1:U2"/>
    <mergeCell ref="V1:V2"/>
    <mergeCell ref="W1:W2"/>
    <mergeCell ref="X1:X2"/>
    <mergeCell ref="Y1:Y2"/>
    <mergeCell ref="AA1:AA2"/>
    <mergeCell ref="AB1:AB2"/>
    <mergeCell ref="AC1:AC2"/>
    <mergeCell ref="A3:AC3"/>
    <mergeCell ref="Z1:Z2"/>
    <mergeCell ref="L1:L2"/>
    <mergeCell ref="G1:G2"/>
    <mergeCell ref="H1:J1"/>
    <mergeCell ref="K1:K2"/>
    <mergeCell ref="A1:A2"/>
    <mergeCell ref="B1:B2"/>
    <mergeCell ref="C1:C2"/>
    <mergeCell ref="E1:E2"/>
    <mergeCell ref="F1:F2"/>
    <mergeCell ref="D1:D2"/>
  </mergeCells>
  <pageMargins left="0.7" right="0.7" top="0.75" bottom="0.75" header="0.3" footer="0.3"/>
  <pageSetup paperSize="9" scale="74" orientation="landscape" r:id="rId1"/>
  <colBreaks count="1" manualBreakCount="1">
    <brk id="12" max="3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R21"/>
  <sheetViews>
    <sheetView tabSelected="1" zoomScale="60" zoomScaleNormal="60" workbookViewId="0">
      <selection activeCell="I30" sqref="I30"/>
    </sheetView>
  </sheetViews>
  <sheetFormatPr defaultRowHeight="15"/>
  <cols>
    <col min="1" max="1" width="6.85546875" customWidth="1"/>
    <col min="2" max="2" width="7.42578125" customWidth="1"/>
    <col min="3" max="3" width="49.140625" customWidth="1"/>
    <col min="4" max="4" width="10.5703125" customWidth="1"/>
    <col min="5" max="5" width="19.85546875" customWidth="1"/>
    <col min="6" max="6" width="20.7109375" customWidth="1"/>
    <col min="7" max="7" width="19.7109375" customWidth="1"/>
    <col min="8" max="8" width="15" bestFit="1" customWidth="1"/>
    <col min="9" max="9" width="25.7109375" customWidth="1"/>
    <col min="10" max="10" width="20.28515625" style="44" customWidth="1"/>
    <col min="11" max="12" width="20.85546875" customWidth="1"/>
    <col min="13" max="13" width="19.140625" customWidth="1"/>
    <col min="14" max="14" width="19.140625" hidden="1" customWidth="1"/>
  </cols>
  <sheetData>
    <row r="1" spans="1:18" ht="30.75" customHeight="1">
      <c r="A1" s="318" t="s">
        <v>521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</row>
    <row r="2" spans="1:18" ht="145.5" customHeight="1">
      <c r="A2" s="321" t="s">
        <v>218</v>
      </c>
      <c r="B2" s="321"/>
      <c r="C2" s="123" t="s">
        <v>219</v>
      </c>
      <c r="D2" s="123" t="s">
        <v>299</v>
      </c>
      <c r="E2" s="123" t="s">
        <v>220</v>
      </c>
      <c r="F2" s="299" t="s">
        <v>514</v>
      </c>
      <c r="G2" s="177" t="s">
        <v>222</v>
      </c>
      <c r="H2" s="123" t="s">
        <v>223</v>
      </c>
      <c r="I2" s="123" t="s">
        <v>450</v>
      </c>
      <c r="J2" s="123" t="s">
        <v>445</v>
      </c>
      <c r="K2" s="123" t="s">
        <v>449</v>
      </c>
      <c r="L2" s="309" t="s">
        <v>516</v>
      </c>
      <c r="M2" s="233" t="s">
        <v>495</v>
      </c>
      <c r="N2" s="233" t="s">
        <v>496</v>
      </c>
    </row>
    <row r="3" spans="1:18" ht="21.75" customHeight="1">
      <c r="A3" s="322">
        <v>1</v>
      </c>
      <c r="B3" s="322"/>
      <c r="C3" s="179">
        <v>2</v>
      </c>
      <c r="D3" s="179"/>
      <c r="E3" s="179">
        <v>3</v>
      </c>
      <c r="F3" s="179">
        <v>4</v>
      </c>
      <c r="G3" s="179">
        <v>5</v>
      </c>
      <c r="H3" s="179">
        <v>6</v>
      </c>
      <c r="I3" s="179">
        <v>7</v>
      </c>
      <c r="J3" s="179">
        <v>8</v>
      </c>
      <c r="K3" s="179">
        <v>9</v>
      </c>
      <c r="L3" s="310">
        <v>10</v>
      </c>
      <c r="M3" s="179">
        <v>11</v>
      </c>
      <c r="N3" s="234">
        <v>11</v>
      </c>
    </row>
    <row r="4" spans="1:18" ht="36.75" customHeight="1">
      <c r="A4" s="323">
        <v>1</v>
      </c>
      <c r="B4" s="189" t="s">
        <v>484</v>
      </c>
      <c r="C4" s="175" t="s">
        <v>190</v>
      </c>
      <c r="D4" s="175">
        <v>20</v>
      </c>
      <c r="E4" s="180">
        <f>' Tharuni Associates'!F36</f>
        <v>1309152</v>
      </c>
      <c r="F4" s="180">
        <f>' Tharuni Associates'!G36</f>
        <v>42465.345000000001</v>
      </c>
      <c r="G4" s="180">
        <f>' Tharuni Associates'!H36</f>
        <v>1266686.655</v>
      </c>
      <c r="H4" s="191">
        <f t="shared" ref="H4:H12" si="0">F4/E4</f>
        <v>3.2437291468064823E-2</v>
      </c>
      <c r="I4" s="180">
        <f t="shared" ref="I4:I11" si="1">E4/144</f>
        <v>9091.3333333333339</v>
      </c>
      <c r="J4" s="175">
        <v>9</v>
      </c>
      <c r="K4" s="180">
        <v>8300</v>
      </c>
      <c r="L4" s="229">
        <f>' Tharuni Associates'!P36</f>
        <v>3566.2550000000001</v>
      </c>
      <c r="M4" s="229">
        <f>' Tharuni Associates'!Q36</f>
        <v>3354.2449999999999</v>
      </c>
      <c r="N4" s="229">
        <f>' Tharuni Associates'!R36</f>
        <v>2298.7350000000001</v>
      </c>
    </row>
    <row r="5" spans="1:18" ht="36.75" customHeight="1">
      <c r="A5" s="324"/>
      <c r="B5" s="189" t="s">
        <v>485</v>
      </c>
      <c r="C5" s="175" t="s">
        <v>494</v>
      </c>
      <c r="D5" s="175">
        <v>11</v>
      </c>
      <c r="E5" s="180">
        <f>'Coastline (ELURU Cluster)'!F19</f>
        <v>239536</v>
      </c>
      <c r="F5" s="180">
        <f>'Coastline (ELURU Cluster)'!G19</f>
        <v>0</v>
      </c>
      <c r="G5" s="180">
        <f>'Coastline (ELURU Cluster)'!H19</f>
        <v>239536</v>
      </c>
      <c r="H5" s="191">
        <f t="shared" si="0"/>
        <v>0</v>
      </c>
      <c r="I5" s="180">
        <f t="shared" si="1"/>
        <v>1663.4444444444443</v>
      </c>
      <c r="J5" s="175">
        <v>0</v>
      </c>
      <c r="K5" s="180">
        <v>0</v>
      </c>
      <c r="L5" s="229">
        <f>'Coastline (ELURU Cluster)'!O19</f>
        <v>0</v>
      </c>
      <c r="M5" s="229">
        <f>'Coastline (ELURU Cluster)'!Q19</f>
        <v>0</v>
      </c>
      <c r="N5" s="229">
        <f>'Coastline (ELURU Cluster)'!S19</f>
        <v>0</v>
      </c>
    </row>
    <row r="6" spans="1:18" ht="36.75" customHeight="1">
      <c r="A6" s="324"/>
      <c r="B6" s="189" t="s">
        <v>486</v>
      </c>
      <c r="C6" s="175" t="s">
        <v>492</v>
      </c>
      <c r="D6" s="175">
        <v>9</v>
      </c>
      <c r="E6" s="180">
        <f>' Green Tech (KADAPA Cluster)'!F14</f>
        <v>219004</v>
      </c>
      <c r="F6" s="180">
        <f>' Green Tech (KADAPA Cluster)'!G14</f>
        <v>0</v>
      </c>
      <c r="G6" s="180">
        <f>' Green Tech (KADAPA Cluster)'!H14</f>
        <v>219004</v>
      </c>
      <c r="H6" s="191">
        <f t="shared" si="0"/>
        <v>0</v>
      </c>
      <c r="I6" s="180">
        <f t="shared" si="1"/>
        <v>1520.8611111111111</v>
      </c>
      <c r="J6" s="175">
        <v>0</v>
      </c>
      <c r="K6" s="180">
        <v>0</v>
      </c>
      <c r="L6" s="229">
        <f>' Green Tech (KADAPA Cluster)'!O14</f>
        <v>0</v>
      </c>
      <c r="M6" s="229">
        <f>' Green Tech (KADAPA Cluster)'!Q14</f>
        <v>0</v>
      </c>
      <c r="N6" s="229">
        <f>' Green Tech (KADAPA Cluster)'!S14</f>
        <v>0</v>
      </c>
    </row>
    <row r="7" spans="1:18" ht="36.75" customHeight="1">
      <c r="A7" s="324"/>
      <c r="B7" s="189" t="s">
        <v>487</v>
      </c>
      <c r="C7" s="175" t="s">
        <v>488</v>
      </c>
      <c r="D7" s="175">
        <v>6</v>
      </c>
      <c r="E7" s="180">
        <f>'Srinivas (HINDUPUR Cluster)'!F11</f>
        <v>116561</v>
      </c>
      <c r="F7" s="180">
        <f>'Srinivas (HINDUPUR Cluster)'!G11</f>
        <v>0</v>
      </c>
      <c r="G7" s="180">
        <f>'Srinivas (HINDUPUR Cluster)'!H11</f>
        <v>116561</v>
      </c>
      <c r="H7" s="191">
        <f t="shared" si="0"/>
        <v>0</v>
      </c>
      <c r="I7" s="180">
        <f t="shared" si="1"/>
        <v>809.45138888888891</v>
      </c>
      <c r="J7" s="175">
        <v>0</v>
      </c>
      <c r="K7" s="180">
        <v>0</v>
      </c>
      <c r="L7" s="229">
        <f>'Srinivas (HINDUPUR Cluster)'!O11</f>
        <v>0</v>
      </c>
      <c r="M7" s="229">
        <f>'Srinivas (HINDUPUR Cluster)'!Q11</f>
        <v>0</v>
      </c>
      <c r="N7" s="229">
        <f>'Srinivas (HINDUPUR Cluster)'!S11</f>
        <v>0</v>
      </c>
    </row>
    <row r="8" spans="1:18" ht="36.75" customHeight="1">
      <c r="A8" s="325"/>
      <c r="B8" s="224" t="s">
        <v>489</v>
      </c>
      <c r="C8" s="175" t="s">
        <v>490</v>
      </c>
      <c r="D8" s="175">
        <v>9</v>
      </c>
      <c r="E8" s="180">
        <f>'Srinivas setty(ADDANKICluster) '!F14</f>
        <v>237910</v>
      </c>
      <c r="F8" s="180">
        <f>'Srinivas setty(ADDANKICluster) '!G14</f>
        <v>0</v>
      </c>
      <c r="G8" s="180">
        <f>'Srinivas setty(ADDANKICluster) '!H14</f>
        <v>237910</v>
      </c>
      <c r="H8" s="191">
        <f t="shared" si="0"/>
        <v>0</v>
      </c>
      <c r="I8" s="180">
        <f t="shared" si="1"/>
        <v>1652.1527777777778</v>
      </c>
      <c r="J8" s="175">
        <v>0</v>
      </c>
      <c r="K8" s="180">
        <v>0</v>
      </c>
      <c r="L8" s="229">
        <f>'Srinivas setty(ADDANKICluster) '!O14</f>
        <v>0</v>
      </c>
      <c r="M8" s="229">
        <f>'Srinivas setty(ADDANKICluster) '!Q14</f>
        <v>0</v>
      </c>
      <c r="N8" s="229">
        <f>'Srinivas setty(ADDANKICluster) '!S14</f>
        <v>0</v>
      </c>
    </row>
    <row r="9" spans="1:18" ht="31.5" customHeight="1">
      <c r="A9" s="326"/>
      <c r="B9" s="327"/>
      <c r="C9" s="227" t="s">
        <v>493</v>
      </c>
      <c r="D9" s="227">
        <f>SUM(D4:D8)</f>
        <v>55</v>
      </c>
      <c r="E9" s="228">
        <f>SUM(E4:E8)</f>
        <v>2122163</v>
      </c>
      <c r="F9" s="228">
        <f>SUM(F4:F8)</f>
        <v>42465.345000000001</v>
      </c>
      <c r="G9" s="228">
        <f>SUM(G4:G8)</f>
        <v>2079697.655</v>
      </c>
      <c r="H9" s="232">
        <f t="shared" si="0"/>
        <v>2.0010406834913248E-2</v>
      </c>
      <c r="I9" s="228">
        <f>SUM(I4:I8)</f>
        <v>14737.243055555555</v>
      </c>
      <c r="J9" s="227">
        <f>SUM(J4:J8)</f>
        <v>9</v>
      </c>
      <c r="K9" s="228">
        <f>SUM(K4:K8)</f>
        <v>8300</v>
      </c>
      <c r="L9" s="230">
        <f>SUM(L4:L8)</f>
        <v>3566.2550000000001</v>
      </c>
      <c r="M9" s="230">
        <f>SUM(M4:M8)</f>
        <v>3354.2449999999999</v>
      </c>
      <c r="N9" s="230">
        <f>SUM(N4:N8)</f>
        <v>2298.7350000000001</v>
      </c>
    </row>
    <row r="10" spans="1:18" ht="40.5">
      <c r="A10" s="320">
        <v>2</v>
      </c>
      <c r="B10" s="320"/>
      <c r="C10" s="175" t="s">
        <v>188</v>
      </c>
      <c r="D10" s="175">
        <v>26</v>
      </c>
      <c r="E10" s="180">
        <f>'Zigma '!E38</f>
        <v>1447375</v>
      </c>
      <c r="F10" s="180">
        <f>'Zigma '!F38</f>
        <v>109879.21</v>
      </c>
      <c r="G10" s="201">
        <f>E10-F10</f>
        <v>1337495.79</v>
      </c>
      <c r="H10" s="191">
        <f t="shared" si="0"/>
        <v>7.5916200017272659E-2</v>
      </c>
      <c r="I10" s="180">
        <f t="shared" si="1"/>
        <v>10051.215277777777</v>
      </c>
      <c r="J10" s="175">
        <v>2</v>
      </c>
      <c r="K10" s="180">
        <v>2100</v>
      </c>
      <c r="L10" s="229">
        <f>'Zigma '!O38</f>
        <v>2324.67</v>
      </c>
      <c r="M10" s="229">
        <f>'Zigma '!P38</f>
        <v>2295.63</v>
      </c>
      <c r="N10" s="229">
        <f>'Zigma '!Q38</f>
        <v>1816.96</v>
      </c>
    </row>
    <row r="11" spans="1:18" ht="40.5">
      <c r="A11" s="320">
        <v>3</v>
      </c>
      <c r="B11" s="320">
        <v>3</v>
      </c>
      <c r="C11" s="175" t="s">
        <v>189</v>
      </c>
      <c r="D11" s="175">
        <v>11</v>
      </c>
      <c r="E11" s="180">
        <f>Saurastra!F18</f>
        <v>314825</v>
      </c>
      <c r="F11" s="180">
        <f>Saurastra!G18</f>
        <v>24655.135000000002</v>
      </c>
      <c r="G11" s="201">
        <f>E11-F11</f>
        <v>290169.86499999999</v>
      </c>
      <c r="H11" s="191">
        <f t="shared" si="0"/>
        <v>7.8313777495433973E-2</v>
      </c>
      <c r="I11" s="180">
        <f t="shared" si="1"/>
        <v>2186.2847222222222</v>
      </c>
      <c r="J11" s="175">
        <v>2</v>
      </c>
      <c r="K11" s="180">
        <v>3600</v>
      </c>
      <c r="L11" s="229">
        <f>Saurastra!P18</f>
        <v>1845.2450000000001</v>
      </c>
      <c r="M11" s="229">
        <f>Saurastra!Q18</f>
        <v>2252.1899999999996</v>
      </c>
      <c r="N11" s="229">
        <f>Saurastra!R18</f>
        <v>1642.23</v>
      </c>
    </row>
    <row r="12" spans="1:18" ht="32.25" customHeight="1">
      <c r="A12" s="329"/>
      <c r="B12" s="330"/>
      <c r="C12" s="197" t="s">
        <v>435</v>
      </c>
      <c r="D12" s="197">
        <f>SUM(D9:D11)</f>
        <v>92</v>
      </c>
      <c r="E12" s="204">
        <f>SUM(E9:E11)</f>
        <v>3884363</v>
      </c>
      <c r="F12" s="204">
        <f>SUM(F9:F11)</f>
        <v>176999.69</v>
      </c>
      <c r="G12" s="204">
        <f>SUM(G9:G11)</f>
        <v>3707363.3100000005</v>
      </c>
      <c r="H12" s="198">
        <f t="shared" si="0"/>
        <v>4.5567237150595866E-2</v>
      </c>
      <c r="I12" s="204">
        <f>SUM(I9:I11)</f>
        <v>26974.743055555555</v>
      </c>
      <c r="J12" s="242">
        <f>SUM(J9:J11)</f>
        <v>13</v>
      </c>
      <c r="K12" s="204">
        <f>SUM(K9:K11)</f>
        <v>14000</v>
      </c>
      <c r="L12" s="231">
        <f>SUM(L9:L11)</f>
        <v>7736.17</v>
      </c>
      <c r="M12" s="231">
        <f>SUM(M9:M11)</f>
        <v>7902.0649999999996</v>
      </c>
      <c r="N12" s="231">
        <f>SUM(N9:N11)</f>
        <v>5757.9249999999993</v>
      </c>
    </row>
    <row r="13" spans="1:18" ht="32.25" customHeight="1">
      <c r="B13" s="190"/>
      <c r="C13" s="188"/>
      <c r="D13" s="188"/>
      <c r="E13" s="205"/>
      <c r="F13" s="205"/>
      <c r="G13" s="205"/>
      <c r="H13" s="192"/>
      <c r="I13" s="205"/>
      <c r="J13" s="188"/>
      <c r="K13" s="206"/>
      <c r="L13" s="206"/>
      <c r="M13" s="205"/>
      <c r="N13" s="205"/>
    </row>
    <row r="14" spans="1:18" ht="40.5">
      <c r="A14" s="320">
        <v>1</v>
      </c>
      <c r="B14" s="320"/>
      <c r="C14" s="175" t="s">
        <v>436</v>
      </c>
      <c r="D14" s="175">
        <v>30</v>
      </c>
      <c r="E14" s="207">
        <f>' Tharuni Associates'!F76</f>
        <v>635115.30999999994</v>
      </c>
      <c r="F14" s="207">
        <f>' Tharuni Associates'!G76</f>
        <v>470851.22</v>
      </c>
      <c r="G14" s="202">
        <f>E14-F14</f>
        <v>164264.08999999997</v>
      </c>
      <c r="H14" s="191">
        <f>F14/E14</f>
        <v>0.74136335967086042</v>
      </c>
      <c r="I14" s="207">
        <f>E14/144</f>
        <v>4410.5229861111111</v>
      </c>
      <c r="J14" s="175">
        <v>5</v>
      </c>
      <c r="K14" s="207">
        <v>3500</v>
      </c>
      <c r="L14" s="202">
        <f>' Tharuni Associates Old Cluster'!P76</f>
        <v>267.82</v>
      </c>
      <c r="M14" s="202">
        <f>' Tharuni Associates'!Q76</f>
        <v>773.17000000000007</v>
      </c>
      <c r="N14" s="202">
        <f>' Tharuni Associates'!R76</f>
        <v>545.09</v>
      </c>
    </row>
    <row r="15" spans="1:18" ht="37.5" customHeight="1">
      <c r="A15" s="320">
        <v>2</v>
      </c>
      <c r="B15" s="320"/>
      <c r="C15" s="175" t="s">
        <v>224</v>
      </c>
      <c r="D15" s="175">
        <v>1</v>
      </c>
      <c r="E15" s="207">
        <f>'[1]Sudhakar (2)'!E6</f>
        <v>63555</v>
      </c>
      <c r="F15" s="207">
        <f>'Sudhakar (2)'!F5</f>
        <v>48419.490000000005</v>
      </c>
      <c r="G15" s="202">
        <f>E15-F15</f>
        <v>15135.509999999995</v>
      </c>
      <c r="H15" s="191">
        <f>F15/E15</f>
        <v>0.76185178192117076</v>
      </c>
      <c r="I15" s="207">
        <f>E15/144</f>
        <v>441.35416666666669</v>
      </c>
      <c r="J15" s="175">
        <v>2</v>
      </c>
      <c r="K15" s="207">
        <v>1300</v>
      </c>
      <c r="L15" s="202">
        <f>'Sudhakar (2)'!O7</f>
        <v>936.32</v>
      </c>
      <c r="M15" s="202">
        <f>'Sudhakar (2)'!P7</f>
        <v>944.11</v>
      </c>
      <c r="N15" s="202">
        <f>'Sudhakar (2)'!Q7</f>
        <v>896.94</v>
      </c>
    </row>
    <row r="16" spans="1:18" ht="33" customHeight="1">
      <c r="A16" s="331"/>
      <c r="B16" s="331"/>
      <c r="C16" s="197" t="s">
        <v>439</v>
      </c>
      <c r="D16" s="132">
        <f>SUM(D14:D15)</f>
        <v>31</v>
      </c>
      <c r="E16" s="209">
        <f t="shared" ref="E16:F16" si="2">SUM(E14:E15)</f>
        <v>698670.30999999994</v>
      </c>
      <c r="F16" s="209">
        <f t="shared" si="2"/>
        <v>519270.70999999996</v>
      </c>
      <c r="G16" s="209">
        <f>SUM(G14:G15)</f>
        <v>179399.59999999998</v>
      </c>
      <c r="H16" s="193">
        <f>F16/E16</f>
        <v>0.74322710235103595</v>
      </c>
      <c r="I16" s="209">
        <f>SUM(I14:I15)</f>
        <v>4851.8771527777781</v>
      </c>
      <c r="J16" s="132">
        <f t="shared" ref="J16:K16" si="3">SUM(J14:J15)</f>
        <v>7</v>
      </c>
      <c r="K16" s="204">
        <f t="shared" si="3"/>
        <v>4800</v>
      </c>
      <c r="L16" s="231">
        <f>SUM(L14:L15)</f>
        <v>1204.1400000000001</v>
      </c>
      <c r="M16" s="231">
        <f>SUM(M14:M15)</f>
        <v>1717.2800000000002</v>
      </c>
      <c r="N16" s="209">
        <f>SUM(N14:N15)</f>
        <v>1442.0300000000002</v>
      </c>
      <c r="R16" s="200"/>
    </row>
    <row r="17" spans="1:14" ht="32.25" customHeight="1">
      <c r="A17" s="332"/>
      <c r="B17" s="332"/>
      <c r="C17" s="176" t="s">
        <v>437</v>
      </c>
      <c r="D17" s="176">
        <f>SUM(D16,D12)</f>
        <v>123</v>
      </c>
      <c r="E17" s="211">
        <f>SUM(E16,E12)</f>
        <v>4583033.3099999996</v>
      </c>
      <c r="F17" s="211">
        <f>SUM(F16,F12)</f>
        <v>696270.39999999991</v>
      </c>
      <c r="G17" s="211">
        <f>SUM(G16,G12)</f>
        <v>3886762.9100000006</v>
      </c>
      <c r="H17" s="194">
        <f>F17/E17</f>
        <v>0.15192348667437461</v>
      </c>
      <c r="I17" s="211">
        <f>SUM(I16,I12)</f>
        <v>31826.620208333334</v>
      </c>
      <c r="J17" s="176">
        <f>SUM(J16,J12)</f>
        <v>20</v>
      </c>
      <c r="K17" s="211">
        <f>SUM(K16,K12)</f>
        <v>18800</v>
      </c>
      <c r="L17" s="211">
        <f>SUM(L16,L12)</f>
        <v>8940.31</v>
      </c>
      <c r="M17" s="211">
        <f>SUM(M16,M12)</f>
        <v>9619.3449999999993</v>
      </c>
      <c r="N17" s="211">
        <f>SUM(N16,N12)</f>
        <v>7199.9549999999999</v>
      </c>
    </row>
    <row r="18" spans="1:14" ht="30.75" customHeight="1">
      <c r="B18" s="221"/>
      <c r="C18" s="221"/>
      <c r="D18" s="221"/>
      <c r="E18" s="221"/>
      <c r="F18" s="221"/>
      <c r="G18" s="221"/>
      <c r="H18" s="222"/>
      <c r="I18" s="221"/>
      <c r="J18" s="221"/>
      <c r="K18" s="221"/>
      <c r="L18" s="221"/>
      <c r="M18" s="221"/>
      <c r="N18" s="221"/>
    </row>
    <row r="19" spans="1:14" ht="38.25" hidden="1" customHeight="1">
      <c r="A19" s="328" t="s">
        <v>446</v>
      </c>
      <c r="B19" s="328"/>
      <c r="C19" s="181" t="s">
        <v>190</v>
      </c>
      <c r="D19" s="181">
        <f>SUM(D14,D4)</f>
        <v>50</v>
      </c>
      <c r="E19" s="213">
        <f>SUM(E14,E4)</f>
        <v>1944267.31</v>
      </c>
      <c r="F19" s="213">
        <f>SUM(F14,F4)</f>
        <v>513316.56499999994</v>
      </c>
      <c r="G19" s="213">
        <f>E19-F19</f>
        <v>1430950.7450000001</v>
      </c>
      <c r="H19" s="195">
        <f>F19/E19</f>
        <v>0.26401542748769452</v>
      </c>
      <c r="I19" s="213">
        <f>SUM(I14,I4)</f>
        <v>13501.856319444445</v>
      </c>
      <c r="J19" s="181">
        <f>SUM(J14,J4)</f>
        <v>14</v>
      </c>
      <c r="K19" s="213">
        <f>SUM(K14,K4)</f>
        <v>11800</v>
      </c>
      <c r="L19" s="213"/>
      <c r="M19" s="213">
        <f>SUM(M14,M4)</f>
        <v>4127.415</v>
      </c>
      <c r="N19" s="213">
        <f>SUM(N14,N4)</f>
        <v>2843.8250000000003</v>
      </c>
    </row>
    <row r="20" spans="1:14" ht="27.75" hidden="1" customHeight="1">
      <c r="J20"/>
    </row>
    <row r="21" spans="1:14" ht="51.75" hidden="1" customHeight="1">
      <c r="A21" s="328" t="s">
        <v>446</v>
      </c>
      <c r="B21" s="328"/>
      <c r="C21" s="181" t="s">
        <v>491</v>
      </c>
      <c r="D21" s="181">
        <f>SUM(D14,D4:D8)</f>
        <v>85</v>
      </c>
      <c r="E21" s="181">
        <f t="shared" ref="E21:G21" si="4">SUM(E14,E4:E8)</f>
        <v>2757278.31</v>
      </c>
      <c r="F21" s="181">
        <f t="shared" si="4"/>
        <v>513316.56499999994</v>
      </c>
      <c r="G21" s="181">
        <f t="shared" si="4"/>
        <v>2243961.7450000001</v>
      </c>
      <c r="H21" s="195">
        <f>F21/E21</f>
        <v>0.18616784643694526</v>
      </c>
      <c r="I21" s="213">
        <f>SUM(I14,I4:I8)</f>
        <v>19147.766041666666</v>
      </c>
      <c r="J21" s="181">
        <f>SUM(J14,J4:J8)</f>
        <v>14</v>
      </c>
      <c r="K21" s="213">
        <f t="shared" ref="K21:M21" si="5">SUM(K14,K4:K8)</f>
        <v>11800</v>
      </c>
      <c r="L21" s="213"/>
      <c r="M21" s="213">
        <f t="shared" si="5"/>
        <v>4127.415</v>
      </c>
      <c r="N21" s="213">
        <f t="shared" ref="N21" si="6">SUM(N14,N4:N8)</f>
        <v>2843.8250000000003</v>
      </c>
    </row>
  </sheetData>
  <mergeCells count="14">
    <mergeCell ref="A21:B21"/>
    <mergeCell ref="A12:B12"/>
    <mergeCell ref="A14:B14"/>
    <mergeCell ref="A15:B15"/>
    <mergeCell ref="A16:B16"/>
    <mergeCell ref="A17:B17"/>
    <mergeCell ref="A19:B19"/>
    <mergeCell ref="A1:N1"/>
    <mergeCell ref="A11:B11"/>
    <mergeCell ref="A2:B2"/>
    <mergeCell ref="A3:B3"/>
    <mergeCell ref="A4:A8"/>
    <mergeCell ref="A10:B10"/>
    <mergeCell ref="A9:B9"/>
  </mergeCells>
  <printOptions horizontalCentered="1"/>
  <pageMargins left="0" right="0.31496062992125984" top="0.74803149606299213" bottom="0.55118110236220474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4"/>
  <sheetViews>
    <sheetView zoomScale="70" zoomScaleNormal="70" workbookViewId="0">
      <selection activeCell="I21" sqref="I21"/>
    </sheetView>
  </sheetViews>
  <sheetFormatPr defaultRowHeight="15"/>
  <cols>
    <col min="1" max="1" width="11.42578125" customWidth="1"/>
    <col min="2" max="2" width="49.140625" customWidth="1"/>
    <col min="3" max="3" width="10.5703125" customWidth="1"/>
    <col min="4" max="4" width="19.85546875" customWidth="1"/>
    <col min="5" max="5" width="16.7109375" customWidth="1"/>
    <col min="6" max="6" width="19.7109375" customWidth="1"/>
    <col min="7" max="7" width="15" bestFit="1" customWidth="1"/>
    <col min="8" max="8" width="25.7109375" customWidth="1"/>
    <col min="9" max="9" width="20.28515625" customWidth="1"/>
    <col min="10" max="10" width="20.85546875" customWidth="1"/>
    <col min="11" max="11" width="19.140625" customWidth="1"/>
    <col min="12" max="12" width="15.85546875" customWidth="1"/>
  </cols>
  <sheetData>
    <row r="1" spans="1:16" ht="30.75" customHeight="1">
      <c r="A1" s="333" t="s">
        <v>482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</row>
    <row r="2" spans="1:16" ht="145.5" customHeight="1">
      <c r="A2" s="123" t="s">
        <v>218</v>
      </c>
      <c r="B2" s="123" t="s">
        <v>219</v>
      </c>
      <c r="C2" s="123" t="s">
        <v>299</v>
      </c>
      <c r="D2" s="123" t="s">
        <v>220</v>
      </c>
      <c r="E2" s="123" t="s">
        <v>221</v>
      </c>
      <c r="F2" s="177" t="s">
        <v>222</v>
      </c>
      <c r="G2" s="123" t="s">
        <v>223</v>
      </c>
      <c r="H2" s="123" t="s">
        <v>450</v>
      </c>
      <c r="I2" s="123" t="s">
        <v>445</v>
      </c>
      <c r="J2" s="123" t="s">
        <v>449</v>
      </c>
      <c r="K2" s="123" t="s">
        <v>444</v>
      </c>
    </row>
    <row r="3" spans="1:16" ht="17.25" customHeight="1">
      <c r="A3" s="179">
        <v>1</v>
      </c>
      <c r="B3" s="179">
        <v>2</v>
      </c>
      <c r="C3" s="179"/>
      <c r="D3" s="179">
        <v>3</v>
      </c>
      <c r="E3" s="179">
        <v>4</v>
      </c>
      <c r="F3" s="179">
        <v>5</v>
      </c>
      <c r="G3" s="179">
        <v>6</v>
      </c>
      <c r="H3" s="179">
        <v>7</v>
      </c>
      <c r="I3" s="179">
        <v>8</v>
      </c>
      <c r="J3" s="179">
        <v>9</v>
      </c>
      <c r="K3" s="179">
        <v>10</v>
      </c>
    </row>
    <row r="4" spans="1:16" ht="36.75" customHeight="1">
      <c r="A4" s="189">
        <v>1</v>
      </c>
      <c r="B4" s="175" t="s">
        <v>190</v>
      </c>
      <c r="C4" s="175">
        <v>55</v>
      </c>
      <c r="D4" s="180">
        <v>2122163</v>
      </c>
      <c r="E4" s="180" t="e">
        <f>' Tharuni Associates'!#REF!</f>
        <v>#REF!</v>
      </c>
      <c r="F4" s="201" t="e">
        <f>D4-E4</f>
        <v>#REF!</v>
      </c>
      <c r="G4" s="191" t="e">
        <f>E4/D4</f>
        <v>#REF!</v>
      </c>
      <c r="H4" s="180">
        <f>D4/144</f>
        <v>14737.243055555555</v>
      </c>
      <c r="I4" s="180">
        <v>8</v>
      </c>
      <c r="J4" s="180">
        <v>6900</v>
      </c>
      <c r="K4" s="202" t="e">
        <f>' Tharuni Associates'!#REF!</f>
        <v>#REF!</v>
      </c>
    </row>
    <row r="5" spans="1:16" ht="40.5">
      <c r="A5" s="189">
        <v>2</v>
      </c>
      <c r="B5" s="175" t="s">
        <v>188</v>
      </c>
      <c r="C5" s="175">
        <v>26</v>
      </c>
      <c r="D5" s="180">
        <f>'Zigma '!E38</f>
        <v>1447375</v>
      </c>
      <c r="E5" s="180">
        <f>'Zigma '!F38</f>
        <v>109879.21</v>
      </c>
      <c r="F5" s="201">
        <f>D5-E5</f>
        <v>1337495.79</v>
      </c>
      <c r="G5" s="191">
        <f>E5/D5</f>
        <v>7.5916200017272659E-2</v>
      </c>
      <c r="H5" s="180">
        <f>D5/144</f>
        <v>10051.215277777777</v>
      </c>
      <c r="I5" s="180">
        <v>2</v>
      </c>
      <c r="J5" s="180">
        <v>2100</v>
      </c>
      <c r="K5" s="202">
        <f>'Zigma '!P38</f>
        <v>2295.63</v>
      </c>
    </row>
    <row r="6" spans="1:16" ht="40.5">
      <c r="A6" s="189">
        <v>3</v>
      </c>
      <c r="B6" s="175" t="s">
        <v>189</v>
      </c>
      <c r="C6" s="175">
        <v>11</v>
      </c>
      <c r="D6" s="180">
        <f>Saurastra!F18</f>
        <v>314825</v>
      </c>
      <c r="E6" s="180">
        <f>Saurastra!G18</f>
        <v>24655.135000000002</v>
      </c>
      <c r="F6" s="201">
        <f>D6-E6</f>
        <v>290169.86499999999</v>
      </c>
      <c r="G6" s="191">
        <f>E6/D6</f>
        <v>7.8313777495433973E-2</v>
      </c>
      <c r="H6" s="180">
        <f>D6/144</f>
        <v>2186.2847222222222</v>
      </c>
      <c r="I6" s="180">
        <v>2</v>
      </c>
      <c r="J6" s="180">
        <v>3600</v>
      </c>
      <c r="K6" s="202">
        <f>Saurastra!Q18</f>
        <v>2252.1899999999996</v>
      </c>
    </row>
    <row r="7" spans="1:16" ht="32.25" customHeight="1">
      <c r="A7" s="196"/>
      <c r="B7" s="197" t="s">
        <v>435</v>
      </c>
      <c r="C7" s="197">
        <f>SUM(C4:C6)</f>
        <v>92</v>
      </c>
      <c r="D7" s="203">
        <f t="shared" ref="D7:K7" si="0">SUM(D4:D6)</f>
        <v>3884363</v>
      </c>
      <c r="E7" s="203" t="e">
        <f t="shared" si="0"/>
        <v>#REF!</v>
      </c>
      <c r="F7" s="203" t="e">
        <f t="shared" si="0"/>
        <v>#REF!</v>
      </c>
      <c r="G7" s="198" t="e">
        <f>E7/D7</f>
        <v>#REF!</v>
      </c>
      <c r="H7" s="203">
        <f t="shared" si="0"/>
        <v>26974.743055555555</v>
      </c>
      <c r="I7" s="197">
        <f t="shared" si="0"/>
        <v>12</v>
      </c>
      <c r="J7" s="204">
        <f t="shared" si="0"/>
        <v>12600</v>
      </c>
      <c r="K7" s="203" t="e">
        <f t="shared" si="0"/>
        <v>#REF!</v>
      </c>
    </row>
    <row r="8" spans="1:16" ht="32.25" customHeight="1">
      <c r="A8" s="190"/>
      <c r="B8" s="188"/>
      <c r="C8" s="188"/>
      <c r="D8" s="205"/>
      <c r="E8" s="205"/>
      <c r="F8" s="205"/>
      <c r="G8" s="192"/>
      <c r="H8" s="205"/>
      <c r="I8" s="188"/>
      <c r="J8" s="206"/>
      <c r="K8" s="205"/>
    </row>
    <row r="9" spans="1:16" ht="40.5">
      <c r="A9" s="189">
        <v>1</v>
      </c>
      <c r="B9" s="175" t="s">
        <v>436</v>
      </c>
      <c r="C9" s="175">
        <v>30</v>
      </c>
      <c r="D9" s="207">
        <f>' Tharuni Associates'!F76</f>
        <v>635115.30999999994</v>
      </c>
      <c r="E9" s="207">
        <f>' Tharuni Associates'!G76</f>
        <v>470851.22</v>
      </c>
      <c r="F9" s="202">
        <f>D9-E9</f>
        <v>164264.08999999997</v>
      </c>
      <c r="G9" s="191">
        <f>E9/D9</f>
        <v>0.74136335967086042</v>
      </c>
      <c r="H9" s="207">
        <f>D9/144</f>
        <v>4410.5229861111111</v>
      </c>
      <c r="I9" s="207">
        <v>5</v>
      </c>
      <c r="J9" s="207">
        <v>3500</v>
      </c>
      <c r="K9" s="202">
        <f>' Tharuni Associates'!Q76</f>
        <v>773.17000000000007</v>
      </c>
    </row>
    <row r="10" spans="1:16" ht="37.5" customHeight="1">
      <c r="A10" s="189">
        <v>2</v>
      </c>
      <c r="B10" s="175" t="s">
        <v>224</v>
      </c>
      <c r="C10" s="175">
        <v>1</v>
      </c>
      <c r="D10" s="207">
        <f>'[1]Sudhakar (2)'!E6</f>
        <v>63555</v>
      </c>
      <c r="E10" s="207">
        <f>'Sudhakar (2)'!F5</f>
        <v>48419.490000000005</v>
      </c>
      <c r="F10" s="202">
        <f>D10-E10</f>
        <v>15135.509999999995</v>
      </c>
      <c r="G10" s="191">
        <f>E10/D10</f>
        <v>0.76185178192117076</v>
      </c>
      <c r="H10" s="207">
        <f>D10/144</f>
        <v>441.35416666666669</v>
      </c>
      <c r="I10" s="207">
        <v>2</v>
      </c>
      <c r="J10" s="207">
        <v>1300</v>
      </c>
      <c r="K10" s="202">
        <f>'Sudhakar (2)'!P7</f>
        <v>944.11</v>
      </c>
    </row>
    <row r="11" spans="1:16" ht="33" customHeight="1">
      <c r="A11" s="208"/>
      <c r="B11" s="197" t="s">
        <v>439</v>
      </c>
      <c r="C11" s="132">
        <f>SUM(C9:C10)</f>
        <v>31</v>
      </c>
      <c r="D11" s="209">
        <f t="shared" ref="D11:E11" si="1">SUM(D9:D10)</f>
        <v>698670.30999999994</v>
      </c>
      <c r="E11" s="209">
        <f t="shared" si="1"/>
        <v>519270.70999999996</v>
      </c>
      <c r="F11" s="209">
        <f>SUM(F9:F10)</f>
        <v>179399.59999999998</v>
      </c>
      <c r="G11" s="193">
        <f>E11/D11</f>
        <v>0.74322710235103595</v>
      </c>
      <c r="H11" s="209">
        <f>SUM(H9:H10)</f>
        <v>4851.8771527777781</v>
      </c>
      <c r="I11" s="132">
        <f t="shared" ref="I11:J11" si="2">SUM(I9:I10)</f>
        <v>7</v>
      </c>
      <c r="J11" s="204">
        <f t="shared" si="2"/>
        <v>4800</v>
      </c>
      <c r="K11" s="209">
        <f>SUM(K9:K10)</f>
        <v>1717.2800000000002</v>
      </c>
      <c r="P11" s="200"/>
    </row>
    <row r="12" spans="1:16" ht="32.25" customHeight="1">
      <c r="A12" s="210"/>
      <c r="B12" s="176" t="s">
        <v>437</v>
      </c>
      <c r="C12" s="176">
        <f>SUM(C11,C7)</f>
        <v>123</v>
      </c>
      <c r="D12" s="211">
        <f>SUM(D11,D7)</f>
        <v>4583033.3099999996</v>
      </c>
      <c r="E12" s="211" t="e">
        <f>SUM(E11,E7)</f>
        <v>#REF!</v>
      </c>
      <c r="F12" s="211" t="e">
        <f>SUM(F11,F7)</f>
        <v>#REF!</v>
      </c>
      <c r="G12" s="194" t="e">
        <f>E12/D12</f>
        <v>#REF!</v>
      </c>
      <c r="H12" s="211">
        <f>SUM(H11,H7)</f>
        <v>31826.620208333334</v>
      </c>
      <c r="I12" s="176">
        <f>SUM(I11,I7)</f>
        <v>19</v>
      </c>
      <c r="J12" s="211">
        <f>SUM(J11,J7)</f>
        <v>17400</v>
      </c>
      <c r="K12" s="211" t="e">
        <f>SUM(K11,K7)</f>
        <v>#REF!</v>
      </c>
    </row>
    <row r="13" spans="1:16">
      <c r="A13" s="221"/>
      <c r="B13" s="221"/>
      <c r="C13" s="221"/>
      <c r="D13" s="221"/>
      <c r="E13" s="221"/>
      <c r="F13" s="221"/>
      <c r="G13" s="222"/>
      <c r="H13" s="221"/>
      <c r="I13" s="221"/>
      <c r="J13" s="221"/>
      <c r="K13" s="221"/>
    </row>
    <row r="14" spans="1:16" ht="38.25" customHeight="1">
      <c r="A14" s="212" t="s">
        <v>446</v>
      </c>
      <c r="B14" s="181" t="s">
        <v>190</v>
      </c>
      <c r="C14" s="181">
        <f>SUM(C9,C4)</f>
        <v>85</v>
      </c>
      <c r="D14" s="213">
        <f>SUM(D9,D4)</f>
        <v>2757278.31</v>
      </c>
      <c r="E14" s="213" t="e">
        <f>SUM(E9,E4)</f>
        <v>#REF!</v>
      </c>
      <c r="F14" s="213" t="e">
        <f>D14-E14</f>
        <v>#REF!</v>
      </c>
      <c r="G14" s="195" t="e">
        <f>E14/D14</f>
        <v>#REF!</v>
      </c>
      <c r="H14" s="213">
        <f>SUM(H9,H4)</f>
        <v>19147.766041666666</v>
      </c>
      <c r="I14" s="181">
        <f>SUM(I9,I4)</f>
        <v>13</v>
      </c>
      <c r="J14" s="213">
        <f>SUM(J9,J4)</f>
        <v>10400</v>
      </c>
      <c r="K14" s="213" t="e">
        <f>SUM(K9,K4)</f>
        <v>#REF!</v>
      </c>
    </row>
  </sheetData>
  <mergeCells count="1">
    <mergeCell ref="A1:K1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96"/>
  <sheetViews>
    <sheetView topLeftCell="B1" zoomScale="60" zoomScaleNormal="60" zoomScaleSheetLayoutView="66" workbookViewId="0">
      <pane ySplit="4" topLeftCell="A23" activePane="bottomLeft" state="frozen"/>
      <selection activeCell="U15" sqref="U15"/>
      <selection pane="bottomLeft" activeCell="U15" sqref="U15"/>
    </sheetView>
  </sheetViews>
  <sheetFormatPr defaultColWidth="10.7109375" defaultRowHeight="15.75"/>
  <cols>
    <col min="1" max="1" width="9.7109375" style="135" hidden="1" customWidth="1"/>
    <col min="2" max="2" width="24.140625" style="135" customWidth="1"/>
    <col min="3" max="3" width="21.28515625" style="135" customWidth="1"/>
    <col min="4" max="4" width="10" style="135" customWidth="1"/>
    <col min="5" max="5" width="21.85546875" style="154" customWidth="1"/>
    <col min="6" max="6" width="17.28515625" style="171" customWidth="1"/>
    <col min="7" max="7" width="16.28515625" style="155" customWidth="1"/>
    <col min="8" max="8" width="17.140625" style="155" customWidth="1"/>
    <col min="9" max="9" width="18.140625" style="172" customWidth="1"/>
    <col min="10" max="10" width="14.85546875" style="135" customWidth="1"/>
    <col min="11" max="11" width="13.85546875" style="135" customWidth="1"/>
    <col min="12" max="12" width="15.140625" style="135" customWidth="1"/>
    <col min="13" max="13" width="16.42578125" style="295" customWidth="1"/>
    <col min="14" max="14" width="17.5703125" style="135" customWidth="1"/>
    <col min="15" max="15" width="16" style="295" customWidth="1"/>
    <col min="16" max="16" width="18.85546875" style="135" customWidth="1"/>
    <col min="17" max="17" width="17.85546875" style="135" customWidth="1"/>
    <col min="18" max="18" width="17.85546875" style="135" hidden="1" customWidth="1"/>
    <col min="19" max="19" width="16.85546875" style="135" hidden="1" customWidth="1"/>
    <col min="20" max="20" width="46.28515625" style="156" customWidth="1"/>
    <col min="21" max="22" width="11.85546875" style="135" hidden="1" customWidth="1"/>
    <col min="23" max="23" width="15.140625" style="135" hidden="1" customWidth="1"/>
    <col min="24" max="24" width="15.42578125" style="135" hidden="1" customWidth="1"/>
    <col min="25" max="27" width="11.85546875" style="135" hidden="1" customWidth="1"/>
    <col min="28" max="28" width="62.42578125" style="156" hidden="1" customWidth="1"/>
    <col min="29" max="29" width="20.5703125" style="135" hidden="1" customWidth="1"/>
    <col min="30" max="39" width="0" style="135" hidden="1" customWidth="1"/>
    <col min="40" max="16384" width="10.7109375" style="135"/>
  </cols>
  <sheetData>
    <row r="1" spans="1:28" ht="27.6" customHeight="1">
      <c r="A1" s="134" t="s">
        <v>452</v>
      </c>
      <c r="B1" s="373" t="s">
        <v>497</v>
      </c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5"/>
      <c r="U1" s="16"/>
      <c r="V1" s="16"/>
      <c r="W1" s="16"/>
      <c r="X1" s="16"/>
      <c r="Y1" s="16"/>
      <c r="Z1" s="16"/>
      <c r="AA1" s="16"/>
      <c r="AB1" s="100"/>
    </row>
    <row r="2" spans="1:28" ht="57.6" customHeight="1">
      <c r="A2" s="355" t="s">
        <v>1</v>
      </c>
      <c r="B2" s="357" t="s">
        <v>1</v>
      </c>
      <c r="C2" s="357" t="s">
        <v>2</v>
      </c>
      <c r="D2" s="359" t="s">
        <v>333</v>
      </c>
      <c r="E2" s="357" t="s">
        <v>3</v>
      </c>
      <c r="F2" s="353" t="s">
        <v>137</v>
      </c>
      <c r="G2" s="353" t="s">
        <v>245</v>
      </c>
      <c r="H2" s="353" t="s">
        <v>139</v>
      </c>
      <c r="I2" s="353" t="s">
        <v>250</v>
      </c>
      <c r="J2" s="353" t="s">
        <v>4</v>
      </c>
      <c r="K2" s="361" t="s">
        <v>9</v>
      </c>
      <c r="L2" s="361" t="s">
        <v>10</v>
      </c>
      <c r="M2" s="421" t="s">
        <v>11</v>
      </c>
      <c r="N2" s="353" t="s">
        <v>6</v>
      </c>
      <c r="O2" s="423" t="s">
        <v>7</v>
      </c>
      <c r="P2" s="353" t="s">
        <v>515</v>
      </c>
      <c r="Q2" s="353" t="s">
        <v>499</v>
      </c>
      <c r="R2" s="353" t="s">
        <v>500</v>
      </c>
      <c r="S2" s="361" t="s">
        <v>402</v>
      </c>
      <c r="T2" s="353" t="s">
        <v>8</v>
      </c>
      <c r="U2" s="364" t="s">
        <v>134</v>
      </c>
      <c r="V2" s="364" t="s">
        <v>272</v>
      </c>
      <c r="W2" s="364" t="s">
        <v>273</v>
      </c>
      <c r="X2" s="364" t="s">
        <v>274</v>
      </c>
      <c r="Y2" s="364" t="s">
        <v>275</v>
      </c>
      <c r="Z2" s="364" t="s">
        <v>276</v>
      </c>
      <c r="AA2" s="364" t="s">
        <v>295</v>
      </c>
      <c r="AB2" s="363" t="s">
        <v>278</v>
      </c>
    </row>
    <row r="3" spans="1:28" ht="42" customHeight="1">
      <c r="A3" s="356"/>
      <c r="B3" s="358"/>
      <c r="C3" s="358"/>
      <c r="D3" s="360"/>
      <c r="E3" s="358"/>
      <c r="F3" s="354"/>
      <c r="G3" s="354"/>
      <c r="H3" s="354"/>
      <c r="I3" s="354"/>
      <c r="J3" s="354"/>
      <c r="K3" s="362"/>
      <c r="L3" s="362"/>
      <c r="M3" s="422"/>
      <c r="N3" s="353"/>
      <c r="O3" s="423"/>
      <c r="P3" s="353"/>
      <c r="Q3" s="353"/>
      <c r="R3" s="353"/>
      <c r="S3" s="362"/>
      <c r="T3" s="353"/>
      <c r="U3" s="365"/>
      <c r="V3" s="365"/>
      <c r="W3" s="365"/>
      <c r="X3" s="365"/>
      <c r="Y3" s="365"/>
      <c r="Z3" s="365"/>
      <c r="AA3" s="365"/>
      <c r="AB3" s="363"/>
    </row>
    <row r="4" spans="1:28" ht="26.25" customHeight="1">
      <c r="A4" s="136">
        <v>1</v>
      </c>
      <c r="B4" s="244">
        <v>1</v>
      </c>
      <c r="C4" s="245">
        <v>2</v>
      </c>
      <c r="D4" s="245">
        <v>3</v>
      </c>
      <c r="E4" s="245">
        <v>4</v>
      </c>
      <c r="F4" s="245">
        <v>5</v>
      </c>
      <c r="G4" s="245">
        <v>6</v>
      </c>
      <c r="H4" s="245">
        <v>7</v>
      </c>
      <c r="I4" s="245">
        <v>8</v>
      </c>
      <c r="J4" s="245">
        <v>9</v>
      </c>
      <c r="K4" s="245">
        <v>10</v>
      </c>
      <c r="L4" s="245">
        <v>11</v>
      </c>
      <c r="M4" s="317">
        <v>12</v>
      </c>
      <c r="N4" s="245">
        <v>13</v>
      </c>
      <c r="O4" s="317">
        <v>14</v>
      </c>
      <c r="P4" s="245">
        <v>15</v>
      </c>
      <c r="Q4" s="245">
        <v>16</v>
      </c>
      <c r="R4" s="245">
        <v>16</v>
      </c>
      <c r="S4" s="245">
        <v>16</v>
      </c>
      <c r="T4" s="246">
        <v>17</v>
      </c>
      <c r="U4" s="138">
        <v>21</v>
      </c>
      <c r="V4" s="138">
        <v>24</v>
      </c>
      <c r="W4" s="138">
        <v>25</v>
      </c>
      <c r="X4" s="138"/>
      <c r="Y4" s="138">
        <v>26</v>
      </c>
      <c r="Z4" s="138">
        <v>27</v>
      </c>
      <c r="AA4" s="138">
        <v>28</v>
      </c>
      <c r="AB4" s="13">
        <v>20</v>
      </c>
    </row>
    <row r="5" spans="1:28" ht="62.25" customHeight="1">
      <c r="A5" s="139" t="s">
        <v>12</v>
      </c>
      <c r="B5" s="337" t="s">
        <v>190</v>
      </c>
      <c r="C5" s="235" t="s">
        <v>13</v>
      </c>
      <c r="D5" s="345">
        <v>1</v>
      </c>
      <c r="E5" s="345" t="s">
        <v>14</v>
      </c>
      <c r="F5" s="345">
        <v>400000</v>
      </c>
      <c r="G5" s="345">
        <f>1735.9+1112.89+1214.59+1060.85+1324.18+1204.46+1393.96+1690.28</f>
        <v>10737.11</v>
      </c>
      <c r="H5" s="345">
        <f>F5-G5</f>
        <v>389262.89</v>
      </c>
      <c r="I5" s="345">
        <v>2800</v>
      </c>
      <c r="J5" s="345">
        <v>3</v>
      </c>
      <c r="K5" s="15" t="s">
        <v>15</v>
      </c>
      <c r="L5" s="247">
        <v>900</v>
      </c>
      <c r="M5" s="292">
        <v>45783</v>
      </c>
      <c r="N5" s="345">
        <f>O5-M5</f>
        <v>147</v>
      </c>
      <c r="O5" s="292">
        <v>45930</v>
      </c>
      <c r="P5" s="341">
        <v>1690.28</v>
      </c>
      <c r="Q5" s="341">
        <v>1393.96</v>
      </c>
      <c r="R5" s="341">
        <v>1204.46</v>
      </c>
      <c r="S5" s="341"/>
      <c r="T5" s="248" t="s">
        <v>344</v>
      </c>
      <c r="U5" s="12">
        <v>0</v>
      </c>
      <c r="V5" s="12"/>
      <c r="W5" s="12"/>
      <c r="X5" s="12"/>
      <c r="Y5" s="12"/>
      <c r="Z5" s="12"/>
      <c r="AA5" s="12">
        <f>SUM(V5:Z5)</f>
        <v>0</v>
      </c>
      <c r="AB5" s="12" t="s">
        <v>434</v>
      </c>
    </row>
    <row r="6" spans="1:28" ht="53.25" customHeight="1">
      <c r="A6" s="139"/>
      <c r="B6" s="338"/>
      <c r="C6" s="235" t="s">
        <v>13</v>
      </c>
      <c r="D6" s="346"/>
      <c r="E6" s="346"/>
      <c r="F6" s="346"/>
      <c r="G6" s="346"/>
      <c r="H6" s="346"/>
      <c r="I6" s="346"/>
      <c r="J6" s="346"/>
      <c r="K6" s="15" t="s">
        <v>16</v>
      </c>
      <c r="L6" s="247">
        <v>1100</v>
      </c>
      <c r="M6" s="292">
        <v>45783</v>
      </c>
      <c r="N6" s="346"/>
      <c r="O6" s="292">
        <v>45930</v>
      </c>
      <c r="P6" s="342"/>
      <c r="Q6" s="342"/>
      <c r="R6" s="342"/>
      <c r="S6" s="342"/>
      <c r="T6" s="248" t="s">
        <v>345</v>
      </c>
      <c r="U6" s="12"/>
      <c r="V6" s="12"/>
      <c r="W6" s="12"/>
      <c r="X6" s="12"/>
      <c r="Y6" s="12"/>
      <c r="Z6" s="12"/>
      <c r="AA6" s="12"/>
      <c r="AB6" s="12"/>
    </row>
    <row r="7" spans="1:28" ht="53.25" customHeight="1">
      <c r="A7" s="139"/>
      <c r="B7" s="339"/>
      <c r="C7" s="235" t="s">
        <v>13</v>
      </c>
      <c r="D7" s="347"/>
      <c r="E7" s="347"/>
      <c r="F7" s="347"/>
      <c r="G7" s="347"/>
      <c r="H7" s="347"/>
      <c r="I7" s="347"/>
      <c r="J7" s="347"/>
      <c r="K7" s="15" t="s">
        <v>17</v>
      </c>
      <c r="L7" s="247">
        <v>800</v>
      </c>
      <c r="M7" s="292">
        <v>45792</v>
      </c>
      <c r="N7" s="347"/>
      <c r="O7" s="292">
        <v>45930</v>
      </c>
      <c r="P7" s="343"/>
      <c r="Q7" s="343"/>
      <c r="R7" s="343"/>
      <c r="S7" s="343"/>
      <c r="T7" s="248" t="s">
        <v>346</v>
      </c>
      <c r="U7" s="12"/>
      <c r="V7" s="12"/>
      <c r="W7" s="12"/>
      <c r="X7" s="12"/>
      <c r="Y7" s="12"/>
      <c r="Z7" s="12"/>
      <c r="AA7" s="12"/>
      <c r="AB7" s="12"/>
    </row>
    <row r="8" spans="1:28" ht="48" customHeight="1">
      <c r="A8" s="139"/>
      <c r="B8" s="337" t="s">
        <v>190</v>
      </c>
      <c r="C8" s="376" t="s">
        <v>322</v>
      </c>
      <c r="D8" s="345">
        <v>2</v>
      </c>
      <c r="E8" s="345" t="s">
        <v>18</v>
      </c>
      <c r="F8" s="345">
        <v>80978</v>
      </c>
      <c r="G8" s="345">
        <f>850.64+366+244.72+495.76+1078.68+1214.22+429.655+376.715+230.505</f>
        <v>5286.8950000000004</v>
      </c>
      <c r="H8" s="345">
        <f>F8-G8</f>
        <v>75691.104999999996</v>
      </c>
      <c r="I8" s="341">
        <v>1500</v>
      </c>
      <c r="J8" s="341">
        <v>2</v>
      </c>
      <c r="K8" s="15" t="s">
        <v>19</v>
      </c>
      <c r="L8" s="247">
        <v>800</v>
      </c>
      <c r="M8" s="292">
        <v>45782</v>
      </c>
      <c r="N8" s="341">
        <v>60</v>
      </c>
      <c r="O8" s="292">
        <v>45843</v>
      </c>
      <c r="P8" s="341">
        <v>230.505</v>
      </c>
      <c r="Q8" s="341">
        <v>376.71499999999997</v>
      </c>
      <c r="R8" s="341">
        <v>429.65499999999997</v>
      </c>
      <c r="S8" s="341"/>
      <c r="T8" s="248" t="s">
        <v>519</v>
      </c>
      <c r="U8" s="140"/>
      <c r="V8" s="12"/>
      <c r="W8" s="12"/>
      <c r="X8" s="12"/>
      <c r="Y8" s="12"/>
      <c r="Z8" s="12"/>
      <c r="AA8" s="12"/>
      <c r="AB8" s="13" t="s">
        <v>332</v>
      </c>
    </row>
    <row r="9" spans="1:28" ht="48" customHeight="1">
      <c r="A9" s="139"/>
      <c r="B9" s="338"/>
      <c r="C9" s="377"/>
      <c r="D9" s="347"/>
      <c r="E9" s="347"/>
      <c r="F9" s="347"/>
      <c r="G9" s="347"/>
      <c r="H9" s="347"/>
      <c r="I9" s="343"/>
      <c r="J9" s="343"/>
      <c r="K9" s="15" t="s">
        <v>20</v>
      </c>
      <c r="L9" s="247">
        <v>700</v>
      </c>
      <c r="M9" s="292">
        <v>45786</v>
      </c>
      <c r="N9" s="343"/>
      <c r="O9" s="292">
        <v>45843</v>
      </c>
      <c r="P9" s="343"/>
      <c r="Q9" s="343"/>
      <c r="R9" s="343"/>
      <c r="S9" s="343"/>
      <c r="T9" s="248" t="s">
        <v>520</v>
      </c>
      <c r="U9" s="140"/>
      <c r="V9" s="12"/>
      <c r="W9" s="12"/>
      <c r="X9" s="12"/>
      <c r="Y9" s="12"/>
      <c r="Z9" s="12"/>
      <c r="AA9" s="12"/>
      <c r="AB9" s="13"/>
    </row>
    <row r="10" spans="1:28" ht="69" customHeight="1">
      <c r="A10" s="139"/>
      <c r="B10" s="338"/>
      <c r="C10" s="249" t="s">
        <v>322</v>
      </c>
      <c r="D10" s="250">
        <v>3</v>
      </c>
      <c r="E10" s="250" t="s">
        <v>26</v>
      </c>
      <c r="F10" s="240">
        <v>30604</v>
      </c>
      <c r="G10" s="116">
        <f>6128.21+537+774.18+692.55+645.08+117.1+661.21+722.93</f>
        <v>10278.260000000002</v>
      </c>
      <c r="H10" s="116">
        <f>F10-G10</f>
        <v>20325.739999999998</v>
      </c>
      <c r="I10" s="15">
        <v>800</v>
      </c>
      <c r="J10" s="15">
        <v>1</v>
      </c>
      <c r="K10" s="15" t="s">
        <v>27</v>
      </c>
      <c r="L10" s="247">
        <v>800</v>
      </c>
      <c r="M10" s="292">
        <v>45773</v>
      </c>
      <c r="N10" s="15">
        <v>50</v>
      </c>
      <c r="O10" s="292">
        <v>45838</v>
      </c>
      <c r="P10" s="15">
        <v>722.93</v>
      </c>
      <c r="Q10" s="15">
        <v>661.21</v>
      </c>
      <c r="R10" s="15">
        <v>117.1</v>
      </c>
      <c r="S10" s="15"/>
      <c r="T10" s="248" t="s">
        <v>498</v>
      </c>
      <c r="U10" s="140"/>
      <c r="V10" s="12"/>
      <c r="W10" s="12"/>
      <c r="X10" s="12"/>
      <c r="Y10" s="12"/>
      <c r="Z10" s="12"/>
      <c r="AA10" s="12"/>
      <c r="AB10" s="12"/>
    </row>
    <row r="11" spans="1:28" ht="50.25" customHeight="1">
      <c r="A11" s="139"/>
      <c r="B11" s="338"/>
      <c r="C11" s="249" t="s">
        <v>322</v>
      </c>
      <c r="D11" s="345">
        <v>4</v>
      </c>
      <c r="E11" s="341" t="s">
        <v>29</v>
      </c>
      <c r="F11" s="341">
        <v>76735</v>
      </c>
      <c r="G11" s="341">
        <v>0</v>
      </c>
      <c r="H11" s="341">
        <f>F11-G11</f>
        <v>76735</v>
      </c>
      <c r="I11" s="341">
        <v>1200</v>
      </c>
      <c r="J11" s="341">
        <v>2</v>
      </c>
      <c r="K11" s="15" t="s">
        <v>30</v>
      </c>
      <c r="L11" s="247">
        <v>600</v>
      </c>
      <c r="M11" s="292">
        <v>45792</v>
      </c>
      <c r="N11" s="341">
        <v>70</v>
      </c>
      <c r="O11" s="292">
        <v>45930</v>
      </c>
      <c r="P11" s="341">
        <v>0</v>
      </c>
      <c r="Q11" s="341">
        <v>0</v>
      </c>
      <c r="R11" s="341" t="s">
        <v>404</v>
      </c>
      <c r="S11" s="15"/>
      <c r="T11" s="248" t="s">
        <v>433</v>
      </c>
      <c r="U11" s="140"/>
      <c r="V11" s="12"/>
      <c r="W11" s="12"/>
      <c r="X11" s="12"/>
      <c r="Y11" s="12"/>
      <c r="Z11" s="12"/>
      <c r="AA11" s="12"/>
      <c r="AB11" s="12"/>
    </row>
    <row r="12" spans="1:28" ht="48" customHeight="1">
      <c r="A12" s="139"/>
      <c r="B12" s="339"/>
      <c r="C12" s="251"/>
      <c r="D12" s="347"/>
      <c r="E12" s="343"/>
      <c r="F12" s="343"/>
      <c r="G12" s="343"/>
      <c r="H12" s="343"/>
      <c r="I12" s="343"/>
      <c r="J12" s="343"/>
      <c r="K12" s="252" t="s">
        <v>347</v>
      </c>
      <c r="L12" s="247">
        <v>600</v>
      </c>
      <c r="M12" s="292">
        <v>45809</v>
      </c>
      <c r="N12" s="343"/>
      <c r="O12" s="292">
        <v>45930</v>
      </c>
      <c r="P12" s="343"/>
      <c r="Q12" s="343"/>
      <c r="R12" s="343"/>
      <c r="S12" s="15"/>
      <c r="T12" s="248" t="s">
        <v>348</v>
      </c>
      <c r="U12" s="140"/>
      <c r="V12" s="12"/>
      <c r="W12" s="12"/>
      <c r="X12" s="12"/>
      <c r="Y12" s="12"/>
      <c r="Z12" s="12"/>
      <c r="AA12" s="12"/>
      <c r="AB12" s="12"/>
    </row>
    <row r="13" spans="1:28" ht="36" customHeight="1">
      <c r="A13" s="139"/>
      <c r="B13" s="253"/>
      <c r="C13" s="217" t="s">
        <v>25</v>
      </c>
      <c r="D13" s="217"/>
      <c r="E13" s="217"/>
      <c r="F13" s="217">
        <f>SUM(F8:F11)</f>
        <v>188317</v>
      </c>
      <c r="G13" s="217">
        <f t="shared" ref="G13:U13" si="0">SUM(G8:G11)</f>
        <v>15565.155000000002</v>
      </c>
      <c r="H13" s="217">
        <f t="shared" si="0"/>
        <v>172751.845</v>
      </c>
      <c r="I13" s="217">
        <f t="shared" si="0"/>
        <v>3500</v>
      </c>
      <c r="J13" s="217">
        <f t="shared" si="0"/>
        <v>5</v>
      </c>
      <c r="K13" s="217">
        <f t="shared" si="0"/>
        <v>0</v>
      </c>
      <c r="L13" s="254">
        <f t="shared" si="0"/>
        <v>2900</v>
      </c>
      <c r="M13" s="294"/>
      <c r="N13" s="217">
        <f t="shared" si="0"/>
        <v>180</v>
      </c>
      <c r="O13" s="294"/>
      <c r="P13" s="217">
        <f>SUM(P8:P12)</f>
        <v>953.43499999999995</v>
      </c>
      <c r="Q13" s="217">
        <f>SUM(Q8:Q12)</f>
        <v>1037.925</v>
      </c>
      <c r="R13" s="217">
        <f>SUM(R8:R12)</f>
        <v>546.755</v>
      </c>
      <c r="S13" s="217"/>
      <c r="T13" s="255">
        <f t="shared" si="0"/>
        <v>0</v>
      </c>
      <c r="U13" s="97">
        <f t="shared" si="0"/>
        <v>0</v>
      </c>
      <c r="V13" s="9"/>
      <c r="W13" s="9"/>
      <c r="X13" s="9"/>
      <c r="Y13" s="9"/>
      <c r="Z13" s="9"/>
      <c r="AA13" s="9"/>
      <c r="AB13" s="141"/>
    </row>
    <row r="14" spans="1:28" ht="36.75" customHeight="1">
      <c r="A14" s="139"/>
      <c r="B14" s="337" t="s">
        <v>190</v>
      </c>
      <c r="C14" s="216" t="s">
        <v>323</v>
      </c>
      <c r="D14" s="341">
        <v>5</v>
      </c>
      <c r="E14" s="341" t="s">
        <v>33</v>
      </c>
      <c r="F14" s="371">
        <v>300000</v>
      </c>
      <c r="G14" s="371">
        <f>168.78+128+215.68+158.43+230.23+212.31+233.16+202.38</f>
        <v>1548.9700000000003</v>
      </c>
      <c r="H14" s="371">
        <f>F14-G14</f>
        <v>298451.03000000003</v>
      </c>
      <c r="I14" s="341">
        <v>3400</v>
      </c>
      <c r="J14" s="341">
        <v>3</v>
      </c>
      <c r="K14" s="15" t="s">
        <v>34</v>
      </c>
      <c r="L14" s="247">
        <v>900</v>
      </c>
      <c r="M14" s="292">
        <v>45792</v>
      </c>
      <c r="N14" s="341">
        <f>O14-M14</f>
        <v>138</v>
      </c>
      <c r="O14" s="292">
        <v>45930</v>
      </c>
      <c r="P14" s="341">
        <v>202.38</v>
      </c>
      <c r="Q14" s="341">
        <v>233.16</v>
      </c>
      <c r="R14" s="341">
        <v>212.31</v>
      </c>
      <c r="S14" s="341"/>
      <c r="T14" s="248" t="s">
        <v>349</v>
      </c>
      <c r="U14" s="12"/>
      <c r="V14" s="12"/>
      <c r="W14" s="12"/>
      <c r="X14" s="12"/>
      <c r="Y14" s="12"/>
      <c r="Z14" s="12"/>
      <c r="AA14" s="12"/>
      <c r="AB14" s="46" t="s">
        <v>331</v>
      </c>
    </row>
    <row r="15" spans="1:28" ht="36.75" customHeight="1">
      <c r="A15" s="139"/>
      <c r="B15" s="338"/>
      <c r="C15" s="216" t="s">
        <v>323</v>
      </c>
      <c r="D15" s="342"/>
      <c r="E15" s="342"/>
      <c r="F15" s="372"/>
      <c r="G15" s="372"/>
      <c r="H15" s="372"/>
      <c r="I15" s="370"/>
      <c r="J15" s="342"/>
      <c r="K15" s="15" t="s">
        <v>35</v>
      </c>
      <c r="L15" s="247">
        <v>1100</v>
      </c>
      <c r="M15" s="292">
        <v>45782</v>
      </c>
      <c r="N15" s="342"/>
      <c r="O15" s="292">
        <v>45930</v>
      </c>
      <c r="P15" s="342"/>
      <c r="Q15" s="342"/>
      <c r="R15" s="342"/>
      <c r="S15" s="342"/>
      <c r="T15" s="248" t="s">
        <v>451</v>
      </c>
      <c r="U15" s="12"/>
      <c r="V15" s="12"/>
      <c r="W15" s="12"/>
      <c r="X15" s="12"/>
      <c r="Y15" s="12"/>
      <c r="Z15" s="12"/>
      <c r="AA15" s="12"/>
      <c r="AB15" s="46"/>
    </row>
    <row r="16" spans="1:28" ht="36.75" customHeight="1">
      <c r="A16" s="139"/>
      <c r="B16" s="338"/>
      <c r="C16" s="216" t="s">
        <v>323</v>
      </c>
      <c r="D16" s="343"/>
      <c r="E16" s="343"/>
      <c r="F16" s="367"/>
      <c r="G16" s="367"/>
      <c r="H16" s="367"/>
      <c r="I16" s="369"/>
      <c r="J16" s="343"/>
      <c r="K16" s="15" t="s">
        <v>36</v>
      </c>
      <c r="L16" s="247">
        <v>1400</v>
      </c>
      <c r="M16" s="292">
        <v>45797</v>
      </c>
      <c r="N16" s="343"/>
      <c r="O16" s="292">
        <v>45930</v>
      </c>
      <c r="P16" s="343"/>
      <c r="Q16" s="343"/>
      <c r="R16" s="343"/>
      <c r="S16" s="343"/>
      <c r="T16" s="248" t="s">
        <v>350</v>
      </c>
      <c r="U16" s="12"/>
      <c r="V16" s="12"/>
      <c r="W16" s="12"/>
      <c r="X16" s="12"/>
      <c r="Y16" s="12"/>
      <c r="Z16" s="12"/>
      <c r="AA16" s="12"/>
      <c r="AB16" s="46"/>
    </row>
    <row r="17" spans="1:28" ht="37.5" customHeight="1">
      <c r="A17" s="139"/>
      <c r="B17" s="338"/>
      <c r="C17" s="216" t="s">
        <v>323</v>
      </c>
      <c r="D17" s="216">
        <v>6</v>
      </c>
      <c r="E17" s="250" t="s">
        <v>66</v>
      </c>
      <c r="F17" s="167">
        <v>30000</v>
      </c>
      <c r="G17" s="158">
        <v>0</v>
      </c>
      <c r="H17" s="157">
        <f>F17-G17</f>
        <v>30000</v>
      </c>
      <c r="I17" s="161">
        <v>600</v>
      </c>
      <c r="J17" s="15">
        <v>1</v>
      </c>
      <c r="K17" s="15" t="s">
        <v>67</v>
      </c>
      <c r="L17" s="247">
        <v>600</v>
      </c>
      <c r="M17" s="292">
        <v>45797</v>
      </c>
      <c r="N17" s="15">
        <v>55</v>
      </c>
      <c r="O17" s="292">
        <v>45930</v>
      </c>
      <c r="P17" s="15">
        <v>0</v>
      </c>
      <c r="Q17" s="15">
        <v>0</v>
      </c>
      <c r="R17" s="15">
        <v>0</v>
      </c>
      <c r="S17" s="15"/>
      <c r="T17" s="248" t="s">
        <v>349</v>
      </c>
      <c r="U17" s="12"/>
      <c r="V17" s="12"/>
      <c r="W17" s="12"/>
      <c r="X17" s="12"/>
      <c r="Y17" s="12"/>
      <c r="Z17" s="12"/>
      <c r="AA17" s="12"/>
      <c r="AB17" s="12"/>
    </row>
    <row r="18" spans="1:28" ht="37.5" customHeight="1">
      <c r="A18" s="139"/>
      <c r="B18" s="339"/>
      <c r="C18" s="216" t="s">
        <v>323</v>
      </c>
      <c r="D18" s="216">
        <v>7</v>
      </c>
      <c r="E18" s="250" t="s">
        <v>37</v>
      </c>
      <c r="F18" s="167">
        <v>27543</v>
      </c>
      <c r="G18" s="157">
        <f>186.67+335.21+354.83+261.04</f>
        <v>1137.75</v>
      </c>
      <c r="H18" s="157">
        <f>F18-G18</f>
        <v>26405.25</v>
      </c>
      <c r="I18" s="161">
        <v>600</v>
      </c>
      <c r="J18" s="15">
        <v>1</v>
      </c>
      <c r="K18" s="15" t="s">
        <v>38</v>
      </c>
      <c r="L18" s="247">
        <v>600</v>
      </c>
      <c r="M18" s="292">
        <v>45788</v>
      </c>
      <c r="N18" s="15">
        <v>50</v>
      </c>
      <c r="O18" s="292">
        <v>45930</v>
      </c>
      <c r="P18" s="15">
        <v>261.04000000000002</v>
      </c>
      <c r="Q18" s="15">
        <v>354.83</v>
      </c>
      <c r="R18" s="15">
        <v>335.21</v>
      </c>
      <c r="S18" s="15"/>
      <c r="T18" s="248" t="s">
        <v>472</v>
      </c>
      <c r="U18" s="12"/>
      <c r="V18" s="12"/>
      <c r="W18" s="12"/>
      <c r="X18" s="12"/>
      <c r="Y18" s="12"/>
      <c r="Z18" s="12"/>
      <c r="AA18" s="12"/>
      <c r="AB18" s="12" t="s">
        <v>434</v>
      </c>
    </row>
    <row r="19" spans="1:28" ht="34.5" customHeight="1">
      <c r="A19" s="139"/>
      <c r="B19" s="253"/>
      <c r="C19" s="217" t="s">
        <v>25</v>
      </c>
      <c r="D19" s="217"/>
      <c r="E19" s="217"/>
      <c r="F19" s="168">
        <f>SUM(F14:F18)</f>
        <v>357543</v>
      </c>
      <c r="G19" s="168">
        <f t="shared" ref="G19:U19" si="1">SUM(G14:G18)</f>
        <v>2686.7200000000003</v>
      </c>
      <c r="H19" s="168">
        <f t="shared" si="1"/>
        <v>354856.28</v>
      </c>
      <c r="I19" s="168">
        <f t="shared" si="1"/>
        <v>4600</v>
      </c>
      <c r="J19" s="217">
        <f t="shared" si="1"/>
        <v>5</v>
      </c>
      <c r="K19" s="217">
        <f t="shared" si="1"/>
        <v>0</v>
      </c>
      <c r="L19" s="254">
        <f t="shared" si="1"/>
        <v>4600</v>
      </c>
      <c r="M19" s="294"/>
      <c r="N19" s="217">
        <f t="shared" si="1"/>
        <v>243</v>
      </c>
      <c r="O19" s="294"/>
      <c r="P19" s="217">
        <f t="shared" ref="P19:R19" si="2">SUM(P14:P18)</f>
        <v>463.42</v>
      </c>
      <c r="Q19" s="217">
        <f t="shared" si="2"/>
        <v>587.99</v>
      </c>
      <c r="R19" s="217">
        <f t="shared" si="2"/>
        <v>547.52</v>
      </c>
      <c r="S19" s="217"/>
      <c r="T19" s="255">
        <f t="shared" si="1"/>
        <v>0</v>
      </c>
      <c r="U19" s="97">
        <f t="shared" si="1"/>
        <v>0</v>
      </c>
      <c r="V19" s="9"/>
      <c r="W19" s="9"/>
      <c r="X19" s="9"/>
      <c r="Y19" s="9"/>
      <c r="Z19" s="9"/>
      <c r="AA19" s="9"/>
      <c r="AB19" s="141"/>
    </row>
    <row r="20" spans="1:28" ht="40.5" customHeight="1">
      <c r="A20" s="139"/>
      <c r="B20" s="337" t="s">
        <v>190</v>
      </c>
      <c r="C20" s="250" t="s">
        <v>319</v>
      </c>
      <c r="D20" s="341">
        <v>8</v>
      </c>
      <c r="E20" s="341" t="s">
        <v>45</v>
      </c>
      <c r="F20" s="368">
        <v>166278</v>
      </c>
      <c r="G20" s="368">
        <v>0</v>
      </c>
      <c r="H20" s="368">
        <f>F20-G20</f>
        <v>166278</v>
      </c>
      <c r="I20" s="161">
        <v>800</v>
      </c>
      <c r="J20" s="15">
        <v>1</v>
      </c>
      <c r="K20" s="15" t="s">
        <v>46</v>
      </c>
      <c r="L20" s="247">
        <v>800</v>
      </c>
      <c r="M20" s="292">
        <v>45792</v>
      </c>
      <c r="N20" s="341">
        <v>120</v>
      </c>
      <c r="O20" s="292">
        <v>45930</v>
      </c>
      <c r="P20" s="341">
        <v>0</v>
      </c>
      <c r="Q20" s="341">
        <v>0</v>
      </c>
      <c r="R20" s="341">
        <v>0</v>
      </c>
      <c r="S20" s="15"/>
      <c r="T20" s="248" t="s">
        <v>373</v>
      </c>
      <c r="U20" s="12"/>
      <c r="V20" s="12"/>
      <c r="W20" s="12"/>
      <c r="X20" s="12"/>
      <c r="Y20" s="12"/>
      <c r="Z20" s="12"/>
      <c r="AA20" s="12"/>
      <c r="AB20" s="12"/>
    </row>
    <row r="21" spans="1:28" ht="42.75" customHeight="1">
      <c r="A21" s="139"/>
      <c r="B21" s="338"/>
      <c r="C21" s="250" t="s">
        <v>319</v>
      </c>
      <c r="D21" s="343"/>
      <c r="E21" s="343"/>
      <c r="F21" s="369"/>
      <c r="G21" s="369"/>
      <c r="H21" s="369"/>
      <c r="I21" s="161">
        <v>800</v>
      </c>
      <c r="J21" s="15">
        <v>1</v>
      </c>
      <c r="K21" s="252" t="s">
        <v>47</v>
      </c>
      <c r="L21" s="247">
        <v>800</v>
      </c>
      <c r="M21" s="292">
        <v>45853</v>
      </c>
      <c r="N21" s="343"/>
      <c r="O21" s="292">
        <v>45930</v>
      </c>
      <c r="P21" s="343"/>
      <c r="Q21" s="343"/>
      <c r="R21" s="343"/>
      <c r="S21" s="15"/>
      <c r="T21" s="248" t="s">
        <v>408</v>
      </c>
      <c r="U21" s="12"/>
      <c r="V21" s="12"/>
      <c r="W21" s="12"/>
      <c r="X21" s="12"/>
      <c r="Y21" s="12"/>
      <c r="Z21" s="12"/>
      <c r="AA21" s="12"/>
      <c r="AB21" s="12"/>
    </row>
    <row r="22" spans="1:28" ht="39" customHeight="1">
      <c r="A22" s="139"/>
      <c r="B22" s="338"/>
      <c r="C22" s="250" t="s">
        <v>319</v>
      </c>
      <c r="D22" s="250">
        <v>9</v>
      </c>
      <c r="E22" s="250" t="s">
        <v>41</v>
      </c>
      <c r="F22" s="167">
        <v>43811</v>
      </c>
      <c r="G22" s="157">
        <f>12617.71+65.16+334.37+350.09</f>
        <v>13367.33</v>
      </c>
      <c r="H22" s="157">
        <f>F22-G22</f>
        <v>30443.67</v>
      </c>
      <c r="I22" s="161">
        <v>900</v>
      </c>
      <c r="J22" s="15">
        <v>1</v>
      </c>
      <c r="K22" s="15" t="s">
        <v>42</v>
      </c>
      <c r="L22" s="247">
        <v>900</v>
      </c>
      <c r="M22" s="292">
        <v>45756</v>
      </c>
      <c r="N22" s="15">
        <v>40</v>
      </c>
      <c r="O22" s="292">
        <v>45930</v>
      </c>
      <c r="P22" s="15">
        <v>350.09</v>
      </c>
      <c r="Q22" s="15">
        <v>334.37</v>
      </c>
      <c r="R22" s="15">
        <v>0</v>
      </c>
      <c r="S22" s="15"/>
      <c r="T22" s="248" t="s">
        <v>298</v>
      </c>
      <c r="U22" s="12"/>
      <c r="V22" s="12"/>
      <c r="W22" s="12"/>
      <c r="X22" s="12"/>
      <c r="Y22" s="12"/>
      <c r="Z22" s="12"/>
      <c r="AA22" s="12"/>
      <c r="AB22" s="12"/>
    </row>
    <row r="23" spans="1:28" ht="70.5" customHeight="1">
      <c r="A23" s="139"/>
      <c r="B23" s="338"/>
      <c r="C23" s="250" t="s">
        <v>319</v>
      </c>
      <c r="D23" s="341">
        <v>10</v>
      </c>
      <c r="E23" s="341" t="s">
        <v>320</v>
      </c>
      <c r="F23" s="366">
        <v>30609</v>
      </c>
      <c r="G23" s="368">
        <v>0</v>
      </c>
      <c r="H23" s="366">
        <f>F23-G23</f>
        <v>30609</v>
      </c>
      <c r="I23" s="161">
        <v>600</v>
      </c>
      <c r="J23" s="236">
        <v>1</v>
      </c>
      <c r="K23" s="252" t="s">
        <v>378</v>
      </c>
      <c r="L23" s="247">
        <v>600</v>
      </c>
      <c r="M23" s="292">
        <v>45823</v>
      </c>
      <c r="N23" s="341">
        <v>60</v>
      </c>
      <c r="O23" s="292">
        <v>45930</v>
      </c>
      <c r="P23" s="341">
        <v>0</v>
      </c>
      <c r="Q23" s="341">
        <v>0</v>
      </c>
      <c r="R23" s="341">
        <v>0</v>
      </c>
      <c r="S23" s="15"/>
      <c r="T23" s="248" t="s">
        <v>411</v>
      </c>
      <c r="U23" s="12"/>
      <c r="V23" s="12"/>
      <c r="W23" s="12"/>
      <c r="X23" s="12"/>
      <c r="Y23" s="12"/>
      <c r="Z23" s="12"/>
      <c r="AA23" s="12"/>
      <c r="AB23" s="12"/>
    </row>
    <row r="24" spans="1:28" ht="73.5" customHeight="1">
      <c r="A24" s="139"/>
      <c r="B24" s="338"/>
      <c r="C24" s="250" t="s">
        <v>319</v>
      </c>
      <c r="D24" s="343"/>
      <c r="E24" s="343"/>
      <c r="F24" s="367"/>
      <c r="G24" s="369"/>
      <c r="H24" s="367"/>
      <c r="I24" s="161">
        <v>1100</v>
      </c>
      <c r="J24" s="237">
        <v>1</v>
      </c>
      <c r="K24" s="252" t="s">
        <v>379</v>
      </c>
      <c r="L24" s="247">
        <v>1100</v>
      </c>
      <c r="M24" s="292">
        <v>45853</v>
      </c>
      <c r="N24" s="343"/>
      <c r="O24" s="292">
        <v>45930</v>
      </c>
      <c r="P24" s="343"/>
      <c r="Q24" s="343"/>
      <c r="R24" s="343"/>
      <c r="S24" s="15"/>
      <c r="T24" s="248" t="s">
        <v>410</v>
      </c>
      <c r="U24" s="12"/>
      <c r="V24" s="12"/>
      <c r="W24" s="12"/>
      <c r="X24" s="12"/>
      <c r="Y24" s="12"/>
      <c r="Z24" s="12"/>
      <c r="AA24" s="12"/>
      <c r="AB24" s="12"/>
    </row>
    <row r="25" spans="1:28" ht="51.75" customHeight="1">
      <c r="A25" s="139"/>
      <c r="B25" s="338"/>
      <c r="C25" s="250" t="s">
        <v>319</v>
      </c>
      <c r="D25" s="250">
        <v>11</v>
      </c>
      <c r="E25" s="250" t="s">
        <v>49</v>
      </c>
      <c r="F25" s="167">
        <v>46264</v>
      </c>
      <c r="G25" s="157">
        <v>109.03</v>
      </c>
      <c r="H25" s="157">
        <f t="shared" ref="H25:H34" si="3">F25-G25</f>
        <v>46154.97</v>
      </c>
      <c r="I25" s="161">
        <v>1400</v>
      </c>
      <c r="J25" s="15">
        <v>1</v>
      </c>
      <c r="K25" s="15" t="s">
        <v>50</v>
      </c>
      <c r="L25" s="247">
        <v>1400</v>
      </c>
      <c r="M25" s="292">
        <v>45791</v>
      </c>
      <c r="N25" s="15">
        <v>40</v>
      </c>
      <c r="O25" s="292">
        <v>45838</v>
      </c>
      <c r="P25" s="15">
        <v>109.03</v>
      </c>
      <c r="Q25" s="15">
        <v>0</v>
      </c>
      <c r="R25" s="15">
        <v>0</v>
      </c>
      <c r="S25" s="15"/>
      <c r="T25" s="248" t="s">
        <v>517</v>
      </c>
      <c r="U25" s="12"/>
      <c r="V25" s="12"/>
      <c r="W25" s="12"/>
      <c r="X25" s="12"/>
      <c r="Y25" s="12"/>
      <c r="Z25" s="12"/>
      <c r="AA25" s="12"/>
      <c r="AB25" s="12"/>
    </row>
    <row r="26" spans="1:28" ht="69" customHeight="1">
      <c r="A26" s="139"/>
      <c r="B26" s="338"/>
      <c r="C26" s="250" t="s">
        <v>319</v>
      </c>
      <c r="D26" s="250">
        <v>12</v>
      </c>
      <c r="E26" s="250" t="s">
        <v>53</v>
      </c>
      <c r="F26" s="167">
        <v>30894</v>
      </c>
      <c r="G26" s="158">
        <v>0</v>
      </c>
      <c r="H26" s="157">
        <f t="shared" si="3"/>
        <v>30894</v>
      </c>
      <c r="I26" s="161">
        <v>600</v>
      </c>
      <c r="J26" s="15">
        <v>1</v>
      </c>
      <c r="K26" s="15" t="s">
        <v>54</v>
      </c>
      <c r="L26" s="247">
        <v>600</v>
      </c>
      <c r="M26" s="292">
        <v>45802</v>
      </c>
      <c r="N26" s="15">
        <v>60</v>
      </c>
      <c r="O26" s="292">
        <v>45868</v>
      </c>
      <c r="P26" s="15">
        <v>0</v>
      </c>
      <c r="Q26" s="15">
        <v>0</v>
      </c>
      <c r="R26" s="15">
        <v>0</v>
      </c>
      <c r="S26" s="15"/>
      <c r="T26" s="248" t="s">
        <v>413</v>
      </c>
      <c r="U26" s="12"/>
      <c r="V26" s="12"/>
      <c r="W26" s="12"/>
      <c r="X26" s="12"/>
      <c r="Y26" s="12"/>
      <c r="Z26" s="12"/>
      <c r="AA26" s="12"/>
      <c r="AB26" s="12"/>
    </row>
    <row r="27" spans="1:28" ht="51.75" customHeight="1">
      <c r="A27" s="139"/>
      <c r="B27" s="338"/>
      <c r="C27" s="250" t="s">
        <v>319</v>
      </c>
      <c r="D27" s="250">
        <v>13</v>
      </c>
      <c r="E27" s="250" t="s">
        <v>64</v>
      </c>
      <c r="F27" s="167">
        <v>10793</v>
      </c>
      <c r="G27" s="158">
        <v>0</v>
      </c>
      <c r="H27" s="157">
        <f t="shared" si="3"/>
        <v>10793</v>
      </c>
      <c r="I27" s="162"/>
      <c r="J27" s="15"/>
      <c r="K27" s="256" t="s">
        <v>325</v>
      </c>
      <c r="L27" s="247">
        <v>600</v>
      </c>
      <c r="M27" s="292" t="s">
        <v>380</v>
      </c>
      <c r="N27" s="15"/>
      <c r="O27" s="292">
        <v>45930</v>
      </c>
      <c r="P27" s="15">
        <v>0</v>
      </c>
      <c r="Q27" s="15">
        <v>0</v>
      </c>
      <c r="R27" s="15">
        <v>0</v>
      </c>
      <c r="S27" s="15"/>
      <c r="T27" s="248" t="s">
        <v>409</v>
      </c>
      <c r="U27" s="12"/>
      <c r="V27" s="12"/>
      <c r="W27" s="12"/>
      <c r="X27" s="12"/>
      <c r="Y27" s="12"/>
      <c r="Z27" s="12"/>
      <c r="AA27" s="12"/>
      <c r="AB27" s="12"/>
    </row>
    <row r="28" spans="1:28" ht="51.75" customHeight="1">
      <c r="A28" s="139"/>
      <c r="B28" s="338"/>
      <c r="C28" s="250" t="s">
        <v>319</v>
      </c>
      <c r="D28" s="250">
        <v>14</v>
      </c>
      <c r="E28" s="250" t="s">
        <v>62</v>
      </c>
      <c r="F28" s="167">
        <v>11195</v>
      </c>
      <c r="G28" s="158">
        <v>0</v>
      </c>
      <c r="H28" s="157">
        <f t="shared" si="3"/>
        <v>11195</v>
      </c>
      <c r="I28" s="162"/>
      <c r="J28" s="15"/>
      <c r="K28" s="256" t="s">
        <v>325</v>
      </c>
      <c r="L28" s="247">
        <v>600</v>
      </c>
      <c r="M28" s="292" t="s">
        <v>380</v>
      </c>
      <c r="N28" s="15"/>
      <c r="O28" s="292">
        <v>45930</v>
      </c>
      <c r="P28" s="15">
        <v>0</v>
      </c>
      <c r="Q28" s="15">
        <v>0</v>
      </c>
      <c r="R28" s="15">
        <v>0</v>
      </c>
      <c r="S28" s="15"/>
      <c r="T28" s="248" t="s">
        <v>326</v>
      </c>
      <c r="U28" s="12"/>
      <c r="V28" s="12"/>
      <c r="W28" s="12"/>
      <c r="X28" s="12"/>
      <c r="Y28" s="12"/>
      <c r="Z28" s="12"/>
      <c r="AA28" s="12"/>
      <c r="AB28" s="12"/>
    </row>
    <row r="29" spans="1:28" ht="51.75" customHeight="1">
      <c r="A29" s="139"/>
      <c r="B29" s="338"/>
      <c r="C29" s="250" t="s">
        <v>319</v>
      </c>
      <c r="D29" s="250">
        <v>15</v>
      </c>
      <c r="E29" s="250" t="s">
        <v>57</v>
      </c>
      <c r="F29" s="167">
        <v>6194</v>
      </c>
      <c r="G29" s="158">
        <v>0</v>
      </c>
      <c r="H29" s="157">
        <f t="shared" si="3"/>
        <v>6194</v>
      </c>
      <c r="I29" s="162"/>
      <c r="J29" s="15"/>
      <c r="K29" s="256" t="s">
        <v>375</v>
      </c>
      <c r="L29" s="247">
        <v>600</v>
      </c>
      <c r="M29" s="292">
        <v>45853</v>
      </c>
      <c r="N29" s="15">
        <v>15</v>
      </c>
      <c r="O29" s="292">
        <v>45868</v>
      </c>
      <c r="P29" s="15">
        <v>0</v>
      </c>
      <c r="Q29" s="15">
        <v>0</v>
      </c>
      <c r="R29" s="15">
        <v>0</v>
      </c>
      <c r="S29" s="15"/>
      <c r="T29" s="248" t="s">
        <v>328</v>
      </c>
      <c r="U29" s="12"/>
      <c r="V29" s="12"/>
      <c r="W29" s="12"/>
      <c r="X29" s="12"/>
      <c r="Y29" s="12"/>
      <c r="Z29" s="12"/>
      <c r="AA29" s="12"/>
      <c r="AB29" s="12"/>
    </row>
    <row r="30" spans="1:28" ht="51.75" customHeight="1">
      <c r="A30" s="139"/>
      <c r="B30" s="338"/>
      <c r="C30" s="250" t="s">
        <v>319</v>
      </c>
      <c r="D30" s="250">
        <v>16</v>
      </c>
      <c r="E30" s="250" t="s">
        <v>321</v>
      </c>
      <c r="F30" s="167">
        <v>8376</v>
      </c>
      <c r="G30" s="158">
        <v>0</v>
      </c>
      <c r="H30" s="157">
        <f t="shared" si="3"/>
        <v>8376</v>
      </c>
      <c r="I30" s="162"/>
      <c r="J30" s="15"/>
      <c r="K30" s="256" t="s">
        <v>376</v>
      </c>
      <c r="L30" s="247">
        <v>900</v>
      </c>
      <c r="M30" s="292">
        <v>45829</v>
      </c>
      <c r="N30" s="15">
        <v>10</v>
      </c>
      <c r="O30" s="292">
        <v>45838</v>
      </c>
      <c r="P30" s="15">
        <v>0</v>
      </c>
      <c r="Q30" s="15">
        <v>0</v>
      </c>
      <c r="R30" s="15">
        <v>0</v>
      </c>
      <c r="S30" s="15"/>
      <c r="T30" s="248" t="s">
        <v>377</v>
      </c>
      <c r="U30" s="12"/>
      <c r="V30" s="12"/>
      <c r="W30" s="12"/>
      <c r="X30" s="12"/>
      <c r="Y30" s="12"/>
      <c r="Z30" s="12"/>
      <c r="AA30" s="12"/>
      <c r="AB30" s="12"/>
    </row>
    <row r="31" spans="1:28" ht="51.75" customHeight="1">
      <c r="A31" s="139"/>
      <c r="B31" s="338"/>
      <c r="C31" s="250" t="s">
        <v>319</v>
      </c>
      <c r="D31" s="250">
        <v>17</v>
      </c>
      <c r="E31" s="250" t="s">
        <v>51</v>
      </c>
      <c r="F31" s="167">
        <v>7203</v>
      </c>
      <c r="G31" s="158">
        <v>0</v>
      </c>
      <c r="H31" s="157">
        <f t="shared" si="3"/>
        <v>7203</v>
      </c>
      <c r="I31" s="162"/>
      <c r="J31" s="15"/>
      <c r="K31" s="256" t="s">
        <v>381</v>
      </c>
      <c r="L31" s="247">
        <v>1400</v>
      </c>
      <c r="M31" s="292">
        <v>45823</v>
      </c>
      <c r="N31" s="15">
        <v>10</v>
      </c>
      <c r="O31" s="292">
        <v>45838</v>
      </c>
      <c r="P31" s="15">
        <v>0</v>
      </c>
      <c r="Q31" s="15">
        <v>0</v>
      </c>
      <c r="R31" s="15">
        <v>0</v>
      </c>
      <c r="S31" s="15"/>
      <c r="T31" s="248" t="s">
        <v>329</v>
      </c>
      <c r="U31" s="12"/>
      <c r="V31" s="12"/>
      <c r="W31" s="12"/>
      <c r="X31" s="12"/>
      <c r="Y31" s="12"/>
      <c r="Z31" s="12"/>
      <c r="AA31" s="12"/>
      <c r="AB31" s="12"/>
    </row>
    <row r="32" spans="1:28" ht="51.75" customHeight="1">
      <c r="A32" s="139"/>
      <c r="B32" s="338"/>
      <c r="C32" s="250" t="s">
        <v>319</v>
      </c>
      <c r="D32" s="250">
        <v>18</v>
      </c>
      <c r="E32" s="250" t="s">
        <v>55</v>
      </c>
      <c r="F32" s="167">
        <v>1675</v>
      </c>
      <c r="G32" s="158">
        <v>0</v>
      </c>
      <c r="H32" s="157">
        <f t="shared" si="3"/>
        <v>1675</v>
      </c>
      <c r="I32" s="162"/>
      <c r="J32" s="15"/>
      <c r="K32" s="256" t="s">
        <v>327</v>
      </c>
      <c r="L32" s="247">
        <v>600</v>
      </c>
      <c r="M32" s="292">
        <v>45858</v>
      </c>
      <c r="N32" s="15">
        <v>10</v>
      </c>
      <c r="O32" s="292">
        <v>45868</v>
      </c>
      <c r="P32" s="15">
        <v>0</v>
      </c>
      <c r="Q32" s="15">
        <v>0</v>
      </c>
      <c r="R32" s="15">
        <v>0</v>
      </c>
      <c r="S32" s="15"/>
      <c r="T32" s="248" t="s">
        <v>330</v>
      </c>
      <c r="U32" s="12"/>
      <c r="V32" s="12"/>
      <c r="W32" s="12"/>
      <c r="X32" s="12"/>
      <c r="Y32" s="12"/>
      <c r="Z32" s="12"/>
      <c r="AA32" s="12"/>
      <c r="AB32" s="12"/>
    </row>
    <row r="33" spans="1:38" ht="51" customHeight="1">
      <c r="A33" s="139"/>
      <c r="B33" s="338"/>
      <c r="C33" s="250" t="s">
        <v>319</v>
      </c>
      <c r="D33" s="250">
        <v>19</v>
      </c>
      <c r="E33" s="250" t="s">
        <v>312</v>
      </c>
      <c r="F33" s="167">
        <v>0</v>
      </c>
      <c r="G33" s="158">
        <v>0</v>
      </c>
      <c r="H33" s="157">
        <f t="shared" si="3"/>
        <v>0</v>
      </c>
      <c r="I33" s="162"/>
      <c r="J33" s="15"/>
      <c r="K33" s="15" t="s">
        <v>311</v>
      </c>
      <c r="L33" s="247"/>
      <c r="M33" s="292"/>
      <c r="N33" s="15"/>
      <c r="O33" s="292"/>
      <c r="P33" s="15">
        <v>0</v>
      </c>
      <c r="Q33" s="15">
        <v>0</v>
      </c>
      <c r="R33" s="15">
        <v>0</v>
      </c>
      <c r="S33" s="15"/>
      <c r="T33" s="248"/>
      <c r="U33" s="12"/>
      <c r="V33" s="12"/>
      <c r="W33" s="12"/>
      <c r="X33" s="12"/>
      <c r="Y33" s="12"/>
      <c r="Z33" s="12"/>
      <c r="AA33" s="12"/>
      <c r="AB33" s="12"/>
    </row>
    <row r="34" spans="1:38" ht="55.5" customHeight="1">
      <c r="A34" s="139"/>
      <c r="B34" s="339"/>
      <c r="C34" s="250" t="s">
        <v>319</v>
      </c>
      <c r="D34" s="250">
        <v>20</v>
      </c>
      <c r="E34" s="250" t="s">
        <v>310</v>
      </c>
      <c r="F34" s="167">
        <v>0</v>
      </c>
      <c r="G34" s="158">
        <v>0</v>
      </c>
      <c r="H34" s="157">
        <f t="shared" si="3"/>
        <v>0</v>
      </c>
      <c r="I34" s="162"/>
      <c r="J34" s="15"/>
      <c r="K34" s="15" t="s">
        <v>311</v>
      </c>
      <c r="L34" s="247"/>
      <c r="M34" s="292"/>
      <c r="N34" s="15"/>
      <c r="O34" s="292"/>
      <c r="P34" s="15">
        <v>0</v>
      </c>
      <c r="Q34" s="15">
        <v>0</v>
      </c>
      <c r="R34" s="15">
        <v>0</v>
      </c>
      <c r="S34" s="15"/>
      <c r="T34" s="248"/>
      <c r="U34" s="12"/>
      <c r="V34" s="12"/>
      <c r="W34" s="12"/>
      <c r="X34" s="12"/>
      <c r="Y34" s="12"/>
      <c r="Z34" s="12"/>
      <c r="AA34" s="12"/>
      <c r="AB34" s="12"/>
    </row>
    <row r="35" spans="1:38" ht="51.75" customHeight="1">
      <c r="A35" s="139"/>
      <c r="B35" s="334" t="s">
        <v>25</v>
      </c>
      <c r="C35" s="336"/>
      <c r="D35" s="217"/>
      <c r="E35" s="217"/>
      <c r="F35" s="168">
        <f>SUM(F20:F34)</f>
        <v>363292</v>
      </c>
      <c r="G35" s="168">
        <f t="shared" ref="G35:U35" si="4">SUM(G20:G34)</f>
        <v>13476.36</v>
      </c>
      <c r="H35" s="168">
        <f t="shared" si="4"/>
        <v>349815.64</v>
      </c>
      <c r="I35" s="168">
        <f t="shared" si="4"/>
        <v>6200</v>
      </c>
      <c r="J35" s="217">
        <f t="shared" si="4"/>
        <v>7</v>
      </c>
      <c r="K35" s="217">
        <f t="shared" si="4"/>
        <v>0</v>
      </c>
      <c r="L35" s="254">
        <f t="shared" si="4"/>
        <v>10900</v>
      </c>
      <c r="M35" s="294"/>
      <c r="N35" s="217"/>
      <c r="O35" s="294"/>
      <c r="P35" s="217">
        <f t="shared" ref="P35" si="5">SUM(P20:P34)</f>
        <v>459.12</v>
      </c>
      <c r="Q35" s="217">
        <f t="shared" ref="Q35:R35" si="6">SUM(Q20:Q34)</f>
        <v>334.37</v>
      </c>
      <c r="R35" s="217">
        <f t="shared" si="6"/>
        <v>0</v>
      </c>
      <c r="S35" s="217"/>
      <c r="T35" s="255">
        <f t="shared" si="4"/>
        <v>0</v>
      </c>
      <c r="U35" s="97">
        <f t="shared" si="4"/>
        <v>0</v>
      </c>
      <c r="V35" s="9"/>
      <c r="W35" s="9"/>
      <c r="X35" s="9"/>
      <c r="Y35" s="9"/>
      <c r="Z35" s="9"/>
      <c r="AA35" s="9"/>
      <c r="AB35" s="141"/>
    </row>
    <row r="36" spans="1:38" ht="51.75" customHeight="1">
      <c r="A36" s="139"/>
      <c r="B36" s="351" t="s">
        <v>435</v>
      </c>
      <c r="C36" s="352"/>
      <c r="D36" s="243"/>
      <c r="E36" s="243"/>
      <c r="F36" s="226">
        <f>SUM(F35,F19,F13,F5)</f>
        <v>1309152</v>
      </c>
      <c r="G36" s="226">
        <f t="shared" ref="G36:Q36" si="7">SUM(G35,G19,G13,G5)</f>
        <v>42465.345000000001</v>
      </c>
      <c r="H36" s="226">
        <f t="shared" si="7"/>
        <v>1266686.655</v>
      </c>
      <c r="I36" s="226">
        <f t="shared" si="7"/>
        <v>17100</v>
      </c>
      <c r="J36" s="226">
        <f t="shared" si="7"/>
        <v>20</v>
      </c>
      <c r="K36" s="226">
        <f t="shared" si="7"/>
        <v>0</v>
      </c>
      <c r="L36" s="226">
        <f t="shared" si="7"/>
        <v>19300</v>
      </c>
      <c r="M36" s="466"/>
      <c r="N36" s="226"/>
      <c r="O36" s="466"/>
      <c r="P36" s="243">
        <f t="shared" ref="P36" si="8">SUM(P35,P19,P13,P5)</f>
        <v>3566.2550000000001</v>
      </c>
      <c r="Q36" s="243">
        <f t="shared" si="7"/>
        <v>3354.2449999999999</v>
      </c>
      <c r="R36" s="226">
        <f t="shared" ref="R36" si="9">SUM(R35,R19,R13,R5)</f>
        <v>2298.7350000000001</v>
      </c>
      <c r="S36" s="243"/>
      <c r="T36" s="257"/>
      <c r="U36" s="97"/>
      <c r="V36" s="9"/>
      <c r="W36" s="9"/>
      <c r="X36" s="9"/>
      <c r="Y36" s="9"/>
      <c r="Z36" s="9"/>
      <c r="AA36" s="9"/>
      <c r="AB36" s="141"/>
    </row>
    <row r="37" spans="1:38" ht="35.25" hidden="1" customHeight="1">
      <c r="A37" s="178"/>
      <c r="B37" s="344"/>
      <c r="C37" s="344"/>
      <c r="D37" s="344"/>
      <c r="E37" s="344"/>
      <c r="F37" s="344"/>
      <c r="G37" s="344"/>
      <c r="H37" s="344"/>
      <c r="I37" s="344"/>
      <c r="J37" s="344"/>
      <c r="K37" s="344"/>
      <c r="L37" s="344"/>
      <c r="M37" s="344"/>
      <c r="N37" s="344"/>
      <c r="O37" s="344"/>
      <c r="P37" s="344"/>
      <c r="Q37" s="344"/>
      <c r="R37" s="344"/>
      <c r="S37" s="344"/>
      <c r="T37" s="344"/>
      <c r="U37" s="225"/>
      <c r="V37" s="9"/>
      <c r="W37" s="9"/>
      <c r="X37" s="9"/>
      <c r="Y37" s="9"/>
      <c r="Z37" s="9"/>
      <c r="AA37" s="9"/>
      <c r="AB37" s="141"/>
    </row>
    <row r="38" spans="1:38" ht="32.25" hidden="1" customHeight="1">
      <c r="B38" s="340" t="s">
        <v>190</v>
      </c>
      <c r="C38" s="216" t="s">
        <v>351</v>
      </c>
      <c r="D38" s="216">
        <v>1</v>
      </c>
      <c r="E38" s="258" t="s">
        <v>301</v>
      </c>
      <c r="F38" s="159">
        <v>8719</v>
      </c>
      <c r="G38" s="159">
        <v>8719</v>
      </c>
      <c r="H38" s="159">
        <f t="shared" ref="H38:H76" si="10">F38-G38</f>
        <v>0</v>
      </c>
      <c r="I38" s="159" t="s">
        <v>311</v>
      </c>
      <c r="J38" s="256" t="s">
        <v>311</v>
      </c>
      <c r="K38" s="256" t="s">
        <v>311</v>
      </c>
      <c r="L38" s="259" t="s">
        <v>311</v>
      </c>
      <c r="M38" s="467" t="s">
        <v>311</v>
      </c>
      <c r="N38" s="256" t="s">
        <v>311</v>
      </c>
      <c r="O38" s="467" t="s">
        <v>311</v>
      </c>
      <c r="P38" s="256"/>
      <c r="Q38" s="256" t="s">
        <v>311</v>
      </c>
      <c r="R38" s="256" t="s">
        <v>311</v>
      </c>
      <c r="S38" s="256"/>
      <c r="T38" s="260" t="s">
        <v>501</v>
      </c>
      <c r="U38" s="142" t="s">
        <v>311</v>
      </c>
      <c r="V38" s="142" t="s">
        <v>311</v>
      </c>
      <c r="W38" s="142" t="s">
        <v>311</v>
      </c>
      <c r="X38" s="142" t="s">
        <v>311</v>
      </c>
      <c r="Y38" s="142" t="s">
        <v>311</v>
      </c>
      <c r="Z38" s="142" t="s">
        <v>311</v>
      </c>
      <c r="AA38" s="142">
        <v>0</v>
      </c>
      <c r="AB38" s="142">
        <v>0</v>
      </c>
      <c r="AC38" s="142">
        <v>0</v>
      </c>
      <c r="AD38" s="142">
        <v>0</v>
      </c>
      <c r="AE38" s="142"/>
      <c r="AF38" s="142"/>
      <c r="AG38" s="142"/>
      <c r="AH38" s="142"/>
      <c r="AI38" s="142"/>
      <c r="AJ38" s="142"/>
      <c r="AK38" s="142"/>
      <c r="AL38" s="12"/>
    </row>
    <row r="39" spans="1:38" ht="32.25" hidden="1" customHeight="1">
      <c r="B39" s="340"/>
      <c r="C39" s="216" t="s">
        <v>351</v>
      </c>
      <c r="D39" s="216">
        <v>2</v>
      </c>
      <c r="E39" s="258" t="s">
        <v>302</v>
      </c>
      <c r="F39" s="160">
        <v>24910</v>
      </c>
      <c r="G39" s="160">
        <v>24910</v>
      </c>
      <c r="H39" s="159">
        <f t="shared" si="10"/>
        <v>0</v>
      </c>
      <c r="I39" s="159" t="s">
        <v>311</v>
      </c>
      <c r="J39" s="256" t="s">
        <v>311</v>
      </c>
      <c r="K39" s="256" t="s">
        <v>311</v>
      </c>
      <c r="L39" s="259" t="s">
        <v>311</v>
      </c>
      <c r="M39" s="467" t="s">
        <v>311</v>
      </c>
      <c r="N39" s="256" t="s">
        <v>311</v>
      </c>
      <c r="O39" s="467" t="s">
        <v>311</v>
      </c>
      <c r="P39" s="256"/>
      <c r="Q39" s="256" t="s">
        <v>311</v>
      </c>
      <c r="R39" s="256" t="s">
        <v>311</v>
      </c>
      <c r="S39" s="256"/>
      <c r="T39" s="260" t="s">
        <v>501</v>
      </c>
      <c r="U39" s="142" t="s">
        <v>311</v>
      </c>
      <c r="V39" s="142" t="s">
        <v>311</v>
      </c>
      <c r="W39" s="142" t="s">
        <v>311</v>
      </c>
      <c r="X39" s="142" t="s">
        <v>311</v>
      </c>
      <c r="Y39" s="142" t="s">
        <v>311</v>
      </c>
      <c r="Z39" s="142" t="s">
        <v>311</v>
      </c>
      <c r="AA39" s="142">
        <v>0</v>
      </c>
      <c r="AB39" s="142">
        <v>0</v>
      </c>
      <c r="AC39" s="142">
        <v>0</v>
      </c>
      <c r="AD39" s="142">
        <v>0</v>
      </c>
      <c r="AE39" s="142"/>
      <c r="AF39" s="142"/>
      <c r="AG39" s="142"/>
      <c r="AH39" s="142"/>
      <c r="AI39" s="142"/>
      <c r="AJ39" s="142"/>
      <c r="AK39" s="142"/>
      <c r="AL39" s="12"/>
    </row>
    <row r="40" spans="1:38" ht="32.25" hidden="1" customHeight="1">
      <c r="B40" s="340"/>
      <c r="C40" s="216" t="s">
        <v>351</v>
      </c>
      <c r="D40" s="216">
        <v>3</v>
      </c>
      <c r="E40" s="258" t="s">
        <v>303</v>
      </c>
      <c r="F40" s="160">
        <v>19612</v>
      </c>
      <c r="G40" s="160">
        <v>19612</v>
      </c>
      <c r="H40" s="159">
        <f t="shared" si="10"/>
        <v>0</v>
      </c>
      <c r="I40" s="159" t="s">
        <v>311</v>
      </c>
      <c r="J40" s="256" t="s">
        <v>311</v>
      </c>
      <c r="K40" s="256" t="s">
        <v>311</v>
      </c>
      <c r="L40" s="259" t="s">
        <v>311</v>
      </c>
      <c r="M40" s="467" t="s">
        <v>311</v>
      </c>
      <c r="N40" s="256" t="s">
        <v>311</v>
      </c>
      <c r="O40" s="467" t="s">
        <v>311</v>
      </c>
      <c r="P40" s="256"/>
      <c r="Q40" s="256" t="s">
        <v>311</v>
      </c>
      <c r="R40" s="256" t="s">
        <v>311</v>
      </c>
      <c r="S40" s="256"/>
      <c r="T40" s="260" t="s">
        <v>501</v>
      </c>
      <c r="U40" s="142" t="s">
        <v>311</v>
      </c>
      <c r="V40" s="142" t="s">
        <v>311</v>
      </c>
      <c r="W40" s="142" t="s">
        <v>311</v>
      </c>
      <c r="X40" s="142" t="s">
        <v>311</v>
      </c>
      <c r="Y40" s="142" t="s">
        <v>311</v>
      </c>
      <c r="Z40" s="142" t="s">
        <v>311</v>
      </c>
      <c r="AA40" s="142">
        <v>0</v>
      </c>
      <c r="AB40" s="142">
        <v>0</v>
      </c>
      <c r="AC40" s="142">
        <v>0</v>
      </c>
      <c r="AD40" s="142">
        <v>0</v>
      </c>
      <c r="AE40" s="142"/>
      <c r="AF40" s="142"/>
      <c r="AG40" s="142"/>
      <c r="AH40" s="142"/>
      <c r="AI40" s="142"/>
      <c r="AJ40" s="142"/>
      <c r="AK40" s="142"/>
      <c r="AL40" s="12"/>
    </row>
    <row r="41" spans="1:38" ht="32.25" hidden="1" customHeight="1">
      <c r="B41" s="340"/>
      <c r="C41" s="216" t="s">
        <v>351</v>
      </c>
      <c r="D41" s="216">
        <v>4</v>
      </c>
      <c r="E41" s="258" t="s">
        <v>280</v>
      </c>
      <c r="F41" s="160">
        <v>12849.14</v>
      </c>
      <c r="G41" s="160">
        <v>12849.14</v>
      </c>
      <c r="H41" s="159">
        <f t="shared" si="10"/>
        <v>0</v>
      </c>
      <c r="I41" s="159" t="s">
        <v>311</v>
      </c>
      <c r="J41" s="256" t="s">
        <v>311</v>
      </c>
      <c r="K41" s="256" t="s">
        <v>311</v>
      </c>
      <c r="L41" s="259" t="s">
        <v>311</v>
      </c>
      <c r="M41" s="467" t="s">
        <v>311</v>
      </c>
      <c r="N41" s="256" t="s">
        <v>311</v>
      </c>
      <c r="O41" s="467" t="s">
        <v>311</v>
      </c>
      <c r="P41" s="256"/>
      <c r="Q41" s="256" t="s">
        <v>311</v>
      </c>
      <c r="R41" s="256" t="s">
        <v>311</v>
      </c>
      <c r="S41" s="256"/>
      <c r="T41" s="260" t="s">
        <v>501</v>
      </c>
      <c r="U41" s="142" t="s">
        <v>311</v>
      </c>
      <c r="V41" s="142" t="s">
        <v>311</v>
      </c>
      <c r="W41" s="142" t="s">
        <v>311</v>
      </c>
      <c r="X41" s="142" t="s">
        <v>311</v>
      </c>
      <c r="Y41" s="142" t="s">
        <v>311</v>
      </c>
      <c r="Z41" s="142" t="s">
        <v>311</v>
      </c>
      <c r="AA41" s="142">
        <v>0</v>
      </c>
      <c r="AB41" s="142">
        <v>0</v>
      </c>
      <c r="AC41" s="142">
        <v>0</v>
      </c>
      <c r="AD41" s="142">
        <v>0</v>
      </c>
      <c r="AE41" s="142"/>
      <c r="AF41" s="142"/>
      <c r="AG41" s="142"/>
      <c r="AH41" s="142"/>
      <c r="AI41" s="142"/>
      <c r="AJ41" s="142"/>
      <c r="AK41" s="142"/>
      <c r="AL41" s="12"/>
    </row>
    <row r="42" spans="1:38" ht="32.25" hidden="1" customHeight="1">
      <c r="B42" s="340"/>
      <c r="C42" s="216" t="s">
        <v>351</v>
      </c>
      <c r="D42" s="216">
        <v>5</v>
      </c>
      <c r="E42" s="258" t="s">
        <v>282</v>
      </c>
      <c r="F42" s="160">
        <v>22097.82</v>
      </c>
      <c r="G42" s="160">
        <v>22097.82</v>
      </c>
      <c r="H42" s="159">
        <f t="shared" si="10"/>
        <v>0</v>
      </c>
      <c r="I42" s="159" t="s">
        <v>311</v>
      </c>
      <c r="J42" s="256" t="s">
        <v>311</v>
      </c>
      <c r="K42" s="256" t="s">
        <v>74</v>
      </c>
      <c r="L42" s="259" t="s">
        <v>311</v>
      </c>
      <c r="M42" s="467" t="s">
        <v>311</v>
      </c>
      <c r="N42" s="256" t="s">
        <v>311</v>
      </c>
      <c r="O42" s="467" t="s">
        <v>311</v>
      </c>
      <c r="P42" s="256"/>
      <c r="Q42" s="256" t="s">
        <v>311</v>
      </c>
      <c r="R42" s="256" t="s">
        <v>311</v>
      </c>
      <c r="S42" s="256"/>
      <c r="T42" s="260" t="s">
        <v>501</v>
      </c>
      <c r="U42" s="142" t="s">
        <v>311</v>
      </c>
      <c r="V42" s="142" t="s">
        <v>311</v>
      </c>
      <c r="W42" s="142" t="s">
        <v>311</v>
      </c>
      <c r="X42" s="142" t="s">
        <v>311</v>
      </c>
      <c r="Y42" s="142" t="s">
        <v>311</v>
      </c>
      <c r="Z42" s="142" t="s">
        <v>311</v>
      </c>
      <c r="AA42" s="142">
        <v>0</v>
      </c>
      <c r="AB42" s="142">
        <v>0</v>
      </c>
      <c r="AC42" s="142">
        <v>0</v>
      </c>
      <c r="AD42" s="142">
        <v>0</v>
      </c>
      <c r="AE42" s="142"/>
      <c r="AF42" s="142"/>
      <c r="AG42" s="142"/>
      <c r="AH42" s="142"/>
      <c r="AI42" s="142"/>
      <c r="AJ42" s="142"/>
      <c r="AK42" s="142"/>
      <c r="AL42" s="12"/>
    </row>
    <row r="43" spans="1:38" ht="32.25" hidden="1" customHeight="1">
      <c r="B43" s="340"/>
      <c r="C43" s="216" t="s">
        <v>351</v>
      </c>
      <c r="D43" s="216">
        <v>6</v>
      </c>
      <c r="E43" s="258" t="s">
        <v>279</v>
      </c>
      <c r="F43" s="160">
        <v>37786</v>
      </c>
      <c r="G43" s="160">
        <v>37786</v>
      </c>
      <c r="H43" s="159">
        <f t="shared" si="10"/>
        <v>0</v>
      </c>
      <c r="I43" s="159" t="s">
        <v>311</v>
      </c>
      <c r="J43" s="256" t="s">
        <v>311</v>
      </c>
      <c r="K43" s="256" t="s">
        <v>76</v>
      </c>
      <c r="L43" s="259" t="s">
        <v>311</v>
      </c>
      <c r="M43" s="467" t="s">
        <v>311</v>
      </c>
      <c r="N43" s="256" t="s">
        <v>311</v>
      </c>
      <c r="O43" s="467" t="s">
        <v>311</v>
      </c>
      <c r="P43" s="256"/>
      <c r="Q43" s="256" t="s">
        <v>311</v>
      </c>
      <c r="R43" s="256" t="s">
        <v>311</v>
      </c>
      <c r="S43" s="256"/>
      <c r="T43" s="260" t="s">
        <v>501</v>
      </c>
      <c r="U43" s="142" t="s">
        <v>311</v>
      </c>
      <c r="V43" s="142" t="s">
        <v>311</v>
      </c>
      <c r="W43" s="142" t="s">
        <v>311</v>
      </c>
      <c r="X43" s="142" t="s">
        <v>311</v>
      </c>
      <c r="Y43" s="142" t="s">
        <v>311</v>
      </c>
      <c r="Z43" s="142" t="s">
        <v>311</v>
      </c>
      <c r="AA43" s="142">
        <v>0</v>
      </c>
      <c r="AB43" s="142">
        <v>0</v>
      </c>
      <c r="AC43" s="142">
        <v>0</v>
      </c>
      <c r="AD43" s="142">
        <v>0</v>
      </c>
      <c r="AE43" s="142"/>
      <c r="AF43" s="142"/>
      <c r="AG43" s="142"/>
      <c r="AH43" s="142"/>
      <c r="AI43" s="142"/>
      <c r="AJ43" s="142"/>
      <c r="AK43" s="142"/>
      <c r="AL43" s="12"/>
    </row>
    <row r="44" spans="1:38" ht="32.25" hidden="1" customHeight="1">
      <c r="B44" s="340"/>
      <c r="C44" s="216" t="s">
        <v>351</v>
      </c>
      <c r="D44" s="216">
        <v>7</v>
      </c>
      <c r="E44" s="261" t="s">
        <v>281</v>
      </c>
      <c r="F44" s="113">
        <v>14711</v>
      </c>
      <c r="G44" s="161">
        <f>12431.79+187.42+206.52+121.15</f>
        <v>12946.880000000001</v>
      </c>
      <c r="H44" s="161">
        <f t="shared" si="10"/>
        <v>1764.119999999999</v>
      </c>
      <c r="I44" s="161"/>
      <c r="J44" s="15">
        <v>1</v>
      </c>
      <c r="K44" s="15" t="s">
        <v>128</v>
      </c>
      <c r="L44" s="247">
        <v>600</v>
      </c>
      <c r="M44" s="292" t="s">
        <v>311</v>
      </c>
      <c r="N44" s="15"/>
      <c r="O44" s="292" t="s">
        <v>212</v>
      </c>
      <c r="P44" s="15"/>
      <c r="Q44" s="15">
        <v>121.15</v>
      </c>
      <c r="R44" s="15">
        <v>0</v>
      </c>
      <c r="S44" s="15"/>
      <c r="T44" s="262" t="s">
        <v>365</v>
      </c>
      <c r="U44" s="16"/>
      <c r="V44" s="16"/>
      <c r="W44" s="16"/>
      <c r="X44" s="16"/>
      <c r="Y44" s="12"/>
      <c r="Z44" s="16"/>
      <c r="AA44" s="16">
        <v>0</v>
      </c>
      <c r="AB44" s="16">
        <v>0</v>
      </c>
      <c r="AC44" s="16">
        <v>0</v>
      </c>
      <c r="AD44" s="16">
        <v>0</v>
      </c>
      <c r="AE44" s="16"/>
      <c r="AF44" s="16"/>
      <c r="AG44" s="16"/>
      <c r="AH44" s="16"/>
      <c r="AI44" s="16"/>
      <c r="AJ44" s="16"/>
      <c r="AK44" s="16"/>
      <c r="AL44" s="12"/>
    </row>
    <row r="45" spans="1:38" ht="32.25" hidden="1" customHeight="1">
      <c r="B45" s="340"/>
      <c r="C45" s="216" t="s">
        <v>351</v>
      </c>
      <c r="D45" s="216">
        <v>8</v>
      </c>
      <c r="E45" s="119" t="s">
        <v>283</v>
      </c>
      <c r="F45" s="113">
        <v>13135</v>
      </c>
      <c r="G45" s="161">
        <f>10452.13+129+221.43+87.15</f>
        <v>10889.71</v>
      </c>
      <c r="H45" s="161">
        <f t="shared" si="10"/>
        <v>2245.2900000000009</v>
      </c>
      <c r="I45" s="161"/>
      <c r="J45" s="15">
        <v>1</v>
      </c>
      <c r="K45" s="15" t="s">
        <v>31</v>
      </c>
      <c r="L45" s="247">
        <v>600</v>
      </c>
      <c r="M45" s="292"/>
      <c r="N45" s="15"/>
      <c r="O45" s="292" t="s">
        <v>212</v>
      </c>
      <c r="P45" s="15"/>
      <c r="Q45" s="15">
        <v>87.15</v>
      </c>
      <c r="R45" s="15">
        <v>0</v>
      </c>
      <c r="S45" s="15"/>
      <c r="T45" s="262" t="s">
        <v>365</v>
      </c>
      <c r="U45" s="16"/>
      <c r="V45" s="16"/>
      <c r="W45" s="16"/>
      <c r="X45" s="16"/>
      <c r="Y45" s="12"/>
      <c r="Z45" s="16"/>
      <c r="AA45" s="16">
        <v>0</v>
      </c>
      <c r="AB45" s="16">
        <v>181.53</v>
      </c>
      <c r="AC45" s="16">
        <v>262.02999999999997</v>
      </c>
      <c r="AD45" s="16">
        <v>0</v>
      </c>
      <c r="AE45" s="16"/>
      <c r="AF45" s="16"/>
      <c r="AG45" s="16"/>
      <c r="AH45" s="16"/>
      <c r="AI45" s="16"/>
      <c r="AJ45" s="16"/>
      <c r="AK45" s="16"/>
      <c r="AL45" s="12"/>
    </row>
    <row r="46" spans="1:38" ht="48.75" hidden="1" customHeight="1">
      <c r="B46" s="340"/>
      <c r="C46" s="216" t="s">
        <v>351</v>
      </c>
      <c r="D46" s="216">
        <v>9</v>
      </c>
      <c r="E46" s="119" t="s">
        <v>23</v>
      </c>
      <c r="F46" s="113">
        <v>6678.68</v>
      </c>
      <c r="G46" s="162">
        <v>0</v>
      </c>
      <c r="H46" s="161">
        <f t="shared" si="10"/>
        <v>6678.68</v>
      </c>
      <c r="I46" s="161"/>
      <c r="J46" s="15"/>
      <c r="K46" s="256" t="s">
        <v>153</v>
      </c>
      <c r="L46" s="247">
        <v>800</v>
      </c>
      <c r="M46" s="292" t="s">
        <v>201</v>
      </c>
      <c r="N46" s="15">
        <v>15</v>
      </c>
      <c r="O46" s="292" t="s">
        <v>207</v>
      </c>
      <c r="P46" s="15"/>
      <c r="Q46" s="15">
        <v>0</v>
      </c>
      <c r="R46" s="15">
        <v>0</v>
      </c>
      <c r="S46" s="15"/>
      <c r="T46" s="262" t="s">
        <v>390</v>
      </c>
      <c r="U46" s="16"/>
      <c r="V46" s="16"/>
      <c r="W46" s="16" t="e">
        <f>X46-M46</f>
        <v>#VALUE!</v>
      </c>
      <c r="X46" s="114">
        <v>45930</v>
      </c>
      <c r="Y46" s="12" t="s">
        <v>233</v>
      </c>
      <c r="Z46" s="16"/>
      <c r="AA46" s="16">
        <v>0</v>
      </c>
      <c r="AB46" s="16">
        <v>0</v>
      </c>
      <c r="AC46" s="16">
        <v>0</v>
      </c>
      <c r="AD46" s="16">
        <v>0</v>
      </c>
      <c r="AE46" s="16"/>
      <c r="AF46" s="16"/>
      <c r="AG46" s="16"/>
      <c r="AH46" s="16"/>
      <c r="AI46" s="16"/>
      <c r="AJ46" s="16"/>
      <c r="AK46" s="16"/>
      <c r="AL46" s="12"/>
    </row>
    <row r="47" spans="1:38" ht="48.75" hidden="1" customHeight="1">
      <c r="B47" s="340"/>
      <c r="C47" s="216" t="s">
        <v>351</v>
      </c>
      <c r="D47" s="216">
        <v>10</v>
      </c>
      <c r="E47" s="119" t="s">
        <v>21</v>
      </c>
      <c r="F47" s="113">
        <v>6260</v>
      </c>
      <c r="G47" s="162">
        <v>0</v>
      </c>
      <c r="H47" s="161">
        <f t="shared" si="10"/>
        <v>6260</v>
      </c>
      <c r="I47" s="161"/>
      <c r="J47" s="15"/>
      <c r="K47" s="256" t="s">
        <v>153</v>
      </c>
      <c r="L47" s="247">
        <v>800</v>
      </c>
      <c r="M47" s="292" t="s">
        <v>201</v>
      </c>
      <c r="N47" s="15">
        <v>15</v>
      </c>
      <c r="O47" s="292" t="s">
        <v>207</v>
      </c>
      <c r="P47" s="15"/>
      <c r="Q47" s="15">
        <v>0</v>
      </c>
      <c r="R47" s="15">
        <v>0</v>
      </c>
      <c r="S47" s="15"/>
      <c r="T47" s="262" t="s">
        <v>390</v>
      </c>
      <c r="U47" s="16"/>
      <c r="V47" s="16"/>
      <c r="W47" s="16" t="e">
        <f>X47-M47</f>
        <v>#VALUE!</v>
      </c>
      <c r="X47" s="114">
        <v>45930</v>
      </c>
      <c r="Y47" s="12" t="s">
        <v>233</v>
      </c>
      <c r="Z47" s="16"/>
      <c r="AA47" s="16">
        <v>0</v>
      </c>
      <c r="AB47" s="16">
        <v>0</v>
      </c>
      <c r="AC47" s="16">
        <v>0</v>
      </c>
      <c r="AD47" s="16">
        <v>0</v>
      </c>
      <c r="AE47" s="16"/>
      <c r="AF47" s="16"/>
      <c r="AG47" s="16"/>
      <c r="AH47" s="16"/>
      <c r="AI47" s="16"/>
      <c r="AJ47" s="16"/>
      <c r="AK47" s="16"/>
      <c r="AL47" s="12"/>
    </row>
    <row r="48" spans="1:38" ht="48.75" hidden="1" customHeight="1">
      <c r="B48" s="340"/>
      <c r="C48" s="216" t="s">
        <v>351</v>
      </c>
      <c r="D48" s="216">
        <v>11</v>
      </c>
      <c r="E48" s="119" t="s">
        <v>22</v>
      </c>
      <c r="F48" s="113">
        <v>9625.8799999999992</v>
      </c>
      <c r="G48" s="162">
        <v>0</v>
      </c>
      <c r="H48" s="161">
        <f t="shared" si="10"/>
        <v>9625.8799999999992</v>
      </c>
      <c r="I48" s="161"/>
      <c r="J48" s="15"/>
      <c r="K48" s="256" t="s">
        <v>153</v>
      </c>
      <c r="L48" s="247">
        <v>800</v>
      </c>
      <c r="M48" s="292" t="s">
        <v>193</v>
      </c>
      <c r="N48" s="15">
        <v>20</v>
      </c>
      <c r="O48" s="292" t="s">
        <v>207</v>
      </c>
      <c r="P48" s="15"/>
      <c r="Q48" s="15">
        <v>0</v>
      </c>
      <c r="R48" s="15">
        <v>0</v>
      </c>
      <c r="S48" s="15"/>
      <c r="T48" s="262" t="s">
        <v>390</v>
      </c>
      <c r="U48" s="16"/>
      <c r="V48" s="16"/>
      <c r="W48" s="16" t="e">
        <f>X48-M48</f>
        <v>#VALUE!</v>
      </c>
      <c r="X48" s="114">
        <v>45930</v>
      </c>
      <c r="Y48" s="12" t="s">
        <v>233</v>
      </c>
      <c r="Z48" s="16"/>
      <c r="AA48" s="16">
        <v>0</v>
      </c>
      <c r="AB48" s="16">
        <v>0</v>
      </c>
      <c r="AC48" s="16">
        <v>0</v>
      </c>
      <c r="AD48" s="16">
        <v>0</v>
      </c>
      <c r="AE48" s="16"/>
      <c r="AF48" s="16"/>
      <c r="AG48" s="16"/>
      <c r="AH48" s="16"/>
      <c r="AI48" s="16"/>
      <c r="AJ48" s="16"/>
      <c r="AK48" s="16"/>
      <c r="AL48" s="12"/>
    </row>
    <row r="49" spans="2:38" ht="41.25" hidden="1" customHeight="1">
      <c r="B49" s="340"/>
      <c r="C49" s="216" t="s">
        <v>351</v>
      </c>
      <c r="D49" s="216">
        <v>12</v>
      </c>
      <c r="E49" s="119" t="s">
        <v>284</v>
      </c>
      <c r="F49" s="113">
        <v>11921.09</v>
      </c>
      <c r="G49" s="162">
        <v>0</v>
      </c>
      <c r="H49" s="161">
        <f t="shared" si="10"/>
        <v>11921.09</v>
      </c>
      <c r="I49" s="161"/>
      <c r="J49" s="15"/>
      <c r="K49" s="256" t="s">
        <v>386</v>
      </c>
      <c r="L49" s="247">
        <v>600</v>
      </c>
      <c r="M49" s="292" t="s">
        <v>388</v>
      </c>
      <c r="N49" s="15">
        <v>20</v>
      </c>
      <c r="O49" s="292" t="s">
        <v>201</v>
      </c>
      <c r="P49" s="15"/>
      <c r="Q49" s="15">
        <v>0</v>
      </c>
      <c r="R49" s="15">
        <v>0</v>
      </c>
      <c r="S49" s="15"/>
      <c r="T49" s="262" t="s">
        <v>405</v>
      </c>
      <c r="U49" s="16"/>
      <c r="V49" s="16"/>
      <c r="W49" s="16"/>
      <c r="X49" s="16"/>
      <c r="Y49" s="12"/>
      <c r="Z49" s="16"/>
      <c r="AA49" s="16">
        <v>0</v>
      </c>
      <c r="AB49" s="16">
        <v>0</v>
      </c>
      <c r="AC49" s="16">
        <v>0</v>
      </c>
      <c r="AD49" s="16">
        <v>0</v>
      </c>
      <c r="AE49" s="16"/>
      <c r="AF49" s="16"/>
      <c r="AG49" s="16"/>
      <c r="AH49" s="16"/>
      <c r="AI49" s="16"/>
      <c r="AJ49" s="16"/>
      <c r="AK49" s="16"/>
      <c r="AL49" s="12"/>
    </row>
    <row r="50" spans="2:38" ht="41.25" hidden="1" customHeight="1">
      <c r="B50" s="340"/>
      <c r="C50" s="216" t="s">
        <v>351</v>
      </c>
      <c r="D50" s="216">
        <v>13</v>
      </c>
      <c r="E50" s="119" t="s">
        <v>285</v>
      </c>
      <c r="F50" s="113">
        <v>12042</v>
      </c>
      <c r="G50" s="162">
        <v>0</v>
      </c>
      <c r="H50" s="161">
        <f t="shared" si="10"/>
        <v>12042</v>
      </c>
      <c r="I50" s="161"/>
      <c r="J50" s="15"/>
      <c r="K50" s="256" t="s">
        <v>386</v>
      </c>
      <c r="L50" s="247">
        <v>600</v>
      </c>
      <c r="M50" s="292" t="s">
        <v>193</v>
      </c>
      <c r="N50" s="15">
        <v>20</v>
      </c>
      <c r="O50" s="292" t="s">
        <v>207</v>
      </c>
      <c r="P50" s="15"/>
      <c r="Q50" s="15">
        <v>0</v>
      </c>
      <c r="R50" s="15">
        <v>0</v>
      </c>
      <c r="S50" s="15"/>
      <c r="T50" s="262" t="s">
        <v>405</v>
      </c>
      <c r="U50" s="16"/>
      <c r="V50" s="16"/>
      <c r="W50" s="16"/>
      <c r="X50" s="16"/>
      <c r="Y50" s="12"/>
      <c r="Z50" s="16"/>
      <c r="AA50" s="16">
        <v>0</v>
      </c>
      <c r="AB50" s="16">
        <v>0</v>
      </c>
      <c r="AC50" s="16">
        <v>0</v>
      </c>
      <c r="AD50" s="16">
        <v>0</v>
      </c>
      <c r="AE50" s="16"/>
      <c r="AF50" s="16"/>
      <c r="AG50" s="16"/>
      <c r="AH50" s="16"/>
      <c r="AI50" s="16"/>
      <c r="AJ50" s="16"/>
      <c r="AK50" s="16"/>
      <c r="AL50" s="12"/>
    </row>
    <row r="51" spans="2:38" ht="47.25" hidden="1" customHeight="1">
      <c r="B51" s="340"/>
      <c r="C51" s="216" t="s">
        <v>351</v>
      </c>
      <c r="D51" s="216">
        <v>14</v>
      </c>
      <c r="E51" s="119" t="s">
        <v>24</v>
      </c>
      <c r="F51" s="113">
        <v>7700</v>
      </c>
      <c r="G51" s="162">
        <v>0</v>
      </c>
      <c r="H51" s="161">
        <f t="shared" si="10"/>
        <v>7700</v>
      </c>
      <c r="I51" s="161"/>
      <c r="J51" s="15"/>
      <c r="K51" s="256" t="s">
        <v>153</v>
      </c>
      <c r="L51" s="247">
        <v>800</v>
      </c>
      <c r="M51" s="292" t="s">
        <v>193</v>
      </c>
      <c r="N51" s="15">
        <v>20</v>
      </c>
      <c r="O51" s="292" t="s">
        <v>207</v>
      </c>
      <c r="P51" s="15"/>
      <c r="Q51" s="15">
        <v>0</v>
      </c>
      <c r="R51" s="15">
        <v>0</v>
      </c>
      <c r="S51" s="15"/>
      <c r="T51" s="262" t="s">
        <v>390</v>
      </c>
      <c r="U51" s="16"/>
      <c r="V51" s="16"/>
      <c r="W51" s="16" t="e">
        <f>X51-M51</f>
        <v>#VALUE!</v>
      </c>
      <c r="X51" s="114">
        <v>45930</v>
      </c>
      <c r="Y51" s="12" t="s">
        <v>233</v>
      </c>
      <c r="Z51" s="16"/>
      <c r="AA51" s="16">
        <v>0</v>
      </c>
      <c r="AB51" s="16">
        <v>0</v>
      </c>
      <c r="AC51" s="16">
        <v>0</v>
      </c>
      <c r="AD51" s="16">
        <v>0</v>
      </c>
      <c r="AE51" s="16"/>
      <c r="AF51" s="16"/>
      <c r="AG51" s="16"/>
      <c r="AH51" s="16"/>
      <c r="AI51" s="16"/>
      <c r="AJ51" s="16"/>
      <c r="AK51" s="16"/>
      <c r="AL51" s="12"/>
    </row>
    <row r="52" spans="2:38" ht="47.25" hidden="1" customHeight="1">
      <c r="B52" s="340"/>
      <c r="C52" s="216" t="s">
        <v>351</v>
      </c>
      <c r="D52" s="216">
        <v>15</v>
      </c>
      <c r="E52" s="119" t="s">
        <v>352</v>
      </c>
      <c r="F52" s="113">
        <v>7727.4</v>
      </c>
      <c r="G52" s="162">
        <v>0</v>
      </c>
      <c r="H52" s="161">
        <f t="shared" si="10"/>
        <v>7727.4</v>
      </c>
      <c r="I52" s="161"/>
      <c r="J52" s="15"/>
      <c r="K52" s="256" t="s">
        <v>353</v>
      </c>
      <c r="L52" s="247">
        <v>800</v>
      </c>
      <c r="M52" s="292">
        <v>45818</v>
      </c>
      <c r="N52" s="15">
        <v>20</v>
      </c>
      <c r="O52" s="292">
        <v>45838</v>
      </c>
      <c r="P52" s="15"/>
      <c r="Q52" s="15">
        <v>0</v>
      </c>
      <c r="R52" s="15">
        <v>0</v>
      </c>
      <c r="S52" s="15"/>
      <c r="T52" s="262" t="s">
        <v>374</v>
      </c>
      <c r="U52" s="16"/>
      <c r="V52" s="16"/>
      <c r="W52" s="16">
        <f>X52-M52</f>
        <v>20</v>
      </c>
      <c r="X52" s="114">
        <v>45838</v>
      </c>
      <c r="Y52" s="12" t="s">
        <v>232</v>
      </c>
      <c r="Z52" s="16"/>
      <c r="AA52" s="16">
        <v>0</v>
      </c>
      <c r="AB52" s="16">
        <v>0</v>
      </c>
      <c r="AC52" s="16">
        <v>0</v>
      </c>
      <c r="AD52" s="16">
        <v>0</v>
      </c>
      <c r="AE52" s="16"/>
      <c r="AF52" s="16"/>
      <c r="AG52" s="16"/>
      <c r="AH52" s="16"/>
      <c r="AI52" s="16"/>
      <c r="AJ52" s="16"/>
      <c r="AK52" s="16"/>
      <c r="AL52" s="12"/>
    </row>
    <row r="53" spans="2:38" ht="42.75" hidden="1" customHeight="1">
      <c r="B53" s="340"/>
      <c r="C53" s="216" t="s">
        <v>351</v>
      </c>
      <c r="D53" s="216">
        <v>16</v>
      </c>
      <c r="E53" s="119" t="s">
        <v>286</v>
      </c>
      <c r="F53" s="113">
        <v>6250</v>
      </c>
      <c r="G53" s="162">
        <v>0</v>
      </c>
      <c r="H53" s="161">
        <f t="shared" si="10"/>
        <v>6250</v>
      </c>
      <c r="I53" s="161"/>
      <c r="J53" s="15"/>
      <c r="K53" s="256" t="s">
        <v>354</v>
      </c>
      <c r="L53" s="247">
        <v>600</v>
      </c>
      <c r="M53" s="292" t="s">
        <v>355</v>
      </c>
      <c r="N53" s="15">
        <v>20</v>
      </c>
      <c r="O53" s="292">
        <v>45838</v>
      </c>
      <c r="P53" s="15"/>
      <c r="Q53" s="15">
        <v>0</v>
      </c>
      <c r="R53" s="15">
        <v>0</v>
      </c>
      <c r="S53" s="15"/>
      <c r="T53" s="262" t="s">
        <v>389</v>
      </c>
      <c r="U53" s="16"/>
      <c r="V53" s="16"/>
      <c r="W53" s="16"/>
      <c r="X53" s="16" t="s">
        <v>193</v>
      </c>
      <c r="Y53" s="12"/>
      <c r="Z53" s="16"/>
      <c r="AA53" s="16">
        <v>0</v>
      </c>
      <c r="AB53" s="16">
        <v>0</v>
      </c>
      <c r="AC53" s="16">
        <v>0</v>
      </c>
      <c r="AD53" s="16">
        <v>0</v>
      </c>
      <c r="AE53" s="16"/>
      <c r="AF53" s="16"/>
      <c r="AG53" s="16"/>
      <c r="AH53" s="16"/>
      <c r="AI53" s="16"/>
      <c r="AJ53" s="16"/>
      <c r="AK53" s="16"/>
      <c r="AL53" s="12" t="s">
        <v>356</v>
      </c>
    </row>
    <row r="54" spans="2:38" ht="37.5" hidden="1" customHeight="1">
      <c r="B54" s="263"/>
      <c r="C54" s="263"/>
      <c r="D54" s="263"/>
      <c r="E54" s="263"/>
      <c r="F54" s="163">
        <f>SUM(F38:F53)</f>
        <v>222025.00999999998</v>
      </c>
      <c r="G54" s="163">
        <f t="shared" ref="G54:K54" si="11">SUM(G38:G53)</f>
        <v>149810.54999999999</v>
      </c>
      <c r="H54" s="163">
        <f t="shared" si="11"/>
        <v>72214.459999999992</v>
      </c>
      <c r="I54" s="163">
        <f t="shared" si="11"/>
        <v>0</v>
      </c>
      <c r="J54" s="145">
        <f t="shared" si="11"/>
        <v>2</v>
      </c>
      <c r="K54" s="145">
        <f t="shared" si="11"/>
        <v>0</v>
      </c>
      <c r="L54" s="144">
        <f>SUM(L38:L53)</f>
        <v>7000</v>
      </c>
      <c r="M54" s="468">
        <f t="shared" ref="M54:AI54" si="12">SUM(M38:M53)</f>
        <v>45818</v>
      </c>
      <c r="N54" s="145">
        <f t="shared" si="12"/>
        <v>150</v>
      </c>
      <c r="O54" s="468">
        <f t="shared" si="12"/>
        <v>91676</v>
      </c>
      <c r="P54" s="145"/>
      <c r="Q54" s="145">
        <f t="shared" ref="Q54:R54" si="13">SUM(Q38:Q53)</f>
        <v>208.3</v>
      </c>
      <c r="R54" s="145">
        <f t="shared" si="13"/>
        <v>0</v>
      </c>
      <c r="S54" s="145"/>
      <c r="T54" s="146">
        <f t="shared" si="12"/>
        <v>0</v>
      </c>
      <c r="U54" s="145">
        <f t="shared" si="12"/>
        <v>0</v>
      </c>
      <c r="V54" s="145">
        <f t="shared" si="12"/>
        <v>0</v>
      </c>
      <c r="W54" s="145" t="e">
        <f t="shared" si="12"/>
        <v>#VALUE!</v>
      </c>
      <c r="X54" s="145">
        <f t="shared" si="12"/>
        <v>229558</v>
      </c>
      <c r="Y54" s="145">
        <f t="shared" si="12"/>
        <v>0</v>
      </c>
      <c r="Z54" s="145">
        <f t="shared" si="12"/>
        <v>0</v>
      </c>
      <c r="AA54" s="145">
        <f t="shared" si="12"/>
        <v>0</v>
      </c>
      <c r="AB54" s="145">
        <f t="shared" si="12"/>
        <v>181.53</v>
      </c>
      <c r="AC54" s="145">
        <f t="shared" si="12"/>
        <v>262.02999999999997</v>
      </c>
      <c r="AD54" s="145">
        <f t="shared" si="12"/>
        <v>0</v>
      </c>
      <c r="AE54" s="145">
        <f t="shared" si="12"/>
        <v>0</v>
      </c>
      <c r="AF54" s="145">
        <f t="shared" si="12"/>
        <v>0</v>
      </c>
      <c r="AG54" s="145">
        <f t="shared" si="12"/>
        <v>0</v>
      </c>
      <c r="AH54" s="145">
        <f t="shared" si="12"/>
        <v>0</v>
      </c>
      <c r="AI54" s="145">
        <f t="shared" si="12"/>
        <v>0</v>
      </c>
      <c r="AJ54" s="145"/>
      <c r="AK54" s="145"/>
      <c r="AL54" s="12"/>
    </row>
    <row r="55" spans="2:38" ht="30" hidden="1" customHeight="1">
      <c r="B55" s="337" t="s">
        <v>190</v>
      </c>
      <c r="C55" s="15" t="s">
        <v>357</v>
      </c>
      <c r="D55" s="15">
        <v>17</v>
      </c>
      <c r="E55" s="258" t="s">
        <v>305</v>
      </c>
      <c r="F55" s="160">
        <v>37207.269999999997</v>
      </c>
      <c r="G55" s="160">
        <v>37207.269999999997</v>
      </c>
      <c r="H55" s="159">
        <f t="shared" si="10"/>
        <v>0</v>
      </c>
      <c r="I55" s="159">
        <v>0</v>
      </c>
      <c r="J55" s="159">
        <v>0</v>
      </c>
      <c r="K55" s="159">
        <v>0</v>
      </c>
      <c r="L55" s="159">
        <v>0</v>
      </c>
      <c r="M55" s="469">
        <v>0</v>
      </c>
      <c r="N55" s="159">
        <v>0</v>
      </c>
      <c r="O55" s="469">
        <v>0</v>
      </c>
      <c r="P55" s="159"/>
      <c r="Q55" s="159">
        <v>0</v>
      </c>
      <c r="R55" s="159">
        <v>0</v>
      </c>
      <c r="S55" s="256"/>
      <c r="T55" s="260" t="s">
        <v>501</v>
      </c>
      <c r="U55" s="142"/>
      <c r="V55" s="142"/>
      <c r="W55" s="142"/>
      <c r="X55" s="142"/>
      <c r="Y55" s="143"/>
      <c r="Z55" s="142"/>
      <c r="AA55" s="142">
        <v>0</v>
      </c>
      <c r="AB55" s="142">
        <v>0</v>
      </c>
      <c r="AC55" s="142">
        <v>0</v>
      </c>
      <c r="AD55" s="142">
        <v>0</v>
      </c>
      <c r="AE55" s="142"/>
      <c r="AF55" s="142"/>
      <c r="AG55" s="142"/>
      <c r="AH55" s="142"/>
      <c r="AI55" s="142"/>
      <c r="AJ55" s="142"/>
      <c r="AK55" s="142"/>
      <c r="AL55" s="12"/>
    </row>
    <row r="56" spans="2:38" ht="30" hidden="1" customHeight="1">
      <c r="B56" s="338"/>
      <c r="C56" s="15" t="s">
        <v>357</v>
      </c>
      <c r="D56" s="15">
        <v>18</v>
      </c>
      <c r="E56" s="258" t="s">
        <v>306</v>
      </c>
      <c r="F56" s="160">
        <v>74206</v>
      </c>
      <c r="G56" s="160">
        <v>74206</v>
      </c>
      <c r="H56" s="159">
        <f t="shared" si="10"/>
        <v>0</v>
      </c>
      <c r="I56" s="159">
        <v>0</v>
      </c>
      <c r="J56" s="159">
        <v>0</v>
      </c>
      <c r="K56" s="159">
        <v>0</v>
      </c>
      <c r="L56" s="159">
        <v>0</v>
      </c>
      <c r="M56" s="469">
        <v>0</v>
      </c>
      <c r="N56" s="159">
        <v>0</v>
      </c>
      <c r="O56" s="469">
        <v>0</v>
      </c>
      <c r="P56" s="159"/>
      <c r="Q56" s="159">
        <v>0</v>
      </c>
      <c r="R56" s="159">
        <v>0</v>
      </c>
      <c r="S56" s="256"/>
      <c r="T56" s="260" t="s">
        <v>501</v>
      </c>
      <c r="U56" s="142"/>
      <c r="V56" s="142"/>
      <c r="W56" s="142"/>
      <c r="X56" s="142"/>
      <c r="Y56" s="143"/>
      <c r="Z56" s="142"/>
      <c r="AA56" s="142">
        <v>0</v>
      </c>
      <c r="AB56" s="142">
        <v>0</v>
      </c>
      <c r="AC56" s="142">
        <v>0</v>
      </c>
      <c r="AD56" s="142">
        <v>0</v>
      </c>
      <c r="AE56" s="142"/>
      <c r="AF56" s="142"/>
      <c r="AG56" s="142"/>
      <c r="AH56" s="142"/>
      <c r="AI56" s="142"/>
      <c r="AJ56" s="142"/>
      <c r="AK56" s="142"/>
      <c r="AL56" s="12"/>
    </row>
    <row r="57" spans="2:38" ht="42.75" hidden="1" customHeight="1">
      <c r="B57" s="338"/>
      <c r="C57" s="15" t="s">
        <v>357</v>
      </c>
      <c r="D57" s="15">
        <v>19</v>
      </c>
      <c r="E57" s="119" t="s">
        <v>453</v>
      </c>
      <c r="F57" s="113">
        <v>22142.68</v>
      </c>
      <c r="G57" s="161">
        <v>0</v>
      </c>
      <c r="H57" s="161">
        <f t="shared" si="10"/>
        <v>22142.68</v>
      </c>
      <c r="I57" s="161"/>
      <c r="J57" s="15">
        <v>1</v>
      </c>
      <c r="K57" s="15" t="s">
        <v>61</v>
      </c>
      <c r="L57" s="247">
        <v>1100</v>
      </c>
      <c r="M57" s="292"/>
      <c r="N57" s="15"/>
      <c r="O57" s="292" t="s">
        <v>368</v>
      </c>
      <c r="P57" s="15"/>
      <c r="Q57" s="15">
        <v>0</v>
      </c>
      <c r="R57" s="15">
        <v>0</v>
      </c>
      <c r="S57" s="15"/>
      <c r="T57" s="262" t="s">
        <v>298</v>
      </c>
      <c r="U57" s="16"/>
      <c r="V57" s="16"/>
      <c r="W57" s="16"/>
      <c r="X57" s="16"/>
      <c r="Y57" s="12"/>
      <c r="Z57" s="16"/>
      <c r="AA57" s="16">
        <v>0</v>
      </c>
      <c r="AB57" s="16">
        <v>0</v>
      </c>
      <c r="AC57" s="16">
        <v>0</v>
      </c>
      <c r="AD57" s="16">
        <v>0</v>
      </c>
      <c r="AE57" s="16"/>
      <c r="AF57" s="16"/>
      <c r="AG57" s="16"/>
      <c r="AH57" s="16"/>
      <c r="AI57" s="16"/>
      <c r="AJ57" s="16"/>
      <c r="AK57" s="16"/>
      <c r="AL57" s="12"/>
    </row>
    <row r="58" spans="2:38" ht="42.75" hidden="1" customHeight="1">
      <c r="B58" s="338"/>
      <c r="C58" s="15" t="s">
        <v>357</v>
      </c>
      <c r="D58" s="15">
        <v>20</v>
      </c>
      <c r="E58" s="119" t="s">
        <v>288</v>
      </c>
      <c r="F58" s="113">
        <v>11022</v>
      </c>
      <c r="G58" s="161">
        <v>0</v>
      </c>
      <c r="H58" s="161">
        <f t="shared" si="10"/>
        <v>11022</v>
      </c>
      <c r="I58" s="161"/>
      <c r="J58" s="15"/>
      <c r="K58" s="256" t="s">
        <v>358</v>
      </c>
      <c r="L58" s="247">
        <v>600</v>
      </c>
      <c r="M58" s="292" t="s">
        <v>359</v>
      </c>
      <c r="N58" s="15"/>
      <c r="O58" s="292" t="s">
        <v>205</v>
      </c>
      <c r="P58" s="15"/>
      <c r="Q58" s="15">
        <v>0</v>
      </c>
      <c r="R58" s="15">
        <v>0</v>
      </c>
      <c r="S58" s="15"/>
      <c r="T58" s="262" t="s">
        <v>391</v>
      </c>
      <c r="U58" s="16"/>
      <c r="V58" s="16"/>
      <c r="W58" s="16"/>
      <c r="X58" s="16" t="s">
        <v>193</v>
      </c>
      <c r="Y58" s="12"/>
      <c r="Z58" s="16"/>
      <c r="AA58" s="16">
        <v>0</v>
      </c>
      <c r="AB58" s="16">
        <v>0</v>
      </c>
      <c r="AC58" s="16">
        <v>0</v>
      </c>
      <c r="AD58" s="16">
        <v>0</v>
      </c>
      <c r="AE58" s="16"/>
      <c r="AF58" s="16"/>
      <c r="AG58" s="16"/>
      <c r="AH58" s="16"/>
      <c r="AI58" s="16"/>
      <c r="AJ58" s="16"/>
      <c r="AK58" s="16"/>
      <c r="AL58" s="12" t="s">
        <v>360</v>
      </c>
    </row>
    <row r="59" spans="2:38" ht="42.75" hidden="1" customHeight="1">
      <c r="B59" s="338"/>
      <c r="C59" s="15" t="s">
        <v>357</v>
      </c>
      <c r="D59" s="15">
        <v>21</v>
      </c>
      <c r="E59" s="119" t="s">
        <v>289</v>
      </c>
      <c r="F59" s="113">
        <v>8779</v>
      </c>
      <c r="G59" s="161">
        <v>0</v>
      </c>
      <c r="H59" s="161">
        <f t="shared" si="10"/>
        <v>8779</v>
      </c>
      <c r="I59" s="161"/>
      <c r="J59" s="15"/>
      <c r="K59" s="256" t="s">
        <v>395</v>
      </c>
      <c r="L59" s="247">
        <v>1100</v>
      </c>
      <c r="M59" s="292" t="s">
        <v>201</v>
      </c>
      <c r="N59" s="15"/>
      <c r="O59" s="292" t="s">
        <v>368</v>
      </c>
      <c r="P59" s="15"/>
      <c r="Q59" s="15">
        <v>0</v>
      </c>
      <c r="R59" s="15">
        <v>0</v>
      </c>
      <c r="S59" s="15"/>
      <c r="T59" s="248" t="s">
        <v>396</v>
      </c>
      <c r="U59" s="16"/>
      <c r="V59" s="16"/>
      <c r="W59" s="16"/>
      <c r="X59" s="16"/>
      <c r="Y59" s="12"/>
      <c r="Z59" s="16"/>
      <c r="AA59" s="16">
        <v>0</v>
      </c>
      <c r="AB59" s="16">
        <v>0</v>
      </c>
      <c r="AC59" s="16">
        <v>0</v>
      </c>
      <c r="AD59" s="16">
        <v>0</v>
      </c>
      <c r="AE59" s="16"/>
      <c r="AF59" s="16"/>
      <c r="AG59" s="16"/>
      <c r="AH59" s="16"/>
      <c r="AI59" s="16"/>
      <c r="AJ59" s="16"/>
      <c r="AK59" s="16"/>
      <c r="AL59" s="12"/>
    </row>
    <row r="60" spans="2:38" ht="42.75" hidden="1" customHeight="1">
      <c r="B60" s="339"/>
      <c r="C60" s="15" t="s">
        <v>357</v>
      </c>
      <c r="D60" s="15">
        <v>22</v>
      </c>
      <c r="E60" s="119" t="s">
        <v>361</v>
      </c>
      <c r="F60" s="113">
        <v>5624</v>
      </c>
      <c r="G60" s="161">
        <v>0</v>
      </c>
      <c r="H60" s="161">
        <f t="shared" si="10"/>
        <v>5624</v>
      </c>
      <c r="I60" s="161"/>
      <c r="J60" s="15"/>
      <c r="K60" s="256" t="s">
        <v>392</v>
      </c>
      <c r="L60" s="247">
        <v>600</v>
      </c>
      <c r="M60" s="292">
        <v>45915</v>
      </c>
      <c r="N60" s="15"/>
      <c r="O60" s="292">
        <v>45930</v>
      </c>
      <c r="P60" s="15"/>
      <c r="Q60" s="15">
        <v>0</v>
      </c>
      <c r="R60" s="15">
        <v>0</v>
      </c>
      <c r="S60" s="15"/>
      <c r="T60" s="262" t="s">
        <v>397</v>
      </c>
      <c r="U60" s="16"/>
      <c r="V60" s="16"/>
      <c r="W60" s="16">
        <f>X60-M60</f>
        <v>15</v>
      </c>
      <c r="X60" s="114">
        <v>45930</v>
      </c>
      <c r="Y60" s="12" t="s">
        <v>362</v>
      </c>
      <c r="Z60" s="16"/>
      <c r="AA60" s="16">
        <v>0</v>
      </c>
      <c r="AB60" s="16">
        <v>0</v>
      </c>
      <c r="AC60" s="16">
        <v>0</v>
      </c>
      <c r="AD60" s="16">
        <v>0</v>
      </c>
      <c r="AE60" s="16"/>
      <c r="AF60" s="16"/>
      <c r="AG60" s="16"/>
      <c r="AH60" s="16"/>
      <c r="AI60" s="16"/>
      <c r="AJ60" s="16"/>
      <c r="AK60" s="16"/>
      <c r="AL60" s="12"/>
    </row>
    <row r="61" spans="2:38" ht="36.75" hidden="1" customHeight="1">
      <c r="B61" s="263"/>
      <c r="C61" s="263"/>
      <c r="D61" s="263"/>
      <c r="E61" s="263"/>
      <c r="F61" s="163">
        <f>SUM(F55:F60)</f>
        <v>158980.94999999998</v>
      </c>
      <c r="G61" s="163">
        <f t="shared" ref="G61:AI61" si="14">SUM(G55:G60)</f>
        <v>111413.26999999999</v>
      </c>
      <c r="H61" s="163">
        <f t="shared" si="14"/>
        <v>47567.68</v>
      </c>
      <c r="I61" s="163">
        <f t="shared" si="14"/>
        <v>0</v>
      </c>
      <c r="J61" s="145">
        <f t="shared" si="14"/>
        <v>1</v>
      </c>
      <c r="K61" s="145">
        <f t="shared" si="14"/>
        <v>0</v>
      </c>
      <c r="L61" s="144">
        <f t="shared" si="14"/>
        <v>3400</v>
      </c>
      <c r="M61" s="468"/>
      <c r="N61" s="145">
        <f t="shared" si="14"/>
        <v>0</v>
      </c>
      <c r="O61" s="468"/>
      <c r="P61" s="145"/>
      <c r="Q61" s="145">
        <f t="shared" ref="Q61:R61" si="15">SUM(Q55:Q60)</f>
        <v>0</v>
      </c>
      <c r="R61" s="145">
        <f t="shared" si="15"/>
        <v>0</v>
      </c>
      <c r="S61" s="145"/>
      <c r="T61" s="146">
        <f t="shared" si="14"/>
        <v>0</v>
      </c>
      <c r="U61" s="145">
        <f t="shared" si="14"/>
        <v>0</v>
      </c>
      <c r="V61" s="145">
        <f t="shared" si="14"/>
        <v>0</v>
      </c>
      <c r="W61" s="145">
        <f t="shared" si="14"/>
        <v>15</v>
      </c>
      <c r="X61" s="145">
        <f t="shared" si="14"/>
        <v>45930</v>
      </c>
      <c r="Y61" s="145">
        <f t="shared" si="14"/>
        <v>0</v>
      </c>
      <c r="Z61" s="145">
        <f t="shared" si="14"/>
        <v>0</v>
      </c>
      <c r="AA61" s="145">
        <f t="shared" si="14"/>
        <v>0</v>
      </c>
      <c r="AB61" s="145">
        <f t="shared" si="14"/>
        <v>0</v>
      </c>
      <c r="AC61" s="145">
        <f t="shared" si="14"/>
        <v>0</v>
      </c>
      <c r="AD61" s="145">
        <f t="shared" si="14"/>
        <v>0</v>
      </c>
      <c r="AE61" s="145">
        <f t="shared" si="14"/>
        <v>0</v>
      </c>
      <c r="AF61" s="145">
        <f t="shared" si="14"/>
        <v>0</v>
      </c>
      <c r="AG61" s="145">
        <f t="shared" si="14"/>
        <v>0</v>
      </c>
      <c r="AH61" s="145">
        <f t="shared" si="14"/>
        <v>0</v>
      </c>
      <c r="AI61" s="145">
        <f t="shared" si="14"/>
        <v>0</v>
      </c>
      <c r="AJ61" s="145"/>
      <c r="AK61" s="145"/>
      <c r="AL61" s="12"/>
    </row>
    <row r="62" spans="2:38" ht="36.75" hidden="1" customHeight="1">
      <c r="B62" s="341" t="s">
        <v>407</v>
      </c>
      <c r="C62" s="15" t="s">
        <v>363</v>
      </c>
      <c r="D62" s="15">
        <v>23</v>
      </c>
      <c r="E62" s="256" t="s">
        <v>308</v>
      </c>
      <c r="F62" s="160">
        <v>50000</v>
      </c>
      <c r="G62" s="160">
        <v>50000</v>
      </c>
      <c r="H62" s="159">
        <f t="shared" si="10"/>
        <v>0</v>
      </c>
      <c r="I62" s="159">
        <v>0</v>
      </c>
      <c r="J62" s="159">
        <v>0</v>
      </c>
      <c r="K62" s="159">
        <v>0</v>
      </c>
      <c r="L62" s="159">
        <v>0</v>
      </c>
      <c r="M62" s="469">
        <v>0</v>
      </c>
      <c r="N62" s="159">
        <v>0</v>
      </c>
      <c r="O62" s="469">
        <v>0</v>
      </c>
      <c r="P62" s="159"/>
      <c r="Q62" s="159">
        <v>0</v>
      </c>
      <c r="R62" s="159">
        <v>0</v>
      </c>
      <c r="S62" s="256"/>
      <c r="T62" s="260" t="s">
        <v>501</v>
      </c>
      <c r="U62" s="142"/>
      <c r="V62" s="142"/>
      <c r="W62" s="142"/>
      <c r="X62" s="142"/>
      <c r="Y62" s="143"/>
      <c r="Z62" s="142"/>
      <c r="AA62" s="142">
        <v>0</v>
      </c>
      <c r="AB62" s="142">
        <v>0</v>
      </c>
      <c r="AC62" s="142">
        <v>0</v>
      </c>
      <c r="AD62" s="142">
        <v>0</v>
      </c>
      <c r="AE62" s="142"/>
      <c r="AF62" s="142"/>
      <c r="AG62" s="142"/>
      <c r="AH62" s="142"/>
      <c r="AI62" s="142"/>
      <c r="AJ62" s="142"/>
      <c r="AK62" s="142"/>
      <c r="AL62" s="12"/>
    </row>
    <row r="63" spans="2:38" ht="36.75" hidden="1" customHeight="1">
      <c r="B63" s="342"/>
      <c r="C63" s="15" t="s">
        <v>363</v>
      </c>
      <c r="D63" s="15">
        <v>24</v>
      </c>
      <c r="E63" s="258" t="s">
        <v>309</v>
      </c>
      <c r="F63" s="160">
        <v>20842</v>
      </c>
      <c r="G63" s="160">
        <v>20842</v>
      </c>
      <c r="H63" s="159">
        <f t="shared" si="10"/>
        <v>0</v>
      </c>
      <c r="I63" s="159">
        <v>0</v>
      </c>
      <c r="J63" s="159">
        <v>0</v>
      </c>
      <c r="K63" s="159">
        <v>0</v>
      </c>
      <c r="L63" s="159">
        <v>0</v>
      </c>
      <c r="M63" s="469">
        <v>0</v>
      </c>
      <c r="N63" s="159">
        <v>0</v>
      </c>
      <c r="O63" s="469">
        <v>0</v>
      </c>
      <c r="P63" s="159"/>
      <c r="Q63" s="159">
        <v>0</v>
      </c>
      <c r="R63" s="159">
        <v>0</v>
      </c>
      <c r="S63" s="256"/>
      <c r="T63" s="260" t="s">
        <v>501</v>
      </c>
      <c r="U63" s="142"/>
      <c r="V63" s="142"/>
      <c r="W63" s="142"/>
      <c r="X63" s="142"/>
      <c r="Y63" s="143"/>
      <c r="Z63" s="142"/>
      <c r="AA63" s="142">
        <v>0</v>
      </c>
      <c r="AB63" s="142">
        <v>0</v>
      </c>
      <c r="AC63" s="142">
        <v>0</v>
      </c>
      <c r="AD63" s="142">
        <v>0</v>
      </c>
      <c r="AE63" s="142"/>
      <c r="AF63" s="142"/>
      <c r="AG63" s="142"/>
      <c r="AH63" s="142"/>
      <c r="AI63" s="142"/>
      <c r="AJ63" s="142"/>
      <c r="AK63" s="142"/>
      <c r="AL63" s="12"/>
    </row>
    <row r="64" spans="2:38" ht="36.75" hidden="1" customHeight="1">
      <c r="B64" s="342"/>
      <c r="C64" s="15" t="s">
        <v>363</v>
      </c>
      <c r="D64" s="15"/>
      <c r="E64" s="256" t="s">
        <v>307</v>
      </c>
      <c r="F64" s="159">
        <v>15995</v>
      </c>
      <c r="G64" s="159">
        <v>15995</v>
      </c>
      <c r="H64" s="159">
        <f t="shared" si="10"/>
        <v>0</v>
      </c>
      <c r="I64" s="159">
        <v>0</v>
      </c>
      <c r="J64" s="159">
        <v>0</v>
      </c>
      <c r="K64" s="159">
        <v>0</v>
      </c>
      <c r="L64" s="159">
        <v>0</v>
      </c>
      <c r="M64" s="469">
        <v>0</v>
      </c>
      <c r="N64" s="159">
        <v>0</v>
      </c>
      <c r="O64" s="469">
        <v>0</v>
      </c>
      <c r="P64" s="159"/>
      <c r="Q64" s="159">
        <v>0</v>
      </c>
      <c r="R64" s="159">
        <v>0</v>
      </c>
      <c r="S64" s="256"/>
      <c r="T64" s="260" t="s">
        <v>501</v>
      </c>
      <c r="U64" s="142"/>
      <c r="V64" s="142"/>
      <c r="W64" s="142"/>
      <c r="X64" s="142"/>
      <c r="Y64" s="143"/>
      <c r="Z64" s="142"/>
      <c r="AA64" s="142">
        <v>0</v>
      </c>
      <c r="AB64" s="142">
        <v>0</v>
      </c>
      <c r="AC64" s="142">
        <v>0</v>
      </c>
      <c r="AD64" s="142">
        <v>0</v>
      </c>
      <c r="AE64" s="142"/>
      <c r="AF64" s="142"/>
      <c r="AG64" s="142"/>
      <c r="AH64" s="142"/>
      <c r="AI64" s="142"/>
      <c r="AJ64" s="142"/>
      <c r="AK64" s="142"/>
      <c r="AL64" s="12"/>
    </row>
    <row r="65" spans="1:38" ht="36.75" hidden="1" customHeight="1">
      <c r="B65" s="342"/>
      <c r="C65" s="15" t="s">
        <v>363</v>
      </c>
      <c r="D65" s="15"/>
      <c r="E65" s="256" t="s">
        <v>121</v>
      </c>
      <c r="F65" s="160">
        <v>4925</v>
      </c>
      <c r="G65" s="160">
        <v>4925</v>
      </c>
      <c r="H65" s="159">
        <f t="shared" si="10"/>
        <v>0</v>
      </c>
      <c r="I65" s="159">
        <v>0</v>
      </c>
      <c r="J65" s="159">
        <v>0</v>
      </c>
      <c r="K65" s="159">
        <v>0</v>
      </c>
      <c r="L65" s="159">
        <v>0</v>
      </c>
      <c r="M65" s="469">
        <v>0</v>
      </c>
      <c r="N65" s="159">
        <v>0</v>
      </c>
      <c r="O65" s="469">
        <v>0</v>
      </c>
      <c r="P65" s="159"/>
      <c r="Q65" s="159">
        <v>0</v>
      </c>
      <c r="R65" s="159">
        <v>0</v>
      </c>
      <c r="S65" s="256"/>
      <c r="T65" s="260" t="s">
        <v>501</v>
      </c>
      <c r="U65" s="142"/>
      <c r="V65" s="142"/>
      <c r="W65" s="142"/>
      <c r="X65" s="142"/>
      <c r="Y65" s="143"/>
      <c r="Z65" s="142"/>
      <c r="AA65" s="142">
        <v>0</v>
      </c>
      <c r="AB65" s="142">
        <v>0</v>
      </c>
      <c r="AC65" s="142">
        <v>0</v>
      </c>
      <c r="AD65" s="142">
        <v>0</v>
      </c>
      <c r="AE65" s="142"/>
      <c r="AF65" s="142"/>
      <c r="AG65" s="142"/>
      <c r="AH65" s="142"/>
      <c r="AI65" s="142"/>
      <c r="AJ65" s="142"/>
      <c r="AK65" s="142"/>
      <c r="AL65" s="12"/>
    </row>
    <row r="66" spans="1:38" ht="36.75" hidden="1" customHeight="1">
      <c r="B66" s="342"/>
      <c r="C66" s="15" t="s">
        <v>363</v>
      </c>
      <c r="D66" s="15"/>
      <c r="E66" s="256" t="s">
        <v>66</v>
      </c>
      <c r="F66" s="159">
        <v>25181</v>
      </c>
      <c r="G66" s="159">
        <v>25181</v>
      </c>
      <c r="H66" s="159">
        <f t="shared" si="10"/>
        <v>0</v>
      </c>
      <c r="I66" s="159">
        <v>0</v>
      </c>
      <c r="J66" s="159">
        <v>0</v>
      </c>
      <c r="K66" s="159">
        <v>0</v>
      </c>
      <c r="L66" s="159">
        <v>0</v>
      </c>
      <c r="M66" s="469">
        <v>0</v>
      </c>
      <c r="N66" s="159">
        <v>0</v>
      </c>
      <c r="O66" s="469">
        <v>0</v>
      </c>
      <c r="P66" s="159"/>
      <c r="Q66" s="159">
        <v>0</v>
      </c>
      <c r="R66" s="159">
        <v>0</v>
      </c>
      <c r="S66" s="256"/>
      <c r="T66" s="260" t="s">
        <v>501</v>
      </c>
      <c r="U66" s="142"/>
      <c r="V66" s="142"/>
      <c r="W66" s="142"/>
      <c r="X66" s="142"/>
      <c r="Y66" s="143"/>
      <c r="Z66" s="142"/>
      <c r="AA66" s="142">
        <v>0</v>
      </c>
      <c r="AB66" s="142">
        <v>0</v>
      </c>
      <c r="AC66" s="142">
        <v>0</v>
      </c>
      <c r="AD66" s="142">
        <v>0</v>
      </c>
      <c r="AE66" s="142"/>
      <c r="AF66" s="142"/>
      <c r="AG66" s="142"/>
      <c r="AH66" s="142"/>
      <c r="AI66" s="142"/>
      <c r="AJ66" s="142"/>
      <c r="AK66" s="142"/>
      <c r="AL66" s="12"/>
    </row>
    <row r="67" spans="1:38" ht="36.75" hidden="1" customHeight="1">
      <c r="B67" s="342"/>
      <c r="C67" s="15" t="s">
        <v>363</v>
      </c>
      <c r="D67" s="15"/>
      <c r="E67" s="256" t="s">
        <v>304</v>
      </c>
      <c r="F67" s="159">
        <v>8775.1299999999992</v>
      </c>
      <c r="G67" s="159">
        <v>8775.1299999999992</v>
      </c>
      <c r="H67" s="159">
        <f t="shared" si="10"/>
        <v>0</v>
      </c>
      <c r="I67" s="159">
        <v>0</v>
      </c>
      <c r="J67" s="159">
        <v>0</v>
      </c>
      <c r="K67" s="159">
        <v>0</v>
      </c>
      <c r="L67" s="159">
        <v>0</v>
      </c>
      <c r="M67" s="469">
        <v>0</v>
      </c>
      <c r="N67" s="159">
        <v>0</v>
      </c>
      <c r="O67" s="469">
        <v>0</v>
      </c>
      <c r="P67" s="159"/>
      <c r="Q67" s="159">
        <v>0</v>
      </c>
      <c r="R67" s="159">
        <v>0</v>
      </c>
      <c r="S67" s="256"/>
      <c r="T67" s="260" t="s">
        <v>501</v>
      </c>
      <c r="U67" s="142"/>
      <c r="V67" s="142"/>
      <c r="W67" s="142"/>
      <c r="X67" s="142"/>
      <c r="Y67" s="143"/>
      <c r="Z67" s="142"/>
      <c r="AA67" s="142">
        <v>0</v>
      </c>
      <c r="AB67" s="142">
        <v>0</v>
      </c>
      <c r="AC67" s="142">
        <v>0</v>
      </c>
      <c r="AD67" s="142">
        <v>0</v>
      </c>
      <c r="AE67" s="142"/>
      <c r="AF67" s="142"/>
      <c r="AG67" s="142"/>
      <c r="AH67" s="142"/>
      <c r="AI67" s="142"/>
      <c r="AJ67" s="142"/>
      <c r="AK67" s="142"/>
      <c r="AL67" s="12"/>
    </row>
    <row r="68" spans="1:38" ht="36.75" hidden="1" customHeight="1">
      <c r="B68" s="342"/>
      <c r="C68" s="15" t="s">
        <v>363</v>
      </c>
      <c r="D68" s="15"/>
      <c r="E68" s="258" t="s">
        <v>37</v>
      </c>
      <c r="F68" s="160">
        <v>27910.22</v>
      </c>
      <c r="G68" s="160">
        <v>27910.22</v>
      </c>
      <c r="H68" s="159">
        <f t="shared" si="10"/>
        <v>0</v>
      </c>
      <c r="I68" s="159">
        <v>0</v>
      </c>
      <c r="J68" s="159">
        <v>0</v>
      </c>
      <c r="K68" s="159">
        <v>0</v>
      </c>
      <c r="L68" s="159">
        <v>0</v>
      </c>
      <c r="M68" s="469">
        <v>0</v>
      </c>
      <c r="N68" s="159">
        <v>0</v>
      </c>
      <c r="O68" s="469">
        <v>0</v>
      </c>
      <c r="P68" s="159"/>
      <c r="Q68" s="159">
        <v>0</v>
      </c>
      <c r="R68" s="159">
        <v>0</v>
      </c>
      <c r="S68" s="256"/>
      <c r="T68" s="260" t="s">
        <v>501</v>
      </c>
      <c r="U68" s="142"/>
      <c r="V68" s="142"/>
      <c r="W68" s="142"/>
      <c r="X68" s="142"/>
      <c r="Y68" s="143"/>
      <c r="Z68" s="142"/>
      <c r="AA68" s="142">
        <v>0</v>
      </c>
      <c r="AB68" s="142">
        <v>0</v>
      </c>
      <c r="AC68" s="142">
        <v>0</v>
      </c>
      <c r="AD68" s="142">
        <v>0</v>
      </c>
      <c r="AE68" s="142"/>
      <c r="AF68" s="142"/>
      <c r="AG68" s="142"/>
      <c r="AH68" s="142"/>
      <c r="AI68" s="142"/>
      <c r="AJ68" s="142"/>
      <c r="AK68" s="142"/>
      <c r="AL68" s="12"/>
    </row>
    <row r="69" spans="1:38" ht="36.75" hidden="1" customHeight="1">
      <c r="B69" s="342"/>
      <c r="C69" s="15" t="s">
        <v>363</v>
      </c>
      <c r="D69" s="15">
        <v>25</v>
      </c>
      <c r="E69" s="119" t="s">
        <v>291</v>
      </c>
      <c r="F69" s="113">
        <v>51312</v>
      </c>
      <c r="G69" s="161">
        <f>36556+440+323.29+448.23+515.54+545.09+564.87</f>
        <v>39393.020000000004</v>
      </c>
      <c r="H69" s="161">
        <f t="shared" si="10"/>
        <v>11918.979999999996</v>
      </c>
      <c r="I69" s="161">
        <v>600</v>
      </c>
      <c r="J69" s="15">
        <v>1</v>
      </c>
      <c r="K69" s="15" t="s">
        <v>78</v>
      </c>
      <c r="L69" s="247">
        <v>600</v>
      </c>
      <c r="M69" s="292"/>
      <c r="N69" s="15"/>
      <c r="O69" s="292" t="s">
        <v>387</v>
      </c>
      <c r="P69" s="15"/>
      <c r="Q69" s="15">
        <v>564.87</v>
      </c>
      <c r="R69" s="15">
        <v>545.09</v>
      </c>
      <c r="S69" s="15"/>
      <c r="T69" s="262" t="s">
        <v>479</v>
      </c>
      <c r="U69" s="16"/>
      <c r="V69" s="16"/>
      <c r="W69" s="16"/>
      <c r="X69" s="16" t="s">
        <v>364</v>
      </c>
      <c r="Y69" s="12"/>
      <c r="Z69" s="16"/>
      <c r="AA69" s="16">
        <v>394.4</v>
      </c>
      <c r="AB69" s="16">
        <v>562.24</v>
      </c>
      <c r="AC69" s="16">
        <v>510.27</v>
      </c>
      <c r="AD69" s="16">
        <v>0</v>
      </c>
      <c r="AE69" s="16"/>
      <c r="AF69" s="16"/>
      <c r="AG69" s="16"/>
      <c r="AH69" s="16"/>
      <c r="AI69" s="16"/>
      <c r="AJ69" s="16"/>
      <c r="AK69" s="16"/>
      <c r="AL69" s="12" t="s">
        <v>365</v>
      </c>
    </row>
    <row r="70" spans="1:38" ht="36.75" hidden="1" customHeight="1">
      <c r="B70" s="342"/>
      <c r="C70" s="15" t="s">
        <v>363</v>
      </c>
      <c r="D70" s="15">
        <v>26</v>
      </c>
      <c r="E70" s="119" t="s">
        <v>290</v>
      </c>
      <c r="F70" s="113">
        <v>18736</v>
      </c>
      <c r="G70" s="161">
        <f>16364+242.03</f>
        <v>16606.03</v>
      </c>
      <c r="H70" s="161">
        <f t="shared" si="10"/>
        <v>2129.9700000000012</v>
      </c>
      <c r="I70" s="161">
        <v>600</v>
      </c>
      <c r="J70" s="15">
        <v>1</v>
      </c>
      <c r="K70" s="15" t="s">
        <v>60</v>
      </c>
      <c r="L70" s="247">
        <v>600</v>
      </c>
      <c r="M70" s="292"/>
      <c r="N70" s="15"/>
      <c r="O70" s="292" t="s">
        <v>205</v>
      </c>
      <c r="P70" s="15"/>
      <c r="Q70" s="15">
        <v>0</v>
      </c>
      <c r="R70" s="15">
        <v>0</v>
      </c>
      <c r="S70" s="15"/>
      <c r="T70" s="262" t="s">
        <v>365</v>
      </c>
      <c r="U70" s="16"/>
      <c r="V70" s="16"/>
      <c r="W70" s="16"/>
      <c r="X70" s="16"/>
      <c r="Y70" s="12"/>
      <c r="Z70" s="16"/>
      <c r="AA70" s="16">
        <v>0</v>
      </c>
      <c r="AB70" s="16">
        <v>210.47</v>
      </c>
      <c r="AC70" s="16">
        <v>0</v>
      </c>
      <c r="AD70" s="16">
        <v>0</v>
      </c>
      <c r="AE70" s="16"/>
      <c r="AF70" s="16"/>
      <c r="AG70" s="16"/>
      <c r="AH70" s="16"/>
      <c r="AI70" s="16"/>
      <c r="AJ70" s="16"/>
      <c r="AK70" s="16"/>
      <c r="AL70" s="12"/>
    </row>
    <row r="71" spans="1:38" ht="36.75" hidden="1" customHeight="1">
      <c r="B71" s="342"/>
      <c r="C71" s="15" t="s">
        <v>363</v>
      </c>
      <c r="D71" s="15">
        <v>27</v>
      </c>
      <c r="E71" s="119" t="s">
        <v>366</v>
      </c>
      <c r="F71" s="113">
        <v>7312</v>
      </c>
      <c r="G71" s="162">
        <v>0</v>
      </c>
      <c r="H71" s="161">
        <f t="shared" si="10"/>
        <v>7312</v>
      </c>
      <c r="I71" s="161"/>
      <c r="J71" s="15"/>
      <c r="K71" s="256" t="s">
        <v>393</v>
      </c>
      <c r="L71" s="247">
        <v>500</v>
      </c>
      <c r="M71" s="292" t="s">
        <v>394</v>
      </c>
      <c r="N71" s="15">
        <v>15</v>
      </c>
      <c r="O71" s="292" t="s">
        <v>387</v>
      </c>
      <c r="P71" s="15"/>
      <c r="Q71" s="15">
        <v>0</v>
      </c>
      <c r="R71" s="15">
        <v>0</v>
      </c>
      <c r="S71" s="15"/>
      <c r="T71" s="262" t="s">
        <v>415</v>
      </c>
      <c r="U71" s="16"/>
      <c r="V71" s="16"/>
      <c r="W71" s="16" t="e">
        <f>X71-M71</f>
        <v>#VALUE!</v>
      </c>
      <c r="X71" s="114">
        <v>45930</v>
      </c>
      <c r="Y71" s="12"/>
      <c r="Z71" s="16"/>
      <c r="AA71" s="16">
        <v>0</v>
      </c>
      <c r="AB71" s="16">
        <v>0</v>
      </c>
      <c r="AC71" s="16">
        <v>0</v>
      </c>
      <c r="AD71" s="16">
        <v>0</v>
      </c>
      <c r="AE71" s="16"/>
      <c r="AF71" s="16"/>
      <c r="AG71" s="16"/>
      <c r="AH71" s="16"/>
      <c r="AI71" s="16"/>
      <c r="AJ71" s="16"/>
      <c r="AK71" s="16"/>
      <c r="AL71" s="12"/>
    </row>
    <row r="72" spans="1:38" ht="36.75" hidden="1" customHeight="1">
      <c r="B72" s="342"/>
      <c r="C72" s="15" t="s">
        <v>363</v>
      </c>
      <c r="D72" s="15">
        <v>28</v>
      </c>
      <c r="E72" s="119" t="s">
        <v>293</v>
      </c>
      <c r="F72" s="113">
        <v>7300</v>
      </c>
      <c r="G72" s="162">
        <v>0</v>
      </c>
      <c r="H72" s="161">
        <f t="shared" si="10"/>
        <v>7300</v>
      </c>
      <c r="I72" s="161"/>
      <c r="J72" s="15"/>
      <c r="K72" s="256" t="s">
        <v>416</v>
      </c>
      <c r="L72" s="247"/>
      <c r="M72" s="292" t="s">
        <v>371</v>
      </c>
      <c r="N72" s="15"/>
      <c r="O72" s="292" t="s">
        <v>205</v>
      </c>
      <c r="P72" s="15"/>
      <c r="Q72" s="15">
        <v>0</v>
      </c>
      <c r="R72" s="15">
        <v>0</v>
      </c>
      <c r="S72" s="15"/>
      <c r="T72" s="248" t="s">
        <v>473</v>
      </c>
      <c r="U72" s="16"/>
      <c r="V72" s="16"/>
      <c r="W72" s="16"/>
      <c r="X72" s="16"/>
      <c r="Y72" s="12"/>
      <c r="Z72" s="16"/>
      <c r="AA72" s="16">
        <v>0</v>
      </c>
      <c r="AB72" s="16">
        <v>0</v>
      </c>
      <c r="AC72" s="16">
        <v>0</v>
      </c>
      <c r="AD72" s="16">
        <v>0</v>
      </c>
      <c r="AE72" s="16"/>
      <c r="AF72" s="16"/>
      <c r="AG72" s="16"/>
      <c r="AH72" s="16"/>
      <c r="AI72" s="16"/>
      <c r="AJ72" s="16"/>
      <c r="AK72" s="16"/>
      <c r="AL72" s="12"/>
    </row>
    <row r="73" spans="1:38" ht="43.5" hidden="1" customHeight="1">
      <c r="B73" s="342"/>
      <c r="C73" s="15" t="s">
        <v>363</v>
      </c>
      <c r="D73" s="15">
        <v>29</v>
      </c>
      <c r="E73" s="119" t="s">
        <v>292</v>
      </c>
      <c r="F73" s="113">
        <v>10000</v>
      </c>
      <c r="G73" s="162">
        <v>0</v>
      </c>
      <c r="H73" s="161">
        <f t="shared" si="10"/>
        <v>10000</v>
      </c>
      <c r="I73" s="161"/>
      <c r="J73" s="15"/>
      <c r="K73" s="256" t="s">
        <v>367</v>
      </c>
      <c r="L73" s="247">
        <v>400</v>
      </c>
      <c r="M73" s="292" t="s">
        <v>368</v>
      </c>
      <c r="N73" s="15"/>
      <c r="O73" s="292" t="s">
        <v>417</v>
      </c>
      <c r="P73" s="15"/>
      <c r="Q73" s="15">
        <v>0</v>
      </c>
      <c r="R73" s="15">
        <v>0</v>
      </c>
      <c r="S73" s="15"/>
      <c r="T73" s="262" t="s">
        <v>414</v>
      </c>
      <c r="U73" s="16"/>
      <c r="V73" s="16"/>
      <c r="W73" s="16"/>
      <c r="X73" s="16" t="s">
        <v>369</v>
      </c>
      <c r="Y73" s="12"/>
      <c r="Z73" s="16"/>
      <c r="AA73" s="16">
        <v>0</v>
      </c>
      <c r="AB73" s="16">
        <v>0</v>
      </c>
      <c r="AC73" s="16">
        <v>0</v>
      </c>
      <c r="AD73" s="16">
        <v>0</v>
      </c>
      <c r="AE73" s="16"/>
      <c r="AF73" s="16"/>
      <c r="AG73" s="16"/>
      <c r="AH73" s="16"/>
      <c r="AI73" s="16"/>
      <c r="AJ73" s="16"/>
      <c r="AK73" s="16"/>
      <c r="AL73" s="12" t="s">
        <v>370</v>
      </c>
    </row>
    <row r="74" spans="1:38" ht="47.25" hidden="1">
      <c r="B74" s="343"/>
      <c r="C74" s="15" t="s">
        <v>363</v>
      </c>
      <c r="D74" s="15">
        <v>30</v>
      </c>
      <c r="E74" s="119" t="s">
        <v>294</v>
      </c>
      <c r="F74" s="113">
        <v>5821</v>
      </c>
      <c r="G74" s="162">
        <v>0</v>
      </c>
      <c r="H74" s="161">
        <f t="shared" si="10"/>
        <v>5821</v>
      </c>
      <c r="I74" s="161">
        <v>400</v>
      </c>
      <c r="J74" s="15">
        <v>1</v>
      </c>
      <c r="K74" s="15" t="s">
        <v>82</v>
      </c>
      <c r="L74" s="247">
        <v>400</v>
      </c>
      <c r="M74" s="292" t="s">
        <v>371</v>
      </c>
      <c r="N74" s="15"/>
      <c r="O74" s="292" t="s">
        <v>210</v>
      </c>
      <c r="P74" s="15"/>
      <c r="Q74" s="15">
        <v>0</v>
      </c>
      <c r="R74" s="15">
        <v>0</v>
      </c>
      <c r="S74" s="15"/>
      <c r="T74" s="262" t="s">
        <v>372</v>
      </c>
      <c r="U74" s="16"/>
      <c r="V74" s="16"/>
      <c r="W74" s="16"/>
      <c r="X74" s="16" t="s">
        <v>195</v>
      </c>
      <c r="Y74" s="12"/>
      <c r="Z74" s="16"/>
      <c r="AA74" s="16">
        <v>0</v>
      </c>
      <c r="AB74" s="16">
        <v>0</v>
      </c>
      <c r="AC74" s="16">
        <v>0</v>
      </c>
      <c r="AD74" s="16">
        <v>0</v>
      </c>
      <c r="AE74" s="16"/>
      <c r="AF74" s="16"/>
      <c r="AG74" s="16"/>
      <c r="AH74" s="16"/>
      <c r="AI74" s="16"/>
      <c r="AJ74" s="16"/>
      <c r="AK74" s="16"/>
      <c r="AL74" s="12" t="s">
        <v>372</v>
      </c>
    </row>
    <row r="75" spans="1:38" ht="33.75" hidden="1" customHeight="1">
      <c r="B75" s="263"/>
      <c r="C75" s="263"/>
      <c r="D75" s="263"/>
      <c r="E75" s="263"/>
      <c r="F75" s="169">
        <f>SUM(F62:F74)</f>
        <v>254109.35</v>
      </c>
      <c r="G75" s="169">
        <f t="shared" ref="G75" si="16">SUM(G62:G74)</f>
        <v>209627.4</v>
      </c>
      <c r="H75" s="169">
        <f t="shared" si="10"/>
        <v>44481.950000000012</v>
      </c>
      <c r="I75" s="169">
        <f t="shared" ref="I75:AI75" si="17">SUM(I62:I74)</f>
        <v>1600</v>
      </c>
      <c r="J75" s="264">
        <f t="shared" si="17"/>
        <v>3</v>
      </c>
      <c r="K75" s="264">
        <f t="shared" si="17"/>
        <v>0</v>
      </c>
      <c r="L75" s="265">
        <f t="shared" si="17"/>
        <v>2500</v>
      </c>
      <c r="M75" s="470">
        <f t="shared" si="17"/>
        <v>0</v>
      </c>
      <c r="N75" s="264">
        <f t="shared" si="17"/>
        <v>15</v>
      </c>
      <c r="O75" s="470">
        <f t="shared" si="17"/>
        <v>0</v>
      </c>
      <c r="P75" s="264"/>
      <c r="Q75" s="264">
        <f t="shared" ref="Q75:R75" si="18">SUM(Q62:Q74)</f>
        <v>564.87</v>
      </c>
      <c r="R75" s="264">
        <f t="shared" si="18"/>
        <v>545.09</v>
      </c>
      <c r="S75" s="264"/>
      <c r="T75" s="266">
        <f t="shared" si="17"/>
        <v>0</v>
      </c>
      <c r="U75" s="147">
        <f t="shared" si="17"/>
        <v>0</v>
      </c>
      <c r="V75" s="147">
        <f t="shared" si="17"/>
        <v>0</v>
      </c>
      <c r="W75" s="147" t="e">
        <f t="shared" si="17"/>
        <v>#VALUE!</v>
      </c>
      <c r="X75" s="147">
        <f t="shared" si="17"/>
        <v>45930</v>
      </c>
      <c r="Y75" s="147">
        <f t="shared" si="17"/>
        <v>0</v>
      </c>
      <c r="Z75" s="147">
        <f t="shared" si="17"/>
        <v>0</v>
      </c>
      <c r="AA75" s="148">
        <f t="shared" si="17"/>
        <v>394.4</v>
      </c>
      <c r="AB75" s="148">
        <f t="shared" si="17"/>
        <v>772.71</v>
      </c>
      <c r="AC75" s="147">
        <f t="shared" si="17"/>
        <v>510.27</v>
      </c>
      <c r="AD75" s="147">
        <f t="shared" si="17"/>
        <v>0</v>
      </c>
      <c r="AE75" s="147">
        <f t="shared" si="17"/>
        <v>0</v>
      </c>
      <c r="AF75" s="147">
        <f t="shared" si="17"/>
        <v>0</v>
      </c>
      <c r="AG75" s="147">
        <f t="shared" si="17"/>
        <v>0</v>
      </c>
      <c r="AH75" s="147">
        <f t="shared" si="17"/>
        <v>0</v>
      </c>
      <c r="AI75" s="147">
        <f t="shared" si="17"/>
        <v>0</v>
      </c>
      <c r="AJ75" s="147"/>
      <c r="AK75" s="147"/>
      <c r="AL75" s="12"/>
    </row>
    <row r="76" spans="1:38" ht="33" hidden="1" customHeight="1">
      <c r="B76" s="267"/>
      <c r="C76" s="348" t="s">
        <v>440</v>
      </c>
      <c r="D76" s="349"/>
      <c r="E76" s="350"/>
      <c r="F76" s="164">
        <f>F54+F61+F75</f>
        <v>635115.30999999994</v>
      </c>
      <c r="G76" s="164">
        <f>G54+G61+G75</f>
        <v>470851.22</v>
      </c>
      <c r="H76" s="164">
        <f t="shared" si="10"/>
        <v>164264.08999999997</v>
      </c>
      <c r="I76" s="164">
        <f t="shared" ref="I76:Q76" si="19">I54+I61+I75</f>
        <v>1600</v>
      </c>
      <c r="J76" s="149">
        <f t="shared" si="19"/>
        <v>6</v>
      </c>
      <c r="K76" s="149">
        <f t="shared" si="19"/>
        <v>0</v>
      </c>
      <c r="L76" s="165">
        <f t="shared" si="19"/>
        <v>12900</v>
      </c>
      <c r="M76" s="471"/>
      <c r="N76" s="149"/>
      <c r="O76" s="471"/>
      <c r="P76" s="314"/>
      <c r="Q76" s="149">
        <f t="shared" si="19"/>
        <v>773.17000000000007</v>
      </c>
      <c r="R76" s="149">
        <f t="shared" ref="R76" si="20">R54+R61+R75</f>
        <v>545.09</v>
      </c>
      <c r="S76" s="149"/>
      <c r="T76" s="151">
        <f t="shared" ref="T76:AI76" si="21">T54+T61+T75</f>
        <v>0</v>
      </c>
      <c r="U76" s="149">
        <f t="shared" si="21"/>
        <v>0</v>
      </c>
      <c r="V76" s="149">
        <f t="shared" si="21"/>
        <v>0</v>
      </c>
      <c r="W76" s="149" t="e">
        <f t="shared" si="21"/>
        <v>#VALUE!</v>
      </c>
      <c r="X76" s="149">
        <f t="shared" si="21"/>
        <v>321418</v>
      </c>
      <c r="Y76" s="149">
        <f t="shared" si="21"/>
        <v>0</v>
      </c>
      <c r="Z76" s="149">
        <f t="shared" si="21"/>
        <v>0</v>
      </c>
      <c r="AA76" s="150">
        <f t="shared" si="21"/>
        <v>394.4</v>
      </c>
      <c r="AB76" s="150">
        <f t="shared" si="21"/>
        <v>954.24</v>
      </c>
      <c r="AC76" s="149">
        <f t="shared" si="21"/>
        <v>772.3</v>
      </c>
      <c r="AD76" s="149">
        <f t="shared" si="21"/>
        <v>0</v>
      </c>
      <c r="AE76" s="149">
        <f t="shared" si="21"/>
        <v>0</v>
      </c>
      <c r="AF76" s="149">
        <f t="shared" si="21"/>
        <v>0</v>
      </c>
      <c r="AG76" s="149">
        <f t="shared" si="21"/>
        <v>0</v>
      </c>
      <c r="AH76" s="149">
        <f t="shared" si="21"/>
        <v>0</v>
      </c>
      <c r="AI76" s="149">
        <f t="shared" si="21"/>
        <v>0</v>
      </c>
      <c r="AJ76" s="149"/>
      <c r="AK76" s="149"/>
      <c r="AL76" s="12"/>
    </row>
    <row r="77" spans="1:38" ht="31.5" hidden="1" customHeight="1">
      <c r="A77" s="139"/>
      <c r="B77" s="217"/>
      <c r="C77" s="334" t="s">
        <v>437</v>
      </c>
      <c r="D77" s="335"/>
      <c r="E77" s="336"/>
      <c r="F77" s="168">
        <f>SUM(F76,F36)</f>
        <v>1944267.31</v>
      </c>
      <c r="G77" s="168">
        <f t="shared" ref="G77:Q77" si="22">SUM(G76,G36)</f>
        <v>513316.56499999994</v>
      </c>
      <c r="H77" s="168">
        <f t="shared" si="22"/>
        <v>1430950.7450000001</v>
      </c>
      <c r="I77" s="168">
        <f t="shared" si="22"/>
        <v>18700</v>
      </c>
      <c r="J77" s="168">
        <f t="shared" si="22"/>
        <v>26</v>
      </c>
      <c r="K77" s="168">
        <f t="shared" si="22"/>
        <v>0</v>
      </c>
      <c r="L77" s="168">
        <f t="shared" si="22"/>
        <v>32200</v>
      </c>
      <c r="M77" s="472"/>
      <c r="N77" s="168"/>
      <c r="O77" s="472"/>
      <c r="P77" s="168"/>
      <c r="Q77" s="168">
        <f t="shared" si="22"/>
        <v>4127.415</v>
      </c>
      <c r="R77" s="168">
        <f t="shared" ref="R77" si="23">SUM(R76,R36)</f>
        <v>2843.8250000000003</v>
      </c>
      <c r="S77" s="217"/>
      <c r="T77" s="255"/>
      <c r="U77" s="97"/>
      <c r="V77" s="9"/>
      <c r="W77" s="9"/>
      <c r="X77" s="9"/>
      <c r="Y77" s="9"/>
      <c r="Z77" s="9"/>
      <c r="AA77" s="9"/>
      <c r="AB77" s="141"/>
    </row>
    <row r="78" spans="1:38" ht="24.75" hidden="1" customHeight="1">
      <c r="B78" s="155"/>
      <c r="C78" s="155"/>
      <c r="D78" s="155"/>
      <c r="E78" s="268"/>
      <c r="I78" s="155"/>
      <c r="J78" s="155"/>
      <c r="K78" s="155"/>
      <c r="L78" s="155"/>
      <c r="M78" s="473"/>
      <c r="N78" s="155"/>
      <c r="O78" s="473"/>
      <c r="P78" s="155"/>
      <c r="Q78" s="155"/>
      <c r="R78" s="155"/>
      <c r="S78" s="155"/>
      <c r="T78" s="269"/>
    </row>
    <row r="80" spans="1:38" ht="33" customHeight="1"/>
    <row r="81" ht="33" customHeight="1"/>
    <row r="82" ht="33" customHeight="1"/>
    <row r="83" ht="33" customHeight="1"/>
    <row r="84" ht="33" customHeight="1"/>
    <row r="85" ht="33" customHeight="1"/>
    <row r="86" ht="33" customHeight="1"/>
    <row r="87" ht="33" customHeight="1"/>
    <row r="88" ht="33" customHeight="1"/>
    <row r="89" ht="33" customHeight="1"/>
    <row r="90" ht="33" customHeight="1"/>
    <row r="91" ht="33" customHeight="1"/>
    <row r="92" ht="33" customHeight="1"/>
    <row r="93" ht="33" customHeight="1"/>
    <row r="94" ht="33" customHeight="1"/>
    <row r="95" ht="33" customHeight="1"/>
    <row r="96" ht="33" customHeight="1"/>
  </sheetData>
  <mergeCells count="107">
    <mergeCell ref="P5:P7"/>
    <mergeCell ref="P8:P9"/>
    <mergeCell ref="P11:P12"/>
    <mergeCell ref="P14:P16"/>
    <mergeCell ref="P20:P21"/>
    <mergeCell ref="B1:T1"/>
    <mergeCell ref="C8:C9"/>
    <mergeCell ref="R5:R7"/>
    <mergeCell ref="R8:R9"/>
    <mergeCell ref="R11:R12"/>
    <mergeCell ref="Q11:Q12"/>
    <mergeCell ref="N8:N9"/>
    <mergeCell ref="O2:O3"/>
    <mergeCell ref="T2:T3"/>
    <mergeCell ref="M2:M3"/>
    <mergeCell ref="Q2:Q3"/>
    <mergeCell ref="L2:L3"/>
    <mergeCell ref="D8:D9"/>
    <mergeCell ref="E8:E9"/>
    <mergeCell ref="F8:F9"/>
    <mergeCell ref="G8:G9"/>
    <mergeCell ref="N11:N12"/>
    <mergeCell ref="N20:N21"/>
    <mergeCell ref="R14:R16"/>
    <mergeCell ref="N23:N24"/>
    <mergeCell ref="J14:J16"/>
    <mergeCell ref="N14:N16"/>
    <mergeCell ref="Q23:Q24"/>
    <mergeCell ref="Q20:Q21"/>
    <mergeCell ref="Q14:Q16"/>
    <mergeCell ref="P23:P24"/>
    <mergeCell ref="F23:F24"/>
    <mergeCell ref="G23:G24"/>
    <mergeCell ref="H23:H24"/>
    <mergeCell ref="E20:E21"/>
    <mergeCell ref="S14:S16"/>
    <mergeCell ref="R20:R21"/>
    <mergeCell ref="R23:R24"/>
    <mergeCell ref="I14:I16"/>
    <mergeCell ref="F14:F16"/>
    <mergeCell ref="G14:G16"/>
    <mergeCell ref="H14:H16"/>
    <mergeCell ref="E14:E16"/>
    <mergeCell ref="F20:F21"/>
    <mergeCell ref="G20:G21"/>
    <mergeCell ref="H20:H21"/>
    <mergeCell ref="AB2:AB3"/>
    <mergeCell ref="Z2:Z3"/>
    <mergeCell ref="AA2:AA3"/>
    <mergeCell ref="N2:N3"/>
    <mergeCell ref="Y2:Y3"/>
    <mergeCell ref="S2:S3"/>
    <mergeCell ref="U2:U3"/>
    <mergeCell ref="X2:X3"/>
    <mergeCell ref="W2:W3"/>
    <mergeCell ref="V2:V3"/>
    <mergeCell ref="R2:R3"/>
    <mergeCell ref="P2:P3"/>
    <mergeCell ref="K2:K3"/>
    <mergeCell ref="J5:J7"/>
    <mergeCell ref="I5:I7"/>
    <mergeCell ref="I2:I3"/>
    <mergeCell ref="H8:H9"/>
    <mergeCell ref="H2:H3"/>
    <mergeCell ref="B35:C35"/>
    <mergeCell ref="E5:E7"/>
    <mergeCell ref="D11:D12"/>
    <mergeCell ref="E2:E3"/>
    <mergeCell ref="E11:E12"/>
    <mergeCell ref="D20:D21"/>
    <mergeCell ref="D23:D24"/>
    <mergeCell ref="D14:D16"/>
    <mergeCell ref="E23:E24"/>
    <mergeCell ref="A2:A3"/>
    <mergeCell ref="C2:C3"/>
    <mergeCell ref="B2:B3"/>
    <mergeCell ref="D2:D3"/>
    <mergeCell ref="D5:D7"/>
    <mergeCell ref="G11:G12"/>
    <mergeCell ref="H11:H12"/>
    <mergeCell ref="J11:J12"/>
    <mergeCell ref="F11:F12"/>
    <mergeCell ref="J2:J3"/>
    <mergeCell ref="I8:I9"/>
    <mergeCell ref="J8:J9"/>
    <mergeCell ref="G5:G7"/>
    <mergeCell ref="H5:H7"/>
    <mergeCell ref="F5:F7"/>
    <mergeCell ref="F2:F3"/>
    <mergeCell ref="G2:G3"/>
    <mergeCell ref="I11:I12"/>
    <mergeCell ref="C77:E77"/>
    <mergeCell ref="B5:B7"/>
    <mergeCell ref="B8:B12"/>
    <mergeCell ref="B14:B18"/>
    <mergeCell ref="B20:B34"/>
    <mergeCell ref="B38:B53"/>
    <mergeCell ref="B55:B60"/>
    <mergeCell ref="B62:B74"/>
    <mergeCell ref="B37:T37"/>
    <mergeCell ref="S5:S7"/>
    <mergeCell ref="Q8:Q9"/>
    <mergeCell ref="S8:S9"/>
    <mergeCell ref="Q5:Q7"/>
    <mergeCell ref="N5:N7"/>
    <mergeCell ref="C76:E76"/>
    <mergeCell ref="B36:C36"/>
  </mergeCells>
  <printOptions horizontalCentered="1"/>
  <pageMargins left="0.19685039370078741" right="0.31496062992125984" top="0.74803149606299213" bottom="0.55118110236220474" header="0.31496062992125984" footer="0.31496062992125984"/>
  <pageSetup paperSize="9" scale="41" fitToHeight="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9"/>
  <sheetViews>
    <sheetView topLeftCell="B1" zoomScale="60" zoomScaleNormal="60" zoomScaleSheetLayoutView="66" workbookViewId="0">
      <pane ySplit="4" topLeftCell="A5" activePane="bottomLeft" state="frozen"/>
      <selection activeCell="U15" sqref="U15"/>
      <selection pane="bottomLeft" activeCell="U15" sqref="U15"/>
    </sheetView>
  </sheetViews>
  <sheetFormatPr defaultColWidth="10.7109375" defaultRowHeight="15.75"/>
  <cols>
    <col min="1" max="1" width="9.7109375" style="135" hidden="1" customWidth="1"/>
    <col min="2" max="2" width="24.140625" style="135" customWidth="1"/>
    <col min="3" max="3" width="21.28515625" style="135" customWidth="1"/>
    <col min="4" max="4" width="10" style="135" customWidth="1"/>
    <col min="5" max="5" width="21.85546875" style="154" customWidth="1"/>
    <col min="6" max="6" width="17.28515625" style="171" customWidth="1"/>
    <col min="7" max="7" width="16.28515625" style="155" customWidth="1"/>
    <col min="8" max="8" width="17.140625" style="155" customWidth="1"/>
    <col min="9" max="9" width="18.140625" style="172" customWidth="1"/>
    <col min="10" max="10" width="14.85546875" style="135" customWidth="1"/>
    <col min="11" max="11" width="13.85546875" style="135" customWidth="1"/>
    <col min="12" max="12" width="15.140625" style="135" customWidth="1"/>
    <col min="13" max="13" width="19.5703125" style="295" customWidth="1"/>
    <col min="14" max="14" width="17.5703125" style="135" customWidth="1"/>
    <col min="15" max="16" width="18.140625" style="295" customWidth="1"/>
    <col min="17" max="17" width="17.85546875" style="135" customWidth="1"/>
    <col min="18" max="18" width="17.85546875" style="135" hidden="1" customWidth="1"/>
    <col min="19" max="19" width="16.85546875" style="135" hidden="1" customWidth="1"/>
    <col min="20" max="20" width="48.42578125" style="156" customWidth="1"/>
    <col min="21" max="22" width="11.85546875" style="135" hidden="1" customWidth="1"/>
    <col min="23" max="23" width="15.140625" style="135" hidden="1" customWidth="1"/>
    <col min="24" max="24" width="15.42578125" style="135" hidden="1" customWidth="1"/>
    <col min="25" max="27" width="11.85546875" style="135" hidden="1" customWidth="1"/>
    <col min="28" max="28" width="62.42578125" style="156" hidden="1" customWidth="1"/>
    <col min="29" max="29" width="20.5703125" style="135" hidden="1" customWidth="1"/>
    <col min="30" max="39" width="0" style="135" hidden="1" customWidth="1"/>
    <col min="40" max="16384" width="10.7109375" style="135"/>
  </cols>
  <sheetData>
    <row r="1" spans="1:28" ht="27.6" customHeight="1">
      <c r="A1" s="134" t="s">
        <v>452</v>
      </c>
      <c r="B1" s="373" t="s">
        <v>497</v>
      </c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5"/>
      <c r="U1" s="16"/>
      <c r="V1" s="16"/>
      <c r="W1" s="16"/>
      <c r="X1" s="16"/>
      <c r="Y1" s="16"/>
      <c r="Z1" s="16"/>
      <c r="AA1" s="16"/>
      <c r="AB1" s="100"/>
    </row>
    <row r="2" spans="1:28" ht="57.6" customHeight="1">
      <c r="A2" s="355" t="s">
        <v>1</v>
      </c>
      <c r="B2" s="390" t="s">
        <v>1</v>
      </c>
      <c r="C2" s="390" t="s">
        <v>2</v>
      </c>
      <c r="D2" s="392" t="s">
        <v>333</v>
      </c>
      <c r="E2" s="390" t="s">
        <v>3</v>
      </c>
      <c r="F2" s="397" t="s">
        <v>137</v>
      </c>
      <c r="G2" s="397" t="s">
        <v>245</v>
      </c>
      <c r="H2" s="397" t="s">
        <v>139</v>
      </c>
      <c r="I2" s="397" t="s">
        <v>250</v>
      </c>
      <c r="J2" s="363" t="s">
        <v>4</v>
      </c>
      <c r="K2" s="364" t="s">
        <v>9</v>
      </c>
      <c r="L2" s="364" t="s">
        <v>10</v>
      </c>
      <c r="M2" s="387" t="s">
        <v>11</v>
      </c>
      <c r="N2" s="363" t="s">
        <v>6</v>
      </c>
      <c r="O2" s="389" t="s">
        <v>7</v>
      </c>
      <c r="P2" s="353" t="s">
        <v>515</v>
      </c>
      <c r="Q2" s="353" t="s">
        <v>499</v>
      </c>
      <c r="R2" s="353" t="s">
        <v>500</v>
      </c>
      <c r="S2" s="364" t="s">
        <v>402</v>
      </c>
      <c r="T2" s="363" t="s">
        <v>8</v>
      </c>
      <c r="U2" s="364" t="s">
        <v>134</v>
      </c>
      <c r="V2" s="364" t="s">
        <v>272</v>
      </c>
      <c r="W2" s="364" t="s">
        <v>273</v>
      </c>
      <c r="X2" s="364" t="s">
        <v>274</v>
      </c>
      <c r="Y2" s="364" t="s">
        <v>275</v>
      </c>
      <c r="Z2" s="364" t="s">
        <v>276</v>
      </c>
      <c r="AA2" s="364" t="s">
        <v>295</v>
      </c>
      <c r="AB2" s="363" t="s">
        <v>278</v>
      </c>
    </row>
    <row r="3" spans="1:28" ht="42" customHeight="1">
      <c r="A3" s="356"/>
      <c r="B3" s="391"/>
      <c r="C3" s="391"/>
      <c r="D3" s="393"/>
      <c r="E3" s="391"/>
      <c r="F3" s="398"/>
      <c r="G3" s="398"/>
      <c r="H3" s="398"/>
      <c r="I3" s="398"/>
      <c r="J3" s="399"/>
      <c r="K3" s="365"/>
      <c r="L3" s="365"/>
      <c r="M3" s="388"/>
      <c r="N3" s="363"/>
      <c r="O3" s="389"/>
      <c r="P3" s="353"/>
      <c r="Q3" s="353"/>
      <c r="R3" s="353"/>
      <c r="S3" s="365"/>
      <c r="T3" s="363"/>
      <c r="U3" s="365"/>
      <c r="V3" s="365"/>
      <c r="W3" s="365"/>
      <c r="X3" s="365"/>
      <c r="Y3" s="365"/>
      <c r="Z3" s="365"/>
      <c r="AA3" s="365"/>
      <c r="AB3" s="363"/>
    </row>
    <row r="4" spans="1:28" ht="26.25" customHeight="1">
      <c r="A4" s="136">
        <v>1</v>
      </c>
      <c r="B4" s="136">
        <v>1</v>
      </c>
      <c r="C4" s="137">
        <v>2</v>
      </c>
      <c r="D4" s="137">
        <v>3</v>
      </c>
      <c r="E4" s="137">
        <v>4</v>
      </c>
      <c r="F4" s="166">
        <v>5</v>
      </c>
      <c r="G4" s="166">
        <v>6</v>
      </c>
      <c r="H4" s="166">
        <v>7</v>
      </c>
      <c r="I4" s="166">
        <v>8</v>
      </c>
      <c r="J4" s="137">
        <v>9</v>
      </c>
      <c r="K4" s="137">
        <v>10</v>
      </c>
      <c r="L4" s="137">
        <v>11</v>
      </c>
      <c r="M4" s="474">
        <v>12</v>
      </c>
      <c r="N4" s="137">
        <v>13</v>
      </c>
      <c r="O4" s="474">
        <v>14</v>
      </c>
      <c r="P4" s="474">
        <v>15</v>
      </c>
      <c r="Q4" s="137">
        <v>15</v>
      </c>
      <c r="R4" s="137">
        <v>16</v>
      </c>
      <c r="S4" s="137">
        <v>16</v>
      </c>
      <c r="T4" s="138">
        <v>17</v>
      </c>
      <c r="U4" s="138">
        <v>21</v>
      </c>
      <c r="V4" s="138">
        <v>24</v>
      </c>
      <c r="W4" s="138">
        <v>25</v>
      </c>
      <c r="X4" s="138"/>
      <c r="Y4" s="138">
        <v>26</v>
      </c>
      <c r="Z4" s="138">
        <v>27</v>
      </c>
      <c r="AA4" s="138">
        <v>28</v>
      </c>
      <c r="AB4" s="13">
        <v>20</v>
      </c>
    </row>
    <row r="5" spans="1:28" ht="42" customHeight="1">
      <c r="A5" s="139"/>
      <c r="B5" s="394" t="s">
        <v>507</v>
      </c>
      <c r="C5" s="216" t="s">
        <v>238</v>
      </c>
      <c r="D5" s="341">
        <v>1</v>
      </c>
      <c r="E5" s="341" t="s">
        <v>108</v>
      </c>
      <c r="F5" s="368">
        <v>53348</v>
      </c>
      <c r="G5" s="368">
        <v>0</v>
      </c>
      <c r="H5" s="368">
        <f>F5-G5</f>
        <v>53348</v>
      </c>
      <c r="I5" s="368">
        <v>960</v>
      </c>
      <c r="J5" s="341">
        <v>2</v>
      </c>
      <c r="K5" s="15" t="s">
        <v>334</v>
      </c>
      <c r="L5" s="247">
        <v>480</v>
      </c>
      <c r="M5" s="292">
        <v>45794</v>
      </c>
      <c r="N5" s="341">
        <v>90</v>
      </c>
      <c r="O5" s="385">
        <v>45897</v>
      </c>
      <c r="P5" s="341">
        <v>0</v>
      </c>
      <c r="Q5" s="341">
        <v>0</v>
      </c>
      <c r="R5" s="341">
        <v>0</v>
      </c>
      <c r="S5" s="15"/>
      <c r="T5" s="15" t="s">
        <v>441</v>
      </c>
      <c r="U5" s="16">
        <v>0</v>
      </c>
      <c r="V5" s="16"/>
      <c r="W5" s="16"/>
      <c r="X5" s="16"/>
      <c r="Y5" s="16"/>
      <c r="Z5" s="16"/>
      <c r="AA5" s="12">
        <f>SUM(V5:Z5)</f>
        <v>0</v>
      </c>
      <c r="AB5" s="12"/>
    </row>
    <row r="6" spans="1:28" ht="47.25" customHeight="1">
      <c r="A6" s="139"/>
      <c r="B6" s="395"/>
      <c r="C6" s="216" t="s">
        <v>238</v>
      </c>
      <c r="D6" s="343"/>
      <c r="E6" s="343"/>
      <c r="F6" s="369"/>
      <c r="G6" s="369"/>
      <c r="H6" s="369"/>
      <c r="I6" s="369"/>
      <c r="J6" s="343"/>
      <c r="K6" s="15" t="s">
        <v>335</v>
      </c>
      <c r="L6" s="247">
        <v>480</v>
      </c>
      <c r="M6" s="292">
        <v>45807</v>
      </c>
      <c r="N6" s="343"/>
      <c r="O6" s="386"/>
      <c r="P6" s="343"/>
      <c r="Q6" s="343"/>
      <c r="R6" s="343"/>
      <c r="S6" s="15"/>
      <c r="T6" s="248"/>
      <c r="U6" s="16"/>
      <c r="V6" s="16"/>
      <c r="W6" s="16"/>
      <c r="X6" s="16"/>
      <c r="Y6" s="16"/>
      <c r="Z6" s="16"/>
      <c r="AA6" s="12"/>
      <c r="AB6" s="12"/>
    </row>
    <row r="7" spans="1:28" ht="52.5" customHeight="1">
      <c r="A7" s="139"/>
      <c r="B7" s="395"/>
      <c r="C7" s="216" t="s">
        <v>238</v>
      </c>
      <c r="D7" s="250">
        <v>2</v>
      </c>
      <c r="E7" s="250" t="s">
        <v>111</v>
      </c>
      <c r="F7" s="167">
        <v>42953</v>
      </c>
      <c r="G7" s="158">
        <v>0</v>
      </c>
      <c r="H7" s="157">
        <f>F7-G7</f>
        <v>42953</v>
      </c>
      <c r="I7" s="161">
        <v>480</v>
      </c>
      <c r="J7" s="15">
        <v>1</v>
      </c>
      <c r="K7" s="15" t="s">
        <v>336</v>
      </c>
      <c r="L7" s="247">
        <v>480</v>
      </c>
      <c r="M7" s="292">
        <v>45797</v>
      </c>
      <c r="N7" s="15">
        <f>O7-M7</f>
        <v>120</v>
      </c>
      <c r="O7" s="292">
        <v>45917</v>
      </c>
      <c r="P7" s="15">
        <v>0</v>
      </c>
      <c r="Q7" s="15">
        <v>0</v>
      </c>
      <c r="R7" s="15">
        <v>0</v>
      </c>
      <c r="S7" s="15"/>
      <c r="T7" s="261" t="s">
        <v>442</v>
      </c>
      <c r="U7" s="16">
        <v>0</v>
      </c>
      <c r="V7" s="16"/>
      <c r="W7" s="16"/>
      <c r="X7" s="16"/>
      <c r="Y7" s="16"/>
      <c r="Z7" s="16"/>
      <c r="AA7" s="12">
        <f>SUM(V7:Z7)</f>
        <v>0</v>
      </c>
      <c r="AB7" s="12"/>
    </row>
    <row r="8" spans="1:28" ht="52.5" customHeight="1">
      <c r="A8" s="139"/>
      <c r="B8" s="395"/>
      <c r="C8" s="216" t="s">
        <v>238</v>
      </c>
      <c r="D8" s="341">
        <v>3</v>
      </c>
      <c r="E8" s="341" t="s">
        <v>113</v>
      </c>
      <c r="F8" s="368">
        <v>41861</v>
      </c>
      <c r="G8" s="368">
        <v>0</v>
      </c>
      <c r="H8" s="368">
        <f>F8-G8</f>
        <v>41861</v>
      </c>
      <c r="I8" s="368">
        <v>960</v>
      </c>
      <c r="J8" s="341">
        <v>2</v>
      </c>
      <c r="K8" s="15" t="s">
        <v>337</v>
      </c>
      <c r="L8" s="247">
        <v>480</v>
      </c>
      <c r="M8" s="292">
        <v>45793</v>
      </c>
      <c r="N8" s="341">
        <f>O8-M8</f>
        <v>80</v>
      </c>
      <c r="O8" s="385">
        <v>45873</v>
      </c>
      <c r="P8" s="341">
        <v>0</v>
      </c>
      <c r="Q8" s="341">
        <v>0</v>
      </c>
      <c r="R8" s="341">
        <v>0</v>
      </c>
      <c r="S8" s="15"/>
      <c r="T8" s="15" t="s">
        <v>443</v>
      </c>
      <c r="U8" s="16">
        <v>0</v>
      </c>
      <c r="V8" s="16"/>
      <c r="W8" s="16"/>
      <c r="X8" s="16"/>
      <c r="Y8" s="16"/>
      <c r="Z8" s="16"/>
      <c r="AA8" s="12">
        <f>SUM(V8:Z8)</f>
        <v>0</v>
      </c>
      <c r="AB8" s="12"/>
    </row>
    <row r="9" spans="1:28" ht="52.5" customHeight="1">
      <c r="A9" s="139"/>
      <c r="B9" s="395"/>
      <c r="C9" s="216" t="s">
        <v>238</v>
      </c>
      <c r="D9" s="343"/>
      <c r="E9" s="343"/>
      <c r="F9" s="369"/>
      <c r="G9" s="369"/>
      <c r="H9" s="369"/>
      <c r="I9" s="369"/>
      <c r="J9" s="343"/>
      <c r="K9" s="15" t="s">
        <v>338</v>
      </c>
      <c r="L9" s="247">
        <v>480</v>
      </c>
      <c r="M9" s="292">
        <v>45807</v>
      </c>
      <c r="N9" s="343"/>
      <c r="O9" s="386"/>
      <c r="P9" s="343"/>
      <c r="Q9" s="343"/>
      <c r="R9" s="343"/>
      <c r="S9" s="15"/>
      <c r="T9" s="248"/>
      <c r="U9" s="16"/>
      <c r="V9" s="16"/>
      <c r="W9" s="16"/>
      <c r="X9" s="16"/>
      <c r="Y9" s="16"/>
      <c r="Z9" s="16"/>
      <c r="AA9" s="12"/>
      <c r="AB9" s="12"/>
    </row>
    <row r="10" spans="1:28" ht="52.5" customHeight="1">
      <c r="A10" s="139"/>
      <c r="B10" s="395"/>
      <c r="C10" s="216" t="s">
        <v>238</v>
      </c>
      <c r="D10" s="381">
        <v>4</v>
      </c>
      <c r="E10" s="381" t="s">
        <v>68</v>
      </c>
      <c r="F10" s="379">
        <v>32358</v>
      </c>
      <c r="G10" s="379">
        <v>0</v>
      </c>
      <c r="H10" s="379">
        <f>F10-G10</f>
        <v>32358</v>
      </c>
      <c r="I10" s="379">
        <v>1000</v>
      </c>
      <c r="J10" s="381">
        <v>2</v>
      </c>
      <c r="K10" s="270" t="s">
        <v>69</v>
      </c>
      <c r="L10" s="271">
        <v>500</v>
      </c>
      <c r="M10" s="293">
        <v>45839</v>
      </c>
      <c r="N10" s="381">
        <f>O10-M10</f>
        <v>91</v>
      </c>
      <c r="O10" s="383">
        <v>45930</v>
      </c>
      <c r="P10" s="381">
        <v>0</v>
      </c>
      <c r="Q10" s="381">
        <v>0</v>
      </c>
      <c r="R10" s="381">
        <v>0</v>
      </c>
      <c r="S10" s="270"/>
      <c r="T10" s="248" t="s">
        <v>502</v>
      </c>
      <c r="U10" s="16">
        <v>0</v>
      </c>
      <c r="V10" s="16"/>
      <c r="W10" s="16"/>
      <c r="X10" s="16"/>
      <c r="Y10" s="16"/>
      <c r="Z10" s="16"/>
      <c r="AA10" s="12">
        <f>SUM(V10:Z10)</f>
        <v>0</v>
      </c>
      <c r="AB10" s="12"/>
    </row>
    <row r="11" spans="1:28" ht="43.5" customHeight="1">
      <c r="A11" s="139"/>
      <c r="B11" s="395"/>
      <c r="C11" s="216" t="s">
        <v>238</v>
      </c>
      <c r="D11" s="382"/>
      <c r="E11" s="382"/>
      <c r="F11" s="380"/>
      <c r="G11" s="380"/>
      <c r="H11" s="380"/>
      <c r="I11" s="380"/>
      <c r="J11" s="382"/>
      <c r="K11" s="270" t="s">
        <v>70</v>
      </c>
      <c r="L11" s="271">
        <v>500</v>
      </c>
      <c r="M11" s="293">
        <v>45839</v>
      </c>
      <c r="N11" s="382"/>
      <c r="O11" s="384"/>
      <c r="P11" s="382"/>
      <c r="Q11" s="382"/>
      <c r="R11" s="382"/>
      <c r="S11" s="270"/>
      <c r="T11" s="248"/>
      <c r="U11" s="16"/>
      <c r="V11" s="16"/>
      <c r="W11" s="16"/>
      <c r="X11" s="16"/>
      <c r="Y11" s="16"/>
      <c r="Z11" s="16"/>
      <c r="AA11" s="12"/>
      <c r="AB11" s="12"/>
    </row>
    <row r="12" spans="1:28" ht="52.5" customHeight="1">
      <c r="A12" s="139"/>
      <c r="B12" s="395"/>
      <c r="C12" s="216" t="s">
        <v>238</v>
      </c>
      <c r="D12" s="250">
        <v>5</v>
      </c>
      <c r="E12" s="250" t="s">
        <v>116</v>
      </c>
      <c r="F12" s="167">
        <v>30258</v>
      </c>
      <c r="G12" s="158">
        <v>0</v>
      </c>
      <c r="H12" s="157">
        <f t="shared" ref="H12:H18" si="0">F12-G12</f>
        <v>30258</v>
      </c>
      <c r="I12" s="161"/>
      <c r="J12" s="15"/>
      <c r="K12" s="270" t="s">
        <v>117</v>
      </c>
      <c r="L12" s="271">
        <v>500</v>
      </c>
      <c r="M12" s="293">
        <v>45823</v>
      </c>
      <c r="N12" s="15"/>
      <c r="O12" s="292">
        <v>45930</v>
      </c>
      <c r="P12" s="15">
        <v>0</v>
      </c>
      <c r="Q12" s="15">
        <v>0</v>
      </c>
      <c r="R12" s="15">
        <v>0</v>
      </c>
      <c r="S12" s="15"/>
      <c r="T12" s="248" t="s">
        <v>418</v>
      </c>
      <c r="U12" s="16">
        <v>0</v>
      </c>
      <c r="V12" s="16"/>
      <c r="W12" s="16"/>
      <c r="X12" s="16"/>
      <c r="Y12" s="16"/>
      <c r="Z12" s="16"/>
      <c r="AA12" s="12">
        <f>SUM(V12:Z12)</f>
        <v>0</v>
      </c>
      <c r="AB12" s="12"/>
    </row>
    <row r="13" spans="1:28" ht="35.25" customHeight="1">
      <c r="A13" s="139"/>
      <c r="B13" s="395"/>
      <c r="C13" s="216" t="s">
        <v>238</v>
      </c>
      <c r="D13" s="250">
        <v>6</v>
      </c>
      <c r="E13" s="250" t="s">
        <v>118</v>
      </c>
      <c r="F13" s="167">
        <v>0</v>
      </c>
      <c r="G13" s="158">
        <v>0</v>
      </c>
      <c r="H13" s="157">
        <f t="shared" si="0"/>
        <v>0</v>
      </c>
      <c r="I13" s="161"/>
      <c r="J13" s="15"/>
      <c r="K13" s="15"/>
      <c r="L13" s="247"/>
      <c r="M13" s="292"/>
      <c r="N13" s="15"/>
      <c r="O13" s="292"/>
      <c r="P13" s="15">
        <v>0</v>
      </c>
      <c r="Q13" s="15">
        <v>0</v>
      </c>
      <c r="R13" s="15">
        <v>0</v>
      </c>
      <c r="S13" s="15"/>
      <c r="T13" s="248"/>
      <c r="U13" s="16">
        <v>0</v>
      </c>
      <c r="V13" s="16"/>
      <c r="W13" s="16"/>
      <c r="X13" s="16"/>
      <c r="Y13" s="16"/>
      <c r="Z13" s="16"/>
      <c r="AA13" s="12">
        <f>SUM(V13:Z13)</f>
        <v>0</v>
      </c>
      <c r="AB13" s="12"/>
    </row>
    <row r="14" spans="1:28" ht="52.5" customHeight="1">
      <c r="A14" s="139"/>
      <c r="B14" s="395"/>
      <c r="C14" s="216" t="s">
        <v>238</v>
      </c>
      <c r="D14" s="250">
        <v>7</v>
      </c>
      <c r="E14" s="250" t="s">
        <v>119</v>
      </c>
      <c r="F14" s="167">
        <v>12987</v>
      </c>
      <c r="G14" s="158">
        <v>0</v>
      </c>
      <c r="H14" s="157">
        <f t="shared" si="0"/>
        <v>12987</v>
      </c>
      <c r="I14" s="161"/>
      <c r="J14" s="15"/>
      <c r="K14" s="252" t="s">
        <v>339</v>
      </c>
      <c r="L14" s="247">
        <v>480</v>
      </c>
      <c r="M14" s="292">
        <v>45889</v>
      </c>
      <c r="N14" s="15">
        <f>O14-M14</f>
        <v>28</v>
      </c>
      <c r="O14" s="292">
        <v>45917</v>
      </c>
      <c r="P14" s="15">
        <v>0</v>
      </c>
      <c r="Q14" s="15">
        <v>0</v>
      </c>
      <c r="R14" s="15">
        <v>0</v>
      </c>
      <c r="S14" s="15"/>
      <c r="T14" s="248" t="s">
        <v>503</v>
      </c>
      <c r="U14" s="16">
        <v>0</v>
      </c>
      <c r="V14" s="16"/>
      <c r="W14" s="16"/>
      <c r="X14" s="16"/>
      <c r="Y14" s="16"/>
      <c r="Z14" s="16"/>
      <c r="AA14" s="12">
        <f>SUM(V14:Z14)</f>
        <v>0</v>
      </c>
      <c r="AB14" s="12"/>
    </row>
    <row r="15" spans="1:28" ht="52.5" customHeight="1">
      <c r="A15" s="139"/>
      <c r="B15" s="395"/>
      <c r="C15" s="216" t="s">
        <v>238</v>
      </c>
      <c r="D15" s="250">
        <v>8</v>
      </c>
      <c r="E15" s="250" t="s">
        <v>121</v>
      </c>
      <c r="F15" s="167">
        <v>5000</v>
      </c>
      <c r="G15" s="158">
        <v>0</v>
      </c>
      <c r="H15" s="157">
        <f t="shared" si="0"/>
        <v>5000</v>
      </c>
      <c r="I15" s="161">
        <v>480</v>
      </c>
      <c r="J15" s="15"/>
      <c r="K15" s="252" t="s">
        <v>340</v>
      </c>
      <c r="L15" s="247">
        <v>480</v>
      </c>
      <c r="M15" s="292">
        <v>45910</v>
      </c>
      <c r="N15" s="15">
        <f t="shared" ref="N15:N16" si="1">O15-M15</f>
        <v>20</v>
      </c>
      <c r="O15" s="292">
        <v>45930</v>
      </c>
      <c r="P15" s="15">
        <v>0</v>
      </c>
      <c r="Q15" s="15">
        <v>0</v>
      </c>
      <c r="R15" s="15">
        <v>0</v>
      </c>
      <c r="S15" s="15"/>
      <c r="T15" s="248" t="s">
        <v>504</v>
      </c>
      <c r="U15" s="16">
        <v>0</v>
      </c>
      <c r="V15" s="16"/>
      <c r="W15" s="16"/>
      <c r="X15" s="16"/>
      <c r="Y15" s="16"/>
      <c r="Z15" s="16"/>
      <c r="AA15" s="12">
        <f>SUM(V15:Z15)</f>
        <v>0</v>
      </c>
      <c r="AB15" s="12"/>
    </row>
    <row r="16" spans="1:28" ht="43.5" customHeight="1">
      <c r="A16" s="139"/>
      <c r="B16" s="395"/>
      <c r="C16" s="216" t="s">
        <v>238</v>
      </c>
      <c r="D16" s="250">
        <v>9</v>
      </c>
      <c r="E16" s="250" t="s">
        <v>122</v>
      </c>
      <c r="F16" s="167">
        <v>1398</v>
      </c>
      <c r="G16" s="158">
        <v>0</v>
      </c>
      <c r="H16" s="157">
        <f t="shared" si="0"/>
        <v>1398</v>
      </c>
      <c r="I16" s="161"/>
      <c r="J16" s="15">
        <v>1</v>
      </c>
      <c r="K16" s="252" t="s">
        <v>341</v>
      </c>
      <c r="L16" s="247">
        <v>480</v>
      </c>
      <c r="M16" s="292">
        <v>45910</v>
      </c>
      <c r="N16" s="15">
        <f t="shared" si="1"/>
        <v>10</v>
      </c>
      <c r="O16" s="292">
        <v>45920</v>
      </c>
      <c r="P16" s="15">
        <v>0</v>
      </c>
      <c r="Q16" s="15">
        <v>0</v>
      </c>
      <c r="R16" s="15">
        <v>0</v>
      </c>
      <c r="S16" s="15"/>
      <c r="T16" s="248" t="s">
        <v>505</v>
      </c>
      <c r="U16" s="16">
        <v>0</v>
      </c>
      <c r="V16" s="16"/>
      <c r="W16" s="16"/>
      <c r="X16" s="16"/>
      <c r="Y16" s="16"/>
      <c r="Z16" s="16"/>
      <c r="AA16" s="12">
        <f>SUM(V16:Z16)</f>
        <v>0</v>
      </c>
      <c r="AB16" s="12"/>
    </row>
    <row r="17" spans="1:28" ht="43.5" customHeight="1">
      <c r="A17" s="139"/>
      <c r="B17" s="395"/>
      <c r="C17" s="216" t="s">
        <v>238</v>
      </c>
      <c r="D17" s="250">
        <v>10</v>
      </c>
      <c r="E17" s="250" t="s">
        <v>123</v>
      </c>
      <c r="F17" s="167">
        <v>18458</v>
      </c>
      <c r="G17" s="158">
        <v>0</v>
      </c>
      <c r="H17" s="157">
        <f t="shared" si="0"/>
        <v>18458</v>
      </c>
      <c r="I17" s="161"/>
      <c r="J17" s="15">
        <v>1</v>
      </c>
      <c r="K17" s="261" t="s">
        <v>342</v>
      </c>
      <c r="L17" s="247">
        <v>400</v>
      </c>
      <c r="M17" s="292">
        <v>45823</v>
      </c>
      <c r="N17" s="15">
        <f t="shared" ref="N17:N18" si="2">O17-M17</f>
        <v>56</v>
      </c>
      <c r="O17" s="292">
        <v>45879</v>
      </c>
      <c r="P17" s="15">
        <v>0</v>
      </c>
      <c r="Q17" s="15">
        <v>0</v>
      </c>
      <c r="R17" s="15">
        <v>0</v>
      </c>
      <c r="S17" s="15"/>
      <c r="T17" s="248" t="s">
        <v>419</v>
      </c>
      <c r="U17" s="16"/>
      <c r="V17" s="16"/>
      <c r="W17" s="16"/>
      <c r="X17" s="16"/>
      <c r="Y17" s="16"/>
      <c r="Z17" s="16"/>
      <c r="AA17" s="12"/>
      <c r="AB17" s="12"/>
    </row>
    <row r="18" spans="1:28" ht="41.25" customHeight="1">
      <c r="A18" s="139"/>
      <c r="B18" s="396"/>
      <c r="C18" s="216" t="s">
        <v>238</v>
      </c>
      <c r="D18" s="250">
        <v>11</v>
      </c>
      <c r="E18" s="250" t="s">
        <v>324</v>
      </c>
      <c r="F18" s="167">
        <v>915</v>
      </c>
      <c r="G18" s="158">
        <v>0</v>
      </c>
      <c r="H18" s="157">
        <f t="shared" si="0"/>
        <v>915</v>
      </c>
      <c r="I18" s="161"/>
      <c r="J18" s="15"/>
      <c r="K18" s="272" t="s">
        <v>343</v>
      </c>
      <c r="L18" s="247">
        <v>900</v>
      </c>
      <c r="M18" s="292">
        <v>45889</v>
      </c>
      <c r="N18" s="15">
        <f t="shared" si="2"/>
        <v>5</v>
      </c>
      <c r="O18" s="292">
        <v>45894</v>
      </c>
      <c r="P18" s="15">
        <v>0</v>
      </c>
      <c r="Q18" s="15">
        <v>0</v>
      </c>
      <c r="R18" s="15">
        <v>0</v>
      </c>
      <c r="S18" s="15"/>
      <c r="T18" s="248" t="s">
        <v>506</v>
      </c>
      <c r="U18" s="16"/>
      <c r="V18" s="16"/>
      <c r="W18" s="16"/>
      <c r="X18" s="16"/>
      <c r="Y18" s="16"/>
      <c r="Z18" s="16"/>
      <c r="AA18" s="12"/>
      <c r="AB18" s="12"/>
    </row>
    <row r="19" spans="1:28" ht="38.25" customHeight="1">
      <c r="A19" s="139"/>
      <c r="B19" s="84"/>
      <c r="C19" s="217" t="s">
        <v>25</v>
      </c>
      <c r="D19" s="217"/>
      <c r="E19" s="217"/>
      <c r="F19" s="168">
        <f t="shared" ref="F19:J19" si="3">SUM(F5:F18)</f>
        <v>239536</v>
      </c>
      <c r="G19" s="168">
        <f t="shared" si="3"/>
        <v>0</v>
      </c>
      <c r="H19" s="168">
        <f t="shared" si="3"/>
        <v>239536</v>
      </c>
      <c r="I19" s="168">
        <f t="shared" si="3"/>
        <v>3880</v>
      </c>
      <c r="J19" s="217">
        <f t="shared" si="3"/>
        <v>9</v>
      </c>
      <c r="K19" s="217"/>
      <c r="L19" s="254"/>
      <c r="M19" s="294"/>
      <c r="N19" s="217"/>
      <c r="O19" s="294"/>
      <c r="P19" s="168">
        <f t="shared" ref="P19" si="4">SUM(P5:P18)</f>
        <v>0</v>
      </c>
      <c r="Q19" s="168">
        <f t="shared" ref="Q19:R19" si="5">SUM(Q5:Q18)</f>
        <v>0</v>
      </c>
      <c r="R19" s="168">
        <f t="shared" si="5"/>
        <v>0</v>
      </c>
      <c r="S19" s="217"/>
      <c r="T19" s="255"/>
      <c r="U19" s="97">
        <f>SUM(U5:U16)</f>
        <v>0</v>
      </c>
      <c r="V19" s="152"/>
      <c r="W19" s="152"/>
      <c r="X19" s="152"/>
      <c r="Y19" s="152"/>
      <c r="Z19" s="152"/>
      <c r="AA19" s="12">
        <f>SUM(V19:Z19)</f>
        <v>0</v>
      </c>
      <c r="AB19" s="12"/>
    </row>
  </sheetData>
  <mergeCells count="66">
    <mergeCell ref="R5:R6"/>
    <mergeCell ref="R8:R9"/>
    <mergeCell ref="R10:R11"/>
    <mergeCell ref="B1:T1"/>
    <mergeCell ref="D10:D11"/>
    <mergeCell ref="E10:E11"/>
    <mergeCell ref="F10:F11"/>
    <mergeCell ref="B5:B18"/>
    <mergeCell ref="F2:F3"/>
    <mergeCell ref="T2:T3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M2:M3"/>
    <mergeCell ref="N2:N3"/>
    <mergeCell ref="O2:O3"/>
    <mergeCell ref="Q2:Q3"/>
    <mergeCell ref="S2:S3"/>
    <mergeCell ref="R2:R3"/>
    <mergeCell ref="P2:P3"/>
    <mergeCell ref="AA2:AA3"/>
    <mergeCell ref="AB2:AB3"/>
    <mergeCell ref="U2:U3"/>
    <mergeCell ref="V2:V3"/>
    <mergeCell ref="W2:W3"/>
    <mergeCell ref="X2:X3"/>
    <mergeCell ref="Y2:Y3"/>
    <mergeCell ref="Z2:Z3"/>
    <mergeCell ref="G5:G6"/>
    <mergeCell ref="H5:H6"/>
    <mergeCell ref="D8:D9"/>
    <mergeCell ref="E8:E9"/>
    <mergeCell ref="F8:F9"/>
    <mergeCell ref="G8:G9"/>
    <mergeCell ref="H8:H9"/>
    <mergeCell ref="D5:D6"/>
    <mergeCell ref="E5:E6"/>
    <mergeCell ref="F5:F6"/>
    <mergeCell ref="Q10:Q11"/>
    <mergeCell ref="J8:J9"/>
    <mergeCell ref="N8:N9"/>
    <mergeCell ref="O8:O9"/>
    <mergeCell ref="Q8:Q9"/>
    <mergeCell ref="P8:P9"/>
    <mergeCell ref="P10:P11"/>
    <mergeCell ref="J5:J6"/>
    <mergeCell ref="N5:N6"/>
    <mergeCell ref="O5:O6"/>
    <mergeCell ref="Q5:Q6"/>
    <mergeCell ref="I8:I9"/>
    <mergeCell ref="I5:I6"/>
    <mergeCell ref="P5:P6"/>
    <mergeCell ref="G10:G11"/>
    <mergeCell ref="H10:H11"/>
    <mergeCell ref="J10:J11"/>
    <mergeCell ref="N10:N11"/>
    <mergeCell ref="O10:O11"/>
    <mergeCell ref="I10:I11"/>
  </mergeCells>
  <printOptions horizontalCentered="1"/>
  <pageMargins left="0.19685039370078741" right="0.31496062992125984" top="0.74803149606299213" bottom="0.55118110236220474" header="0.31496062992125984" footer="0.31496062992125984"/>
  <pageSetup paperSize="9" scale="41" fitToHeight="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11"/>
  <sheetViews>
    <sheetView topLeftCell="B1" workbookViewId="0"/>
  </sheetViews>
  <sheetFormatPr defaultColWidth="10.7109375" defaultRowHeight="15"/>
  <cols>
    <col min="1" max="1" width="9.7109375" style="1" hidden="1" customWidth="1"/>
    <col min="2" max="2" width="11.28515625" style="1" customWidth="1"/>
    <col min="3" max="3" width="21.42578125" style="32" customWidth="1"/>
    <col min="4" max="4" width="22.140625" style="36" customWidth="1"/>
    <col min="5" max="6" width="15.140625" style="36" customWidth="1"/>
    <col min="7" max="7" width="17.7109375" style="36" customWidth="1"/>
    <col min="8" max="8" width="14.5703125" style="1" customWidth="1"/>
    <col min="9" max="9" width="0" style="1" hidden="1" customWidth="1"/>
    <col min="10" max="10" width="9.28515625" style="1" customWidth="1"/>
    <col min="11" max="11" width="10.7109375" style="1"/>
    <col min="12" max="12" width="14" style="1" customWidth="1"/>
    <col min="13" max="13" width="10" style="1" customWidth="1"/>
    <col min="14" max="14" width="12.28515625" style="1" customWidth="1"/>
    <col min="15" max="15" width="14.7109375" style="1" customWidth="1"/>
    <col min="16" max="16" width="11.5703125" style="1" customWidth="1"/>
    <col min="17" max="17" width="12.42578125" style="1" customWidth="1"/>
    <col min="18" max="18" width="13.5703125" style="1" customWidth="1"/>
    <col min="19" max="19" width="12.85546875" style="1" hidden="1" customWidth="1"/>
    <col min="20" max="20" width="13.28515625" style="1" hidden="1" customWidth="1"/>
    <col min="21" max="21" width="13.85546875" style="1" customWidth="1"/>
    <col min="22" max="22" width="25" style="55" customWidth="1"/>
    <col min="23" max="24" width="11.85546875" style="1" customWidth="1"/>
    <col min="25" max="32" width="11.85546875" style="1" hidden="1" customWidth="1"/>
    <col min="33" max="33" width="36.85546875" style="55" customWidth="1"/>
    <col min="34" max="16384" width="10.7109375" style="1"/>
  </cols>
  <sheetData>
    <row r="1" spans="1:33" ht="27.6" customHeight="1">
      <c r="A1" s="65" t="s">
        <v>0</v>
      </c>
      <c r="B1" s="6"/>
      <c r="C1" s="6"/>
      <c r="D1" s="33"/>
      <c r="E1" s="33"/>
      <c r="F1" s="33"/>
      <c r="G1" s="33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39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39"/>
    </row>
    <row r="2" spans="1:33" ht="57.6" customHeight="1">
      <c r="A2" s="402" t="s">
        <v>1</v>
      </c>
      <c r="B2" s="403" t="s">
        <v>2</v>
      </c>
      <c r="C2" s="403" t="s">
        <v>3</v>
      </c>
      <c r="D2" s="404" t="s">
        <v>228</v>
      </c>
      <c r="E2" s="404" t="s">
        <v>229</v>
      </c>
      <c r="F2" s="404" t="s">
        <v>277</v>
      </c>
      <c r="G2" s="404" t="s">
        <v>230</v>
      </c>
      <c r="H2" s="400" t="s">
        <v>250</v>
      </c>
      <c r="I2" s="400" t="s">
        <v>4</v>
      </c>
      <c r="J2" s="403" t="s">
        <v>5</v>
      </c>
      <c r="K2" s="403"/>
      <c r="L2" s="403"/>
      <c r="M2" s="403"/>
      <c r="N2" s="403"/>
      <c r="O2" s="403"/>
      <c r="P2" s="403"/>
      <c r="Q2" s="403"/>
      <c r="R2" s="403"/>
      <c r="S2" s="400" t="s">
        <v>231</v>
      </c>
      <c r="T2" s="400" t="s">
        <v>6</v>
      </c>
      <c r="U2" s="400" t="s">
        <v>7</v>
      </c>
      <c r="V2" s="401" t="s">
        <v>8</v>
      </c>
      <c r="W2" s="400" t="s">
        <v>134</v>
      </c>
      <c r="X2" s="400" t="s">
        <v>269</v>
      </c>
      <c r="Y2" s="400" t="s">
        <v>270</v>
      </c>
      <c r="Z2" s="400" t="s">
        <v>271</v>
      </c>
      <c r="AA2" s="400" t="s">
        <v>272</v>
      </c>
      <c r="AB2" s="400" t="s">
        <v>273</v>
      </c>
      <c r="AC2" s="400" t="s">
        <v>274</v>
      </c>
      <c r="AD2" s="400" t="s">
        <v>275</v>
      </c>
      <c r="AE2" s="400" t="s">
        <v>276</v>
      </c>
      <c r="AF2" s="400" t="s">
        <v>295</v>
      </c>
      <c r="AG2" s="400" t="s">
        <v>278</v>
      </c>
    </row>
    <row r="3" spans="1:33" ht="30">
      <c r="A3" s="402"/>
      <c r="B3" s="403"/>
      <c r="C3" s="403"/>
      <c r="D3" s="404"/>
      <c r="E3" s="404"/>
      <c r="F3" s="404"/>
      <c r="G3" s="404"/>
      <c r="H3" s="400"/>
      <c r="I3" s="400"/>
      <c r="J3" s="18" t="s">
        <v>9</v>
      </c>
      <c r="K3" s="18" t="s">
        <v>10</v>
      </c>
      <c r="L3" s="31" t="s">
        <v>11</v>
      </c>
      <c r="M3" s="18" t="s">
        <v>9</v>
      </c>
      <c r="N3" s="18" t="s">
        <v>10</v>
      </c>
      <c r="O3" s="31" t="s">
        <v>11</v>
      </c>
      <c r="P3" s="18" t="s">
        <v>9</v>
      </c>
      <c r="Q3" s="18" t="s">
        <v>10</v>
      </c>
      <c r="R3" s="31" t="s">
        <v>11</v>
      </c>
      <c r="S3" s="400"/>
      <c r="T3" s="400"/>
      <c r="U3" s="400"/>
      <c r="V3" s="401"/>
      <c r="W3" s="400"/>
      <c r="X3" s="400"/>
      <c r="Y3" s="400"/>
      <c r="Z3" s="400"/>
      <c r="AA3" s="400"/>
      <c r="AB3" s="400"/>
      <c r="AC3" s="400"/>
      <c r="AD3" s="400"/>
      <c r="AE3" s="400"/>
      <c r="AF3" s="400"/>
      <c r="AG3" s="400"/>
    </row>
    <row r="4" spans="1:33" hidden="1">
      <c r="A4" s="5">
        <v>1</v>
      </c>
      <c r="B4" s="2">
        <v>2</v>
      </c>
      <c r="C4" s="66">
        <v>3</v>
      </c>
      <c r="D4" s="2">
        <v>4</v>
      </c>
      <c r="E4" s="2">
        <v>5</v>
      </c>
      <c r="F4" s="2">
        <v>5</v>
      </c>
      <c r="G4" s="2">
        <v>6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67">
        <v>20</v>
      </c>
      <c r="W4" s="68">
        <v>21</v>
      </c>
      <c r="X4" s="68">
        <v>21</v>
      </c>
      <c r="Y4" s="68">
        <v>22</v>
      </c>
      <c r="Z4" s="68">
        <v>23</v>
      </c>
      <c r="AA4" s="68">
        <v>24</v>
      </c>
      <c r="AB4" s="68">
        <v>25</v>
      </c>
      <c r="AC4" s="68"/>
      <c r="AD4" s="68">
        <v>26</v>
      </c>
      <c r="AE4" s="68">
        <v>27</v>
      </c>
      <c r="AF4" s="68">
        <v>28</v>
      </c>
      <c r="AG4" s="67">
        <v>20</v>
      </c>
    </row>
    <row r="5" spans="1:33" ht="27.75" customHeight="1">
      <c r="A5" s="5"/>
      <c r="B5" s="413" t="s">
        <v>190</v>
      </c>
      <c r="C5" s="413"/>
      <c r="D5" s="413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3"/>
      <c r="U5" s="413"/>
      <c r="V5" s="413"/>
      <c r="W5" s="413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49.15" customHeight="1">
      <c r="A6" s="405" t="s">
        <v>12</v>
      </c>
      <c r="B6" s="69" t="s">
        <v>13</v>
      </c>
      <c r="C6" s="57" t="s">
        <v>14</v>
      </c>
      <c r="D6" s="35">
        <v>400000</v>
      </c>
      <c r="E6" s="35">
        <f>F6+AF6</f>
        <v>0</v>
      </c>
      <c r="F6" s="35">
        <v>0</v>
      </c>
      <c r="G6" s="35">
        <f>D6-E6</f>
        <v>400000</v>
      </c>
      <c r="H6" s="27">
        <v>2800</v>
      </c>
      <c r="I6" s="24">
        <v>3</v>
      </c>
      <c r="J6" s="24" t="s">
        <v>15</v>
      </c>
      <c r="K6" s="24">
        <v>900</v>
      </c>
      <c r="L6" s="25">
        <v>45778</v>
      </c>
      <c r="M6" s="24" t="s">
        <v>16</v>
      </c>
      <c r="N6" s="24">
        <v>1100</v>
      </c>
      <c r="O6" s="25">
        <v>45778</v>
      </c>
      <c r="P6" s="24" t="s">
        <v>17</v>
      </c>
      <c r="Q6" s="24">
        <v>800</v>
      </c>
      <c r="R6" s="25">
        <v>45778</v>
      </c>
      <c r="S6" s="24"/>
      <c r="T6" s="24">
        <f>U6-L6</f>
        <v>152</v>
      </c>
      <c r="U6" s="25">
        <v>45930</v>
      </c>
      <c r="V6" s="60"/>
      <c r="W6" s="30">
        <v>0</v>
      </c>
      <c r="X6" s="30">
        <v>0</v>
      </c>
      <c r="Y6" s="30"/>
      <c r="Z6" s="30"/>
      <c r="AA6" s="30"/>
      <c r="AB6" s="30"/>
      <c r="AC6" s="30"/>
      <c r="AD6" s="30"/>
      <c r="AE6" s="30"/>
      <c r="AF6" s="30">
        <f>SUM(X6:AE6)</f>
        <v>0</v>
      </c>
      <c r="AG6" s="60" t="s">
        <v>318</v>
      </c>
    </row>
    <row r="7" spans="1:33" ht="45">
      <c r="A7" s="405"/>
      <c r="B7" s="406" t="s">
        <v>18</v>
      </c>
      <c r="C7" s="57" t="s">
        <v>18</v>
      </c>
      <c r="D7" s="34">
        <v>80978</v>
      </c>
      <c r="E7" s="35">
        <f t="shared" ref="E7:E11" si="0">F7+AF7</f>
        <v>20.6</v>
      </c>
      <c r="F7" s="34">
        <v>0</v>
      </c>
      <c r="G7" s="34">
        <f t="shared" ref="G7:G71" si="1">D7-E7</f>
        <v>80957.399999999994</v>
      </c>
      <c r="H7" s="28">
        <v>1500</v>
      </c>
      <c r="I7" s="28">
        <v>2</v>
      </c>
      <c r="J7" s="28" t="s">
        <v>19</v>
      </c>
      <c r="K7" s="28">
        <v>800</v>
      </c>
      <c r="L7" s="29">
        <v>45778</v>
      </c>
      <c r="M7" s="29" t="s">
        <v>20</v>
      </c>
      <c r="N7" s="28">
        <v>700</v>
      </c>
      <c r="O7" s="29">
        <v>45778</v>
      </c>
      <c r="P7" s="28"/>
      <c r="Q7" s="28"/>
      <c r="R7" s="28"/>
      <c r="S7" s="28"/>
      <c r="T7" s="28">
        <f>U7-L7</f>
        <v>152</v>
      </c>
      <c r="U7" s="29">
        <v>45930</v>
      </c>
      <c r="V7" s="60"/>
      <c r="W7" s="30">
        <v>0</v>
      </c>
      <c r="X7" s="30">
        <v>20.6</v>
      </c>
      <c r="Y7" s="30"/>
      <c r="Z7" s="30"/>
      <c r="AA7" s="30"/>
      <c r="AB7" s="30"/>
      <c r="AC7" s="30"/>
      <c r="AD7" s="30"/>
      <c r="AE7" s="30"/>
      <c r="AF7" s="30">
        <f t="shared" ref="AF7:AF70" si="2">SUM(X7:AE7)</f>
        <v>20.6</v>
      </c>
      <c r="AG7" s="60" t="s">
        <v>317</v>
      </c>
    </row>
    <row r="8" spans="1:33" ht="30">
      <c r="A8" s="405"/>
      <c r="B8" s="406"/>
      <c r="C8" s="56" t="s">
        <v>21</v>
      </c>
      <c r="D8" s="34">
        <v>6260</v>
      </c>
      <c r="E8" s="35">
        <f t="shared" si="0"/>
        <v>0</v>
      </c>
      <c r="F8" s="34">
        <v>0</v>
      </c>
      <c r="G8" s="34">
        <f t="shared" si="1"/>
        <v>6260</v>
      </c>
      <c r="H8" s="26"/>
      <c r="I8" s="21"/>
      <c r="J8" s="21"/>
      <c r="K8" s="21"/>
      <c r="L8" s="22"/>
      <c r="M8" s="22"/>
      <c r="N8" s="21"/>
      <c r="O8" s="22"/>
      <c r="P8" s="21"/>
      <c r="Q8" s="21"/>
      <c r="R8" s="21"/>
      <c r="S8" s="21"/>
      <c r="T8" s="21"/>
      <c r="U8" s="22"/>
      <c r="V8" s="60" t="s">
        <v>233</v>
      </c>
      <c r="W8" s="30">
        <v>0</v>
      </c>
      <c r="X8" s="30">
        <v>0</v>
      </c>
      <c r="Y8" s="30"/>
      <c r="Z8" s="30"/>
      <c r="AA8" s="30"/>
      <c r="AB8" s="30"/>
      <c r="AC8" s="30"/>
      <c r="AD8" s="30"/>
      <c r="AE8" s="30"/>
      <c r="AF8" s="30">
        <f t="shared" si="2"/>
        <v>0</v>
      </c>
      <c r="AG8" s="60"/>
    </row>
    <row r="9" spans="1:33" ht="30">
      <c r="A9" s="405"/>
      <c r="B9" s="406"/>
      <c r="C9" s="56" t="s">
        <v>22</v>
      </c>
      <c r="D9" s="34">
        <v>9625.8799999999992</v>
      </c>
      <c r="E9" s="35">
        <f t="shared" si="0"/>
        <v>0</v>
      </c>
      <c r="F9" s="34">
        <v>0</v>
      </c>
      <c r="G9" s="34">
        <f t="shared" si="1"/>
        <v>9625.8799999999992</v>
      </c>
      <c r="H9" s="26"/>
      <c r="I9" s="21"/>
      <c r="J9" s="21"/>
      <c r="K9" s="21"/>
      <c r="L9" s="22"/>
      <c r="M9" s="22"/>
      <c r="N9" s="21"/>
      <c r="O9" s="22"/>
      <c r="P9" s="21"/>
      <c r="Q9" s="21"/>
      <c r="R9" s="21"/>
      <c r="S9" s="21"/>
      <c r="T9" s="21"/>
      <c r="U9" s="22"/>
      <c r="V9" s="60" t="s">
        <v>233</v>
      </c>
      <c r="W9" s="30">
        <v>0</v>
      </c>
      <c r="X9" s="30">
        <v>0</v>
      </c>
      <c r="Y9" s="30"/>
      <c r="Z9" s="30"/>
      <c r="AA9" s="30"/>
      <c r="AB9" s="30"/>
      <c r="AC9" s="30"/>
      <c r="AD9" s="30"/>
      <c r="AE9" s="30"/>
      <c r="AF9" s="30">
        <f t="shared" si="2"/>
        <v>0</v>
      </c>
      <c r="AG9" s="60"/>
    </row>
    <row r="10" spans="1:33" ht="30">
      <c r="A10" s="405"/>
      <c r="B10" s="406"/>
      <c r="C10" s="56" t="s">
        <v>23</v>
      </c>
      <c r="D10" s="34">
        <v>6947</v>
      </c>
      <c r="E10" s="35">
        <f t="shared" si="0"/>
        <v>0</v>
      </c>
      <c r="F10" s="34">
        <v>0</v>
      </c>
      <c r="G10" s="34">
        <f t="shared" si="1"/>
        <v>6947</v>
      </c>
      <c r="H10" s="26"/>
      <c r="I10" s="21"/>
      <c r="J10" s="21"/>
      <c r="K10" s="21"/>
      <c r="L10" s="22"/>
      <c r="M10" s="22"/>
      <c r="N10" s="21"/>
      <c r="O10" s="22"/>
      <c r="P10" s="21"/>
      <c r="Q10" s="21"/>
      <c r="R10" s="21"/>
      <c r="S10" s="21"/>
      <c r="T10" s="21"/>
      <c r="U10" s="22"/>
      <c r="V10" s="60" t="s">
        <v>233</v>
      </c>
      <c r="W10" s="30">
        <v>0</v>
      </c>
      <c r="X10" s="30">
        <v>0</v>
      </c>
      <c r="Y10" s="30"/>
      <c r="Z10" s="30"/>
      <c r="AA10" s="30"/>
      <c r="AB10" s="30"/>
      <c r="AC10" s="30"/>
      <c r="AD10" s="30"/>
      <c r="AE10" s="30"/>
      <c r="AF10" s="30">
        <f t="shared" si="2"/>
        <v>0</v>
      </c>
      <c r="AG10" s="60"/>
    </row>
    <row r="11" spans="1:33" ht="30">
      <c r="A11" s="405"/>
      <c r="B11" s="406"/>
      <c r="C11" s="56" t="s">
        <v>24</v>
      </c>
      <c r="D11" s="34">
        <v>7700</v>
      </c>
      <c r="E11" s="35">
        <f t="shared" si="0"/>
        <v>0</v>
      </c>
      <c r="F11" s="34">
        <v>0</v>
      </c>
      <c r="G11" s="34">
        <f t="shared" si="1"/>
        <v>7700</v>
      </c>
      <c r="H11" s="23"/>
      <c r="I11" s="19"/>
      <c r="J11" s="19"/>
      <c r="K11" s="19"/>
      <c r="L11" s="20"/>
      <c r="M11" s="20"/>
      <c r="N11" s="19"/>
      <c r="O11" s="20"/>
      <c r="P11" s="19"/>
      <c r="Q11" s="19"/>
      <c r="R11" s="19"/>
      <c r="S11" s="19"/>
      <c r="T11" s="19"/>
      <c r="U11" s="20"/>
      <c r="V11" s="60" t="s">
        <v>233</v>
      </c>
      <c r="W11" s="30">
        <v>0</v>
      </c>
      <c r="X11" s="30">
        <v>0</v>
      </c>
      <c r="Y11" s="30"/>
      <c r="Z11" s="30"/>
      <c r="AA11" s="30"/>
      <c r="AB11" s="30"/>
      <c r="AC11" s="30"/>
      <c r="AD11" s="30"/>
      <c r="AE11" s="30"/>
      <c r="AF11" s="30">
        <f t="shared" si="2"/>
        <v>0</v>
      </c>
      <c r="AG11" s="60"/>
    </row>
    <row r="12" spans="1:33">
      <c r="A12" s="405"/>
      <c r="B12" s="408" t="s">
        <v>25</v>
      </c>
      <c r="C12" s="408"/>
      <c r="D12" s="51">
        <f>SUM(D7:D11)</f>
        <v>111510.88</v>
      </c>
      <c r="E12" s="51">
        <f>SUM(E7:E11)</f>
        <v>20.6</v>
      </c>
      <c r="F12" s="51">
        <f>SUM(F7:F11)</f>
        <v>0</v>
      </c>
      <c r="G12" s="51">
        <f t="shared" si="1"/>
        <v>111490.28</v>
      </c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1"/>
      <c r="W12" s="72">
        <f>SUM(W6:W11)</f>
        <v>0</v>
      </c>
      <c r="X12" s="51">
        <f>SUM(X7:X11)</f>
        <v>20.6</v>
      </c>
      <c r="Y12" s="72"/>
      <c r="Z12" s="72"/>
      <c r="AA12" s="72"/>
      <c r="AB12" s="72"/>
      <c r="AC12" s="72"/>
      <c r="AD12" s="72"/>
      <c r="AE12" s="72"/>
      <c r="AF12" s="30">
        <f t="shared" si="2"/>
        <v>20.6</v>
      </c>
      <c r="AG12" s="71"/>
    </row>
    <row r="13" spans="1:33" ht="45">
      <c r="A13" s="405"/>
      <c r="B13" s="407" t="s">
        <v>26</v>
      </c>
      <c r="C13" s="58" t="s">
        <v>26</v>
      </c>
      <c r="D13" s="34">
        <v>30604</v>
      </c>
      <c r="E13" s="34">
        <f>F13+AF13</f>
        <v>3086.0099999999998</v>
      </c>
      <c r="F13" s="34">
        <v>2828.35</v>
      </c>
      <c r="G13" s="34">
        <f t="shared" si="1"/>
        <v>27517.99</v>
      </c>
      <c r="H13" s="96">
        <v>800</v>
      </c>
      <c r="I13" s="28">
        <v>1</v>
      </c>
      <c r="J13" s="28" t="s">
        <v>27</v>
      </c>
      <c r="K13" s="28">
        <v>800</v>
      </c>
      <c r="L13" s="29">
        <v>45773</v>
      </c>
      <c r="M13" s="28"/>
      <c r="N13" s="28"/>
      <c r="O13" s="28"/>
      <c r="P13" s="28"/>
      <c r="Q13" s="28"/>
      <c r="R13" s="28"/>
      <c r="S13" s="28"/>
      <c r="T13" s="28">
        <f>U13-L13</f>
        <v>65</v>
      </c>
      <c r="U13" s="29">
        <v>45838</v>
      </c>
      <c r="V13" s="60"/>
      <c r="W13" s="30">
        <v>280.18</v>
      </c>
      <c r="X13" s="30">
        <v>257.66000000000003</v>
      </c>
      <c r="Y13" s="30"/>
      <c r="Z13" s="30"/>
      <c r="AA13" s="30"/>
      <c r="AB13" s="30"/>
      <c r="AC13" s="30"/>
      <c r="AD13" s="30"/>
      <c r="AE13" s="30"/>
      <c r="AF13" s="30">
        <f t="shared" si="2"/>
        <v>257.66000000000003</v>
      </c>
      <c r="AG13" s="60" t="s">
        <v>317</v>
      </c>
    </row>
    <row r="14" spans="1:33" ht="30">
      <c r="A14" s="405"/>
      <c r="B14" s="407"/>
      <c r="C14" s="57" t="s">
        <v>28</v>
      </c>
      <c r="D14" s="34">
        <v>7727</v>
      </c>
      <c r="E14" s="34">
        <f>F14+AF14</f>
        <v>0</v>
      </c>
      <c r="F14" s="34">
        <v>0</v>
      </c>
      <c r="G14" s="34">
        <f t="shared" si="1"/>
        <v>7727</v>
      </c>
      <c r="H14" s="23"/>
      <c r="I14" s="19"/>
      <c r="J14" s="19"/>
      <c r="K14" s="19"/>
      <c r="L14" s="20"/>
      <c r="M14" s="19"/>
      <c r="N14" s="19"/>
      <c r="O14" s="19"/>
      <c r="P14" s="19"/>
      <c r="Q14" s="19"/>
      <c r="R14" s="19"/>
      <c r="S14" s="19"/>
      <c r="T14" s="19"/>
      <c r="U14" s="20"/>
      <c r="V14" s="60" t="s">
        <v>232</v>
      </c>
      <c r="W14" s="30">
        <v>0</v>
      </c>
      <c r="X14" s="30">
        <v>0</v>
      </c>
      <c r="Y14" s="30"/>
      <c r="Z14" s="30"/>
      <c r="AA14" s="30"/>
      <c r="AB14" s="30"/>
      <c r="AC14" s="30"/>
      <c r="AD14" s="30"/>
      <c r="AE14" s="30"/>
      <c r="AF14" s="30">
        <f t="shared" si="2"/>
        <v>0</v>
      </c>
      <c r="AG14" s="60"/>
    </row>
    <row r="15" spans="1:33">
      <c r="A15" s="405"/>
      <c r="B15" s="408" t="s">
        <v>25</v>
      </c>
      <c r="C15" s="408"/>
      <c r="D15" s="51">
        <f>SUM(D13:D14)</f>
        <v>38331</v>
      </c>
      <c r="E15" s="51">
        <f>SUM(E13:E14)</f>
        <v>3086.0099999999998</v>
      </c>
      <c r="F15" s="51">
        <f>SUM(F13:F14)</f>
        <v>2828.35</v>
      </c>
      <c r="G15" s="51">
        <f t="shared" si="1"/>
        <v>35244.99</v>
      </c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1"/>
      <c r="W15" s="72">
        <f>SUM(W13:W14)</f>
        <v>280.18</v>
      </c>
      <c r="X15" s="51">
        <f>SUM(X13:X14)</f>
        <v>257.66000000000003</v>
      </c>
      <c r="Y15" s="72"/>
      <c r="Z15" s="72"/>
      <c r="AA15" s="72"/>
      <c r="AB15" s="72"/>
      <c r="AC15" s="72"/>
      <c r="AD15" s="72"/>
      <c r="AE15" s="72"/>
      <c r="AF15" s="30">
        <f t="shared" si="2"/>
        <v>257.66000000000003</v>
      </c>
      <c r="AG15" s="71"/>
    </row>
    <row r="16" spans="1:33" ht="26.25" customHeight="1">
      <c r="A16" s="405"/>
      <c r="B16" s="407" t="s">
        <v>29</v>
      </c>
      <c r="C16" s="57" t="s">
        <v>29</v>
      </c>
      <c r="D16" s="34">
        <v>76735</v>
      </c>
      <c r="E16" s="34">
        <f t="shared" ref="E16:E17" si="3">F16+AF16</f>
        <v>0</v>
      </c>
      <c r="F16" s="34">
        <v>0</v>
      </c>
      <c r="G16" s="34">
        <f t="shared" si="1"/>
        <v>76735</v>
      </c>
      <c r="H16" s="96">
        <v>1200</v>
      </c>
      <c r="I16" s="28">
        <v>2</v>
      </c>
      <c r="J16" s="28" t="s">
        <v>30</v>
      </c>
      <c r="K16" s="28">
        <v>600</v>
      </c>
      <c r="L16" s="29">
        <v>45792</v>
      </c>
      <c r="M16" s="28" t="s">
        <v>31</v>
      </c>
      <c r="N16" s="28">
        <v>600</v>
      </c>
      <c r="O16" s="29">
        <v>45792</v>
      </c>
      <c r="P16" s="28"/>
      <c r="Q16" s="28"/>
      <c r="R16" s="28"/>
      <c r="S16" s="28"/>
      <c r="T16" s="28">
        <f>U16-L16</f>
        <v>138</v>
      </c>
      <c r="U16" s="29">
        <v>45930</v>
      </c>
      <c r="V16" s="60"/>
      <c r="W16" s="24">
        <v>0</v>
      </c>
      <c r="X16" s="24">
        <v>0</v>
      </c>
      <c r="Y16" s="24"/>
      <c r="Z16" s="24"/>
      <c r="AA16" s="24"/>
      <c r="AB16" s="24"/>
      <c r="AC16" s="24"/>
      <c r="AD16" s="24"/>
      <c r="AE16" s="24"/>
      <c r="AF16" s="30">
        <f t="shared" si="2"/>
        <v>0</v>
      </c>
      <c r="AG16" s="60"/>
    </row>
    <row r="17" spans="1:33" ht="30">
      <c r="A17" s="405"/>
      <c r="B17" s="407"/>
      <c r="C17" s="57" t="s">
        <v>32</v>
      </c>
      <c r="D17" s="34">
        <v>915</v>
      </c>
      <c r="E17" s="34">
        <f t="shared" si="3"/>
        <v>0</v>
      </c>
      <c r="F17" s="34">
        <v>0</v>
      </c>
      <c r="G17" s="34">
        <f t="shared" si="1"/>
        <v>915</v>
      </c>
      <c r="H17" s="88"/>
      <c r="I17" s="89"/>
      <c r="J17" s="89"/>
      <c r="K17" s="89"/>
      <c r="L17" s="90"/>
      <c r="M17" s="89"/>
      <c r="N17" s="89"/>
      <c r="O17" s="90"/>
      <c r="P17" s="89"/>
      <c r="Q17" s="89"/>
      <c r="R17" s="89"/>
      <c r="S17" s="89"/>
      <c r="T17" s="89"/>
      <c r="U17" s="90"/>
      <c r="V17" s="60" t="s">
        <v>234</v>
      </c>
      <c r="W17" s="24">
        <v>0</v>
      </c>
      <c r="X17" s="24">
        <v>0</v>
      </c>
      <c r="Y17" s="24"/>
      <c r="Z17" s="24"/>
      <c r="AA17" s="24"/>
      <c r="AB17" s="24"/>
      <c r="AC17" s="24"/>
      <c r="AD17" s="24"/>
      <c r="AE17" s="24"/>
      <c r="AF17" s="30">
        <f t="shared" si="2"/>
        <v>0</v>
      </c>
      <c r="AG17" s="60"/>
    </row>
    <row r="18" spans="1:33">
      <c r="A18" s="405"/>
      <c r="B18" s="408" t="s">
        <v>25</v>
      </c>
      <c r="C18" s="408"/>
      <c r="D18" s="51">
        <f>SUM(D16:D17)</f>
        <v>77650</v>
      </c>
      <c r="E18" s="51">
        <f>SUM(E16:E17)</f>
        <v>0</v>
      </c>
      <c r="F18" s="51">
        <f>SUM(F16:F17)</f>
        <v>0</v>
      </c>
      <c r="G18" s="51">
        <f t="shared" si="1"/>
        <v>77650</v>
      </c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1"/>
      <c r="W18" s="52">
        <f>SUM(W16:W17)</f>
        <v>0</v>
      </c>
      <c r="X18" s="51">
        <f>SUM(X16:X17)</f>
        <v>0</v>
      </c>
      <c r="Y18" s="52"/>
      <c r="Z18" s="52"/>
      <c r="AA18" s="52"/>
      <c r="AB18" s="52"/>
      <c r="AC18" s="52"/>
      <c r="AD18" s="52"/>
      <c r="AE18" s="52"/>
      <c r="AF18" s="30">
        <f t="shared" si="2"/>
        <v>0</v>
      </c>
      <c r="AG18" s="71"/>
    </row>
    <row r="19" spans="1:33" ht="30">
      <c r="A19" s="405"/>
      <c r="B19" s="73" t="s">
        <v>33</v>
      </c>
      <c r="C19" s="57" t="s">
        <v>33</v>
      </c>
      <c r="D19" s="35">
        <v>300000</v>
      </c>
      <c r="E19" s="34">
        <f>F19+AF19</f>
        <v>0</v>
      </c>
      <c r="F19" s="35">
        <v>0</v>
      </c>
      <c r="G19" s="35">
        <f t="shared" si="1"/>
        <v>300000</v>
      </c>
      <c r="H19" s="27">
        <v>3400</v>
      </c>
      <c r="I19" s="24">
        <v>3</v>
      </c>
      <c r="J19" s="24" t="s">
        <v>34</v>
      </c>
      <c r="K19" s="24">
        <v>900</v>
      </c>
      <c r="L19" s="25">
        <v>45778</v>
      </c>
      <c r="M19" s="24" t="s">
        <v>35</v>
      </c>
      <c r="N19" s="24">
        <v>1100</v>
      </c>
      <c r="O19" s="25">
        <v>45778</v>
      </c>
      <c r="P19" s="24" t="s">
        <v>36</v>
      </c>
      <c r="Q19" s="24">
        <v>1400</v>
      </c>
      <c r="R19" s="25">
        <v>45792</v>
      </c>
      <c r="S19" s="24"/>
      <c r="T19" s="24">
        <f>U19-L19</f>
        <v>152</v>
      </c>
      <c r="U19" s="25">
        <v>45930</v>
      </c>
      <c r="V19" s="60"/>
      <c r="W19" s="74">
        <v>0</v>
      </c>
      <c r="X19" s="74">
        <v>0</v>
      </c>
      <c r="Y19" s="74"/>
      <c r="Z19" s="74"/>
      <c r="AA19" s="74"/>
      <c r="AB19" s="74"/>
      <c r="AC19" s="74"/>
      <c r="AD19" s="74"/>
      <c r="AE19" s="74"/>
      <c r="AF19" s="30">
        <f t="shared" si="2"/>
        <v>0</v>
      </c>
      <c r="AG19" s="60" t="s">
        <v>316</v>
      </c>
    </row>
    <row r="20" spans="1:33">
      <c r="A20" s="405"/>
      <c r="B20" s="407" t="s">
        <v>37</v>
      </c>
      <c r="C20" s="57" t="s">
        <v>37</v>
      </c>
      <c r="D20" s="34">
        <v>27543</v>
      </c>
      <c r="E20" s="34">
        <f t="shared" ref="E20:E21" si="4">F20+AF20</f>
        <v>0</v>
      </c>
      <c r="F20" s="34">
        <v>0</v>
      </c>
      <c r="G20" s="34">
        <f t="shared" si="1"/>
        <v>27543</v>
      </c>
      <c r="H20" s="96">
        <v>600</v>
      </c>
      <c r="I20" s="28">
        <v>1</v>
      </c>
      <c r="J20" s="28" t="s">
        <v>38</v>
      </c>
      <c r="K20" s="28">
        <v>600</v>
      </c>
      <c r="L20" s="29">
        <v>45778</v>
      </c>
      <c r="M20" s="28"/>
      <c r="N20" s="28"/>
      <c r="O20" s="28"/>
      <c r="P20" s="28"/>
      <c r="Q20" s="28"/>
      <c r="R20" s="28"/>
      <c r="S20" s="28"/>
      <c r="T20" s="28">
        <f>U20-L20</f>
        <v>152</v>
      </c>
      <c r="U20" s="29">
        <v>45930</v>
      </c>
      <c r="V20" s="60"/>
      <c r="W20" s="4">
        <v>0</v>
      </c>
      <c r="X20" s="4">
        <v>0</v>
      </c>
      <c r="Y20" s="4"/>
      <c r="Z20" s="4"/>
      <c r="AA20" s="4"/>
      <c r="AB20" s="4"/>
      <c r="AC20" s="4"/>
      <c r="AD20" s="4"/>
      <c r="AE20" s="4"/>
      <c r="AF20" s="30">
        <f t="shared" si="2"/>
        <v>0</v>
      </c>
      <c r="AG20" s="415" t="s">
        <v>318</v>
      </c>
    </row>
    <row r="21" spans="1:33" ht="45">
      <c r="A21" s="405"/>
      <c r="B21" s="407"/>
      <c r="C21" s="57" t="s">
        <v>39</v>
      </c>
      <c r="D21" s="34">
        <v>5624</v>
      </c>
      <c r="E21" s="34">
        <f t="shared" si="4"/>
        <v>0</v>
      </c>
      <c r="F21" s="34">
        <v>0</v>
      </c>
      <c r="G21" s="34">
        <f t="shared" si="1"/>
        <v>5624</v>
      </c>
      <c r="H21" s="23"/>
      <c r="I21" s="19"/>
      <c r="J21" s="19"/>
      <c r="K21" s="19"/>
      <c r="L21" s="20"/>
      <c r="M21" s="19"/>
      <c r="N21" s="19"/>
      <c r="O21" s="19"/>
      <c r="P21" s="19"/>
      <c r="Q21" s="19"/>
      <c r="R21" s="19"/>
      <c r="S21" s="19"/>
      <c r="T21" s="19"/>
      <c r="U21" s="20"/>
      <c r="V21" s="60" t="s">
        <v>40</v>
      </c>
      <c r="W21" s="4">
        <v>0</v>
      </c>
      <c r="X21" s="4">
        <v>0</v>
      </c>
      <c r="Y21" s="4"/>
      <c r="Z21" s="4"/>
      <c r="AA21" s="4"/>
      <c r="AB21" s="4"/>
      <c r="AC21" s="4"/>
      <c r="AD21" s="4"/>
      <c r="AE21" s="4"/>
      <c r="AF21" s="30">
        <f t="shared" si="2"/>
        <v>0</v>
      </c>
      <c r="AG21" s="416"/>
    </row>
    <row r="22" spans="1:33">
      <c r="A22" s="405"/>
      <c r="B22" s="408" t="s">
        <v>25</v>
      </c>
      <c r="C22" s="408"/>
      <c r="D22" s="51">
        <f>SUM(D20:D21)</f>
        <v>33167</v>
      </c>
      <c r="E22" s="51">
        <f>SUM(E20:E21)</f>
        <v>0</v>
      </c>
      <c r="F22" s="51">
        <f>SUM(F20:F21)</f>
        <v>0</v>
      </c>
      <c r="G22" s="51">
        <f t="shared" si="1"/>
        <v>33167</v>
      </c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71"/>
      <c r="W22" s="52">
        <f>SUM(W20:W21)</f>
        <v>0</v>
      </c>
      <c r="X22" s="51">
        <f>SUM(X20:X21)</f>
        <v>0</v>
      </c>
      <c r="Y22" s="52"/>
      <c r="Z22" s="52"/>
      <c r="AA22" s="52"/>
      <c r="AB22" s="52"/>
      <c r="AC22" s="52"/>
      <c r="AD22" s="52"/>
      <c r="AE22" s="52"/>
      <c r="AF22" s="30">
        <f t="shared" si="2"/>
        <v>0</v>
      </c>
      <c r="AG22" s="71"/>
    </row>
    <row r="23" spans="1:33">
      <c r="A23" s="405"/>
      <c r="B23" s="407" t="s">
        <v>41</v>
      </c>
      <c r="C23" s="57" t="s">
        <v>41</v>
      </c>
      <c r="D23" s="34">
        <v>43811</v>
      </c>
      <c r="E23" s="34">
        <v>11998</v>
      </c>
      <c r="F23" s="34">
        <v>11998</v>
      </c>
      <c r="G23" s="34">
        <f t="shared" si="1"/>
        <v>31813</v>
      </c>
      <c r="H23" s="91">
        <v>900</v>
      </c>
      <c r="I23" s="92">
        <v>1</v>
      </c>
      <c r="J23" s="92" t="s">
        <v>42</v>
      </c>
      <c r="K23" s="92">
        <v>900</v>
      </c>
      <c r="L23" s="3">
        <v>45756</v>
      </c>
      <c r="M23" s="92"/>
      <c r="N23" s="92"/>
      <c r="O23" s="92"/>
      <c r="P23" s="92"/>
      <c r="Q23" s="92"/>
      <c r="R23" s="92"/>
      <c r="S23" s="92"/>
      <c r="T23" s="92">
        <f>U23-L23</f>
        <v>174</v>
      </c>
      <c r="U23" s="3">
        <v>45930</v>
      </c>
      <c r="V23" s="60"/>
      <c r="W23" s="4">
        <v>0</v>
      </c>
      <c r="X23" s="4">
        <v>0</v>
      </c>
      <c r="Y23" s="4"/>
      <c r="Z23" s="4"/>
      <c r="AA23" s="4"/>
      <c r="AB23" s="4"/>
      <c r="AC23" s="4"/>
      <c r="AD23" s="4"/>
      <c r="AE23" s="4"/>
      <c r="AF23" s="30">
        <f t="shared" si="2"/>
        <v>0</v>
      </c>
      <c r="AG23" s="60"/>
    </row>
    <row r="24" spans="1:33" ht="30">
      <c r="A24" s="405"/>
      <c r="B24" s="407"/>
      <c r="C24" s="57" t="s">
        <v>43</v>
      </c>
      <c r="D24" s="34">
        <v>8376</v>
      </c>
      <c r="E24" s="34">
        <v>0</v>
      </c>
      <c r="F24" s="34">
        <v>0</v>
      </c>
      <c r="G24" s="34">
        <f t="shared" si="1"/>
        <v>8376</v>
      </c>
      <c r="H24" s="88"/>
      <c r="I24" s="89"/>
      <c r="J24" s="89"/>
      <c r="K24" s="89"/>
      <c r="L24" s="90"/>
      <c r="M24" s="89"/>
      <c r="N24" s="89"/>
      <c r="O24" s="89"/>
      <c r="P24" s="89"/>
      <c r="Q24" s="89"/>
      <c r="R24" s="89"/>
      <c r="S24" s="89"/>
      <c r="T24" s="89"/>
      <c r="U24" s="90"/>
      <c r="V24" s="60" t="s">
        <v>44</v>
      </c>
      <c r="W24" s="4">
        <v>0</v>
      </c>
      <c r="X24" s="4">
        <v>0</v>
      </c>
      <c r="Y24" s="4"/>
      <c r="Z24" s="4"/>
      <c r="AA24" s="4"/>
      <c r="AB24" s="4"/>
      <c r="AC24" s="4"/>
      <c r="AD24" s="4"/>
      <c r="AE24" s="4"/>
      <c r="AF24" s="30">
        <f t="shared" si="2"/>
        <v>0</v>
      </c>
      <c r="AG24" s="60"/>
    </row>
    <row r="25" spans="1:33">
      <c r="A25" s="405"/>
      <c r="B25" s="408" t="s">
        <v>25</v>
      </c>
      <c r="C25" s="408"/>
      <c r="D25" s="51">
        <f>SUM(D23:D24)</f>
        <v>52187</v>
      </c>
      <c r="E25" s="51">
        <f>SUM(E23:E24)</f>
        <v>11998</v>
      </c>
      <c r="F25" s="51">
        <f>SUM(F23:F24)</f>
        <v>11998</v>
      </c>
      <c r="G25" s="51">
        <f t="shared" si="1"/>
        <v>40189</v>
      </c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5"/>
      <c r="V25" s="71"/>
      <c r="W25" s="52">
        <f>SUM(W23:W24)</f>
        <v>0</v>
      </c>
      <c r="X25" s="51">
        <f>SUM(X23:X24)</f>
        <v>0</v>
      </c>
      <c r="Y25" s="52"/>
      <c r="Z25" s="52"/>
      <c r="AA25" s="52"/>
      <c r="AB25" s="52"/>
      <c r="AC25" s="52"/>
      <c r="AD25" s="52"/>
      <c r="AE25" s="52"/>
      <c r="AF25" s="30">
        <f t="shared" si="2"/>
        <v>0</v>
      </c>
      <c r="AG25" s="71"/>
    </row>
    <row r="26" spans="1:33" ht="30">
      <c r="A26" s="405"/>
      <c r="B26" s="73" t="s">
        <v>45</v>
      </c>
      <c r="C26" s="58" t="s">
        <v>45</v>
      </c>
      <c r="D26" s="35">
        <v>166278</v>
      </c>
      <c r="E26" s="34">
        <f t="shared" ref="E26:E28" si="5">F26+AF26</f>
        <v>0</v>
      </c>
      <c r="F26" s="35">
        <v>0</v>
      </c>
      <c r="G26" s="35">
        <f t="shared" si="1"/>
        <v>166278</v>
      </c>
      <c r="H26" s="27">
        <v>1600</v>
      </c>
      <c r="I26" s="24">
        <v>1</v>
      </c>
      <c r="J26" s="24" t="s">
        <v>46</v>
      </c>
      <c r="K26" s="24">
        <v>800</v>
      </c>
      <c r="L26" s="25">
        <v>45782</v>
      </c>
      <c r="M26" s="24" t="s">
        <v>47</v>
      </c>
      <c r="N26" s="24">
        <v>800</v>
      </c>
      <c r="O26" s="25">
        <v>45853</v>
      </c>
      <c r="P26" s="24"/>
      <c r="Q26" s="24"/>
      <c r="R26" s="24"/>
      <c r="S26" s="24"/>
      <c r="T26" s="24">
        <f>U26-L26</f>
        <v>148</v>
      </c>
      <c r="U26" s="25">
        <v>45930</v>
      </c>
      <c r="V26" s="60" t="s">
        <v>48</v>
      </c>
      <c r="W26" s="74">
        <v>0</v>
      </c>
      <c r="X26" s="74">
        <v>0</v>
      </c>
      <c r="Y26" s="74"/>
      <c r="Z26" s="74"/>
      <c r="AA26" s="74"/>
      <c r="AB26" s="74"/>
      <c r="AC26" s="74"/>
      <c r="AD26" s="74"/>
      <c r="AE26" s="74"/>
      <c r="AF26" s="30">
        <f t="shared" si="2"/>
        <v>0</v>
      </c>
      <c r="AG26" s="60"/>
    </row>
    <row r="27" spans="1:33" ht="15" customHeight="1">
      <c r="A27" s="405"/>
      <c r="B27" s="407" t="s">
        <v>49</v>
      </c>
      <c r="C27" s="57" t="s">
        <v>49</v>
      </c>
      <c r="D27" s="34">
        <v>46264</v>
      </c>
      <c r="E27" s="34">
        <f t="shared" si="5"/>
        <v>0</v>
      </c>
      <c r="F27" s="34">
        <v>0</v>
      </c>
      <c r="G27" s="34">
        <f t="shared" si="1"/>
        <v>46264</v>
      </c>
      <c r="H27" s="96">
        <v>1400</v>
      </c>
      <c r="I27" s="28">
        <v>1</v>
      </c>
      <c r="J27" s="28" t="s">
        <v>50</v>
      </c>
      <c r="K27" s="28">
        <v>1400</v>
      </c>
      <c r="L27" s="29">
        <v>45778</v>
      </c>
      <c r="M27" s="28"/>
      <c r="N27" s="28"/>
      <c r="O27" s="28"/>
      <c r="P27" s="28"/>
      <c r="Q27" s="28"/>
      <c r="R27" s="28"/>
      <c r="S27" s="28"/>
      <c r="T27" s="28">
        <f>U27-L27</f>
        <v>152</v>
      </c>
      <c r="U27" s="29">
        <v>45930</v>
      </c>
      <c r="V27" s="60"/>
      <c r="W27" s="4">
        <v>0</v>
      </c>
      <c r="X27" s="4">
        <v>0</v>
      </c>
      <c r="Y27" s="4"/>
      <c r="Z27" s="4"/>
      <c r="AA27" s="4"/>
      <c r="AB27" s="4"/>
      <c r="AC27" s="4"/>
      <c r="AD27" s="4"/>
      <c r="AE27" s="4"/>
      <c r="AF27" s="30">
        <f t="shared" si="2"/>
        <v>0</v>
      </c>
      <c r="AG27" s="415" t="s">
        <v>318</v>
      </c>
    </row>
    <row r="28" spans="1:33" ht="30">
      <c r="A28" s="405"/>
      <c r="B28" s="407"/>
      <c r="C28" s="57" t="s">
        <v>51</v>
      </c>
      <c r="D28" s="34">
        <v>7203</v>
      </c>
      <c r="E28" s="34">
        <f t="shared" si="5"/>
        <v>0</v>
      </c>
      <c r="F28" s="34">
        <v>0</v>
      </c>
      <c r="G28" s="34">
        <f t="shared" si="1"/>
        <v>7203</v>
      </c>
      <c r="H28" s="88"/>
      <c r="I28" s="89"/>
      <c r="J28" s="89"/>
      <c r="K28" s="89"/>
      <c r="L28" s="90"/>
      <c r="M28" s="89"/>
      <c r="N28" s="89"/>
      <c r="O28" s="89"/>
      <c r="P28" s="89"/>
      <c r="Q28" s="89"/>
      <c r="R28" s="89"/>
      <c r="S28" s="89"/>
      <c r="T28" s="89"/>
      <c r="U28" s="90"/>
      <c r="V28" s="60" t="s">
        <v>52</v>
      </c>
      <c r="W28" s="4">
        <v>0</v>
      </c>
      <c r="X28" s="4">
        <v>0</v>
      </c>
      <c r="Y28" s="4"/>
      <c r="Z28" s="4"/>
      <c r="AA28" s="4"/>
      <c r="AB28" s="4"/>
      <c r="AC28" s="4"/>
      <c r="AD28" s="4"/>
      <c r="AE28" s="4"/>
      <c r="AF28" s="30">
        <f t="shared" si="2"/>
        <v>0</v>
      </c>
      <c r="AG28" s="416"/>
    </row>
    <row r="29" spans="1:33">
      <c r="A29" s="405"/>
      <c r="B29" s="408" t="s">
        <v>25</v>
      </c>
      <c r="C29" s="408"/>
      <c r="D29" s="51">
        <f>SUM(D27:D28)</f>
        <v>53467</v>
      </c>
      <c r="E29" s="51">
        <f>SUM(E27:E28)</f>
        <v>0</v>
      </c>
      <c r="F29" s="51">
        <f>SUM(F27:F28)</f>
        <v>0</v>
      </c>
      <c r="G29" s="51">
        <f t="shared" si="1"/>
        <v>53467</v>
      </c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5"/>
      <c r="V29" s="71"/>
      <c r="W29" s="52">
        <f>SUM(W27:W28)</f>
        <v>0</v>
      </c>
      <c r="X29" s="51">
        <f>SUM(X27:X28)</f>
        <v>0</v>
      </c>
      <c r="Y29" s="52"/>
      <c r="Z29" s="52"/>
      <c r="AA29" s="52"/>
      <c r="AB29" s="52"/>
      <c r="AC29" s="52"/>
      <c r="AD29" s="52"/>
      <c r="AE29" s="52"/>
      <c r="AF29" s="30">
        <f t="shared" si="2"/>
        <v>0</v>
      </c>
      <c r="AG29" s="71"/>
    </row>
    <row r="30" spans="1:33">
      <c r="A30" s="405"/>
      <c r="B30" s="407" t="s">
        <v>53</v>
      </c>
      <c r="C30" s="58" t="s">
        <v>53</v>
      </c>
      <c r="D30" s="34">
        <v>30894</v>
      </c>
      <c r="E30" s="34">
        <f t="shared" ref="E30:E47" si="6">F30+AF30</f>
        <v>0</v>
      </c>
      <c r="F30" s="34">
        <v>0</v>
      </c>
      <c r="G30" s="34">
        <f t="shared" si="1"/>
        <v>30894</v>
      </c>
      <c r="H30" s="96">
        <v>600</v>
      </c>
      <c r="I30" s="28">
        <v>1</v>
      </c>
      <c r="J30" s="28" t="s">
        <v>54</v>
      </c>
      <c r="K30" s="28">
        <v>600</v>
      </c>
      <c r="L30" s="29">
        <v>45802</v>
      </c>
      <c r="M30" s="28"/>
      <c r="N30" s="28"/>
      <c r="O30" s="28"/>
      <c r="P30" s="28"/>
      <c r="Q30" s="28"/>
      <c r="R30" s="28"/>
      <c r="S30" s="28"/>
      <c r="T30" s="28">
        <f>U30-L30</f>
        <v>128</v>
      </c>
      <c r="U30" s="29">
        <v>45930</v>
      </c>
      <c r="V30" s="60"/>
      <c r="W30" s="4">
        <v>0</v>
      </c>
      <c r="X30" s="4">
        <v>0</v>
      </c>
      <c r="Y30" s="4"/>
      <c r="Z30" s="4"/>
      <c r="AA30" s="4"/>
      <c r="AB30" s="4"/>
      <c r="AC30" s="4"/>
      <c r="AD30" s="4"/>
      <c r="AE30" s="4"/>
      <c r="AF30" s="30">
        <f t="shared" si="2"/>
        <v>0</v>
      </c>
      <c r="AG30" s="60"/>
    </row>
    <row r="31" spans="1:33" ht="30">
      <c r="A31" s="405"/>
      <c r="B31" s="407"/>
      <c r="C31" s="57" t="s">
        <v>55</v>
      </c>
      <c r="D31" s="34">
        <v>1675</v>
      </c>
      <c r="E31" s="34">
        <f t="shared" si="6"/>
        <v>0</v>
      </c>
      <c r="F31" s="34">
        <v>0</v>
      </c>
      <c r="G31" s="34">
        <f t="shared" si="1"/>
        <v>1675</v>
      </c>
      <c r="H31" s="26"/>
      <c r="I31" s="21"/>
      <c r="J31" s="21"/>
      <c r="K31" s="21"/>
      <c r="L31" s="22"/>
      <c r="M31" s="21"/>
      <c r="N31" s="21"/>
      <c r="O31" s="21"/>
      <c r="P31" s="21"/>
      <c r="Q31" s="21"/>
      <c r="R31" s="21"/>
      <c r="S31" s="21"/>
      <c r="T31" s="21"/>
      <c r="U31" s="22"/>
      <c r="V31" s="60" t="s">
        <v>56</v>
      </c>
      <c r="W31" s="4">
        <v>0</v>
      </c>
      <c r="X31" s="4">
        <v>0</v>
      </c>
      <c r="Y31" s="4"/>
      <c r="Z31" s="4"/>
      <c r="AA31" s="4"/>
      <c r="AB31" s="4"/>
      <c r="AC31" s="4"/>
      <c r="AD31" s="4"/>
      <c r="AE31" s="4"/>
      <c r="AF31" s="30">
        <f t="shared" si="2"/>
        <v>0</v>
      </c>
      <c r="AG31" s="60"/>
    </row>
    <row r="32" spans="1:33" ht="30">
      <c r="A32" s="405"/>
      <c r="B32" s="407"/>
      <c r="C32" s="57" t="s">
        <v>57</v>
      </c>
      <c r="D32" s="34">
        <v>6194</v>
      </c>
      <c r="E32" s="34">
        <f t="shared" si="6"/>
        <v>0</v>
      </c>
      <c r="F32" s="34">
        <v>0</v>
      </c>
      <c r="G32" s="34">
        <f t="shared" si="1"/>
        <v>6194</v>
      </c>
      <c r="H32" s="23"/>
      <c r="I32" s="19"/>
      <c r="J32" s="19"/>
      <c r="K32" s="19"/>
      <c r="L32" s="20"/>
      <c r="M32" s="19"/>
      <c r="N32" s="19"/>
      <c r="O32" s="19"/>
      <c r="P32" s="19"/>
      <c r="Q32" s="19"/>
      <c r="R32" s="19"/>
      <c r="S32" s="19"/>
      <c r="T32" s="19"/>
      <c r="U32" s="20"/>
      <c r="V32" s="60" t="s">
        <v>58</v>
      </c>
      <c r="W32" s="4">
        <v>0</v>
      </c>
      <c r="X32" s="4">
        <v>0</v>
      </c>
      <c r="Y32" s="4"/>
      <c r="Z32" s="4"/>
      <c r="AA32" s="4"/>
      <c r="AB32" s="4"/>
      <c r="AC32" s="4"/>
      <c r="AD32" s="4"/>
      <c r="AE32" s="4"/>
      <c r="AF32" s="30">
        <f t="shared" si="2"/>
        <v>0</v>
      </c>
      <c r="AG32" s="60"/>
    </row>
    <row r="33" spans="1:33">
      <c r="A33" s="405"/>
      <c r="B33" s="408" t="s">
        <v>25</v>
      </c>
      <c r="C33" s="408"/>
      <c r="D33" s="51">
        <f>SUM(D30:D32)</f>
        <v>38763</v>
      </c>
      <c r="E33" s="51">
        <f>SUM(E30:E32)</f>
        <v>0</v>
      </c>
      <c r="F33" s="51">
        <f>SUM(F30:F32)</f>
        <v>0</v>
      </c>
      <c r="G33" s="51">
        <f t="shared" si="1"/>
        <v>38763</v>
      </c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5"/>
      <c r="V33" s="71"/>
      <c r="W33" s="52">
        <f>SUM(W30:W32)</f>
        <v>0</v>
      </c>
      <c r="X33" s="51">
        <f>SUM(X30:X32)</f>
        <v>0</v>
      </c>
      <c r="Y33" s="52"/>
      <c r="Z33" s="52"/>
      <c r="AA33" s="52"/>
      <c r="AB33" s="52"/>
      <c r="AC33" s="52"/>
      <c r="AD33" s="52"/>
      <c r="AE33" s="52"/>
      <c r="AF33" s="30">
        <f t="shared" si="2"/>
        <v>0</v>
      </c>
      <c r="AG33" s="71"/>
    </row>
    <row r="34" spans="1:33">
      <c r="A34" s="405"/>
      <c r="B34" s="407" t="s">
        <v>59</v>
      </c>
      <c r="C34" s="58" t="s">
        <v>59</v>
      </c>
      <c r="D34" s="37">
        <v>30609</v>
      </c>
      <c r="E34" s="34">
        <f t="shared" si="6"/>
        <v>0</v>
      </c>
      <c r="F34" s="34">
        <v>0</v>
      </c>
      <c r="G34" s="34">
        <f t="shared" si="1"/>
        <v>30609</v>
      </c>
      <c r="H34" s="85">
        <v>1700</v>
      </c>
      <c r="I34" s="86">
        <v>2</v>
      </c>
      <c r="J34" s="86" t="s">
        <v>60</v>
      </c>
      <c r="K34" s="86">
        <v>600</v>
      </c>
      <c r="L34" s="87">
        <v>45823</v>
      </c>
      <c r="M34" s="86" t="s">
        <v>61</v>
      </c>
      <c r="N34" s="86">
        <v>1100</v>
      </c>
      <c r="O34" s="87">
        <v>45853</v>
      </c>
      <c r="P34" s="86"/>
      <c r="Q34" s="86"/>
      <c r="R34" s="86"/>
      <c r="S34" s="86"/>
      <c r="T34" s="86">
        <f>U34-L34</f>
        <v>107</v>
      </c>
      <c r="U34" s="87">
        <v>45930</v>
      </c>
      <c r="V34" s="60"/>
      <c r="W34" s="7">
        <v>0</v>
      </c>
      <c r="X34" s="34">
        <v>0</v>
      </c>
      <c r="Y34" s="7"/>
      <c r="Z34" s="7"/>
      <c r="AA34" s="7"/>
      <c r="AB34" s="7"/>
      <c r="AC34" s="7"/>
      <c r="AD34" s="7"/>
      <c r="AE34" s="7"/>
      <c r="AF34" s="30">
        <f t="shared" si="2"/>
        <v>0</v>
      </c>
      <c r="AG34" s="60"/>
    </row>
    <row r="35" spans="1:33" ht="45">
      <c r="A35" s="405"/>
      <c r="B35" s="407"/>
      <c r="C35" s="58" t="s">
        <v>62</v>
      </c>
      <c r="D35" s="37">
        <v>11195</v>
      </c>
      <c r="E35" s="34">
        <f t="shared" si="6"/>
        <v>0</v>
      </c>
      <c r="F35" s="34">
        <v>0</v>
      </c>
      <c r="G35" s="34">
        <f t="shared" si="1"/>
        <v>11195</v>
      </c>
      <c r="H35" s="93"/>
      <c r="I35" s="94"/>
      <c r="J35" s="94"/>
      <c r="K35" s="94"/>
      <c r="L35" s="95"/>
      <c r="M35" s="94"/>
      <c r="N35" s="94"/>
      <c r="O35" s="95"/>
      <c r="P35" s="94"/>
      <c r="Q35" s="94"/>
      <c r="R35" s="94"/>
      <c r="S35" s="94"/>
      <c r="T35" s="94"/>
      <c r="U35" s="95"/>
      <c r="V35" s="60" t="s">
        <v>63</v>
      </c>
      <c r="W35" s="7">
        <v>0</v>
      </c>
      <c r="X35" s="34">
        <v>0</v>
      </c>
      <c r="Y35" s="7"/>
      <c r="Z35" s="7"/>
      <c r="AA35" s="7"/>
      <c r="AB35" s="7"/>
      <c r="AC35" s="7"/>
      <c r="AD35" s="7"/>
      <c r="AE35" s="7"/>
      <c r="AF35" s="30">
        <f t="shared" si="2"/>
        <v>0</v>
      </c>
      <c r="AG35" s="60"/>
    </row>
    <row r="36" spans="1:33" ht="45">
      <c r="A36" s="405"/>
      <c r="B36" s="407"/>
      <c r="C36" s="58" t="s">
        <v>64</v>
      </c>
      <c r="D36" s="37">
        <v>10793</v>
      </c>
      <c r="E36" s="34">
        <f t="shared" si="6"/>
        <v>0</v>
      </c>
      <c r="F36" s="34">
        <v>0</v>
      </c>
      <c r="G36" s="34">
        <f t="shared" si="1"/>
        <v>10793</v>
      </c>
      <c r="H36" s="88"/>
      <c r="I36" s="89"/>
      <c r="J36" s="89"/>
      <c r="K36" s="89"/>
      <c r="L36" s="90"/>
      <c r="M36" s="89"/>
      <c r="N36" s="89"/>
      <c r="O36" s="90"/>
      <c r="P36" s="89"/>
      <c r="Q36" s="89"/>
      <c r="R36" s="89"/>
      <c r="S36" s="89"/>
      <c r="T36" s="89"/>
      <c r="U36" s="90"/>
      <c r="V36" s="60" t="s">
        <v>65</v>
      </c>
      <c r="W36" s="7">
        <v>0</v>
      </c>
      <c r="X36" s="34">
        <v>0</v>
      </c>
      <c r="Y36" s="7"/>
      <c r="Z36" s="7"/>
      <c r="AA36" s="7"/>
      <c r="AB36" s="7"/>
      <c r="AC36" s="7"/>
      <c r="AD36" s="7"/>
      <c r="AE36" s="7"/>
      <c r="AF36" s="30">
        <f t="shared" si="2"/>
        <v>0</v>
      </c>
      <c r="AG36" s="60"/>
    </row>
    <row r="37" spans="1:33">
      <c r="A37" s="405"/>
      <c r="B37" s="408" t="s">
        <v>25</v>
      </c>
      <c r="C37" s="408"/>
      <c r="D37" s="76">
        <f>SUM(D34:D36)</f>
        <v>52597</v>
      </c>
      <c r="E37" s="76">
        <f>SUM(E34:E36)</f>
        <v>0</v>
      </c>
      <c r="F37" s="76">
        <f>SUM(F34:F36)</f>
        <v>0</v>
      </c>
      <c r="G37" s="51">
        <f t="shared" si="1"/>
        <v>52597</v>
      </c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1"/>
      <c r="W37" s="77">
        <f>SUM(W34:W36)</f>
        <v>0</v>
      </c>
      <c r="X37" s="76">
        <f>SUM(X34:X36)</f>
        <v>0</v>
      </c>
      <c r="Y37" s="77"/>
      <c r="Z37" s="77"/>
      <c r="AA37" s="77"/>
      <c r="AB37" s="77"/>
      <c r="AC37" s="77"/>
      <c r="AD37" s="77"/>
      <c r="AE37" s="77"/>
      <c r="AF37" s="30">
        <f t="shared" si="2"/>
        <v>0</v>
      </c>
      <c r="AG37" s="71"/>
    </row>
    <row r="38" spans="1:33">
      <c r="A38" s="405"/>
      <c r="B38" s="69" t="s">
        <v>66</v>
      </c>
      <c r="C38" s="57" t="s">
        <v>66</v>
      </c>
      <c r="D38" s="34">
        <v>30000</v>
      </c>
      <c r="E38" s="34">
        <f t="shared" si="6"/>
        <v>0</v>
      </c>
      <c r="F38" s="34">
        <v>0</v>
      </c>
      <c r="G38" s="34">
        <f t="shared" si="1"/>
        <v>30000</v>
      </c>
      <c r="H38" s="27">
        <v>600</v>
      </c>
      <c r="I38" s="24">
        <v>1</v>
      </c>
      <c r="J38" s="24" t="s">
        <v>67</v>
      </c>
      <c r="K38" s="24">
        <v>600</v>
      </c>
      <c r="L38" s="25">
        <v>45792</v>
      </c>
      <c r="M38" s="24"/>
      <c r="N38" s="24"/>
      <c r="O38" s="24"/>
      <c r="P38" s="24"/>
      <c r="Q38" s="24"/>
      <c r="R38" s="24"/>
      <c r="S38" s="24"/>
      <c r="T38" s="24">
        <f>U38-L38</f>
        <v>138</v>
      </c>
      <c r="U38" s="25">
        <v>45930</v>
      </c>
      <c r="V38" s="60"/>
      <c r="W38" s="4">
        <v>0</v>
      </c>
      <c r="X38" s="34">
        <f>Y38+AY38</f>
        <v>0</v>
      </c>
      <c r="Y38" s="4"/>
      <c r="Z38" s="4"/>
      <c r="AA38" s="4"/>
      <c r="AB38" s="4"/>
      <c r="AC38" s="4"/>
      <c r="AD38" s="4"/>
      <c r="AE38" s="4"/>
      <c r="AF38" s="30">
        <f t="shared" si="2"/>
        <v>0</v>
      </c>
      <c r="AG38" s="60"/>
    </row>
    <row r="39" spans="1:33">
      <c r="A39" s="405"/>
      <c r="B39" s="407" t="s">
        <v>68</v>
      </c>
      <c r="C39" s="58" t="s">
        <v>68</v>
      </c>
      <c r="D39" s="34">
        <v>32358</v>
      </c>
      <c r="E39" s="34">
        <f t="shared" si="6"/>
        <v>0</v>
      </c>
      <c r="F39" s="34">
        <v>0</v>
      </c>
      <c r="G39" s="34">
        <f t="shared" si="1"/>
        <v>32358</v>
      </c>
      <c r="H39" s="410">
        <v>1200</v>
      </c>
      <c r="I39" s="409">
        <v>1</v>
      </c>
      <c r="J39" s="409" t="s">
        <v>69</v>
      </c>
      <c r="K39" s="409">
        <v>600</v>
      </c>
      <c r="L39" s="411">
        <v>45853</v>
      </c>
      <c r="M39" s="409" t="s">
        <v>70</v>
      </c>
      <c r="N39" s="409">
        <v>600</v>
      </c>
      <c r="O39" s="411">
        <v>45853</v>
      </c>
      <c r="P39" s="409"/>
      <c r="Q39" s="409"/>
      <c r="R39" s="409"/>
      <c r="S39" s="409"/>
      <c r="T39" s="409">
        <f>U39-L39</f>
        <v>77</v>
      </c>
      <c r="U39" s="411">
        <v>45930</v>
      </c>
      <c r="V39" s="60"/>
      <c r="W39" s="4">
        <v>0</v>
      </c>
      <c r="X39" s="34">
        <f>Y39+AY39</f>
        <v>0</v>
      </c>
      <c r="Y39" s="4"/>
      <c r="Z39" s="4"/>
      <c r="AA39" s="4"/>
      <c r="AB39" s="4"/>
      <c r="AC39" s="4"/>
      <c r="AD39" s="4"/>
      <c r="AE39" s="4"/>
      <c r="AF39" s="30">
        <f t="shared" si="2"/>
        <v>0</v>
      </c>
      <c r="AG39" s="60"/>
    </row>
    <row r="40" spans="1:33" ht="30">
      <c r="A40" s="405"/>
      <c r="B40" s="407"/>
      <c r="C40" s="58" t="s">
        <v>71</v>
      </c>
      <c r="D40" s="34">
        <v>7312</v>
      </c>
      <c r="E40" s="34">
        <f t="shared" si="6"/>
        <v>0</v>
      </c>
      <c r="F40" s="34">
        <v>0</v>
      </c>
      <c r="G40" s="35">
        <f t="shared" si="1"/>
        <v>7312</v>
      </c>
      <c r="H40" s="410"/>
      <c r="I40" s="409"/>
      <c r="J40" s="409"/>
      <c r="K40" s="409"/>
      <c r="L40" s="411"/>
      <c r="M40" s="409"/>
      <c r="N40" s="409"/>
      <c r="O40" s="411"/>
      <c r="P40" s="409"/>
      <c r="Q40" s="409"/>
      <c r="R40" s="409"/>
      <c r="S40" s="409"/>
      <c r="T40" s="409"/>
      <c r="U40" s="411"/>
      <c r="V40" s="60" t="s">
        <v>72</v>
      </c>
      <c r="W40" s="4">
        <v>0</v>
      </c>
      <c r="X40" s="34">
        <f>Y40+AY40</f>
        <v>0</v>
      </c>
      <c r="Y40" s="4"/>
      <c r="Z40" s="4"/>
      <c r="AA40" s="4"/>
      <c r="AB40" s="4"/>
      <c r="AC40" s="4"/>
      <c r="AD40" s="4"/>
      <c r="AE40" s="4"/>
      <c r="AF40" s="30">
        <f t="shared" si="2"/>
        <v>0</v>
      </c>
      <c r="AG40" s="60"/>
    </row>
    <row r="41" spans="1:33">
      <c r="A41" s="405"/>
      <c r="B41" s="408" t="s">
        <v>25</v>
      </c>
      <c r="C41" s="408"/>
      <c r="D41" s="51">
        <f>SUM(D39:D40)</f>
        <v>39670</v>
      </c>
      <c r="E41" s="51">
        <f>SUM(E39:E40)</f>
        <v>0</v>
      </c>
      <c r="F41" s="51">
        <f>SUM(F39:F40)</f>
        <v>0</v>
      </c>
      <c r="G41" s="51">
        <f t="shared" si="1"/>
        <v>39670</v>
      </c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5"/>
      <c r="V41" s="71"/>
      <c r="W41" s="52">
        <f>SUM(W39:W40)</f>
        <v>0</v>
      </c>
      <c r="X41" s="51">
        <f>SUM(X39:X40)</f>
        <v>0</v>
      </c>
      <c r="Y41" s="52"/>
      <c r="Z41" s="52"/>
      <c r="AA41" s="52"/>
      <c r="AB41" s="52"/>
      <c r="AC41" s="52"/>
      <c r="AD41" s="52"/>
      <c r="AE41" s="52"/>
      <c r="AF41" s="30">
        <f t="shared" si="2"/>
        <v>0</v>
      </c>
      <c r="AG41" s="71"/>
    </row>
    <row r="42" spans="1:33" ht="21" customHeight="1">
      <c r="A42" s="405"/>
      <c r="B42" s="406" t="s">
        <v>240</v>
      </c>
      <c r="C42" s="58" t="s">
        <v>73</v>
      </c>
      <c r="D42" s="38">
        <v>49020</v>
      </c>
      <c r="E42" s="34">
        <f t="shared" si="6"/>
        <v>0</v>
      </c>
      <c r="F42" s="34">
        <v>0</v>
      </c>
      <c r="G42" s="34">
        <f t="shared" si="1"/>
        <v>49020</v>
      </c>
      <c r="H42" s="4">
        <v>700</v>
      </c>
      <c r="I42" s="4">
        <v>1</v>
      </c>
      <c r="J42" s="4" t="s">
        <v>74</v>
      </c>
      <c r="K42" s="4">
        <v>700</v>
      </c>
      <c r="L42" s="25">
        <v>45787</v>
      </c>
      <c r="M42" s="24"/>
      <c r="N42" s="24"/>
      <c r="O42" s="24"/>
      <c r="P42" s="24"/>
      <c r="Q42" s="24"/>
      <c r="R42" s="24"/>
      <c r="S42" s="24"/>
      <c r="T42" s="24">
        <f t="shared" ref="T42:T47" si="7">U42-L42</f>
        <v>143</v>
      </c>
      <c r="U42" s="25">
        <v>45930</v>
      </c>
      <c r="V42" s="60"/>
      <c r="W42" s="8">
        <v>0</v>
      </c>
      <c r="X42" s="34">
        <f t="shared" ref="X42:X47" si="8">Y42+AY42</f>
        <v>0</v>
      </c>
      <c r="Y42" s="8"/>
      <c r="Z42" s="8"/>
      <c r="AA42" s="8"/>
      <c r="AB42" s="8"/>
      <c r="AC42" s="8"/>
      <c r="AD42" s="8"/>
      <c r="AE42" s="8"/>
      <c r="AF42" s="30">
        <f t="shared" si="2"/>
        <v>0</v>
      </c>
      <c r="AG42" s="60"/>
    </row>
    <row r="43" spans="1:33">
      <c r="A43" s="405"/>
      <c r="B43" s="406"/>
      <c r="C43" s="58" t="s">
        <v>75</v>
      </c>
      <c r="D43" s="38">
        <v>23000</v>
      </c>
      <c r="E43" s="34">
        <f t="shared" si="6"/>
        <v>0</v>
      </c>
      <c r="F43" s="34">
        <v>0</v>
      </c>
      <c r="G43" s="34">
        <f t="shared" si="1"/>
        <v>23000</v>
      </c>
      <c r="H43" s="4">
        <v>700</v>
      </c>
      <c r="I43" s="24">
        <v>1</v>
      </c>
      <c r="J43" s="4" t="s">
        <v>76</v>
      </c>
      <c r="K43" s="4">
        <v>700</v>
      </c>
      <c r="L43" s="25">
        <v>45787</v>
      </c>
      <c r="M43" s="24"/>
      <c r="N43" s="24"/>
      <c r="O43" s="24"/>
      <c r="P43" s="24"/>
      <c r="Q43" s="24"/>
      <c r="R43" s="24"/>
      <c r="S43" s="24"/>
      <c r="T43" s="24">
        <f t="shared" si="7"/>
        <v>82</v>
      </c>
      <c r="U43" s="25">
        <v>45869</v>
      </c>
      <c r="V43" s="60"/>
      <c r="W43" s="8">
        <v>0</v>
      </c>
      <c r="X43" s="34">
        <f t="shared" si="8"/>
        <v>0</v>
      </c>
      <c r="Y43" s="8"/>
      <c r="Z43" s="8"/>
      <c r="AA43" s="8"/>
      <c r="AB43" s="8"/>
      <c r="AC43" s="8"/>
      <c r="AD43" s="8"/>
      <c r="AE43" s="8"/>
      <c r="AF43" s="30">
        <f t="shared" si="2"/>
        <v>0</v>
      </c>
      <c r="AG43" s="60"/>
    </row>
    <row r="44" spans="1:33" ht="15.75" customHeight="1">
      <c r="A44" s="405"/>
      <c r="B44" s="406"/>
      <c r="C44" s="58" t="s">
        <v>77</v>
      </c>
      <c r="D44" s="38">
        <v>20000</v>
      </c>
      <c r="E44" s="34">
        <f t="shared" si="6"/>
        <v>0</v>
      </c>
      <c r="F44" s="34">
        <v>0</v>
      </c>
      <c r="G44" s="34">
        <f t="shared" si="1"/>
        <v>20000</v>
      </c>
      <c r="H44" s="4">
        <v>700</v>
      </c>
      <c r="I44" s="24">
        <v>1</v>
      </c>
      <c r="J44" s="4" t="s">
        <v>78</v>
      </c>
      <c r="K44" s="4">
        <v>700</v>
      </c>
      <c r="L44" s="25">
        <v>45787</v>
      </c>
      <c r="M44" s="24"/>
      <c r="N44" s="24"/>
      <c r="O44" s="24"/>
      <c r="P44" s="24"/>
      <c r="Q44" s="24"/>
      <c r="R44" s="24"/>
      <c r="S44" s="24"/>
      <c r="T44" s="24">
        <f t="shared" si="7"/>
        <v>51</v>
      </c>
      <c r="U44" s="25">
        <v>45838</v>
      </c>
      <c r="V44" s="60"/>
      <c r="W44" s="8">
        <v>0</v>
      </c>
      <c r="X44" s="34">
        <f t="shared" si="8"/>
        <v>0</v>
      </c>
      <c r="Y44" s="8"/>
      <c r="Z44" s="8"/>
      <c r="AA44" s="8"/>
      <c r="AB44" s="8"/>
      <c r="AC44" s="8"/>
      <c r="AD44" s="8"/>
      <c r="AE44" s="8"/>
      <c r="AF44" s="30">
        <f t="shared" si="2"/>
        <v>0</v>
      </c>
      <c r="AG44" s="60"/>
    </row>
    <row r="45" spans="1:33" ht="30">
      <c r="A45" s="405"/>
      <c r="B45" s="406"/>
      <c r="C45" s="58" t="s">
        <v>79</v>
      </c>
      <c r="D45" s="38">
        <v>13578</v>
      </c>
      <c r="E45" s="34">
        <f t="shared" si="6"/>
        <v>0</v>
      </c>
      <c r="F45" s="34">
        <v>0</v>
      </c>
      <c r="G45" s="34">
        <f t="shared" si="1"/>
        <v>13578</v>
      </c>
      <c r="H45" s="4"/>
      <c r="I45" s="24">
        <v>1</v>
      </c>
      <c r="J45" s="30" t="s">
        <v>241</v>
      </c>
      <c r="K45" s="4">
        <v>700</v>
      </c>
      <c r="L45" s="25">
        <v>45833</v>
      </c>
      <c r="M45" s="24"/>
      <c r="N45" s="24"/>
      <c r="O45" s="24"/>
      <c r="P45" s="24"/>
      <c r="Q45" s="24"/>
      <c r="R45" s="24"/>
      <c r="S45" s="24"/>
      <c r="T45" s="24">
        <f t="shared" si="7"/>
        <v>67</v>
      </c>
      <c r="U45" s="25">
        <v>45900</v>
      </c>
      <c r="V45" s="60" t="s">
        <v>80</v>
      </c>
      <c r="W45" s="8">
        <v>0</v>
      </c>
      <c r="X45" s="34">
        <f t="shared" si="8"/>
        <v>0</v>
      </c>
      <c r="Y45" s="8"/>
      <c r="Z45" s="8"/>
      <c r="AA45" s="8"/>
      <c r="AB45" s="8"/>
      <c r="AC45" s="8"/>
      <c r="AD45" s="8"/>
      <c r="AE45" s="8"/>
      <c r="AF45" s="30">
        <f t="shared" si="2"/>
        <v>0</v>
      </c>
      <c r="AG45" s="60"/>
    </row>
    <row r="46" spans="1:33">
      <c r="A46" s="405"/>
      <c r="B46" s="406"/>
      <c r="C46" s="58" t="s">
        <v>81</v>
      </c>
      <c r="D46" s="38">
        <v>10299</v>
      </c>
      <c r="E46" s="34">
        <f t="shared" si="6"/>
        <v>0</v>
      </c>
      <c r="F46" s="34">
        <v>0</v>
      </c>
      <c r="G46" s="34">
        <f t="shared" si="1"/>
        <v>10299</v>
      </c>
      <c r="H46" s="4"/>
      <c r="I46" s="24">
        <v>1</v>
      </c>
      <c r="J46" s="24" t="s">
        <v>82</v>
      </c>
      <c r="K46" s="24">
        <v>700</v>
      </c>
      <c r="L46" s="25">
        <v>45787</v>
      </c>
      <c r="M46" s="24"/>
      <c r="N46" s="24"/>
      <c r="O46" s="24"/>
      <c r="P46" s="24"/>
      <c r="Q46" s="24"/>
      <c r="R46" s="24"/>
      <c r="S46" s="24"/>
      <c r="T46" s="24">
        <f t="shared" si="7"/>
        <v>36</v>
      </c>
      <c r="U46" s="25">
        <v>45823</v>
      </c>
      <c r="V46" s="60"/>
      <c r="W46" s="8">
        <v>0</v>
      </c>
      <c r="X46" s="34">
        <f t="shared" si="8"/>
        <v>0</v>
      </c>
      <c r="Y46" s="8"/>
      <c r="Z46" s="8"/>
      <c r="AA46" s="8"/>
      <c r="AB46" s="8"/>
      <c r="AC46" s="8"/>
      <c r="AD46" s="8"/>
      <c r="AE46" s="8"/>
      <c r="AF46" s="30">
        <f t="shared" si="2"/>
        <v>0</v>
      </c>
      <c r="AG46" s="60"/>
    </row>
    <row r="47" spans="1:33" ht="30">
      <c r="A47" s="405"/>
      <c r="B47" s="406"/>
      <c r="C47" s="58" t="s">
        <v>83</v>
      </c>
      <c r="D47" s="38">
        <v>664</v>
      </c>
      <c r="E47" s="34">
        <f t="shared" si="6"/>
        <v>0</v>
      </c>
      <c r="F47" s="34">
        <v>0</v>
      </c>
      <c r="G47" s="34">
        <f t="shared" si="1"/>
        <v>664</v>
      </c>
      <c r="H47" s="4"/>
      <c r="I47" s="24">
        <v>1</v>
      </c>
      <c r="J47" s="40" t="s">
        <v>242</v>
      </c>
      <c r="K47" s="24">
        <v>700</v>
      </c>
      <c r="L47" s="25">
        <v>45853</v>
      </c>
      <c r="M47" s="24"/>
      <c r="N47" s="24"/>
      <c r="O47" s="24"/>
      <c r="P47" s="24"/>
      <c r="Q47" s="24"/>
      <c r="R47" s="24"/>
      <c r="S47" s="24"/>
      <c r="T47" s="24">
        <f t="shared" si="7"/>
        <v>5</v>
      </c>
      <c r="U47" s="25">
        <v>45858</v>
      </c>
      <c r="V47" s="78" t="s">
        <v>84</v>
      </c>
      <c r="W47" s="8">
        <v>0</v>
      </c>
      <c r="X47" s="34">
        <f t="shared" si="8"/>
        <v>0</v>
      </c>
      <c r="Y47" s="8"/>
      <c r="Z47" s="8"/>
      <c r="AA47" s="8"/>
      <c r="AB47" s="8"/>
      <c r="AC47" s="8"/>
      <c r="AD47" s="8"/>
      <c r="AE47" s="8"/>
      <c r="AF47" s="30">
        <f t="shared" si="2"/>
        <v>0</v>
      </c>
      <c r="AG47" s="78"/>
    </row>
    <row r="48" spans="1:33">
      <c r="A48" s="405"/>
      <c r="B48" s="418" t="s">
        <v>25</v>
      </c>
      <c r="C48" s="418"/>
      <c r="D48" s="50">
        <f>SUM(D42:D47)</f>
        <v>116561</v>
      </c>
      <c r="E48" s="50">
        <f>SUM(E42:E47)</f>
        <v>0</v>
      </c>
      <c r="F48" s="50">
        <f>SUM(F42:F47)</f>
        <v>0</v>
      </c>
      <c r="G48" s="51">
        <f t="shared" si="1"/>
        <v>116561</v>
      </c>
      <c r="H48" s="52">
        <f>SUM(H42:H47)</f>
        <v>2100</v>
      </c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71"/>
      <c r="W48" s="54">
        <f>SUM(W42:W47)</f>
        <v>0</v>
      </c>
      <c r="X48" s="50">
        <f>SUM(X42:X47)</f>
        <v>0</v>
      </c>
      <c r="Y48" s="54"/>
      <c r="Z48" s="54"/>
      <c r="AA48" s="54"/>
      <c r="AB48" s="54"/>
      <c r="AC48" s="54"/>
      <c r="AD48" s="54"/>
      <c r="AE48" s="54"/>
      <c r="AF48" s="30">
        <f t="shared" si="2"/>
        <v>0</v>
      </c>
      <c r="AG48" s="71"/>
    </row>
    <row r="49" spans="1:33" hidden="1">
      <c r="A49" s="405"/>
      <c r="B49" s="419" t="s">
        <v>85</v>
      </c>
      <c r="C49" s="419"/>
      <c r="D49" s="419"/>
      <c r="E49" s="419"/>
      <c r="F49" s="419"/>
      <c r="G49" s="419"/>
      <c r="H49" s="79">
        <f>H6+H7+H13+H16+H19+H20+H23+H26+H27+H30+H34+H38+H39+H48</f>
        <v>20400</v>
      </c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60"/>
      <c r="W49" s="30"/>
      <c r="X49" s="30"/>
      <c r="Y49" s="30"/>
      <c r="Z49" s="30"/>
      <c r="AA49" s="30"/>
      <c r="AB49" s="30"/>
      <c r="AC49" s="30"/>
      <c r="AD49" s="30"/>
      <c r="AE49" s="30"/>
      <c r="AF49" s="30">
        <f t="shared" si="2"/>
        <v>0</v>
      </c>
      <c r="AG49" s="60"/>
    </row>
    <row r="50" spans="1:33" ht="15" customHeight="1">
      <c r="A50" s="405"/>
      <c r="B50" s="406" t="s">
        <v>239</v>
      </c>
      <c r="C50" s="57" t="s">
        <v>86</v>
      </c>
      <c r="D50" s="34">
        <v>61929</v>
      </c>
      <c r="E50" s="34">
        <f t="shared" ref="E50:E58" si="9">F50+AF50</f>
        <v>0</v>
      </c>
      <c r="F50" s="34">
        <v>0</v>
      </c>
      <c r="G50" s="34">
        <f t="shared" si="1"/>
        <v>61929</v>
      </c>
      <c r="H50" s="24">
        <v>900</v>
      </c>
      <c r="I50" s="24">
        <v>1</v>
      </c>
      <c r="J50" s="24" t="s">
        <v>87</v>
      </c>
      <c r="K50" s="24">
        <v>900</v>
      </c>
      <c r="L50" s="25">
        <v>45785</v>
      </c>
      <c r="M50" s="24"/>
      <c r="N50" s="24"/>
      <c r="O50" s="24"/>
      <c r="P50" s="24"/>
      <c r="Q50" s="24"/>
      <c r="R50" s="24"/>
      <c r="S50" s="24"/>
      <c r="T50" s="24">
        <f t="shared" ref="T50:T56" si="10">U50-L50</f>
        <v>73</v>
      </c>
      <c r="U50" s="25">
        <v>45858</v>
      </c>
      <c r="V50" s="60"/>
      <c r="W50" s="24">
        <v>0</v>
      </c>
      <c r="X50" s="34">
        <f t="shared" ref="X50:X58" si="11">Y50+AY50</f>
        <v>0</v>
      </c>
      <c r="Y50" s="24"/>
      <c r="Z50" s="24"/>
      <c r="AA50" s="24"/>
      <c r="AB50" s="24"/>
      <c r="AC50" s="24"/>
      <c r="AD50" s="24"/>
      <c r="AE50" s="24"/>
      <c r="AF50" s="30">
        <f t="shared" si="2"/>
        <v>0</v>
      </c>
      <c r="AG50" s="60"/>
    </row>
    <row r="51" spans="1:33">
      <c r="A51" s="405"/>
      <c r="B51" s="406"/>
      <c r="C51" s="57" t="s">
        <v>88</v>
      </c>
      <c r="D51" s="34">
        <v>58754</v>
      </c>
      <c r="E51" s="34">
        <f t="shared" si="9"/>
        <v>0</v>
      </c>
      <c r="F51" s="34">
        <v>0</v>
      </c>
      <c r="G51" s="34">
        <f t="shared" si="1"/>
        <v>58754</v>
      </c>
      <c r="H51" s="24">
        <v>700</v>
      </c>
      <c r="I51" s="24">
        <v>1</v>
      </c>
      <c r="J51" s="24" t="s">
        <v>89</v>
      </c>
      <c r="K51" s="24">
        <v>700</v>
      </c>
      <c r="L51" s="25">
        <v>45785</v>
      </c>
      <c r="M51" s="24"/>
      <c r="N51" s="24"/>
      <c r="O51" s="24"/>
      <c r="P51" s="24"/>
      <c r="Q51" s="24"/>
      <c r="R51" s="24"/>
      <c r="S51" s="24"/>
      <c r="T51" s="24">
        <f t="shared" si="10"/>
        <v>89</v>
      </c>
      <c r="U51" s="25">
        <v>45874</v>
      </c>
      <c r="V51" s="60"/>
      <c r="W51" s="24">
        <v>0</v>
      </c>
      <c r="X51" s="34">
        <f t="shared" si="11"/>
        <v>0</v>
      </c>
      <c r="Y51" s="24"/>
      <c r="Z51" s="24"/>
      <c r="AA51" s="24"/>
      <c r="AB51" s="24"/>
      <c r="AC51" s="24"/>
      <c r="AD51" s="24"/>
      <c r="AE51" s="24"/>
      <c r="AF51" s="30">
        <f t="shared" si="2"/>
        <v>0</v>
      </c>
      <c r="AG51" s="60"/>
    </row>
    <row r="52" spans="1:33">
      <c r="A52" s="405"/>
      <c r="B52" s="406"/>
      <c r="C52" s="57" t="s">
        <v>90</v>
      </c>
      <c r="D52" s="34">
        <v>33877</v>
      </c>
      <c r="E52" s="34">
        <f t="shared" si="9"/>
        <v>0</v>
      </c>
      <c r="F52" s="34">
        <v>0</v>
      </c>
      <c r="G52" s="34">
        <f t="shared" si="1"/>
        <v>33877</v>
      </c>
      <c r="H52" s="24">
        <v>700</v>
      </c>
      <c r="I52" s="24">
        <v>1</v>
      </c>
      <c r="J52" s="24" t="s">
        <v>91</v>
      </c>
      <c r="K52" s="24">
        <v>700</v>
      </c>
      <c r="L52" s="25">
        <v>45787</v>
      </c>
      <c r="M52" s="24"/>
      <c r="N52" s="24"/>
      <c r="O52" s="24"/>
      <c r="P52" s="24"/>
      <c r="Q52" s="24"/>
      <c r="R52" s="24"/>
      <c r="S52" s="24"/>
      <c r="T52" s="24">
        <f t="shared" si="10"/>
        <v>71</v>
      </c>
      <c r="U52" s="25">
        <v>45858</v>
      </c>
      <c r="V52" s="60"/>
      <c r="W52" s="24">
        <v>0</v>
      </c>
      <c r="X52" s="34">
        <f t="shared" si="11"/>
        <v>0</v>
      </c>
      <c r="Y52" s="24"/>
      <c r="Z52" s="24"/>
      <c r="AA52" s="24"/>
      <c r="AB52" s="24"/>
      <c r="AC52" s="24"/>
      <c r="AD52" s="24"/>
      <c r="AE52" s="24"/>
      <c r="AF52" s="30">
        <f t="shared" si="2"/>
        <v>0</v>
      </c>
      <c r="AG52" s="60"/>
    </row>
    <row r="53" spans="1:33">
      <c r="A53" s="405"/>
      <c r="B53" s="406"/>
      <c r="C53" s="57" t="s">
        <v>92</v>
      </c>
      <c r="D53" s="34">
        <v>28392</v>
      </c>
      <c r="E53" s="34">
        <f t="shared" si="9"/>
        <v>0</v>
      </c>
      <c r="F53" s="34">
        <v>0</v>
      </c>
      <c r="G53" s="34">
        <f t="shared" si="1"/>
        <v>28392</v>
      </c>
      <c r="H53" s="24">
        <v>700</v>
      </c>
      <c r="I53" s="24">
        <v>1</v>
      </c>
      <c r="J53" s="24" t="s">
        <v>93</v>
      </c>
      <c r="K53" s="24">
        <v>700</v>
      </c>
      <c r="L53" s="25">
        <v>45787</v>
      </c>
      <c r="M53" s="24"/>
      <c r="N53" s="24"/>
      <c r="O53" s="24"/>
      <c r="P53" s="24"/>
      <c r="Q53" s="24"/>
      <c r="R53" s="24"/>
      <c r="S53" s="24"/>
      <c r="T53" s="24">
        <f t="shared" si="10"/>
        <v>66</v>
      </c>
      <c r="U53" s="25">
        <v>45853</v>
      </c>
      <c r="V53" s="60"/>
      <c r="W53" s="24">
        <v>0</v>
      </c>
      <c r="X53" s="34">
        <f t="shared" si="11"/>
        <v>0</v>
      </c>
      <c r="Y53" s="24"/>
      <c r="Z53" s="24"/>
      <c r="AA53" s="24"/>
      <c r="AB53" s="24"/>
      <c r="AC53" s="24"/>
      <c r="AD53" s="24"/>
      <c r="AE53" s="24"/>
      <c r="AF53" s="30">
        <f t="shared" si="2"/>
        <v>0</v>
      </c>
      <c r="AG53" s="60"/>
    </row>
    <row r="54" spans="1:33">
      <c r="A54" s="405"/>
      <c r="B54" s="406"/>
      <c r="C54" s="57" t="s">
        <v>94</v>
      </c>
      <c r="D54" s="34">
        <v>26160</v>
      </c>
      <c r="E54" s="34">
        <f t="shared" si="9"/>
        <v>0</v>
      </c>
      <c r="F54" s="34">
        <v>0</v>
      </c>
      <c r="G54" s="34">
        <f t="shared" si="1"/>
        <v>26160</v>
      </c>
      <c r="H54" s="24">
        <v>700</v>
      </c>
      <c r="I54" s="24">
        <v>1</v>
      </c>
      <c r="J54" s="24" t="s">
        <v>95</v>
      </c>
      <c r="K54" s="24">
        <v>700</v>
      </c>
      <c r="L54" s="25">
        <v>45802</v>
      </c>
      <c r="M54" s="24"/>
      <c r="N54" s="24"/>
      <c r="O54" s="24"/>
      <c r="P54" s="24"/>
      <c r="Q54" s="24"/>
      <c r="R54" s="24"/>
      <c r="S54" s="24"/>
      <c r="T54" s="24">
        <f t="shared" si="10"/>
        <v>36</v>
      </c>
      <c r="U54" s="25">
        <v>45838</v>
      </c>
      <c r="V54" s="60"/>
      <c r="W54" s="24">
        <v>0</v>
      </c>
      <c r="X54" s="34">
        <f t="shared" si="11"/>
        <v>0</v>
      </c>
      <c r="Y54" s="24"/>
      <c r="Z54" s="24"/>
      <c r="AA54" s="24"/>
      <c r="AB54" s="24"/>
      <c r="AC54" s="24"/>
      <c r="AD54" s="24"/>
      <c r="AE54" s="24"/>
      <c r="AF54" s="30">
        <f t="shared" si="2"/>
        <v>0</v>
      </c>
      <c r="AG54" s="60"/>
    </row>
    <row r="55" spans="1:33" ht="30">
      <c r="A55" s="405"/>
      <c r="B55" s="406"/>
      <c r="C55" s="57" t="s">
        <v>96</v>
      </c>
      <c r="D55" s="34">
        <v>14459</v>
      </c>
      <c r="E55" s="34">
        <f t="shared" si="9"/>
        <v>0</v>
      </c>
      <c r="F55" s="34">
        <v>0</v>
      </c>
      <c r="G55" s="34">
        <f t="shared" si="1"/>
        <v>14459</v>
      </c>
      <c r="H55" s="24"/>
      <c r="I55" s="24"/>
      <c r="J55" s="24" t="s">
        <v>97</v>
      </c>
      <c r="K55" s="24">
        <v>900</v>
      </c>
      <c r="L55" s="25">
        <v>45868</v>
      </c>
      <c r="M55" s="24"/>
      <c r="N55" s="24"/>
      <c r="O55" s="24"/>
      <c r="P55" s="24"/>
      <c r="Q55" s="24"/>
      <c r="R55" s="24"/>
      <c r="S55" s="24"/>
      <c r="T55" s="24">
        <f t="shared" si="10"/>
        <v>20</v>
      </c>
      <c r="U55" s="25">
        <v>45888</v>
      </c>
      <c r="V55" s="60" t="s">
        <v>98</v>
      </c>
      <c r="W55" s="24">
        <v>0</v>
      </c>
      <c r="X55" s="34">
        <f t="shared" si="11"/>
        <v>0</v>
      </c>
      <c r="Y55" s="24"/>
      <c r="Z55" s="24"/>
      <c r="AA55" s="24"/>
      <c r="AB55" s="24"/>
      <c r="AC55" s="24"/>
      <c r="AD55" s="24"/>
      <c r="AE55" s="24"/>
      <c r="AF55" s="30">
        <f t="shared" si="2"/>
        <v>0</v>
      </c>
      <c r="AG55" s="60"/>
    </row>
    <row r="56" spans="1:33" ht="30">
      <c r="A56" s="405"/>
      <c r="B56" s="406"/>
      <c r="C56" s="57" t="s">
        <v>99</v>
      </c>
      <c r="D56" s="34">
        <v>11662</v>
      </c>
      <c r="E56" s="34">
        <f t="shared" si="9"/>
        <v>0</v>
      </c>
      <c r="F56" s="34">
        <v>0</v>
      </c>
      <c r="G56" s="34">
        <f t="shared" si="1"/>
        <v>11662</v>
      </c>
      <c r="H56" s="24"/>
      <c r="I56" s="24"/>
      <c r="J56" s="24" t="s">
        <v>100</v>
      </c>
      <c r="K56" s="24">
        <v>700</v>
      </c>
      <c r="L56" s="25">
        <v>45838</v>
      </c>
      <c r="M56" s="24"/>
      <c r="N56" s="24"/>
      <c r="O56" s="24"/>
      <c r="P56" s="24"/>
      <c r="Q56" s="24"/>
      <c r="R56" s="24"/>
      <c r="S56" s="24"/>
      <c r="T56" s="24">
        <f t="shared" si="10"/>
        <v>20</v>
      </c>
      <c r="U56" s="25">
        <v>45858</v>
      </c>
      <c r="V56" s="60" t="s">
        <v>101</v>
      </c>
      <c r="W56" s="24">
        <v>0</v>
      </c>
      <c r="X56" s="34">
        <f t="shared" si="11"/>
        <v>0</v>
      </c>
      <c r="Y56" s="24"/>
      <c r="Z56" s="24"/>
      <c r="AA56" s="24"/>
      <c r="AB56" s="24"/>
      <c r="AC56" s="24"/>
      <c r="AD56" s="24"/>
      <c r="AE56" s="24"/>
      <c r="AF56" s="30">
        <f t="shared" si="2"/>
        <v>0</v>
      </c>
      <c r="AG56" s="60"/>
    </row>
    <row r="57" spans="1:33" ht="30.75" customHeight="1">
      <c r="A57" s="405"/>
      <c r="B57" s="406"/>
      <c r="C57" s="57" t="s">
        <v>102</v>
      </c>
      <c r="D57" s="34">
        <v>1602</v>
      </c>
      <c r="E57" s="34">
        <f t="shared" si="9"/>
        <v>0</v>
      </c>
      <c r="F57" s="34">
        <v>0</v>
      </c>
      <c r="G57" s="34">
        <f t="shared" si="1"/>
        <v>1602</v>
      </c>
      <c r="H57" s="24">
        <v>0</v>
      </c>
      <c r="I57" s="24"/>
      <c r="J57" s="24" t="s">
        <v>103</v>
      </c>
      <c r="K57" s="24">
        <v>700</v>
      </c>
      <c r="L57" s="25">
        <v>45859</v>
      </c>
      <c r="M57" s="24"/>
      <c r="N57" s="24"/>
      <c r="O57" s="24"/>
      <c r="P57" s="24"/>
      <c r="Q57" s="24"/>
      <c r="R57" s="24"/>
      <c r="S57" s="24"/>
      <c r="T57" s="24">
        <v>3</v>
      </c>
      <c r="U57" s="25">
        <v>45862</v>
      </c>
      <c r="V57" s="60" t="s">
        <v>104</v>
      </c>
      <c r="W57" s="24">
        <v>0</v>
      </c>
      <c r="X57" s="34">
        <f t="shared" si="11"/>
        <v>0</v>
      </c>
      <c r="Y57" s="24"/>
      <c r="Z57" s="24"/>
      <c r="AA57" s="24"/>
      <c r="AB57" s="24"/>
      <c r="AC57" s="24"/>
      <c r="AD57" s="24"/>
      <c r="AE57" s="24"/>
      <c r="AF57" s="30">
        <f t="shared" si="2"/>
        <v>0</v>
      </c>
      <c r="AG57" s="60"/>
    </row>
    <row r="58" spans="1:33" ht="30">
      <c r="A58" s="405"/>
      <c r="B58" s="406"/>
      <c r="C58" s="57" t="s">
        <v>105</v>
      </c>
      <c r="D58" s="34">
        <v>1075</v>
      </c>
      <c r="E58" s="34">
        <f t="shared" si="9"/>
        <v>0</v>
      </c>
      <c r="F58" s="34">
        <v>0</v>
      </c>
      <c r="G58" s="34">
        <f t="shared" si="1"/>
        <v>1075</v>
      </c>
      <c r="H58" s="24">
        <v>0</v>
      </c>
      <c r="I58" s="24"/>
      <c r="J58" s="24" t="s">
        <v>106</v>
      </c>
      <c r="K58" s="24">
        <v>700</v>
      </c>
      <c r="L58" s="25">
        <v>45854</v>
      </c>
      <c r="M58" s="24"/>
      <c r="N58" s="24"/>
      <c r="O58" s="24"/>
      <c r="P58" s="24"/>
      <c r="Q58" s="24"/>
      <c r="R58" s="24"/>
      <c r="S58" s="24"/>
      <c r="T58" s="24">
        <v>2</v>
      </c>
      <c r="U58" s="25">
        <v>45856</v>
      </c>
      <c r="V58" s="60" t="s">
        <v>107</v>
      </c>
      <c r="W58" s="24">
        <v>0</v>
      </c>
      <c r="X58" s="34">
        <f t="shared" si="11"/>
        <v>0</v>
      </c>
      <c r="Y58" s="24"/>
      <c r="Z58" s="24"/>
      <c r="AA58" s="24"/>
      <c r="AB58" s="24"/>
      <c r="AC58" s="24"/>
      <c r="AD58" s="24"/>
      <c r="AE58" s="24"/>
      <c r="AF58" s="30">
        <f t="shared" si="2"/>
        <v>0</v>
      </c>
      <c r="AG58" s="60"/>
    </row>
    <row r="59" spans="1:33">
      <c r="A59" s="405"/>
      <c r="B59" s="408" t="s">
        <v>25</v>
      </c>
      <c r="C59" s="408"/>
      <c r="D59" s="51">
        <f>SUM(D50:D58)</f>
        <v>237910</v>
      </c>
      <c r="E59" s="51">
        <f>SUM(E50:E58)</f>
        <v>0</v>
      </c>
      <c r="F59" s="51">
        <f>SUM(F50:F58)</f>
        <v>0</v>
      </c>
      <c r="G59" s="51">
        <f t="shared" si="1"/>
        <v>237910</v>
      </c>
      <c r="H59" s="52">
        <f>SUM(H50:H58)</f>
        <v>3700</v>
      </c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71"/>
      <c r="W59" s="52">
        <f>SUM(W50:W58)</f>
        <v>0</v>
      </c>
      <c r="X59" s="51">
        <f>SUM(X50:X58)</f>
        <v>0</v>
      </c>
      <c r="Y59" s="52"/>
      <c r="Z59" s="52"/>
      <c r="AA59" s="52"/>
      <c r="AB59" s="52"/>
      <c r="AC59" s="52"/>
      <c r="AD59" s="52"/>
      <c r="AE59" s="52"/>
      <c r="AF59" s="30">
        <f t="shared" si="2"/>
        <v>0</v>
      </c>
      <c r="AG59" s="71"/>
    </row>
    <row r="60" spans="1:33" ht="15" customHeight="1">
      <c r="A60" s="405"/>
      <c r="B60" s="406" t="s">
        <v>238</v>
      </c>
      <c r="C60" s="57" t="s">
        <v>108</v>
      </c>
      <c r="D60" s="34">
        <v>53348</v>
      </c>
      <c r="E60" s="34">
        <f t="shared" ref="E60:E68" si="12">F60+AF60</f>
        <v>0</v>
      </c>
      <c r="F60" s="34">
        <v>0</v>
      </c>
      <c r="G60" s="34">
        <f t="shared" si="1"/>
        <v>53348</v>
      </c>
      <c r="H60" s="24">
        <v>960</v>
      </c>
      <c r="I60" s="24">
        <v>2</v>
      </c>
      <c r="J60" s="24" t="s">
        <v>109</v>
      </c>
      <c r="K60" s="24">
        <v>480</v>
      </c>
      <c r="L60" s="25">
        <v>45798</v>
      </c>
      <c r="M60" s="24" t="s">
        <v>110</v>
      </c>
      <c r="N60" s="24">
        <v>480</v>
      </c>
      <c r="O60" s="25">
        <v>45798</v>
      </c>
      <c r="P60" s="24"/>
      <c r="Q60" s="24"/>
      <c r="R60" s="24"/>
      <c r="S60" s="24"/>
      <c r="T60" s="24">
        <f>U60-L60</f>
        <v>85</v>
      </c>
      <c r="U60" s="25">
        <v>45883</v>
      </c>
      <c r="V60" s="60"/>
      <c r="W60" s="24">
        <v>0</v>
      </c>
      <c r="X60" s="34">
        <f t="shared" ref="X60:X68" si="13">Y60+AY60</f>
        <v>0</v>
      </c>
      <c r="Y60" s="24"/>
      <c r="Z60" s="24"/>
      <c r="AA60" s="24"/>
      <c r="AB60" s="24"/>
      <c r="AC60" s="24"/>
      <c r="AD60" s="24"/>
      <c r="AE60" s="24"/>
      <c r="AF60" s="30">
        <f t="shared" si="2"/>
        <v>0</v>
      </c>
      <c r="AG60" s="60"/>
    </row>
    <row r="61" spans="1:33">
      <c r="A61" s="405"/>
      <c r="B61" s="406"/>
      <c r="C61" s="57" t="s">
        <v>111</v>
      </c>
      <c r="D61" s="34">
        <v>42953</v>
      </c>
      <c r="E61" s="34">
        <f t="shared" si="12"/>
        <v>0</v>
      </c>
      <c r="F61" s="34">
        <v>0</v>
      </c>
      <c r="G61" s="34">
        <f t="shared" si="1"/>
        <v>42953</v>
      </c>
      <c r="H61" s="24">
        <v>480</v>
      </c>
      <c r="I61" s="24">
        <v>1</v>
      </c>
      <c r="J61" s="24" t="s">
        <v>112</v>
      </c>
      <c r="K61" s="24">
        <v>480</v>
      </c>
      <c r="L61" s="25">
        <v>45798</v>
      </c>
      <c r="M61" s="24"/>
      <c r="N61" s="24"/>
      <c r="O61" s="25"/>
      <c r="P61" s="24"/>
      <c r="Q61" s="24"/>
      <c r="R61" s="24"/>
      <c r="S61" s="24"/>
      <c r="T61" s="24">
        <f>U61-L61</f>
        <v>120</v>
      </c>
      <c r="U61" s="25">
        <v>45918</v>
      </c>
      <c r="V61" s="60"/>
      <c r="W61" s="24">
        <v>0</v>
      </c>
      <c r="X61" s="34">
        <f t="shared" si="13"/>
        <v>0</v>
      </c>
      <c r="Y61" s="24"/>
      <c r="Z61" s="24"/>
      <c r="AA61" s="24"/>
      <c r="AB61" s="24"/>
      <c r="AC61" s="24"/>
      <c r="AD61" s="24"/>
      <c r="AE61" s="24"/>
      <c r="AF61" s="30">
        <f t="shared" si="2"/>
        <v>0</v>
      </c>
      <c r="AG61" s="60"/>
    </row>
    <row r="62" spans="1:33">
      <c r="A62" s="405"/>
      <c r="B62" s="406"/>
      <c r="C62" s="57" t="s">
        <v>113</v>
      </c>
      <c r="D62" s="34">
        <v>41861</v>
      </c>
      <c r="E62" s="34">
        <f t="shared" si="12"/>
        <v>0</v>
      </c>
      <c r="F62" s="34">
        <v>0</v>
      </c>
      <c r="G62" s="34">
        <f t="shared" si="1"/>
        <v>41861</v>
      </c>
      <c r="H62" s="24">
        <v>960</v>
      </c>
      <c r="I62" s="24">
        <v>2</v>
      </c>
      <c r="J62" s="24" t="s">
        <v>114</v>
      </c>
      <c r="K62" s="24">
        <v>480</v>
      </c>
      <c r="L62" s="25">
        <v>45798</v>
      </c>
      <c r="M62" s="24" t="s">
        <v>115</v>
      </c>
      <c r="N62" s="24">
        <v>480</v>
      </c>
      <c r="O62" s="25">
        <v>45798</v>
      </c>
      <c r="P62" s="24"/>
      <c r="Q62" s="24"/>
      <c r="R62" s="24"/>
      <c r="S62" s="24"/>
      <c r="T62" s="24">
        <f>U62-L62</f>
        <v>73</v>
      </c>
      <c r="U62" s="25">
        <v>45871</v>
      </c>
      <c r="V62" s="60"/>
      <c r="W62" s="24">
        <v>0</v>
      </c>
      <c r="X62" s="34">
        <f t="shared" si="13"/>
        <v>0</v>
      </c>
      <c r="Y62" s="24"/>
      <c r="Z62" s="24"/>
      <c r="AA62" s="24"/>
      <c r="AB62" s="24"/>
      <c r="AC62" s="24"/>
      <c r="AD62" s="24"/>
      <c r="AE62" s="24"/>
      <c r="AF62" s="30">
        <f t="shared" si="2"/>
        <v>0</v>
      </c>
      <c r="AG62" s="60"/>
    </row>
    <row r="63" spans="1:33">
      <c r="A63" s="405"/>
      <c r="B63" s="406"/>
      <c r="C63" s="57" t="s">
        <v>116</v>
      </c>
      <c r="D63" s="34">
        <v>30258</v>
      </c>
      <c r="E63" s="34">
        <f t="shared" si="12"/>
        <v>0</v>
      </c>
      <c r="F63" s="34">
        <v>0</v>
      </c>
      <c r="G63" s="34">
        <f t="shared" si="1"/>
        <v>30258</v>
      </c>
      <c r="H63" s="24">
        <v>600</v>
      </c>
      <c r="I63" s="24">
        <v>600</v>
      </c>
      <c r="J63" s="24" t="s">
        <v>117</v>
      </c>
      <c r="K63" s="24">
        <v>600</v>
      </c>
      <c r="L63" s="25">
        <v>45792</v>
      </c>
      <c r="M63" s="24"/>
      <c r="N63" s="24"/>
      <c r="O63" s="24"/>
      <c r="P63" s="24"/>
      <c r="Q63" s="24"/>
      <c r="R63" s="24"/>
      <c r="S63" s="24"/>
      <c r="T63" s="24">
        <f>U63-L63</f>
        <v>138</v>
      </c>
      <c r="U63" s="25">
        <v>45930</v>
      </c>
      <c r="V63" s="60"/>
      <c r="W63" s="24">
        <v>0</v>
      </c>
      <c r="X63" s="34">
        <f t="shared" si="13"/>
        <v>0</v>
      </c>
      <c r="Y63" s="24"/>
      <c r="Z63" s="24"/>
      <c r="AA63" s="24"/>
      <c r="AB63" s="24"/>
      <c r="AC63" s="24"/>
      <c r="AD63" s="24"/>
      <c r="AE63" s="24"/>
      <c r="AF63" s="30">
        <f t="shared" si="2"/>
        <v>0</v>
      </c>
      <c r="AG63" s="60"/>
    </row>
    <row r="64" spans="1:33">
      <c r="A64" s="405"/>
      <c r="B64" s="406"/>
      <c r="C64" s="57" t="s">
        <v>118</v>
      </c>
      <c r="D64" s="34">
        <v>0</v>
      </c>
      <c r="E64" s="34">
        <f t="shared" si="12"/>
        <v>0</v>
      </c>
      <c r="F64" s="34">
        <v>0</v>
      </c>
      <c r="G64" s="34">
        <f t="shared" si="1"/>
        <v>0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60"/>
      <c r="W64" s="24">
        <v>0</v>
      </c>
      <c r="X64" s="34">
        <f t="shared" si="13"/>
        <v>0</v>
      </c>
      <c r="Y64" s="24"/>
      <c r="Z64" s="24"/>
      <c r="AA64" s="24"/>
      <c r="AB64" s="24"/>
      <c r="AC64" s="24"/>
      <c r="AD64" s="24"/>
      <c r="AE64" s="24"/>
      <c r="AF64" s="30">
        <f t="shared" si="2"/>
        <v>0</v>
      </c>
      <c r="AG64" s="60"/>
    </row>
    <row r="65" spans="1:33">
      <c r="A65" s="405"/>
      <c r="B65" s="406"/>
      <c r="C65" s="57" t="s">
        <v>119</v>
      </c>
      <c r="D65" s="34">
        <v>12987</v>
      </c>
      <c r="E65" s="34">
        <f t="shared" si="12"/>
        <v>0</v>
      </c>
      <c r="F65" s="34">
        <v>0</v>
      </c>
      <c r="G65" s="34">
        <f t="shared" si="1"/>
        <v>12987</v>
      </c>
      <c r="H65" s="24">
        <v>480</v>
      </c>
      <c r="I65" s="24">
        <v>1</v>
      </c>
      <c r="J65" s="24" t="s">
        <v>120</v>
      </c>
      <c r="K65" s="24">
        <v>480</v>
      </c>
      <c r="L65" s="25">
        <v>45878</v>
      </c>
      <c r="M65" s="24"/>
      <c r="N65" s="24"/>
      <c r="O65" s="24"/>
      <c r="P65" s="24"/>
      <c r="Q65" s="24"/>
      <c r="R65" s="24"/>
      <c r="S65" s="24"/>
      <c r="T65" s="24">
        <f>U65-L65</f>
        <v>37</v>
      </c>
      <c r="U65" s="25">
        <v>45915</v>
      </c>
      <c r="V65" s="60"/>
      <c r="W65" s="24">
        <v>0</v>
      </c>
      <c r="X65" s="34">
        <f t="shared" si="13"/>
        <v>0</v>
      </c>
      <c r="Y65" s="24"/>
      <c r="Z65" s="24"/>
      <c r="AA65" s="24"/>
      <c r="AB65" s="24"/>
      <c r="AC65" s="24"/>
      <c r="AD65" s="24"/>
      <c r="AE65" s="24"/>
      <c r="AF65" s="30">
        <f t="shared" si="2"/>
        <v>0</v>
      </c>
      <c r="AG65" s="60"/>
    </row>
    <row r="66" spans="1:33" ht="30">
      <c r="A66" s="405"/>
      <c r="B66" s="406"/>
      <c r="C66" s="57" t="s">
        <v>121</v>
      </c>
      <c r="D66" s="34">
        <v>5000</v>
      </c>
      <c r="E66" s="34">
        <f t="shared" si="12"/>
        <v>0</v>
      </c>
      <c r="F66" s="34">
        <v>0</v>
      </c>
      <c r="G66" s="34">
        <f t="shared" si="1"/>
        <v>5000</v>
      </c>
      <c r="H66" s="24"/>
      <c r="I66" s="24"/>
      <c r="J66" s="30" t="s">
        <v>235</v>
      </c>
      <c r="K66" s="24">
        <v>480</v>
      </c>
      <c r="L66" s="25">
        <v>45891</v>
      </c>
      <c r="M66" s="24"/>
      <c r="N66" s="24"/>
      <c r="O66" s="24"/>
      <c r="P66" s="24"/>
      <c r="Q66" s="24"/>
      <c r="R66" s="24"/>
      <c r="S66" s="24"/>
      <c r="T66" s="24">
        <f>U66-L66</f>
        <v>15</v>
      </c>
      <c r="U66" s="25">
        <v>45906</v>
      </c>
      <c r="V66" s="60"/>
      <c r="W66" s="24">
        <v>0</v>
      </c>
      <c r="X66" s="34">
        <f t="shared" si="13"/>
        <v>0</v>
      </c>
      <c r="Y66" s="24"/>
      <c r="Z66" s="24"/>
      <c r="AA66" s="24"/>
      <c r="AB66" s="24"/>
      <c r="AC66" s="24"/>
      <c r="AD66" s="24"/>
      <c r="AE66" s="24"/>
      <c r="AF66" s="30">
        <f t="shared" si="2"/>
        <v>0</v>
      </c>
      <c r="AG66" s="60"/>
    </row>
    <row r="67" spans="1:33">
      <c r="A67" s="405"/>
      <c r="B67" s="406"/>
      <c r="C67" s="57" t="s">
        <v>122</v>
      </c>
      <c r="D67" s="34">
        <v>1398</v>
      </c>
      <c r="E67" s="34">
        <f t="shared" si="12"/>
        <v>0</v>
      </c>
      <c r="F67" s="34">
        <v>0</v>
      </c>
      <c r="G67" s="34">
        <f t="shared" si="1"/>
        <v>1398</v>
      </c>
      <c r="H67" s="24">
        <v>480</v>
      </c>
      <c r="I67" s="24"/>
      <c r="J67" s="24" t="s">
        <v>115</v>
      </c>
      <c r="K67" s="24">
        <v>480</v>
      </c>
      <c r="L67" s="25">
        <v>45891</v>
      </c>
      <c r="M67" s="24"/>
      <c r="N67" s="24"/>
      <c r="O67" s="24"/>
      <c r="P67" s="24"/>
      <c r="Q67" s="24"/>
      <c r="R67" s="24"/>
      <c r="S67" s="24"/>
      <c r="T67" s="24">
        <f>U67-L67</f>
        <v>6</v>
      </c>
      <c r="U67" s="25">
        <v>45897</v>
      </c>
      <c r="V67" s="60"/>
      <c r="W67" s="24">
        <v>0</v>
      </c>
      <c r="X67" s="34">
        <f t="shared" si="13"/>
        <v>0</v>
      </c>
      <c r="Y67" s="24"/>
      <c r="Z67" s="24"/>
      <c r="AA67" s="24"/>
      <c r="AB67" s="24"/>
      <c r="AC67" s="24"/>
      <c r="AD67" s="24"/>
      <c r="AE67" s="24"/>
      <c r="AF67" s="30">
        <f t="shared" si="2"/>
        <v>0</v>
      </c>
      <c r="AG67" s="60"/>
    </row>
    <row r="68" spans="1:33" ht="30">
      <c r="A68" s="405"/>
      <c r="B68" s="406"/>
      <c r="C68" s="57" t="s">
        <v>123</v>
      </c>
      <c r="D68" s="34">
        <v>18458</v>
      </c>
      <c r="E68" s="34">
        <f t="shared" si="12"/>
        <v>0</v>
      </c>
      <c r="F68" s="34">
        <v>0</v>
      </c>
      <c r="G68" s="34">
        <f t="shared" si="1"/>
        <v>18458</v>
      </c>
      <c r="H68" s="24"/>
      <c r="I68" s="24">
        <v>1</v>
      </c>
      <c r="J68" s="30" t="s">
        <v>236</v>
      </c>
      <c r="K68" s="24">
        <v>480</v>
      </c>
      <c r="L68" s="25">
        <v>45798</v>
      </c>
      <c r="M68" s="24"/>
      <c r="N68" s="24"/>
      <c r="O68" s="24"/>
      <c r="P68" s="24"/>
      <c r="Q68" s="24"/>
      <c r="R68" s="24"/>
      <c r="S68" s="24"/>
      <c r="T68" s="24">
        <f>U68-L68</f>
        <v>60</v>
      </c>
      <c r="U68" s="25">
        <v>45858</v>
      </c>
      <c r="V68" s="60"/>
      <c r="W68" s="24">
        <v>0</v>
      </c>
      <c r="X68" s="34">
        <f t="shared" si="13"/>
        <v>0</v>
      </c>
      <c r="Y68" s="24"/>
      <c r="Z68" s="24"/>
      <c r="AA68" s="24"/>
      <c r="AB68" s="24"/>
      <c r="AC68" s="24"/>
      <c r="AD68" s="24"/>
      <c r="AE68" s="24"/>
      <c r="AF68" s="30">
        <f t="shared" si="2"/>
        <v>0</v>
      </c>
      <c r="AG68" s="60"/>
    </row>
    <row r="69" spans="1:33">
      <c r="A69" s="405"/>
      <c r="B69" s="417" t="s">
        <v>25</v>
      </c>
      <c r="C69" s="417"/>
      <c r="D69" s="51">
        <f>SUM(D60:D68)</f>
        <v>206263</v>
      </c>
      <c r="E69" s="51">
        <f>SUM(E60:E68)</f>
        <v>0</v>
      </c>
      <c r="F69" s="51">
        <f>SUM(F60:F68)</f>
        <v>0</v>
      </c>
      <c r="G69" s="51">
        <f t="shared" si="1"/>
        <v>206263</v>
      </c>
      <c r="H69" s="52">
        <f>SUM(H60:H68)</f>
        <v>3960</v>
      </c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71"/>
      <c r="W69" s="52">
        <f>SUM(W60:W68)</f>
        <v>0</v>
      </c>
      <c r="X69" s="51">
        <f>SUM(X60:X68)</f>
        <v>0</v>
      </c>
      <c r="Y69" s="52"/>
      <c r="Z69" s="52"/>
      <c r="AA69" s="52"/>
      <c r="AB69" s="52"/>
      <c r="AC69" s="52"/>
      <c r="AD69" s="52"/>
      <c r="AE69" s="52"/>
      <c r="AF69" s="30">
        <f t="shared" si="2"/>
        <v>0</v>
      </c>
      <c r="AG69" s="71"/>
    </row>
    <row r="70" spans="1:33" ht="15" customHeight="1">
      <c r="A70" s="405"/>
      <c r="B70" s="406" t="s">
        <v>237</v>
      </c>
      <c r="C70" s="56" t="s">
        <v>124</v>
      </c>
      <c r="D70" s="34">
        <v>70730</v>
      </c>
      <c r="E70" s="34">
        <f t="shared" ref="E70:E78" si="14">F70+AF70</f>
        <v>0</v>
      </c>
      <c r="F70" s="34">
        <v>0</v>
      </c>
      <c r="G70" s="34">
        <f t="shared" si="1"/>
        <v>70730</v>
      </c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60"/>
      <c r="W70" s="24">
        <v>0</v>
      </c>
      <c r="X70" s="34">
        <f t="shared" ref="X70:X78" si="15">Y70+AY70</f>
        <v>0</v>
      </c>
      <c r="Y70" s="24"/>
      <c r="Z70" s="24"/>
      <c r="AA70" s="24"/>
      <c r="AB70" s="24"/>
      <c r="AC70" s="24"/>
      <c r="AD70" s="24"/>
      <c r="AE70" s="24"/>
      <c r="AF70" s="30">
        <f t="shared" si="2"/>
        <v>0</v>
      </c>
      <c r="AG70" s="60"/>
    </row>
    <row r="71" spans="1:33">
      <c r="A71" s="405"/>
      <c r="B71" s="406"/>
      <c r="C71" s="56" t="s">
        <v>125</v>
      </c>
      <c r="D71" s="34">
        <v>94604</v>
      </c>
      <c r="E71" s="34">
        <f t="shared" si="14"/>
        <v>0</v>
      </c>
      <c r="F71" s="34">
        <v>0</v>
      </c>
      <c r="G71" s="34">
        <f t="shared" si="1"/>
        <v>94604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60"/>
      <c r="W71" s="24">
        <v>0</v>
      </c>
      <c r="X71" s="34">
        <f t="shared" si="15"/>
        <v>0</v>
      </c>
      <c r="Y71" s="24"/>
      <c r="Z71" s="24"/>
      <c r="AA71" s="24"/>
      <c r="AB71" s="24"/>
      <c r="AC71" s="24"/>
      <c r="AD71" s="24"/>
      <c r="AE71" s="24"/>
      <c r="AF71" s="30">
        <f t="shared" ref="AF71:AF79" si="16">SUM(X71:AE71)</f>
        <v>0</v>
      </c>
      <c r="AG71" s="60"/>
    </row>
    <row r="72" spans="1:33">
      <c r="A72" s="405"/>
      <c r="B72" s="406"/>
      <c r="C72" s="56" t="s">
        <v>126</v>
      </c>
      <c r="D72" s="34">
        <v>11926</v>
      </c>
      <c r="E72" s="34">
        <f t="shared" si="14"/>
        <v>0</v>
      </c>
      <c r="F72" s="34">
        <v>0</v>
      </c>
      <c r="G72" s="34">
        <f t="shared" ref="G72:G78" si="17">D72-E72</f>
        <v>11926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60"/>
      <c r="W72" s="24">
        <v>0</v>
      </c>
      <c r="X72" s="34">
        <f t="shared" si="15"/>
        <v>0</v>
      </c>
      <c r="Y72" s="24"/>
      <c r="Z72" s="24"/>
      <c r="AA72" s="24"/>
      <c r="AB72" s="24"/>
      <c r="AC72" s="24"/>
      <c r="AD72" s="24"/>
      <c r="AE72" s="24"/>
      <c r="AF72" s="30">
        <f t="shared" si="16"/>
        <v>0</v>
      </c>
      <c r="AG72" s="60"/>
    </row>
    <row r="73" spans="1:33">
      <c r="A73" s="405"/>
      <c r="B73" s="406"/>
      <c r="C73" s="56" t="s">
        <v>127</v>
      </c>
      <c r="D73" s="34">
        <v>11800</v>
      </c>
      <c r="E73" s="34">
        <f t="shared" si="14"/>
        <v>0</v>
      </c>
      <c r="F73" s="34">
        <v>0</v>
      </c>
      <c r="G73" s="34">
        <f t="shared" si="17"/>
        <v>11800</v>
      </c>
      <c r="H73" s="24"/>
      <c r="I73" s="24">
        <v>600</v>
      </c>
      <c r="J73" s="24" t="s">
        <v>128</v>
      </c>
      <c r="K73" s="24">
        <v>600</v>
      </c>
      <c r="L73" s="25">
        <v>45792</v>
      </c>
      <c r="M73" s="24"/>
      <c r="N73" s="24"/>
      <c r="O73" s="24"/>
      <c r="P73" s="24"/>
      <c r="Q73" s="24"/>
      <c r="R73" s="24"/>
      <c r="S73" s="24"/>
      <c r="T73" s="24">
        <v>65</v>
      </c>
      <c r="U73" s="25">
        <v>45930</v>
      </c>
      <c r="V73" s="60"/>
      <c r="W73" s="24">
        <v>0</v>
      </c>
      <c r="X73" s="34">
        <f t="shared" si="15"/>
        <v>0</v>
      </c>
      <c r="Y73" s="24"/>
      <c r="Z73" s="24"/>
      <c r="AA73" s="24"/>
      <c r="AB73" s="24"/>
      <c r="AC73" s="24"/>
      <c r="AD73" s="24"/>
      <c r="AE73" s="24"/>
      <c r="AF73" s="30">
        <f t="shared" si="16"/>
        <v>0</v>
      </c>
      <c r="AG73" s="60"/>
    </row>
    <row r="74" spans="1:33">
      <c r="A74" s="405"/>
      <c r="B74" s="406"/>
      <c r="C74" s="56" t="s">
        <v>129</v>
      </c>
      <c r="D74" s="34">
        <v>11244</v>
      </c>
      <c r="E74" s="34">
        <f t="shared" si="14"/>
        <v>0</v>
      </c>
      <c r="F74" s="34">
        <v>0</v>
      </c>
      <c r="G74" s="34">
        <f t="shared" si="17"/>
        <v>11244</v>
      </c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60"/>
      <c r="W74" s="24">
        <v>0</v>
      </c>
      <c r="X74" s="34">
        <f t="shared" si="15"/>
        <v>0</v>
      </c>
      <c r="Y74" s="24"/>
      <c r="Z74" s="24"/>
      <c r="AA74" s="24"/>
      <c r="AB74" s="24"/>
      <c r="AC74" s="24"/>
      <c r="AD74" s="24"/>
      <c r="AE74" s="24"/>
      <c r="AF74" s="30">
        <f t="shared" si="16"/>
        <v>0</v>
      </c>
      <c r="AG74" s="60"/>
    </row>
    <row r="75" spans="1:33">
      <c r="A75" s="405"/>
      <c r="B75" s="406"/>
      <c r="C75" s="56" t="s">
        <v>130</v>
      </c>
      <c r="D75" s="34">
        <v>10000</v>
      </c>
      <c r="E75" s="34">
        <f t="shared" si="14"/>
        <v>0</v>
      </c>
      <c r="F75" s="34">
        <v>0</v>
      </c>
      <c r="G75" s="34">
        <f t="shared" si="17"/>
        <v>10000</v>
      </c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60"/>
      <c r="W75" s="24">
        <v>0</v>
      </c>
      <c r="X75" s="34">
        <f t="shared" si="15"/>
        <v>0</v>
      </c>
      <c r="Y75" s="24"/>
      <c r="Z75" s="24"/>
      <c r="AA75" s="24"/>
      <c r="AB75" s="24"/>
      <c r="AC75" s="24"/>
      <c r="AD75" s="24"/>
      <c r="AE75" s="24"/>
      <c r="AF75" s="30">
        <f t="shared" si="16"/>
        <v>0</v>
      </c>
      <c r="AG75" s="60"/>
    </row>
    <row r="76" spans="1:33">
      <c r="A76" s="405"/>
      <c r="B76" s="406"/>
      <c r="C76" s="59" t="s">
        <v>131</v>
      </c>
      <c r="D76" s="34">
        <v>4916</v>
      </c>
      <c r="E76" s="34">
        <f t="shared" si="14"/>
        <v>0</v>
      </c>
      <c r="F76" s="34">
        <v>0</v>
      </c>
      <c r="G76" s="34">
        <f t="shared" si="17"/>
        <v>4916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60"/>
      <c r="W76" s="24">
        <v>0</v>
      </c>
      <c r="X76" s="34">
        <f t="shared" si="15"/>
        <v>0</v>
      </c>
      <c r="Y76" s="24"/>
      <c r="Z76" s="24"/>
      <c r="AA76" s="24"/>
      <c r="AB76" s="24"/>
      <c r="AC76" s="24"/>
      <c r="AD76" s="24"/>
      <c r="AE76" s="24"/>
      <c r="AF76" s="30">
        <f t="shared" si="16"/>
        <v>0</v>
      </c>
      <c r="AG76" s="60"/>
    </row>
    <row r="77" spans="1:33">
      <c r="A77" s="405"/>
      <c r="B77" s="406"/>
      <c r="C77" s="56" t="s">
        <v>132</v>
      </c>
      <c r="D77" s="34">
        <v>2021</v>
      </c>
      <c r="E77" s="34">
        <f t="shared" si="14"/>
        <v>0</v>
      </c>
      <c r="F77" s="34">
        <v>0</v>
      </c>
      <c r="G77" s="34">
        <f t="shared" si="17"/>
        <v>2021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60"/>
      <c r="W77" s="24">
        <v>0</v>
      </c>
      <c r="X77" s="34">
        <f t="shared" si="15"/>
        <v>0</v>
      </c>
      <c r="Y77" s="24"/>
      <c r="Z77" s="24"/>
      <c r="AA77" s="24"/>
      <c r="AB77" s="24"/>
      <c r="AC77" s="24"/>
      <c r="AD77" s="24"/>
      <c r="AE77" s="24"/>
      <c r="AF77" s="30">
        <f t="shared" si="16"/>
        <v>0</v>
      </c>
      <c r="AG77" s="60"/>
    </row>
    <row r="78" spans="1:33">
      <c r="A78" s="405"/>
      <c r="B78" s="406"/>
      <c r="C78" s="56" t="s">
        <v>133</v>
      </c>
      <c r="D78" s="34">
        <v>1763</v>
      </c>
      <c r="E78" s="34">
        <f t="shared" si="14"/>
        <v>0</v>
      </c>
      <c r="F78" s="34">
        <v>0</v>
      </c>
      <c r="G78" s="34">
        <f t="shared" si="17"/>
        <v>1763</v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60"/>
      <c r="W78" s="24">
        <v>0</v>
      </c>
      <c r="X78" s="34">
        <f t="shared" si="15"/>
        <v>0</v>
      </c>
      <c r="Y78" s="24"/>
      <c r="Z78" s="24"/>
      <c r="AA78" s="24"/>
      <c r="AB78" s="24"/>
      <c r="AC78" s="24"/>
      <c r="AD78" s="24"/>
      <c r="AE78" s="24"/>
      <c r="AF78" s="30">
        <f t="shared" si="16"/>
        <v>0</v>
      </c>
      <c r="AG78" s="60"/>
    </row>
    <row r="79" spans="1:33">
      <c r="A79" s="405"/>
      <c r="B79" s="408" t="s">
        <v>25</v>
      </c>
      <c r="C79" s="408"/>
      <c r="D79" s="51">
        <f>SUM(D70:D78)</f>
        <v>219004</v>
      </c>
      <c r="E79" s="51">
        <f>SUM(E70:E77)</f>
        <v>0</v>
      </c>
      <c r="F79" s="51">
        <f>SUM(F70:F77)</f>
        <v>0</v>
      </c>
      <c r="G79" s="51">
        <f>SUM(G70:G77)</f>
        <v>217241</v>
      </c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71"/>
      <c r="W79" s="52">
        <f>SUM(W70:W77)</f>
        <v>0</v>
      </c>
      <c r="X79" s="51">
        <f>SUM(X70:X77)</f>
        <v>0</v>
      </c>
      <c r="Y79" s="52"/>
      <c r="Z79" s="52"/>
      <c r="AA79" s="52"/>
      <c r="AB79" s="52"/>
      <c r="AC79" s="52"/>
      <c r="AD79" s="52"/>
      <c r="AE79" s="52"/>
      <c r="AF79" s="30">
        <f t="shared" si="16"/>
        <v>0</v>
      </c>
      <c r="AG79" s="71"/>
    </row>
    <row r="80" spans="1:33">
      <c r="A80" s="405"/>
      <c r="B80" s="412" t="s">
        <v>25</v>
      </c>
      <c r="C80" s="412"/>
      <c r="D80" s="80">
        <f>SUM(D79,D69,D59,D48,D41,D38,D37,D33,D29,D26,D25,D22,D19,D18,D15,D12,D6)</f>
        <v>2173358.88</v>
      </c>
      <c r="E80" s="80">
        <f>SUM(E79,E69,E59,E48,E41,E38,E37,E33,E29,E26,E25,E22,E19,E18,E15,E12,E6)</f>
        <v>15104.61</v>
      </c>
      <c r="F80" s="80">
        <f>SUM(F79,F69,F59,F48,F41,F38,F37,F33,F29,F26,F25,F22,F19,F18,F15,F12,F6)</f>
        <v>14826.35</v>
      </c>
      <c r="G80" s="80">
        <f>SUM(G79,G69,G59,G48,G41,G38,G37,G33,G29,G26,G25,G22,G19,G18,G15,G12,G6)</f>
        <v>2156491.27</v>
      </c>
      <c r="H80" s="81">
        <f t="shared" ref="H80:W80" si="18">SUM(H79,H69,H59,H48,H41,H38,H37,H33,H29,H26,H25,H22,H19,H18,H15,H12,H6)</f>
        <v>18160</v>
      </c>
      <c r="I80" s="81">
        <f t="shared" si="18"/>
        <v>8</v>
      </c>
      <c r="J80" s="81">
        <f t="shared" si="18"/>
        <v>0</v>
      </c>
      <c r="K80" s="81">
        <f t="shared" si="18"/>
        <v>3200</v>
      </c>
      <c r="L80" s="81">
        <f t="shared" si="18"/>
        <v>183130</v>
      </c>
      <c r="M80" s="81">
        <f t="shared" si="18"/>
        <v>0</v>
      </c>
      <c r="N80" s="81">
        <f t="shared" si="18"/>
        <v>3000</v>
      </c>
      <c r="O80" s="81">
        <f t="shared" si="18"/>
        <v>137409</v>
      </c>
      <c r="P80" s="81">
        <f t="shared" si="18"/>
        <v>0</v>
      </c>
      <c r="Q80" s="81">
        <f t="shared" si="18"/>
        <v>2200</v>
      </c>
      <c r="R80" s="81">
        <f t="shared" si="18"/>
        <v>91570</v>
      </c>
      <c r="S80" s="81">
        <f t="shared" si="18"/>
        <v>0</v>
      </c>
      <c r="T80" s="81">
        <f t="shared" si="18"/>
        <v>590</v>
      </c>
      <c r="U80" s="81">
        <f t="shared" si="18"/>
        <v>183720</v>
      </c>
      <c r="V80" s="82">
        <f t="shared" si="18"/>
        <v>0</v>
      </c>
      <c r="W80" s="81">
        <f t="shared" si="18"/>
        <v>280.18</v>
      </c>
      <c r="X80" s="80">
        <f>SUM(X79,X69,X59,X48,X41,X38,X37,X33,X29,X26,X25,X22,X19,X18,X15,X12,X6)</f>
        <v>278.26000000000005</v>
      </c>
      <c r="Y80" s="81"/>
      <c r="Z80" s="81"/>
      <c r="AA80" s="81"/>
      <c r="AB80" s="81"/>
      <c r="AC80" s="81"/>
      <c r="AD80" s="81"/>
      <c r="AE80" s="81"/>
      <c r="AF80" s="81">
        <f t="shared" ref="AF80:AG80" si="19">SUM(AF79,AF69,AF59,AF48,AF41,AF38,AF37,AF33,AF29,AF26,AF25,AF22,AF19,AF18,AF15,AF12,AF6)</f>
        <v>278.26000000000005</v>
      </c>
      <c r="AG80" s="82">
        <f t="shared" si="19"/>
        <v>0</v>
      </c>
    </row>
    <row r="81" spans="2:33">
      <c r="B81" s="409"/>
      <c r="C81" s="409"/>
      <c r="D81" s="409"/>
      <c r="E81" s="409"/>
      <c r="F81" s="409"/>
      <c r="G81" s="409"/>
      <c r="H81" s="409"/>
      <c r="I81" s="409"/>
      <c r="J81" s="409"/>
      <c r="K81" s="409"/>
      <c r="L81" s="409"/>
      <c r="M81" s="409"/>
      <c r="N81" s="409"/>
      <c r="O81" s="409"/>
      <c r="P81" s="409"/>
      <c r="Q81" s="409"/>
      <c r="R81" s="409"/>
      <c r="S81" s="409"/>
      <c r="T81" s="409"/>
      <c r="U81" s="409"/>
      <c r="V81" s="409"/>
      <c r="W81" s="409"/>
      <c r="X81" s="409"/>
      <c r="Y81" s="409"/>
      <c r="Z81" s="409"/>
      <c r="AA81" s="409"/>
      <c r="AB81" s="409"/>
      <c r="AC81" s="409"/>
      <c r="AD81" s="409"/>
      <c r="AE81" s="409"/>
      <c r="AF81" s="409"/>
      <c r="AG81" s="409"/>
    </row>
    <row r="82" spans="2:33">
      <c r="B82" s="414" t="s">
        <v>314</v>
      </c>
      <c r="C82" s="61" t="s">
        <v>301</v>
      </c>
      <c r="D82" s="62">
        <v>8718.59</v>
      </c>
      <c r="E82" s="63">
        <f t="shared" ref="E82:E109" si="20">F82+AF82</f>
        <v>8718.59</v>
      </c>
      <c r="F82" s="64">
        <v>8718.59</v>
      </c>
      <c r="G82" s="63">
        <f t="shared" ref="G82" si="21">D82-E82</f>
        <v>0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60"/>
      <c r="W82" s="24">
        <v>0</v>
      </c>
      <c r="X82" s="34">
        <v>0</v>
      </c>
      <c r="Y82" s="24"/>
      <c r="Z82" s="24"/>
      <c r="AA82" s="24"/>
      <c r="AB82" s="24"/>
      <c r="AC82" s="24"/>
      <c r="AD82" s="24"/>
      <c r="AE82" s="24"/>
      <c r="AF82" s="30">
        <f t="shared" ref="AF82" si="22">SUM(X82:AE82)</f>
        <v>0</v>
      </c>
      <c r="AG82" s="60"/>
    </row>
    <row r="83" spans="2:33">
      <c r="B83" s="414"/>
      <c r="C83" s="61" t="s">
        <v>304</v>
      </c>
      <c r="D83" s="62">
        <v>8775.1299999999992</v>
      </c>
      <c r="E83" s="63">
        <f t="shared" si="20"/>
        <v>8775.1299999999992</v>
      </c>
      <c r="F83" s="64">
        <v>8775.1299999999992</v>
      </c>
      <c r="G83" s="63">
        <f t="shared" ref="G83:G109" si="23">D83-E83</f>
        <v>0</v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60"/>
      <c r="W83" s="24">
        <v>1</v>
      </c>
      <c r="X83" s="34">
        <v>0</v>
      </c>
      <c r="Y83" s="24"/>
      <c r="Z83" s="24"/>
      <c r="AA83" s="24"/>
      <c r="AB83" s="24"/>
      <c r="AC83" s="24"/>
      <c r="AD83" s="24"/>
      <c r="AE83" s="24"/>
      <c r="AF83" s="30">
        <f t="shared" ref="AF83:AF109" si="24">SUM(X83:AE83)</f>
        <v>0</v>
      </c>
      <c r="AG83" s="60"/>
    </row>
    <row r="84" spans="2:33">
      <c r="B84" s="414"/>
      <c r="C84" s="61" t="s">
        <v>37</v>
      </c>
      <c r="D84" s="62">
        <v>27910.22</v>
      </c>
      <c r="E84" s="63">
        <f t="shared" si="20"/>
        <v>27910.22</v>
      </c>
      <c r="F84" s="64">
        <v>27910.22</v>
      </c>
      <c r="G84" s="63">
        <f t="shared" si="23"/>
        <v>0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60"/>
      <c r="W84" s="24">
        <v>2</v>
      </c>
      <c r="X84" s="34">
        <v>0</v>
      </c>
      <c r="Y84" s="24"/>
      <c r="Z84" s="24"/>
      <c r="AA84" s="24"/>
      <c r="AB84" s="24"/>
      <c r="AC84" s="24"/>
      <c r="AD84" s="24"/>
      <c r="AE84" s="24"/>
      <c r="AF84" s="30">
        <f t="shared" si="24"/>
        <v>0</v>
      </c>
      <c r="AG84" s="60"/>
    </row>
    <row r="85" spans="2:33">
      <c r="B85" s="414"/>
      <c r="C85" s="61" t="s">
        <v>305</v>
      </c>
      <c r="D85" s="62">
        <v>37207.269999999997</v>
      </c>
      <c r="E85" s="63">
        <f t="shared" si="20"/>
        <v>37207.269999999997</v>
      </c>
      <c r="F85" s="64">
        <v>37207.269999999997</v>
      </c>
      <c r="G85" s="63">
        <f t="shared" si="23"/>
        <v>0</v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60"/>
      <c r="W85" s="24">
        <v>3</v>
      </c>
      <c r="X85" s="34">
        <v>0</v>
      </c>
      <c r="Y85" s="24"/>
      <c r="Z85" s="24"/>
      <c r="AA85" s="24"/>
      <c r="AB85" s="24"/>
      <c r="AC85" s="24"/>
      <c r="AD85" s="24"/>
      <c r="AE85" s="24"/>
      <c r="AF85" s="30">
        <f t="shared" si="24"/>
        <v>0</v>
      </c>
      <c r="AG85" s="60"/>
    </row>
    <row r="86" spans="2:33">
      <c r="B86" s="414"/>
      <c r="C86" s="61" t="s">
        <v>302</v>
      </c>
      <c r="D86" s="62">
        <v>24910</v>
      </c>
      <c r="E86" s="63">
        <f t="shared" si="20"/>
        <v>24910</v>
      </c>
      <c r="F86" s="64">
        <v>24910</v>
      </c>
      <c r="G86" s="63">
        <f t="shared" si="23"/>
        <v>0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60"/>
      <c r="W86" s="24">
        <v>5</v>
      </c>
      <c r="X86" s="34">
        <f t="shared" ref="X86:X109" si="25">Y86+AY86</f>
        <v>0</v>
      </c>
      <c r="Y86" s="24"/>
      <c r="Z86" s="24"/>
      <c r="AA86" s="24"/>
      <c r="AB86" s="24"/>
      <c r="AC86" s="24"/>
      <c r="AD86" s="24"/>
      <c r="AE86" s="24"/>
      <c r="AF86" s="30">
        <f t="shared" si="24"/>
        <v>0</v>
      </c>
      <c r="AG86" s="60"/>
    </row>
    <row r="87" spans="2:33">
      <c r="B87" s="414"/>
      <c r="C87" s="61" t="s">
        <v>303</v>
      </c>
      <c r="D87" s="62">
        <v>19612</v>
      </c>
      <c r="E87" s="63">
        <f t="shared" si="20"/>
        <v>19612</v>
      </c>
      <c r="F87" s="64">
        <v>19612</v>
      </c>
      <c r="G87" s="63">
        <f t="shared" si="23"/>
        <v>0</v>
      </c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60"/>
      <c r="W87" s="24">
        <v>6</v>
      </c>
      <c r="X87" s="34">
        <f t="shared" si="25"/>
        <v>0</v>
      </c>
      <c r="Y87" s="24"/>
      <c r="Z87" s="24"/>
      <c r="AA87" s="24"/>
      <c r="AB87" s="24"/>
      <c r="AC87" s="24"/>
      <c r="AD87" s="24"/>
      <c r="AE87" s="24"/>
      <c r="AF87" s="30">
        <f t="shared" si="24"/>
        <v>0</v>
      </c>
      <c r="AG87" s="60"/>
    </row>
    <row r="88" spans="2:33">
      <c r="B88" s="414"/>
      <c r="C88" s="61" t="s">
        <v>280</v>
      </c>
      <c r="D88" s="62">
        <v>12828.999999999998</v>
      </c>
      <c r="E88" s="63">
        <f t="shared" si="20"/>
        <v>12828.999999999998</v>
      </c>
      <c r="F88" s="64">
        <v>12828.999999999998</v>
      </c>
      <c r="G88" s="63">
        <f t="shared" si="23"/>
        <v>0</v>
      </c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60"/>
      <c r="W88" s="24">
        <v>7</v>
      </c>
      <c r="X88" s="34">
        <f t="shared" si="25"/>
        <v>0</v>
      </c>
      <c r="Y88" s="24"/>
      <c r="Z88" s="24"/>
      <c r="AA88" s="24"/>
      <c r="AB88" s="24"/>
      <c r="AC88" s="24"/>
      <c r="AD88" s="24"/>
      <c r="AE88" s="24"/>
      <c r="AF88" s="30">
        <f t="shared" si="24"/>
        <v>0</v>
      </c>
      <c r="AG88" s="60"/>
    </row>
    <row r="89" spans="2:33">
      <c r="B89" s="414"/>
      <c r="C89" s="61" t="s">
        <v>306</v>
      </c>
      <c r="D89" s="62">
        <v>74206</v>
      </c>
      <c r="E89" s="63">
        <f t="shared" si="20"/>
        <v>74206</v>
      </c>
      <c r="F89" s="64">
        <v>74206</v>
      </c>
      <c r="G89" s="63">
        <f t="shared" si="23"/>
        <v>0</v>
      </c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60"/>
      <c r="W89" s="24">
        <v>8</v>
      </c>
      <c r="X89" s="34">
        <f t="shared" si="25"/>
        <v>0</v>
      </c>
      <c r="Y89" s="24"/>
      <c r="Z89" s="24"/>
      <c r="AA89" s="24"/>
      <c r="AB89" s="24"/>
      <c r="AC89" s="24"/>
      <c r="AD89" s="24"/>
      <c r="AE89" s="24"/>
      <c r="AF89" s="30">
        <f t="shared" si="24"/>
        <v>0</v>
      </c>
      <c r="AG89" s="60"/>
    </row>
    <row r="90" spans="2:33">
      <c r="B90" s="414"/>
      <c r="C90" s="61" t="s">
        <v>282</v>
      </c>
      <c r="D90" s="62">
        <v>22097.82</v>
      </c>
      <c r="E90" s="63">
        <f t="shared" si="20"/>
        <v>22097.82</v>
      </c>
      <c r="F90" s="64">
        <v>22097.82</v>
      </c>
      <c r="G90" s="63">
        <f t="shared" si="23"/>
        <v>0</v>
      </c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60"/>
      <c r="W90" s="24">
        <v>9</v>
      </c>
      <c r="X90" s="34">
        <f t="shared" si="25"/>
        <v>0</v>
      </c>
      <c r="Y90" s="24"/>
      <c r="Z90" s="24"/>
      <c r="AA90" s="24"/>
      <c r="AB90" s="24"/>
      <c r="AC90" s="24"/>
      <c r="AD90" s="24"/>
      <c r="AE90" s="24"/>
      <c r="AF90" s="30">
        <f t="shared" si="24"/>
        <v>0</v>
      </c>
      <c r="AG90" s="60"/>
    </row>
    <row r="91" spans="2:33">
      <c r="B91" s="414"/>
      <c r="C91" s="61" t="s">
        <v>307</v>
      </c>
      <c r="D91" s="62">
        <v>15994.68</v>
      </c>
      <c r="E91" s="63">
        <f t="shared" si="20"/>
        <v>15994.68</v>
      </c>
      <c r="F91" s="64">
        <v>15994.68</v>
      </c>
      <c r="G91" s="63">
        <f t="shared" si="23"/>
        <v>0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60"/>
      <c r="W91" s="24">
        <v>10</v>
      </c>
      <c r="X91" s="34">
        <f t="shared" si="25"/>
        <v>0</v>
      </c>
      <c r="Y91" s="24"/>
      <c r="Z91" s="24"/>
      <c r="AA91" s="24"/>
      <c r="AB91" s="24"/>
      <c r="AC91" s="24"/>
      <c r="AD91" s="24"/>
      <c r="AE91" s="24"/>
      <c r="AF91" s="30">
        <f t="shared" si="24"/>
        <v>0</v>
      </c>
      <c r="AG91" s="60"/>
    </row>
    <row r="92" spans="2:33">
      <c r="B92" s="414"/>
      <c r="C92" s="61" t="s">
        <v>66</v>
      </c>
      <c r="D92" s="62">
        <v>25180.999999999996</v>
      </c>
      <c r="E92" s="63">
        <f t="shared" si="20"/>
        <v>25180.999999999996</v>
      </c>
      <c r="F92" s="64">
        <v>25180.999999999996</v>
      </c>
      <c r="G92" s="63">
        <f t="shared" si="23"/>
        <v>0</v>
      </c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60"/>
      <c r="W92" s="24">
        <v>11</v>
      </c>
      <c r="X92" s="34">
        <f t="shared" si="25"/>
        <v>0</v>
      </c>
      <c r="Y92" s="24"/>
      <c r="Z92" s="24"/>
      <c r="AA92" s="24"/>
      <c r="AB92" s="24"/>
      <c r="AC92" s="24"/>
      <c r="AD92" s="24"/>
      <c r="AE92" s="24"/>
      <c r="AF92" s="30">
        <f t="shared" si="24"/>
        <v>0</v>
      </c>
      <c r="AG92" s="60"/>
    </row>
    <row r="93" spans="2:33">
      <c r="B93" s="414"/>
      <c r="C93" s="61" t="s">
        <v>121</v>
      </c>
      <c r="D93" s="62">
        <v>4925</v>
      </c>
      <c r="E93" s="63">
        <f t="shared" si="20"/>
        <v>4925</v>
      </c>
      <c r="F93" s="64">
        <v>4925</v>
      </c>
      <c r="G93" s="63">
        <f t="shared" si="23"/>
        <v>0</v>
      </c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60"/>
      <c r="W93" s="24">
        <v>12</v>
      </c>
      <c r="X93" s="34">
        <f t="shared" si="25"/>
        <v>0</v>
      </c>
      <c r="Y93" s="24"/>
      <c r="Z93" s="24"/>
      <c r="AA93" s="24"/>
      <c r="AB93" s="24"/>
      <c r="AC93" s="24"/>
      <c r="AD93" s="24"/>
      <c r="AE93" s="24"/>
      <c r="AF93" s="30">
        <f t="shared" si="24"/>
        <v>0</v>
      </c>
      <c r="AG93" s="60"/>
    </row>
    <row r="94" spans="2:33">
      <c r="B94" s="414"/>
      <c r="C94" s="61" t="s">
        <v>308</v>
      </c>
      <c r="D94" s="62">
        <v>50000</v>
      </c>
      <c r="E94" s="63">
        <f t="shared" si="20"/>
        <v>50000</v>
      </c>
      <c r="F94" s="64">
        <v>50000</v>
      </c>
      <c r="G94" s="63">
        <f t="shared" si="23"/>
        <v>0</v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60"/>
      <c r="W94" s="24">
        <v>13</v>
      </c>
      <c r="X94" s="34">
        <f t="shared" si="25"/>
        <v>0</v>
      </c>
      <c r="Y94" s="24"/>
      <c r="Z94" s="24"/>
      <c r="AA94" s="24"/>
      <c r="AB94" s="24"/>
      <c r="AC94" s="24"/>
      <c r="AD94" s="24"/>
      <c r="AE94" s="24"/>
      <c r="AF94" s="30">
        <f t="shared" si="24"/>
        <v>0</v>
      </c>
      <c r="AG94" s="60"/>
    </row>
    <row r="95" spans="2:33">
      <c r="B95" s="414"/>
      <c r="C95" s="61" t="s">
        <v>309</v>
      </c>
      <c r="D95" s="62">
        <v>20842</v>
      </c>
      <c r="E95" s="63">
        <f t="shared" si="20"/>
        <v>20842</v>
      </c>
      <c r="F95" s="64">
        <v>20842</v>
      </c>
      <c r="G95" s="63">
        <f t="shared" si="23"/>
        <v>0</v>
      </c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60"/>
      <c r="W95" s="24">
        <v>14</v>
      </c>
      <c r="X95" s="34">
        <f t="shared" si="25"/>
        <v>0</v>
      </c>
      <c r="Y95" s="24"/>
      <c r="Z95" s="24"/>
      <c r="AA95" s="24"/>
      <c r="AB95" s="24"/>
      <c r="AC95" s="24"/>
      <c r="AD95" s="24"/>
      <c r="AE95" s="24"/>
      <c r="AF95" s="30">
        <f t="shared" si="24"/>
        <v>0</v>
      </c>
      <c r="AG95" s="60"/>
    </row>
    <row r="96" spans="2:33">
      <c r="B96" s="414"/>
      <c r="C96" s="61" t="s">
        <v>279</v>
      </c>
      <c r="D96" s="62">
        <v>37786</v>
      </c>
      <c r="E96" s="63">
        <f t="shared" si="20"/>
        <v>37786</v>
      </c>
      <c r="F96" s="64">
        <v>37786</v>
      </c>
      <c r="G96" s="63">
        <f t="shared" si="23"/>
        <v>0</v>
      </c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60"/>
      <c r="W96" s="24">
        <v>15</v>
      </c>
      <c r="X96" s="34">
        <f t="shared" si="25"/>
        <v>0</v>
      </c>
      <c r="Y96" s="24"/>
      <c r="Z96" s="24"/>
      <c r="AA96" s="24"/>
      <c r="AB96" s="24"/>
      <c r="AC96" s="24"/>
      <c r="AD96" s="24"/>
      <c r="AE96" s="24"/>
      <c r="AF96" s="30">
        <f t="shared" si="24"/>
        <v>0</v>
      </c>
      <c r="AG96" s="60"/>
    </row>
    <row r="97" spans="2:33" ht="19.5" customHeight="1">
      <c r="B97" s="414"/>
      <c r="C97" s="56" t="s">
        <v>281</v>
      </c>
      <c r="D97" s="63">
        <v>14710.999999999998</v>
      </c>
      <c r="E97" s="63">
        <f t="shared" si="20"/>
        <v>11983</v>
      </c>
      <c r="F97" s="34">
        <v>11983</v>
      </c>
      <c r="G97" s="63">
        <f t="shared" si="23"/>
        <v>2727.9999999999982</v>
      </c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60"/>
      <c r="W97" s="24">
        <v>16</v>
      </c>
      <c r="X97" s="34">
        <f t="shared" si="25"/>
        <v>0</v>
      </c>
      <c r="Y97" s="24"/>
      <c r="Z97" s="24"/>
      <c r="AA97" s="24"/>
      <c r="AB97" s="24"/>
      <c r="AC97" s="24"/>
      <c r="AD97" s="24"/>
      <c r="AE97" s="24"/>
      <c r="AF97" s="30">
        <f t="shared" si="24"/>
        <v>0</v>
      </c>
      <c r="AG97" s="30" t="s">
        <v>315</v>
      </c>
    </row>
    <row r="98" spans="2:33">
      <c r="B98" s="414"/>
      <c r="C98" s="56" t="s">
        <v>283</v>
      </c>
      <c r="D98" s="63">
        <v>13135</v>
      </c>
      <c r="E98" s="63">
        <f t="shared" si="20"/>
        <v>9476.81</v>
      </c>
      <c r="F98" s="34">
        <v>9476.81</v>
      </c>
      <c r="G98" s="63">
        <f t="shared" si="23"/>
        <v>3658.1900000000005</v>
      </c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60"/>
      <c r="W98" s="24">
        <v>17</v>
      </c>
      <c r="X98" s="34">
        <f t="shared" si="25"/>
        <v>0</v>
      </c>
      <c r="Y98" s="24"/>
      <c r="Z98" s="24"/>
      <c r="AA98" s="24"/>
      <c r="AB98" s="24"/>
      <c r="AC98" s="24"/>
      <c r="AD98" s="24"/>
      <c r="AE98" s="24"/>
      <c r="AF98" s="30">
        <f t="shared" si="24"/>
        <v>0</v>
      </c>
      <c r="AG98" s="60"/>
    </row>
    <row r="99" spans="2:33">
      <c r="B99" s="414"/>
      <c r="C99" s="56" t="s">
        <v>287</v>
      </c>
      <c r="D99" s="63">
        <v>22142.68</v>
      </c>
      <c r="E99" s="63">
        <f t="shared" si="20"/>
        <v>4255.74</v>
      </c>
      <c r="F99" s="34">
        <v>4255.74</v>
      </c>
      <c r="G99" s="63">
        <f t="shared" si="23"/>
        <v>17886.940000000002</v>
      </c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60"/>
      <c r="W99" s="24">
        <v>18</v>
      </c>
      <c r="X99" s="34">
        <f t="shared" si="25"/>
        <v>0</v>
      </c>
      <c r="Y99" s="24"/>
      <c r="Z99" s="24"/>
      <c r="AA99" s="24"/>
      <c r="AB99" s="24"/>
      <c r="AC99" s="24"/>
      <c r="AD99" s="24"/>
      <c r="AE99" s="24"/>
      <c r="AF99" s="30">
        <f t="shared" si="24"/>
        <v>0</v>
      </c>
      <c r="AG99" s="60"/>
    </row>
    <row r="100" spans="2:33">
      <c r="B100" s="414"/>
      <c r="C100" s="56" t="s">
        <v>291</v>
      </c>
      <c r="D100" s="63">
        <v>51312</v>
      </c>
      <c r="E100" s="63">
        <f t="shared" si="20"/>
        <v>34887.4</v>
      </c>
      <c r="F100" s="34">
        <v>34493</v>
      </c>
      <c r="G100" s="63">
        <f t="shared" si="23"/>
        <v>16424.599999999999</v>
      </c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60"/>
      <c r="W100" s="24">
        <v>19</v>
      </c>
      <c r="X100" s="34">
        <v>394.4</v>
      </c>
      <c r="Y100" s="24"/>
      <c r="Z100" s="24"/>
      <c r="AA100" s="24"/>
      <c r="AB100" s="24"/>
      <c r="AC100" s="24"/>
      <c r="AD100" s="24"/>
      <c r="AE100" s="24"/>
      <c r="AF100" s="30">
        <f t="shared" si="24"/>
        <v>394.4</v>
      </c>
      <c r="AG100" s="30" t="s">
        <v>298</v>
      </c>
    </row>
    <row r="101" spans="2:33">
      <c r="B101" s="414"/>
      <c r="C101" s="56" t="s">
        <v>290</v>
      </c>
      <c r="D101" s="63">
        <v>18736</v>
      </c>
      <c r="E101" s="63">
        <f t="shared" si="20"/>
        <v>15601.44</v>
      </c>
      <c r="F101" s="34">
        <v>15601.44</v>
      </c>
      <c r="G101" s="63">
        <f t="shared" si="23"/>
        <v>3134.5599999999995</v>
      </c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60"/>
      <c r="W101" s="24">
        <v>20</v>
      </c>
      <c r="X101" s="34">
        <f t="shared" si="25"/>
        <v>0</v>
      </c>
      <c r="Y101" s="24"/>
      <c r="Z101" s="24"/>
      <c r="AA101" s="24"/>
      <c r="AB101" s="24"/>
      <c r="AC101" s="24"/>
      <c r="AD101" s="24"/>
      <c r="AE101" s="24"/>
      <c r="AF101" s="30">
        <f t="shared" si="24"/>
        <v>0</v>
      </c>
      <c r="AG101" s="60"/>
    </row>
    <row r="102" spans="2:33">
      <c r="B102" s="414"/>
      <c r="C102" s="56" t="s">
        <v>289</v>
      </c>
      <c r="D102" s="63">
        <v>8779</v>
      </c>
      <c r="E102" s="63">
        <f t="shared" si="20"/>
        <v>0</v>
      </c>
      <c r="F102" s="34">
        <v>0</v>
      </c>
      <c r="G102" s="63">
        <f t="shared" si="23"/>
        <v>8779</v>
      </c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60"/>
      <c r="W102" s="24">
        <v>21</v>
      </c>
      <c r="X102" s="34">
        <f t="shared" si="25"/>
        <v>0</v>
      </c>
      <c r="Y102" s="24"/>
      <c r="Z102" s="24"/>
      <c r="AA102" s="24"/>
      <c r="AB102" s="24"/>
      <c r="AC102" s="24"/>
      <c r="AD102" s="24"/>
      <c r="AE102" s="24"/>
      <c r="AF102" s="30">
        <f t="shared" si="24"/>
        <v>0</v>
      </c>
      <c r="AG102" s="60"/>
    </row>
    <row r="103" spans="2:33">
      <c r="B103" s="414"/>
      <c r="C103" s="56" t="s">
        <v>288</v>
      </c>
      <c r="D103" s="63">
        <v>11022</v>
      </c>
      <c r="E103" s="63">
        <f t="shared" si="20"/>
        <v>0</v>
      </c>
      <c r="F103" s="34">
        <v>0</v>
      </c>
      <c r="G103" s="63">
        <f t="shared" si="23"/>
        <v>11022</v>
      </c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60"/>
      <c r="W103" s="24">
        <v>22</v>
      </c>
      <c r="X103" s="34">
        <f t="shared" si="25"/>
        <v>0</v>
      </c>
      <c r="Y103" s="24"/>
      <c r="Z103" s="24"/>
      <c r="AA103" s="24"/>
      <c r="AB103" s="24"/>
      <c r="AC103" s="24"/>
      <c r="AD103" s="24"/>
      <c r="AE103" s="24"/>
      <c r="AF103" s="30">
        <f t="shared" si="24"/>
        <v>0</v>
      </c>
      <c r="AG103" s="60"/>
    </row>
    <row r="104" spans="2:33">
      <c r="B104" s="414"/>
      <c r="C104" s="56" t="s">
        <v>284</v>
      </c>
      <c r="D104" s="63">
        <v>11921.09</v>
      </c>
      <c r="E104" s="63">
        <f t="shared" si="20"/>
        <v>0</v>
      </c>
      <c r="F104" s="34">
        <v>0</v>
      </c>
      <c r="G104" s="63">
        <f t="shared" si="23"/>
        <v>11921.09</v>
      </c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60"/>
      <c r="W104" s="24">
        <v>23</v>
      </c>
      <c r="X104" s="34">
        <f t="shared" si="25"/>
        <v>0</v>
      </c>
      <c r="Y104" s="24"/>
      <c r="Z104" s="24"/>
      <c r="AA104" s="24"/>
      <c r="AB104" s="24"/>
      <c r="AC104" s="24"/>
      <c r="AD104" s="24"/>
      <c r="AE104" s="24"/>
      <c r="AF104" s="30">
        <f t="shared" si="24"/>
        <v>0</v>
      </c>
      <c r="AG104" s="60"/>
    </row>
    <row r="105" spans="2:33">
      <c r="B105" s="414"/>
      <c r="C105" s="56" t="s">
        <v>285</v>
      </c>
      <c r="D105" s="63">
        <v>12042</v>
      </c>
      <c r="E105" s="63">
        <f t="shared" si="20"/>
        <v>0</v>
      </c>
      <c r="F105" s="34">
        <v>0</v>
      </c>
      <c r="G105" s="63">
        <f t="shared" si="23"/>
        <v>12042</v>
      </c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60"/>
      <c r="W105" s="24">
        <v>24</v>
      </c>
      <c r="X105" s="34">
        <f t="shared" si="25"/>
        <v>0</v>
      </c>
      <c r="Y105" s="24"/>
      <c r="Z105" s="24"/>
      <c r="AA105" s="24"/>
      <c r="AB105" s="24"/>
      <c r="AC105" s="24"/>
      <c r="AD105" s="24"/>
      <c r="AE105" s="24"/>
      <c r="AF105" s="30">
        <f t="shared" si="24"/>
        <v>0</v>
      </c>
      <c r="AG105" s="60"/>
    </row>
    <row r="106" spans="2:33">
      <c r="B106" s="414"/>
      <c r="C106" s="56" t="s">
        <v>286</v>
      </c>
      <c r="D106" s="63">
        <v>6250</v>
      </c>
      <c r="E106" s="63">
        <f t="shared" si="20"/>
        <v>0</v>
      </c>
      <c r="F106" s="34">
        <v>0</v>
      </c>
      <c r="G106" s="63">
        <f t="shared" si="23"/>
        <v>6250</v>
      </c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60"/>
      <c r="W106" s="24">
        <v>25</v>
      </c>
      <c r="X106" s="34">
        <f t="shared" si="25"/>
        <v>0</v>
      </c>
      <c r="Y106" s="24"/>
      <c r="Z106" s="24"/>
      <c r="AA106" s="24"/>
      <c r="AB106" s="24"/>
      <c r="AC106" s="24"/>
      <c r="AD106" s="24"/>
      <c r="AE106" s="24"/>
      <c r="AF106" s="30">
        <f t="shared" si="24"/>
        <v>0</v>
      </c>
      <c r="AG106" s="60"/>
    </row>
    <row r="107" spans="2:33">
      <c r="B107" s="414"/>
      <c r="C107" s="56" t="s">
        <v>294</v>
      </c>
      <c r="D107" s="63">
        <v>5821</v>
      </c>
      <c r="E107" s="63">
        <f t="shared" si="20"/>
        <v>0</v>
      </c>
      <c r="F107" s="34">
        <v>0</v>
      </c>
      <c r="G107" s="63">
        <f t="shared" si="23"/>
        <v>5821</v>
      </c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60"/>
      <c r="W107" s="24">
        <v>26</v>
      </c>
      <c r="X107" s="34">
        <f t="shared" si="25"/>
        <v>0</v>
      </c>
      <c r="Y107" s="24"/>
      <c r="Z107" s="24"/>
      <c r="AA107" s="24"/>
      <c r="AB107" s="24"/>
      <c r="AC107" s="24"/>
      <c r="AD107" s="24"/>
      <c r="AE107" s="24"/>
      <c r="AF107" s="30">
        <f t="shared" si="24"/>
        <v>0</v>
      </c>
      <c r="AG107" s="60"/>
    </row>
    <row r="108" spans="2:33">
      <c r="B108" s="414"/>
      <c r="C108" s="56" t="s">
        <v>293</v>
      </c>
      <c r="D108" s="63">
        <v>7299.9999999999991</v>
      </c>
      <c r="E108" s="63">
        <f t="shared" si="20"/>
        <v>0</v>
      </c>
      <c r="F108" s="34">
        <v>0</v>
      </c>
      <c r="G108" s="63">
        <f t="shared" si="23"/>
        <v>7299.9999999999991</v>
      </c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60"/>
      <c r="W108" s="24">
        <v>27</v>
      </c>
      <c r="X108" s="34">
        <f t="shared" si="25"/>
        <v>0</v>
      </c>
      <c r="Y108" s="24"/>
      <c r="Z108" s="24"/>
      <c r="AA108" s="24"/>
      <c r="AB108" s="24"/>
      <c r="AC108" s="24"/>
      <c r="AD108" s="24"/>
      <c r="AE108" s="24"/>
      <c r="AF108" s="30">
        <f t="shared" si="24"/>
        <v>0</v>
      </c>
      <c r="AG108" s="60"/>
    </row>
    <row r="109" spans="2:33">
      <c r="B109" s="414"/>
      <c r="C109" s="56" t="s">
        <v>292</v>
      </c>
      <c r="D109" s="63">
        <v>10000</v>
      </c>
      <c r="E109" s="63">
        <f t="shared" si="20"/>
        <v>0</v>
      </c>
      <c r="F109" s="34">
        <v>0</v>
      </c>
      <c r="G109" s="63">
        <f t="shared" si="23"/>
        <v>10000</v>
      </c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60"/>
      <c r="W109" s="24">
        <v>28</v>
      </c>
      <c r="X109" s="34">
        <f t="shared" si="25"/>
        <v>0</v>
      </c>
      <c r="Y109" s="24"/>
      <c r="Z109" s="24"/>
      <c r="AA109" s="24"/>
      <c r="AB109" s="24"/>
      <c r="AC109" s="24"/>
      <c r="AD109" s="24"/>
      <c r="AE109" s="24"/>
      <c r="AF109" s="30">
        <f t="shared" si="24"/>
        <v>0</v>
      </c>
      <c r="AG109" s="60"/>
    </row>
    <row r="110" spans="2:33">
      <c r="B110" s="409" t="s">
        <v>25</v>
      </c>
      <c r="C110" s="409"/>
      <c r="D110" s="35">
        <f>SUM(D82:D109)</f>
        <v>584166.47999999986</v>
      </c>
      <c r="E110" s="83">
        <f t="shared" ref="E110:G110" si="26">SUM(E82:E109)</f>
        <v>467199.1</v>
      </c>
      <c r="F110" s="35">
        <f t="shared" si="26"/>
        <v>466804.69999999995</v>
      </c>
      <c r="G110" s="83">
        <f t="shared" si="26"/>
        <v>116967.37999999999</v>
      </c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60"/>
      <c r="W110" s="24"/>
      <c r="X110" s="83">
        <f t="shared" ref="X110" si="27">SUM(X82:X109)</f>
        <v>394.4</v>
      </c>
      <c r="Y110" s="24"/>
      <c r="Z110" s="24"/>
      <c r="AA110" s="24"/>
      <c r="AB110" s="24"/>
      <c r="AC110" s="24"/>
      <c r="AD110" s="24"/>
      <c r="AE110" s="24"/>
      <c r="AF110" s="24"/>
      <c r="AG110" s="60"/>
    </row>
    <row r="111" spans="2:33" ht="39.75" customHeight="1">
      <c r="B111" s="410" t="s">
        <v>313</v>
      </c>
      <c r="C111" s="410"/>
      <c r="D111" s="83">
        <f t="shared" ref="D111:U111" si="28">SUM(D110,D80)</f>
        <v>2757525.36</v>
      </c>
      <c r="E111" s="83">
        <f t="shared" si="28"/>
        <v>482303.70999999996</v>
      </c>
      <c r="F111" s="83">
        <f t="shared" si="28"/>
        <v>481631.04999999993</v>
      </c>
      <c r="G111" s="83">
        <f t="shared" si="28"/>
        <v>2273458.65</v>
      </c>
      <c r="H111" s="83">
        <f t="shared" si="28"/>
        <v>18160</v>
      </c>
      <c r="I111" s="83">
        <f t="shared" si="28"/>
        <v>8</v>
      </c>
      <c r="J111" s="83">
        <f t="shared" si="28"/>
        <v>0</v>
      </c>
      <c r="K111" s="83">
        <f t="shared" si="28"/>
        <v>3200</v>
      </c>
      <c r="L111" s="83">
        <f t="shared" si="28"/>
        <v>183130</v>
      </c>
      <c r="M111" s="83">
        <f t="shared" si="28"/>
        <v>0</v>
      </c>
      <c r="N111" s="83">
        <f t="shared" si="28"/>
        <v>3000</v>
      </c>
      <c r="O111" s="83">
        <f t="shared" si="28"/>
        <v>137409</v>
      </c>
      <c r="P111" s="83">
        <f t="shared" si="28"/>
        <v>0</v>
      </c>
      <c r="Q111" s="83">
        <f t="shared" si="28"/>
        <v>2200</v>
      </c>
      <c r="R111" s="83">
        <f t="shared" si="28"/>
        <v>91570</v>
      </c>
      <c r="S111" s="83">
        <f t="shared" si="28"/>
        <v>0</v>
      </c>
      <c r="T111" s="83">
        <f t="shared" si="28"/>
        <v>590</v>
      </c>
      <c r="U111" s="83">
        <f t="shared" si="28"/>
        <v>183720</v>
      </c>
      <c r="V111" s="60"/>
      <c r="W111" s="24"/>
      <c r="X111" s="83">
        <f>SUM(X110,X80)</f>
        <v>672.66000000000008</v>
      </c>
      <c r="Y111" s="24"/>
      <c r="Z111" s="24"/>
      <c r="AA111" s="24"/>
      <c r="AB111" s="24"/>
      <c r="AC111" s="24"/>
      <c r="AD111" s="24"/>
      <c r="AE111" s="24"/>
      <c r="AF111" s="24"/>
      <c r="AG111" s="60"/>
    </row>
  </sheetData>
  <mergeCells count="75">
    <mergeCell ref="B82:B109"/>
    <mergeCell ref="B110:C110"/>
    <mergeCell ref="B111:C111"/>
    <mergeCell ref="AG27:AG28"/>
    <mergeCell ref="AG20:AG21"/>
    <mergeCell ref="B59:C59"/>
    <mergeCell ref="B60:B68"/>
    <mergeCell ref="B69:C69"/>
    <mergeCell ref="B70:B78"/>
    <mergeCell ref="B79:C79"/>
    <mergeCell ref="T39:T40"/>
    <mergeCell ref="U39:U40"/>
    <mergeCell ref="B41:C41"/>
    <mergeCell ref="B42:B47"/>
    <mergeCell ref="B48:C48"/>
    <mergeCell ref="B49:G49"/>
    <mergeCell ref="AG2:AG3"/>
    <mergeCell ref="B81:AG81"/>
    <mergeCell ref="AC2:AC3"/>
    <mergeCell ref="X2:X3"/>
    <mergeCell ref="F2:F3"/>
    <mergeCell ref="Y2:Y3"/>
    <mergeCell ref="Z2:Z3"/>
    <mergeCell ref="AA2:AA3"/>
    <mergeCell ref="AB2:AB3"/>
    <mergeCell ref="AD2:AD3"/>
    <mergeCell ref="AE2:AE3"/>
    <mergeCell ref="AF2:AF3"/>
    <mergeCell ref="B80:C80"/>
    <mergeCell ref="W2:W3"/>
    <mergeCell ref="B5:W5"/>
    <mergeCell ref="B50:B58"/>
    <mergeCell ref="S39:S40"/>
    <mergeCell ref="B37:C37"/>
    <mergeCell ref="B39:B40"/>
    <mergeCell ref="H39:H40"/>
    <mergeCell ref="I39:I40"/>
    <mergeCell ref="J39:J40"/>
    <mergeCell ref="K39:K40"/>
    <mergeCell ref="L39:L40"/>
    <mergeCell ref="M39:M40"/>
    <mergeCell ref="N39:N40"/>
    <mergeCell ref="O39:O40"/>
    <mergeCell ref="P39:P40"/>
    <mergeCell ref="Q39:Q40"/>
    <mergeCell ref="R39:R40"/>
    <mergeCell ref="A6:A80"/>
    <mergeCell ref="B7:B11"/>
    <mergeCell ref="B23:B24"/>
    <mergeCell ref="B33:C33"/>
    <mergeCell ref="B34:B36"/>
    <mergeCell ref="B29:C29"/>
    <mergeCell ref="B30:B32"/>
    <mergeCell ref="B25:C25"/>
    <mergeCell ref="B27:B28"/>
    <mergeCell ref="B12:C12"/>
    <mergeCell ref="B13:B14"/>
    <mergeCell ref="B22:C22"/>
    <mergeCell ref="B18:C18"/>
    <mergeCell ref="B20:B21"/>
    <mergeCell ref="B15:C15"/>
    <mergeCell ref="B16:B17"/>
    <mergeCell ref="U2:U3"/>
    <mergeCell ref="V2:V3"/>
    <mergeCell ref="A2:A3"/>
    <mergeCell ref="B2:B3"/>
    <mergeCell ref="C2:C3"/>
    <mergeCell ref="D2:D3"/>
    <mergeCell ref="E2:E3"/>
    <mergeCell ref="G2:G3"/>
    <mergeCell ref="H2:H3"/>
    <mergeCell ref="I2:I3"/>
    <mergeCell ref="J2:R2"/>
    <mergeCell ref="S2:S3"/>
    <mergeCell ref="T2:T3"/>
  </mergeCells>
  <pageMargins left="0.70866141732283472" right="0.70866141732283472" top="0.74803149606299213" bottom="0.74803149606299213" header="0.31496062992125984" footer="0.31496062992125984"/>
  <pageSetup paperSize="9" scale="47" fitToHeight="0" orientation="landscape" r:id="rId1"/>
  <rowBreaks count="1" manualBreakCount="1">
    <brk id="4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AC19"/>
  <sheetViews>
    <sheetView topLeftCell="B1" zoomScale="60" zoomScaleNormal="60" zoomScaleSheetLayoutView="66" workbookViewId="0">
      <pane ySplit="4" topLeftCell="A5" activePane="bottomLeft" state="frozen"/>
      <selection activeCell="U15" sqref="U15"/>
      <selection pane="bottomLeft" activeCell="U15" sqref="U15"/>
    </sheetView>
  </sheetViews>
  <sheetFormatPr defaultColWidth="10.7109375" defaultRowHeight="15.75"/>
  <cols>
    <col min="1" max="1" width="9.7109375" style="135" hidden="1" customWidth="1"/>
    <col min="2" max="2" width="24.140625" style="135" customWidth="1"/>
    <col min="3" max="3" width="21.28515625" style="135" customWidth="1"/>
    <col min="4" max="4" width="10" style="135" customWidth="1"/>
    <col min="5" max="5" width="21.85546875" style="154" customWidth="1"/>
    <col min="6" max="6" width="17.28515625" style="171" customWidth="1"/>
    <col min="7" max="7" width="16.28515625" style="155" customWidth="1"/>
    <col min="8" max="8" width="17.140625" style="155" customWidth="1"/>
    <col min="9" max="9" width="18.140625" style="172" customWidth="1"/>
    <col min="10" max="10" width="14.85546875" style="135" customWidth="1"/>
    <col min="11" max="11" width="13.85546875" style="135" customWidth="1"/>
    <col min="12" max="12" width="15.140625" style="135" customWidth="1"/>
    <col min="13" max="13" width="16.42578125" style="135" customWidth="1"/>
    <col min="14" max="14" width="17.5703125" style="135" customWidth="1"/>
    <col min="15" max="15" width="16" style="135" customWidth="1"/>
    <col min="16" max="16" width="18.42578125" style="135" customWidth="1"/>
    <col min="17" max="17" width="17.85546875" style="135" customWidth="1"/>
    <col min="18" max="18" width="17.85546875" style="135" hidden="1" customWidth="1"/>
    <col min="19" max="19" width="16.85546875" style="135" hidden="1" customWidth="1"/>
    <col min="20" max="20" width="45" style="156" customWidth="1"/>
    <col min="21" max="22" width="11.85546875" style="135" hidden="1" customWidth="1"/>
    <col min="23" max="23" width="15.140625" style="135" hidden="1" customWidth="1"/>
    <col min="24" max="24" width="15.42578125" style="135" hidden="1" customWidth="1"/>
    <col min="25" max="27" width="11.85546875" style="135" hidden="1" customWidth="1"/>
    <col min="28" max="28" width="62.42578125" style="156" hidden="1" customWidth="1"/>
    <col min="29" max="29" width="20.5703125" style="135" hidden="1" customWidth="1"/>
    <col min="30" max="39" width="0" style="135" hidden="1" customWidth="1"/>
    <col min="40" max="16384" width="10.7109375" style="135"/>
  </cols>
  <sheetData>
    <row r="1" spans="1:28" ht="27.6" customHeight="1">
      <c r="A1" s="134" t="s">
        <v>452</v>
      </c>
      <c r="B1" s="373" t="s">
        <v>497</v>
      </c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5"/>
      <c r="U1" s="16"/>
      <c r="V1" s="16"/>
      <c r="W1" s="16"/>
      <c r="X1" s="16"/>
      <c r="Y1" s="16"/>
      <c r="Z1" s="16"/>
      <c r="AA1" s="16"/>
      <c r="AB1" s="100"/>
    </row>
    <row r="2" spans="1:28" ht="57.6" customHeight="1">
      <c r="A2" s="355" t="s">
        <v>1</v>
      </c>
      <c r="B2" s="390" t="s">
        <v>1</v>
      </c>
      <c r="C2" s="390" t="s">
        <v>2</v>
      </c>
      <c r="D2" s="392" t="s">
        <v>333</v>
      </c>
      <c r="E2" s="390" t="s">
        <v>3</v>
      </c>
      <c r="F2" s="397" t="s">
        <v>137</v>
      </c>
      <c r="G2" s="397" t="s">
        <v>245</v>
      </c>
      <c r="H2" s="397" t="s">
        <v>139</v>
      </c>
      <c r="I2" s="397" t="s">
        <v>250</v>
      </c>
      <c r="J2" s="363" t="s">
        <v>4</v>
      </c>
      <c r="K2" s="364" t="s">
        <v>9</v>
      </c>
      <c r="L2" s="364" t="s">
        <v>10</v>
      </c>
      <c r="M2" s="392" t="s">
        <v>11</v>
      </c>
      <c r="N2" s="363" t="s">
        <v>6</v>
      </c>
      <c r="O2" s="363" t="s">
        <v>7</v>
      </c>
      <c r="P2" s="353" t="s">
        <v>515</v>
      </c>
      <c r="Q2" s="353" t="s">
        <v>499</v>
      </c>
      <c r="R2" s="353" t="s">
        <v>500</v>
      </c>
      <c r="S2" s="364" t="s">
        <v>402</v>
      </c>
      <c r="T2" s="363" t="s">
        <v>8</v>
      </c>
      <c r="U2" s="364" t="s">
        <v>134</v>
      </c>
      <c r="V2" s="364" t="s">
        <v>272</v>
      </c>
      <c r="W2" s="364" t="s">
        <v>273</v>
      </c>
      <c r="X2" s="364" t="s">
        <v>274</v>
      </c>
      <c r="Y2" s="364" t="s">
        <v>275</v>
      </c>
      <c r="Z2" s="364" t="s">
        <v>276</v>
      </c>
      <c r="AA2" s="364" t="s">
        <v>295</v>
      </c>
      <c r="AB2" s="363" t="s">
        <v>278</v>
      </c>
    </row>
    <row r="3" spans="1:28" ht="42" customHeight="1">
      <c r="A3" s="356"/>
      <c r="B3" s="391"/>
      <c r="C3" s="391"/>
      <c r="D3" s="393"/>
      <c r="E3" s="391"/>
      <c r="F3" s="398"/>
      <c r="G3" s="398"/>
      <c r="H3" s="398"/>
      <c r="I3" s="398"/>
      <c r="J3" s="399"/>
      <c r="K3" s="365"/>
      <c r="L3" s="365"/>
      <c r="M3" s="420"/>
      <c r="N3" s="363"/>
      <c r="O3" s="363"/>
      <c r="P3" s="353"/>
      <c r="Q3" s="353"/>
      <c r="R3" s="353"/>
      <c r="S3" s="365"/>
      <c r="T3" s="363"/>
      <c r="U3" s="365"/>
      <c r="V3" s="365"/>
      <c r="W3" s="365"/>
      <c r="X3" s="365"/>
      <c r="Y3" s="365"/>
      <c r="Z3" s="365"/>
      <c r="AA3" s="365"/>
      <c r="AB3" s="363"/>
    </row>
    <row r="4" spans="1:28" ht="26.25" customHeight="1">
      <c r="A4" s="136">
        <v>1</v>
      </c>
      <c r="B4" s="136">
        <v>1</v>
      </c>
      <c r="C4" s="137">
        <v>2</v>
      </c>
      <c r="D4" s="137">
        <v>3</v>
      </c>
      <c r="E4" s="137">
        <v>4</v>
      </c>
      <c r="F4" s="166">
        <v>5</v>
      </c>
      <c r="G4" s="166">
        <v>6</v>
      </c>
      <c r="H4" s="166">
        <v>7</v>
      </c>
      <c r="I4" s="166">
        <v>8</v>
      </c>
      <c r="J4" s="137">
        <v>9</v>
      </c>
      <c r="K4" s="137">
        <v>10</v>
      </c>
      <c r="L4" s="137">
        <v>11</v>
      </c>
      <c r="M4" s="137">
        <v>12</v>
      </c>
      <c r="N4" s="137">
        <v>13</v>
      </c>
      <c r="O4" s="137">
        <v>14</v>
      </c>
      <c r="P4" s="137">
        <v>15</v>
      </c>
      <c r="Q4" s="137">
        <v>16</v>
      </c>
      <c r="R4" s="137">
        <v>16</v>
      </c>
      <c r="S4" s="137">
        <v>16</v>
      </c>
      <c r="T4" s="138">
        <v>17</v>
      </c>
      <c r="U4" s="138">
        <v>21</v>
      </c>
      <c r="V4" s="138">
        <v>24</v>
      </c>
      <c r="W4" s="138">
        <v>25</v>
      </c>
      <c r="X4" s="138"/>
      <c r="Y4" s="138">
        <v>26</v>
      </c>
      <c r="Z4" s="138">
        <v>27</v>
      </c>
      <c r="AA4" s="138">
        <v>28</v>
      </c>
      <c r="AB4" s="13">
        <v>20</v>
      </c>
    </row>
    <row r="5" spans="1:28" ht="51.75" customHeight="1">
      <c r="A5" s="139"/>
      <c r="B5" s="394" t="s">
        <v>508</v>
      </c>
      <c r="C5" s="99" t="s">
        <v>237</v>
      </c>
      <c r="D5" s="250">
        <v>1</v>
      </c>
      <c r="E5" s="238" t="s">
        <v>124</v>
      </c>
      <c r="F5" s="167">
        <v>70730</v>
      </c>
      <c r="G5" s="158">
        <v>0</v>
      </c>
      <c r="H5" s="157">
        <f t="shared" ref="H5:H13" si="0">F5-G5</f>
        <v>70730</v>
      </c>
      <c r="I5" s="162"/>
      <c r="J5" s="15"/>
      <c r="K5" s="15"/>
      <c r="L5" s="247"/>
      <c r="M5" s="15"/>
      <c r="N5" s="15"/>
      <c r="O5" s="15"/>
      <c r="P5" s="15"/>
      <c r="Q5" s="15">
        <v>0</v>
      </c>
      <c r="R5" s="15">
        <v>0</v>
      </c>
      <c r="S5" s="15"/>
      <c r="T5" s="248"/>
      <c r="U5" s="12"/>
      <c r="V5" s="12"/>
      <c r="W5" s="12"/>
      <c r="X5" s="12"/>
      <c r="Y5" s="12"/>
      <c r="Z5" s="12"/>
      <c r="AA5" s="12"/>
      <c r="AB5" s="12"/>
    </row>
    <row r="6" spans="1:28" ht="51.75" customHeight="1">
      <c r="A6" s="139"/>
      <c r="B6" s="395"/>
      <c r="C6" s="99" t="s">
        <v>237</v>
      </c>
      <c r="D6" s="250">
        <v>2</v>
      </c>
      <c r="E6" s="238" t="s">
        <v>125</v>
      </c>
      <c r="F6" s="167">
        <v>94604</v>
      </c>
      <c r="G6" s="158">
        <v>0</v>
      </c>
      <c r="H6" s="157">
        <f t="shared" si="0"/>
        <v>94604</v>
      </c>
      <c r="I6" s="162"/>
      <c r="J6" s="15"/>
      <c r="K6" s="15"/>
      <c r="L6" s="247"/>
      <c r="M6" s="15"/>
      <c r="N6" s="15"/>
      <c r="O6" s="15"/>
      <c r="P6" s="15"/>
      <c r="Q6" s="15">
        <v>0</v>
      </c>
      <c r="R6" s="15">
        <v>0</v>
      </c>
      <c r="S6" s="15"/>
      <c r="T6" s="248"/>
      <c r="U6" s="12"/>
      <c r="V6" s="12"/>
      <c r="W6" s="12"/>
      <c r="X6" s="12"/>
      <c r="Y6" s="12"/>
      <c r="Z6" s="12"/>
      <c r="AA6" s="12"/>
      <c r="AB6" s="12"/>
    </row>
    <row r="7" spans="1:28" ht="51.75" customHeight="1">
      <c r="A7" s="139"/>
      <c r="B7" s="395"/>
      <c r="C7" s="99" t="s">
        <v>237</v>
      </c>
      <c r="D7" s="250">
        <v>3</v>
      </c>
      <c r="E7" s="238" t="s">
        <v>126</v>
      </c>
      <c r="F7" s="167">
        <v>11926</v>
      </c>
      <c r="G7" s="158">
        <v>0</v>
      </c>
      <c r="H7" s="157">
        <f t="shared" si="0"/>
        <v>11926</v>
      </c>
      <c r="I7" s="161">
        <v>500</v>
      </c>
      <c r="J7" s="15">
        <v>1</v>
      </c>
      <c r="K7" s="15" t="s">
        <v>471</v>
      </c>
      <c r="L7" s="247">
        <v>500</v>
      </c>
      <c r="M7" s="15" t="s">
        <v>518</v>
      </c>
      <c r="N7" s="15">
        <v>30</v>
      </c>
      <c r="O7" s="15" t="s">
        <v>193</v>
      </c>
      <c r="P7" s="15"/>
      <c r="Q7" s="15">
        <v>0</v>
      </c>
      <c r="R7" s="15">
        <v>0</v>
      </c>
      <c r="S7" s="15"/>
      <c r="T7" s="248" t="s">
        <v>448</v>
      </c>
      <c r="U7" s="12"/>
      <c r="V7" s="12"/>
      <c r="W7" s="12"/>
      <c r="X7" s="12"/>
      <c r="Y7" s="12"/>
      <c r="Z7" s="12"/>
      <c r="AA7" s="12"/>
      <c r="AB7" s="12"/>
    </row>
    <row r="8" spans="1:28" ht="51.75" customHeight="1">
      <c r="A8" s="139"/>
      <c r="B8" s="395"/>
      <c r="C8" s="99" t="s">
        <v>237</v>
      </c>
      <c r="D8" s="250">
        <v>4</v>
      </c>
      <c r="E8" s="238" t="s">
        <v>127</v>
      </c>
      <c r="F8" s="167">
        <v>11800</v>
      </c>
      <c r="G8" s="158">
        <v>0</v>
      </c>
      <c r="H8" s="157">
        <f t="shared" si="0"/>
        <v>11800</v>
      </c>
      <c r="I8" s="161"/>
      <c r="J8" s="15"/>
      <c r="K8" s="15"/>
      <c r="L8" s="247"/>
      <c r="M8" s="15"/>
      <c r="N8" s="15"/>
      <c r="O8" s="15"/>
      <c r="P8" s="15"/>
      <c r="Q8" s="15">
        <v>0</v>
      </c>
      <c r="R8" s="15">
        <v>0</v>
      </c>
      <c r="S8" s="15"/>
      <c r="T8" s="248"/>
      <c r="U8" s="12"/>
      <c r="V8" s="12"/>
      <c r="W8" s="12"/>
      <c r="X8" s="12"/>
      <c r="Y8" s="12"/>
      <c r="Z8" s="12"/>
      <c r="AA8" s="12"/>
      <c r="AB8" s="12"/>
    </row>
    <row r="9" spans="1:28" ht="51.75" customHeight="1">
      <c r="A9" s="139"/>
      <c r="B9" s="395"/>
      <c r="C9" s="99" t="s">
        <v>237</v>
      </c>
      <c r="D9" s="250">
        <v>5</v>
      </c>
      <c r="E9" s="238" t="s">
        <v>129</v>
      </c>
      <c r="F9" s="167">
        <v>11244</v>
      </c>
      <c r="G9" s="158">
        <v>0</v>
      </c>
      <c r="H9" s="157">
        <f t="shared" si="0"/>
        <v>11244</v>
      </c>
      <c r="I9" s="162"/>
      <c r="J9" s="15"/>
      <c r="K9" s="15"/>
      <c r="L9" s="247"/>
      <c r="M9" s="15"/>
      <c r="N9" s="15"/>
      <c r="O9" s="15"/>
      <c r="P9" s="15"/>
      <c r="Q9" s="15">
        <v>0</v>
      </c>
      <c r="R9" s="15">
        <v>0</v>
      </c>
      <c r="S9" s="15"/>
      <c r="T9" s="248"/>
      <c r="U9" s="12"/>
      <c r="V9" s="12"/>
      <c r="W9" s="12"/>
      <c r="X9" s="12"/>
      <c r="Y9" s="12"/>
      <c r="Z9" s="12"/>
      <c r="AA9" s="12"/>
      <c r="AB9" s="12"/>
    </row>
    <row r="10" spans="1:28" ht="51.75" customHeight="1">
      <c r="A10" s="139"/>
      <c r="B10" s="395"/>
      <c r="C10" s="99" t="s">
        <v>237</v>
      </c>
      <c r="D10" s="250">
        <v>6</v>
      </c>
      <c r="E10" s="238" t="s">
        <v>130</v>
      </c>
      <c r="F10" s="167">
        <v>10000</v>
      </c>
      <c r="G10" s="158">
        <v>0</v>
      </c>
      <c r="H10" s="157">
        <f t="shared" si="0"/>
        <v>10000</v>
      </c>
      <c r="I10" s="162"/>
      <c r="J10" s="15"/>
      <c r="K10" s="15"/>
      <c r="L10" s="247"/>
      <c r="M10" s="15"/>
      <c r="N10" s="15"/>
      <c r="O10" s="15"/>
      <c r="P10" s="15"/>
      <c r="Q10" s="15">
        <v>0</v>
      </c>
      <c r="R10" s="15">
        <v>0</v>
      </c>
      <c r="S10" s="15"/>
      <c r="T10" s="248"/>
      <c r="U10" s="12"/>
      <c r="V10" s="12"/>
      <c r="W10" s="12"/>
      <c r="X10" s="12"/>
      <c r="Y10" s="12"/>
      <c r="Z10" s="12"/>
      <c r="AA10" s="12"/>
      <c r="AB10" s="12"/>
    </row>
    <row r="11" spans="1:28" ht="51.75" customHeight="1">
      <c r="A11" s="139"/>
      <c r="B11" s="395"/>
      <c r="C11" s="99" t="s">
        <v>237</v>
      </c>
      <c r="D11" s="250">
        <v>7</v>
      </c>
      <c r="E11" s="238" t="s">
        <v>131</v>
      </c>
      <c r="F11" s="167">
        <v>4916</v>
      </c>
      <c r="G11" s="158">
        <v>0</v>
      </c>
      <c r="H11" s="157">
        <f t="shared" si="0"/>
        <v>4916</v>
      </c>
      <c r="I11" s="162"/>
      <c r="J11" s="15"/>
      <c r="K11" s="15"/>
      <c r="L11" s="247"/>
      <c r="M11" s="15"/>
      <c r="N11" s="15"/>
      <c r="O11" s="15"/>
      <c r="P11" s="15"/>
      <c r="Q11" s="15">
        <v>0</v>
      </c>
      <c r="R11" s="15">
        <v>0</v>
      </c>
      <c r="S11" s="15"/>
      <c r="T11" s="248"/>
      <c r="U11" s="12"/>
      <c r="V11" s="12"/>
      <c r="W11" s="12"/>
      <c r="X11" s="12"/>
      <c r="Y11" s="12"/>
      <c r="Z11" s="12"/>
      <c r="AA11" s="12"/>
      <c r="AB11" s="12"/>
    </row>
    <row r="12" spans="1:28" ht="51.75" customHeight="1">
      <c r="A12" s="139"/>
      <c r="B12" s="395"/>
      <c r="C12" s="99" t="s">
        <v>237</v>
      </c>
      <c r="D12" s="250">
        <v>8</v>
      </c>
      <c r="E12" s="238" t="s">
        <v>132</v>
      </c>
      <c r="F12" s="167">
        <v>2021</v>
      </c>
      <c r="G12" s="158">
        <v>0</v>
      </c>
      <c r="H12" s="157">
        <f t="shared" si="0"/>
        <v>2021</v>
      </c>
      <c r="I12" s="162"/>
      <c r="J12" s="15"/>
      <c r="K12" s="15"/>
      <c r="L12" s="247"/>
      <c r="M12" s="15"/>
      <c r="N12" s="15"/>
      <c r="O12" s="15"/>
      <c r="P12" s="15"/>
      <c r="Q12" s="15">
        <v>0</v>
      </c>
      <c r="R12" s="15">
        <v>0</v>
      </c>
      <c r="S12" s="15"/>
      <c r="T12" s="248"/>
      <c r="U12" s="12"/>
      <c r="V12" s="12"/>
      <c r="W12" s="12"/>
      <c r="X12" s="12"/>
      <c r="Y12" s="12"/>
      <c r="Z12" s="12"/>
      <c r="AA12" s="12"/>
      <c r="AB12" s="12"/>
    </row>
    <row r="13" spans="1:28" ht="51.75" customHeight="1">
      <c r="A13" s="139"/>
      <c r="B13" s="396"/>
      <c r="C13" s="99" t="s">
        <v>237</v>
      </c>
      <c r="D13" s="250">
        <v>9</v>
      </c>
      <c r="E13" s="238" t="s">
        <v>133</v>
      </c>
      <c r="F13" s="167">
        <v>1763</v>
      </c>
      <c r="G13" s="158">
        <v>0</v>
      </c>
      <c r="H13" s="157">
        <f t="shared" si="0"/>
        <v>1763</v>
      </c>
      <c r="I13" s="162"/>
      <c r="J13" s="15"/>
      <c r="K13" s="15"/>
      <c r="L13" s="247"/>
      <c r="M13" s="15"/>
      <c r="N13" s="15"/>
      <c r="O13" s="15"/>
      <c r="P13" s="15"/>
      <c r="Q13" s="15">
        <v>0</v>
      </c>
      <c r="R13" s="15">
        <v>0</v>
      </c>
      <c r="S13" s="15"/>
      <c r="T13" s="248"/>
      <c r="U13" s="12"/>
      <c r="V13" s="12"/>
      <c r="W13" s="12"/>
      <c r="X13" s="12"/>
      <c r="Y13" s="12"/>
      <c r="Z13" s="12"/>
      <c r="AA13" s="12"/>
      <c r="AB13" s="12"/>
    </row>
    <row r="14" spans="1:28" ht="51.75" customHeight="1">
      <c r="A14" s="139"/>
      <c r="B14" s="84"/>
      <c r="C14" s="84" t="s">
        <v>25</v>
      </c>
      <c r="D14" s="217"/>
      <c r="E14" s="217"/>
      <c r="F14" s="168">
        <f>SUM(F5:F13)</f>
        <v>219004</v>
      </c>
      <c r="G14" s="168">
        <f>SUM(G5:G13)</f>
        <v>0</v>
      </c>
      <c r="H14" s="168">
        <f>SUM(H5:H13)</f>
        <v>219004</v>
      </c>
      <c r="I14" s="168"/>
      <c r="J14" s="217">
        <f>SUM(J5:J13)</f>
        <v>1</v>
      </c>
      <c r="K14" s="217"/>
      <c r="L14" s="254"/>
      <c r="M14" s="217"/>
      <c r="N14" s="217"/>
      <c r="O14" s="217"/>
      <c r="P14" s="217"/>
      <c r="Q14" s="217">
        <f>SUM(Q5:Q13)</f>
        <v>0</v>
      </c>
      <c r="R14" s="217">
        <f>SUM(R5:R13)</f>
        <v>0</v>
      </c>
      <c r="S14" s="217"/>
      <c r="T14" s="255"/>
      <c r="U14" s="12"/>
      <c r="V14" s="84"/>
      <c r="W14" s="84"/>
      <c r="X14" s="84"/>
      <c r="Y14" s="84"/>
      <c r="Z14" s="84"/>
      <c r="AA14" s="84"/>
      <c r="AB14" s="98"/>
    </row>
    <row r="15" spans="1:28" ht="33" customHeight="1"/>
    <row r="16" spans="1:28" ht="33" customHeight="1"/>
    <row r="17" ht="33" customHeight="1"/>
    <row r="18" ht="33" customHeight="1"/>
    <row r="19" ht="33" customHeight="1"/>
  </sheetData>
  <mergeCells count="30">
    <mergeCell ref="R2:R3"/>
    <mergeCell ref="B1:T1"/>
    <mergeCell ref="F2:F3"/>
    <mergeCell ref="A2:A3"/>
    <mergeCell ref="B2:B3"/>
    <mergeCell ref="C2:C3"/>
    <mergeCell ref="D2:D3"/>
    <mergeCell ref="E2:E3"/>
    <mergeCell ref="H2:H3"/>
    <mergeCell ref="I2:I3"/>
    <mergeCell ref="J2:J3"/>
    <mergeCell ref="K2:K3"/>
    <mergeCell ref="L2:L3"/>
    <mergeCell ref="P2:P3"/>
    <mergeCell ref="B5:B13"/>
    <mergeCell ref="AA2:AA3"/>
    <mergeCell ref="AB2:AB3"/>
    <mergeCell ref="U2:U3"/>
    <mergeCell ref="V2:V3"/>
    <mergeCell ref="W2:W3"/>
    <mergeCell ref="X2:X3"/>
    <mergeCell ref="Y2:Y3"/>
    <mergeCell ref="Z2:Z3"/>
    <mergeCell ref="M2:M3"/>
    <mergeCell ref="N2:N3"/>
    <mergeCell ref="O2:O3"/>
    <mergeCell ref="Q2:Q3"/>
    <mergeCell ref="S2:S3"/>
    <mergeCell ref="T2:T3"/>
    <mergeCell ref="G2:G3"/>
  </mergeCells>
  <printOptions horizontalCentered="1"/>
  <pageMargins left="0.19685039370078741" right="0.31496062992125984" top="0.74803149606299213" bottom="0.55118110236220474" header="0.31496062992125984" footer="0.31496062992125984"/>
  <pageSetup paperSize="9" scale="41" fitToHeight="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29"/>
  <sheetViews>
    <sheetView topLeftCell="B1" zoomScale="60" zoomScaleNormal="60" zoomScaleSheetLayoutView="66" workbookViewId="0">
      <pane ySplit="4" topLeftCell="A5" activePane="bottomLeft" state="frozen"/>
      <selection activeCell="U15" sqref="U15"/>
      <selection pane="bottomLeft" activeCell="U15" sqref="U15"/>
    </sheetView>
  </sheetViews>
  <sheetFormatPr defaultColWidth="10.7109375" defaultRowHeight="15.75"/>
  <cols>
    <col min="1" max="1" width="9.7109375" style="135" hidden="1" customWidth="1"/>
    <col min="2" max="2" width="24.140625" style="135" customWidth="1"/>
    <col min="3" max="3" width="21.28515625" style="135" customWidth="1"/>
    <col min="4" max="4" width="10" style="135" customWidth="1"/>
    <col min="5" max="5" width="21.85546875" style="154" customWidth="1"/>
    <col min="6" max="6" width="17.28515625" style="171" customWidth="1"/>
    <col min="7" max="7" width="16.28515625" style="155" customWidth="1"/>
    <col min="8" max="8" width="17.140625" style="155" customWidth="1"/>
    <col min="9" max="9" width="18.140625" style="172" customWidth="1"/>
    <col min="10" max="10" width="14.85546875" style="135" customWidth="1"/>
    <col min="11" max="11" width="13.85546875" style="135" customWidth="1"/>
    <col min="12" max="12" width="15.140625" style="135" customWidth="1"/>
    <col min="13" max="13" width="16.42578125" style="295" customWidth="1"/>
    <col min="14" max="14" width="17.5703125" style="135" customWidth="1"/>
    <col min="15" max="15" width="16" style="295" customWidth="1"/>
    <col min="16" max="16" width="17" style="295" customWidth="1"/>
    <col min="17" max="17" width="17.85546875" style="135" customWidth="1"/>
    <col min="18" max="18" width="17.85546875" style="135" hidden="1" customWidth="1"/>
    <col min="19" max="19" width="16.85546875" style="135" hidden="1" customWidth="1"/>
    <col min="20" max="20" width="45" style="156" customWidth="1"/>
    <col min="21" max="22" width="11.85546875" style="135" hidden="1" customWidth="1"/>
    <col min="23" max="23" width="15.140625" style="135" hidden="1" customWidth="1"/>
    <col min="24" max="24" width="15.42578125" style="135" hidden="1" customWidth="1"/>
    <col min="25" max="27" width="11.85546875" style="135" hidden="1" customWidth="1"/>
    <col min="28" max="28" width="62.42578125" style="156" hidden="1" customWidth="1"/>
    <col min="29" max="29" width="20.5703125" style="135" hidden="1" customWidth="1"/>
    <col min="30" max="39" width="0" style="135" hidden="1" customWidth="1"/>
    <col min="40" max="16384" width="10.7109375" style="135"/>
  </cols>
  <sheetData>
    <row r="1" spans="1:28" ht="27.6" customHeight="1">
      <c r="A1" s="134" t="s">
        <v>452</v>
      </c>
      <c r="B1" s="373" t="s">
        <v>497</v>
      </c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5"/>
      <c r="U1" s="16"/>
      <c r="V1" s="16"/>
      <c r="W1" s="16"/>
      <c r="X1" s="16"/>
      <c r="Y1" s="16"/>
      <c r="Z1" s="16"/>
      <c r="AA1" s="16"/>
      <c r="AB1" s="100"/>
    </row>
    <row r="2" spans="1:28" ht="57.6" customHeight="1">
      <c r="A2" s="355" t="s">
        <v>1</v>
      </c>
      <c r="B2" s="357" t="s">
        <v>1</v>
      </c>
      <c r="C2" s="357" t="s">
        <v>2</v>
      </c>
      <c r="D2" s="359" t="s">
        <v>333</v>
      </c>
      <c r="E2" s="357" t="s">
        <v>3</v>
      </c>
      <c r="F2" s="353" t="s">
        <v>137</v>
      </c>
      <c r="G2" s="353" t="s">
        <v>245</v>
      </c>
      <c r="H2" s="353" t="s">
        <v>139</v>
      </c>
      <c r="I2" s="353" t="s">
        <v>250</v>
      </c>
      <c r="J2" s="353" t="s">
        <v>4</v>
      </c>
      <c r="K2" s="361" t="s">
        <v>9</v>
      </c>
      <c r="L2" s="361" t="s">
        <v>10</v>
      </c>
      <c r="M2" s="421" t="s">
        <v>11</v>
      </c>
      <c r="N2" s="353" t="s">
        <v>6</v>
      </c>
      <c r="O2" s="423" t="s">
        <v>7</v>
      </c>
      <c r="P2" s="353" t="s">
        <v>515</v>
      </c>
      <c r="Q2" s="353" t="s">
        <v>499</v>
      </c>
      <c r="R2" s="353" t="s">
        <v>500</v>
      </c>
      <c r="S2" s="361" t="s">
        <v>402</v>
      </c>
      <c r="T2" s="353" t="s">
        <v>8</v>
      </c>
      <c r="U2" s="364" t="s">
        <v>134</v>
      </c>
      <c r="V2" s="364" t="s">
        <v>272</v>
      </c>
      <c r="W2" s="364" t="s">
        <v>273</v>
      </c>
      <c r="X2" s="364" t="s">
        <v>274</v>
      </c>
      <c r="Y2" s="364" t="s">
        <v>275</v>
      </c>
      <c r="Z2" s="364" t="s">
        <v>276</v>
      </c>
      <c r="AA2" s="364" t="s">
        <v>295</v>
      </c>
      <c r="AB2" s="363" t="s">
        <v>278</v>
      </c>
    </row>
    <row r="3" spans="1:28" ht="42" customHeight="1">
      <c r="A3" s="356"/>
      <c r="B3" s="358"/>
      <c r="C3" s="358"/>
      <c r="D3" s="360"/>
      <c r="E3" s="358"/>
      <c r="F3" s="354"/>
      <c r="G3" s="354"/>
      <c r="H3" s="354"/>
      <c r="I3" s="354"/>
      <c r="J3" s="354"/>
      <c r="K3" s="362"/>
      <c r="L3" s="362"/>
      <c r="M3" s="422"/>
      <c r="N3" s="353"/>
      <c r="O3" s="423"/>
      <c r="P3" s="353"/>
      <c r="Q3" s="353"/>
      <c r="R3" s="353"/>
      <c r="S3" s="362"/>
      <c r="T3" s="353"/>
      <c r="U3" s="365"/>
      <c r="V3" s="365"/>
      <c r="W3" s="365"/>
      <c r="X3" s="365"/>
      <c r="Y3" s="365"/>
      <c r="Z3" s="365"/>
      <c r="AA3" s="365"/>
      <c r="AB3" s="363"/>
    </row>
    <row r="4" spans="1:28" ht="26.25" customHeight="1">
      <c r="A4" s="136">
        <v>1</v>
      </c>
      <c r="B4" s="244">
        <v>1</v>
      </c>
      <c r="C4" s="245">
        <v>2</v>
      </c>
      <c r="D4" s="245">
        <v>3</v>
      </c>
      <c r="E4" s="245">
        <v>4</v>
      </c>
      <c r="F4" s="245">
        <v>5</v>
      </c>
      <c r="G4" s="245">
        <v>6</v>
      </c>
      <c r="H4" s="245">
        <v>7</v>
      </c>
      <c r="I4" s="245">
        <v>8</v>
      </c>
      <c r="J4" s="245">
        <v>9</v>
      </c>
      <c r="K4" s="245">
        <v>10</v>
      </c>
      <c r="L4" s="245">
        <v>11</v>
      </c>
      <c r="M4" s="317">
        <v>12</v>
      </c>
      <c r="N4" s="245">
        <v>13</v>
      </c>
      <c r="O4" s="317">
        <v>14</v>
      </c>
      <c r="P4" s="245">
        <v>15</v>
      </c>
      <c r="Q4" s="245">
        <v>16</v>
      </c>
      <c r="R4" s="245">
        <v>16</v>
      </c>
      <c r="S4" s="245">
        <v>16</v>
      </c>
      <c r="T4" s="246">
        <v>17</v>
      </c>
      <c r="U4" s="138">
        <v>21</v>
      </c>
      <c r="V4" s="138">
        <v>24</v>
      </c>
      <c r="W4" s="138">
        <v>25</v>
      </c>
      <c r="X4" s="138"/>
      <c r="Y4" s="138">
        <v>26</v>
      </c>
      <c r="Z4" s="138">
        <v>27</v>
      </c>
      <c r="AA4" s="138">
        <v>28</v>
      </c>
      <c r="AB4" s="13">
        <v>20</v>
      </c>
    </row>
    <row r="5" spans="1:28" ht="51.75" customHeight="1">
      <c r="A5" s="139"/>
      <c r="B5" s="337" t="s">
        <v>509</v>
      </c>
      <c r="C5" s="250" t="s">
        <v>385</v>
      </c>
      <c r="D5" s="250">
        <v>1</v>
      </c>
      <c r="E5" s="270" t="s">
        <v>73</v>
      </c>
      <c r="F5" s="170">
        <v>49020</v>
      </c>
      <c r="G5" s="158">
        <v>0</v>
      </c>
      <c r="H5" s="157">
        <f t="shared" ref="H5:H11" si="0">F5-G5</f>
        <v>49020</v>
      </c>
      <c r="I5" s="161">
        <v>700</v>
      </c>
      <c r="J5" s="15">
        <v>1</v>
      </c>
      <c r="K5" s="15" t="s">
        <v>382</v>
      </c>
      <c r="L5" s="247">
        <v>700</v>
      </c>
      <c r="M5" s="292">
        <v>45799</v>
      </c>
      <c r="N5" s="15">
        <f t="shared" ref="N5:N10" si="1">O5-M5</f>
        <v>69</v>
      </c>
      <c r="O5" s="292">
        <v>45868</v>
      </c>
      <c r="P5" s="15">
        <v>0</v>
      </c>
      <c r="Q5" s="15">
        <v>0</v>
      </c>
      <c r="R5" s="15">
        <v>0</v>
      </c>
      <c r="S5" s="15"/>
      <c r="T5" s="248"/>
      <c r="U5" s="153">
        <v>0</v>
      </c>
      <c r="V5" s="153"/>
      <c r="W5" s="153"/>
      <c r="X5" s="153"/>
      <c r="Y5" s="153"/>
      <c r="Z5" s="153"/>
      <c r="AA5" s="12">
        <f>SUM(V5:Z5)</f>
        <v>0</v>
      </c>
      <c r="AB5" s="12"/>
    </row>
    <row r="6" spans="1:28" ht="51.75" customHeight="1">
      <c r="A6" s="139"/>
      <c r="B6" s="338"/>
      <c r="C6" s="250" t="s">
        <v>385</v>
      </c>
      <c r="D6" s="250">
        <v>2</v>
      </c>
      <c r="E6" s="270" t="s">
        <v>75</v>
      </c>
      <c r="F6" s="170">
        <v>23000</v>
      </c>
      <c r="G6" s="158">
        <v>0</v>
      </c>
      <c r="H6" s="157">
        <f t="shared" si="0"/>
        <v>23000</v>
      </c>
      <c r="I6" s="161">
        <v>700</v>
      </c>
      <c r="J6" s="15">
        <v>1</v>
      </c>
      <c r="K6" s="15" t="s">
        <v>383</v>
      </c>
      <c r="L6" s="247">
        <v>700</v>
      </c>
      <c r="M6" s="292">
        <v>45807</v>
      </c>
      <c r="N6" s="15">
        <f t="shared" si="1"/>
        <v>41</v>
      </c>
      <c r="O6" s="292">
        <v>45848</v>
      </c>
      <c r="P6" s="15">
        <v>0</v>
      </c>
      <c r="Q6" s="15">
        <v>0</v>
      </c>
      <c r="R6" s="15">
        <v>0</v>
      </c>
      <c r="S6" s="15"/>
      <c r="T6" s="248"/>
      <c r="U6" s="153">
        <v>0</v>
      </c>
      <c r="V6" s="153"/>
      <c r="W6" s="153"/>
      <c r="X6" s="153"/>
      <c r="Y6" s="153"/>
      <c r="Z6" s="153"/>
      <c r="AA6" s="12">
        <f>SUM(V6:Z6)</f>
        <v>0</v>
      </c>
      <c r="AB6" s="12"/>
    </row>
    <row r="7" spans="1:28" ht="51.75" customHeight="1">
      <c r="A7" s="139"/>
      <c r="B7" s="338"/>
      <c r="C7" s="250" t="s">
        <v>385</v>
      </c>
      <c r="D7" s="250">
        <v>3</v>
      </c>
      <c r="E7" s="270" t="s">
        <v>83</v>
      </c>
      <c r="F7" s="170">
        <v>664</v>
      </c>
      <c r="G7" s="158">
        <v>0</v>
      </c>
      <c r="H7" s="157">
        <f t="shared" si="0"/>
        <v>664</v>
      </c>
      <c r="I7" s="247">
        <v>700</v>
      </c>
      <c r="J7" s="15">
        <v>1</v>
      </c>
      <c r="K7" s="15" t="s">
        <v>384</v>
      </c>
      <c r="L7" s="247">
        <v>700</v>
      </c>
      <c r="M7" s="292">
        <v>45797</v>
      </c>
      <c r="N7" s="15">
        <f t="shared" si="1"/>
        <v>3</v>
      </c>
      <c r="O7" s="292">
        <v>45800</v>
      </c>
      <c r="P7" s="15">
        <v>0</v>
      </c>
      <c r="Q7" s="15">
        <v>0</v>
      </c>
      <c r="R7" s="15">
        <v>0</v>
      </c>
      <c r="S7" s="15"/>
      <c r="T7" s="248"/>
      <c r="U7" s="153"/>
      <c r="V7" s="153"/>
      <c r="W7" s="153"/>
      <c r="X7" s="153"/>
      <c r="Y7" s="153"/>
      <c r="Z7" s="153"/>
      <c r="AA7" s="12"/>
      <c r="AB7" s="12"/>
    </row>
    <row r="8" spans="1:28" ht="51.75" customHeight="1">
      <c r="A8" s="139"/>
      <c r="B8" s="338"/>
      <c r="C8" s="250" t="s">
        <v>385</v>
      </c>
      <c r="D8" s="250">
        <v>4</v>
      </c>
      <c r="E8" s="270" t="s">
        <v>81</v>
      </c>
      <c r="F8" s="170">
        <v>10299</v>
      </c>
      <c r="G8" s="158">
        <v>0</v>
      </c>
      <c r="H8" s="157">
        <f t="shared" si="0"/>
        <v>10299</v>
      </c>
      <c r="I8" s="247">
        <v>700</v>
      </c>
      <c r="J8" s="15">
        <v>1</v>
      </c>
      <c r="K8" s="15" t="s">
        <v>400</v>
      </c>
      <c r="L8" s="247">
        <v>700</v>
      </c>
      <c r="M8" s="292">
        <v>45802</v>
      </c>
      <c r="N8" s="15">
        <f t="shared" si="1"/>
        <v>21</v>
      </c>
      <c r="O8" s="292">
        <v>45823</v>
      </c>
      <c r="P8" s="15">
        <v>0</v>
      </c>
      <c r="Q8" s="15">
        <v>0</v>
      </c>
      <c r="R8" s="15">
        <v>0</v>
      </c>
      <c r="S8" s="15"/>
      <c r="T8" s="248"/>
      <c r="U8" s="153"/>
      <c r="V8" s="153"/>
      <c r="W8" s="153"/>
      <c r="X8" s="153"/>
      <c r="Y8" s="153"/>
      <c r="Z8" s="153"/>
      <c r="AA8" s="12"/>
      <c r="AB8" s="12"/>
    </row>
    <row r="9" spans="1:28" ht="51.75" customHeight="1">
      <c r="A9" s="139"/>
      <c r="B9" s="338"/>
      <c r="C9" s="250" t="s">
        <v>385</v>
      </c>
      <c r="D9" s="250">
        <v>5</v>
      </c>
      <c r="E9" s="270" t="s">
        <v>77</v>
      </c>
      <c r="F9" s="170">
        <v>20000</v>
      </c>
      <c r="G9" s="158">
        <v>0</v>
      </c>
      <c r="H9" s="157">
        <f t="shared" si="0"/>
        <v>20000</v>
      </c>
      <c r="I9" s="161"/>
      <c r="J9" s="15">
        <v>1</v>
      </c>
      <c r="K9" s="252" t="s">
        <v>398</v>
      </c>
      <c r="L9" s="247">
        <v>700</v>
      </c>
      <c r="M9" s="292">
        <v>45807</v>
      </c>
      <c r="N9" s="15">
        <f t="shared" si="1"/>
        <v>36</v>
      </c>
      <c r="O9" s="292">
        <v>45843</v>
      </c>
      <c r="P9" s="15">
        <v>0</v>
      </c>
      <c r="Q9" s="15">
        <v>0</v>
      </c>
      <c r="R9" s="15">
        <v>0</v>
      </c>
      <c r="S9" s="15"/>
      <c r="T9" s="248" t="s">
        <v>399</v>
      </c>
      <c r="U9" s="153">
        <v>0</v>
      </c>
      <c r="V9" s="153"/>
      <c r="W9" s="153"/>
      <c r="X9" s="153"/>
      <c r="Y9" s="153"/>
      <c r="Z9" s="153"/>
      <c r="AA9" s="12">
        <f t="shared" ref="AA9:AA11" si="2">SUM(V9:Z9)</f>
        <v>0</v>
      </c>
      <c r="AB9" s="12"/>
    </row>
    <row r="10" spans="1:28" ht="51.75" customHeight="1">
      <c r="A10" s="139"/>
      <c r="B10" s="339"/>
      <c r="C10" s="250" t="s">
        <v>385</v>
      </c>
      <c r="D10" s="250">
        <v>6</v>
      </c>
      <c r="E10" s="270" t="s">
        <v>79</v>
      </c>
      <c r="F10" s="170">
        <v>13578</v>
      </c>
      <c r="G10" s="158">
        <v>0</v>
      </c>
      <c r="H10" s="157">
        <f t="shared" si="0"/>
        <v>13578</v>
      </c>
      <c r="I10" s="161">
        <v>700</v>
      </c>
      <c r="J10" s="15">
        <v>1</v>
      </c>
      <c r="K10" s="261" t="s">
        <v>401</v>
      </c>
      <c r="L10" s="247">
        <v>700</v>
      </c>
      <c r="M10" s="292">
        <v>45792</v>
      </c>
      <c r="N10" s="15">
        <f t="shared" si="1"/>
        <v>30</v>
      </c>
      <c r="O10" s="292">
        <v>45822</v>
      </c>
      <c r="P10" s="15">
        <v>0</v>
      </c>
      <c r="Q10" s="15">
        <v>0</v>
      </c>
      <c r="R10" s="15">
        <v>0</v>
      </c>
      <c r="S10" s="15"/>
      <c r="T10" s="248"/>
      <c r="U10" s="153">
        <v>0</v>
      </c>
      <c r="V10" s="153"/>
      <c r="W10" s="153"/>
      <c r="X10" s="153"/>
      <c r="Y10" s="153"/>
      <c r="Z10" s="153"/>
      <c r="AA10" s="12">
        <f t="shared" si="2"/>
        <v>0</v>
      </c>
      <c r="AB10" s="12"/>
    </row>
    <row r="11" spans="1:28" ht="33" customHeight="1">
      <c r="A11" s="139"/>
      <c r="B11" s="217"/>
      <c r="C11" s="217" t="s">
        <v>25</v>
      </c>
      <c r="D11" s="217"/>
      <c r="E11" s="217"/>
      <c r="F11" s="168">
        <f>SUM(F5:F10)</f>
        <v>116561</v>
      </c>
      <c r="G11" s="168">
        <f>SUM(G5:G10)</f>
        <v>0</v>
      </c>
      <c r="H11" s="168">
        <f t="shared" si="0"/>
        <v>116561</v>
      </c>
      <c r="I11" s="168">
        <f>SUM(I5:I10)</f>
        <v>3500</v>
      </c>
      <c r="J11" s="217">
        <f>SUM(J5:J10)</f>
        <v>6</v>
      </c>
      <c r="K11" s="217"/>
      <c r="L11" s="254"/>
      <c r="M11" s="294"/>
      <c r="N11" s="217"/>
      <c r="O11" s="294"/>
      <c r="P11" s="217">
        <f>SUM(P5:P10)</f>
        <v>0</v>
      </c>
      <c r="Q11" s="217">
        <f>SUM(Q5:Q10)</f>
        <v>0</v>
      </c>
      <c r="R11" s="217">
        <f>SUM(R5:R10)</f>
        <v>0</v>
      </c>
      <c r="S11" s="217"/>
      <c r="T11" s="255"/>
      <c r="U11" s="12"/>
      <c r="V11" s="84"/>
      <c r="W11" s="84"/>
      <c r="X11" s="84"/>
      <c r="Y11" s="84"/>
      <c r="Z11" s="84"/>
      <c r="AA11" s="84">
        <f t="shared" si="2"/>
        <v>0</v>
      </c>
      <c r="AB11" s="98"/>
    </row>
    <row r="13" spans="1:28" ht="33" customHeight="1"/>
    <row r="14" spans="1:28" ht="33" customHeight="1"/>
    <row r="15" spans="1:28" ht="33" customHeight="1"/>
    <row r="16" spans="1:28" ht="33" customHeight="1"/>
    <row r="17" ht="33" customHeight="1"/>
    <row r="18" ht="33" customHeight="1"/>
    <row r="19" ht="33" customHeight="1"/>
    <row r="20" ht="33" customHeight="1"/>
    <row r="21" ht="33" customHeight="1"/>
    <row r="22" ht="33" customHeight="1"/>
    <row r="23" ht="33" customHeight="1"/>
    <row r="24" ht="33" customHeight="1"/>
    <row r="25" ht="33" customHeight="1"/>
    <row r="26" ht="33" customHeight="1"/>
    <row r="27" ht="33" customHeight="1"/>
    <row r="28" ht="33" customHeight="1"/>
    <row r="29" ht="33" customHeight="1"/>
  </sheetData>
  <mergeCells count="30">
    <mergeCell ref="R2:R3"/>
    <mergeCell ref="B1:T1"/>
    <mergeCell ref="F2:F3"/>
    <mergeCell ref="A2:A3"/>
    <mergeCell ref="B2:B3"/>
    <mergeCell ref="C2:C3"/>
    <mergeCell ref="D2:D3"/>
    <mergeCell ref="E2:E3"/>
    <mergeCell ref="H2:H3"/>
    <mergeCell ref="I2:I3"/>
    <mergeCell ref="J2:J3"/>
    <mergeCell ref="K2:K3"/>
    <mergeCell ref="L2:L3"/>
    <mergeCell ref="P2:P3"/>
    <mergeCell ref="AA2:AA3"/>
    <mergeCell ref="AB2:AB3"/>
    <mergeCell ref="B5:B10"/>
    <mergeCell ref="U2:U3"/>
    <mergeCell ref="V2:V3"/>
    <mergeCell ref="W2:W3"/>
    <mergeCell ref="X2:X3"/>
    <mergeCell ref="Y2:Y3"/>
    <mergeCell ref="Z2:Z3"/>
    <mergeCell ref="M2:M3"/>
    <mergeCell ref="N2:N3"/>
    <mergeCell ref="O2:O3"/>
    <mergeCell ref="Q2:Q3"/>
    <mergeCell ref="S2:S3"/>
    <mergeCell ref="T2:T3"/>
    <mergeCell ref="G2:G3"/>
  </mergeCells>
  <printOptions horizontalCentered="1"/>
  <pageMargins left="0.19685039370078741" right="0.31496062992125984" top="0.74803149606299213" bottom="0.55118110236220474" header="0.31496062992125984" footer="0.31496062992125984"/>
  <pageSetup paperSize="9" scale="41" fitToHeight="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32"/>
  <sheetViews>
    <sheetView topLeftCell="B1" zoomScale="60" zoomScaleNormal="60" zoomScaleSheetLayoutView="66" workbookViewId="0">
      <pane ySplit="4" topLeftCell="A5" activePane="bottomLeft" state="frozen"/>
      <selection activeCell="U15" sqref="U15"/>
      <selection pane="bottomLeft" activeCell="U15" sqref="U15"/>
    </sheetView>
  </sheetViews>
  <sheetFormatPr defaultColWidth="10.7109375" defaultRowHeight="15.75"/>
  <cols>
    <col min="1" max="1" width="9.7109375" style="135" hidden="1" customWidth="1"/>
    <col min="2" max="2" width="24.140625" style="135" customWidth="1"/>
    <col min="3" max="3" width="21.28515625" style="135" customWidth="1"/>
    <col min="4" max="4" width="10" style="135" customWidth="1"/>
    <col min="5" max="5" width="21.85546875" style="154" customWidth="1"/>
    <col min="6" max="6" width="17.28515625" style="171" customWidth="1"/>
    <col min="7" max="7" width="16.28515625" style="155" customWidth="1"/>
    <col min="8" max="8" width="17.140625" style="155" customWidth="1"/>
    <col min="9" max="9" width="18.140625" style="172" customWidth="1"/>
    <col min="10" max="10" width="14.85546875" style="135" customWidth="1"/>
    <col min="11" max="11" width="13.85546875" style="135" customWidth="1"/>
    <col min="12" max="12" width="15.140625" style="135" customWidth="1"/>
    <col min="13" max="13" width="16.42578125" style="295" customWidth="1"/>
    <col min="14" max="14" width="17.5703125" style="135" customWidth="1"/>
    <col min="15" max="15" width="16" style="295" customWidth="1"/>
    <col min="16" max="16" width="17.42578125" style="295" customWidth="1"/>
    <col min="17" max="17" width="17.85546875" style="135" customWidth="1"/>
    <col min="18" max="18" width="17.85546875" style="135" hidden="1" customWidth="1"/>
    <col min="19" max="19" width="16.85546875" style="135" hidden="1" customWidth="1"/>
    <col min="20" max="20" width="45" style="156" customWidth="1"/>
    <col min="21" max="22" width="11.85546875" style="135" hidden="1" customWidth="1"/>
    <col min="23" max="23" width="15.140625" style="135" hidden="1" customWidth="1"/>
    <col min="24" max="24" width="15.42578125" style="135" hidden="1" customWidth="1"/>
    <col min="25" max="27" width="11.85546875" style="135" hidden="1" customWidth="1"/>
    <col min="28" max="28" width="62.42578125" style="156" hidden="1" customWidth="1"/>
    <col min="29" max="29" width="20.5703125" style="135" hidden="1" customWidth="1"/>
    <col min="30" max="39" width="0" style="135" hidden="1" customWidth="1"/>
    <col min="40" max="16384" width="10.7109375" style="135"/>
  </cols>
  <sheetData>
    <row r="1" spans="1:28" ht="27.6" customHeight="1">
      <c r="A1" s="134" t="s">
        <v>452</v>
      </c>
      <c r="B1" s="373" t="s">
        <v>497</v>
      </c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5"/>
      <c r="U1" s="16"/>
      <c r="V1" s="16"/>
      <c r="W1" s="16"/>
      <c r="X1" s="16"/>
      <c r="Y1" s="16"/>
      <c r="Z1" s="16"/>
      <c r="AA1" s="16"/>
      <c r="AB1" s="100"/>
    </row>
    <row r="2" spans="1:28" ht="57.6" customHeight="1">
      <c r="A2" s="355" t="s">
        <v>1</v>
      </c>
      <c r="B2" s="357" t="s">
        <v>1</v>
      </c>
      <c r="C2" s="357" t="s">
        <v>2</v>
      </c>
      <c r="D2" s="359" t="s">
        <v>333</v>
      </c>
      <c r="E2" s="357" t="s">
        <v>3</v>
      </c>
      <c r="F2" s="353" t="s">
        <v>137</v>
      </c>
      <c r="G2" s="353" t="s">
        <v>245</v>
      </c>
      <c r="H2" s="353" t="s">
        <v>139</v>
      </c>
      <c r="I2" s="353" t="s">
        <v>250</v>
      </c>
      <c r="J2" s="353" t="s">
        <v>4</v>
      </c>
      <c r="K2" s="361" t="s">
        <v>9</v>
      </c>
      <c r="L2" s="361" t="s">
        <v>10</v>
      </c>
      <c r="M2" s="421" t="s">
        <v>11</v>
      </c>
      <c r="N2" s="353" t="s">
        <v>6</v>
      </c>
      <c r="O2" s="423" t="s">
        <v>7</v>
      </c>
      <c r="P2" s="353" t="s">
        <v>515</v>
      </c>
      <c r="Q2" s="353" t="s">
        <v>499</v>
      </c>
      <c r="R2" s="353" t="s">
        <v>500</v>
      </c>
      <c r="S2" s="361" t="s">
        <v>402</v>
      </c>
      <c r="T2" s="353" t="s">
        <v>8</v>
      </c>
      <c r="U2" s="364" t="s">
        <v>134</v>
      </c>
      <c r="V2" s="364" t="s">
        <v>272</v>
      </c>
      <c r="W2" s="364" t="s">
        <v>273</v>
      </c>
      <c r="X2" s="364" t="s">
        <v>274</v>
      </c>
      <c r="Y2" s="364" t="s">
        <v>275</v>
      </c>
      <c r="Z2" s="364" t="s">
        <v>276</v>
      </c>
      <c r="AA2" s="364" t="s">
        <v>295</v>
      </c>
      <c r="AB2" s="363" t="s">
        <v>278</v>
      </c>
    </row>
    <row r="3" spans="1:28" ht="42" customHeight="1">
      <c r="A3" s="356"/>
      <c r="B3" s="358"/>
      <c r="C3" s="358"/>
      <c r="D3" s="360"/>
      <c r="E3" s="358"/>
      <c r="F3" s="354"/>
      <c r="G3" s="354"/>
      <c r="H3" s="354"/>
      <c r="I3" s="354"/>
      <c r="J3" s="354"/>
      <c r="K3" s="362"/>
      <c r="L3" s="362"/>
      <c r="M3" s="422"/>
      <c r="N3" s="353"/>
      <c r="O3" s="423"/>
      <c r="P3" s="353"/>
      <c r="Q3" s="353"/>
      <c r="R3" s="353"/>
      <c r="S3" s="362"/>
      <c r="T3" s="353"/>
      <c r="U3" s="365"/>
      <c r="V3" s="365"/>
      <c r="W3" s="365"/>
      <c r="X3" s="365"/>
      <c r="Y3" s="365"/>
      <c r="Z3" s="365"/>
      <c r="AA3" s="365"/>
      <c r="AB3" s="363"/>
    </row>
    <row r="4" spans="1:28" ht="26.25" customHeight="1">
      <c r="A4" s="136">
        <v>1</v>
      </c>
      <c r="B4" s="274">
        <v>1</v>
      </c>
      <c r="C4" s="273">
        <v>2</v>
      </c>
      <c r="D4" s="273">
        <v>3</v>
      </c>
      <c r="E4" s="273">
        <v>4</v>
      </c>
      <c r="F4" s="273">
        <v>5</v>
      </c>
      <c r="G4" s="273">
        <v>6</v>
      </c>
      <c r="H4" s="273">
        <v>7</v>
      </c>
      <c r="I4" s="273">
        <v>8</v>
      </c>
      <c r="J4" s="273">
        <v>9</v>
      </c>
      <c r="K4" s="273">
        <v>10</v>
      </c>
      <c r="L4" s="273">
        <v>11</v>
      </c>
      <c r="M4" s="475">
        <v>12</v>
      </c>
      <c r="N4" s="273">
        <v>13</v>
      </c>
      <c r="O4" s="475">
        <v>14</v>
      </c>
      <c r="P4" s="273">
        <v>15</v>
      </c>
      <c r="Q4" s="273">
        <v>16</v>
      </c>
      <c r="R4" s="273">
        <v>16</v>
      </c>
      <c r="S4" s="273">
        <v>16</v>
      </c>
      <c r="T4" s="275">
        <v>17</v>
      </c>
      <c r="U4" s="138">
        <v>21</v>
      </c>
      <c r="V4" s="138">
        <v>24</v>
      </c>
      <c r="W4" s="138">
        <v>25</v>
      </c>
      <c r="X4" s="138"/>
      <c r="Y4" s="138">
        <v>26</v>
      </c>
      <c r="Z4" s="138">
        <v>27</v>
      </c>
      <c r="AA4" s="138">
        <v>28</v>
      </c>
      <c r="AB4" s="13">
        <v>20</v>
      </c>
    </row>
    <row r="5" spans="1:28" ht="45" customHeight="1">
      <c r="A5" s="139"/>
      <c r="B5" s="337" t="s">
        <v>510</v>
      </c>
      <c r="C5" s="216" t="s">
        <v>239</v>
      </c>
      <c r="D5" s="216">
        <v>1</v>
      </c>
      <c r="E5" s="250" t="s">
        <v>86</v>
      </c>
      <c r="F5" s="161">
        <v>61929</v>
      </c>
      <c r="G5" s="162">
        <v>0</v>
      </c>
      <c r="H5" s="161">
        <f t="shared" ref="H5:H13" si="0">F5-G5</f>
        <v>61929</v>
      </c>
      <c r="I5" s="161">
        <v>900</v>
      </c>
      <c r="J5" s="15">
        <v>1</v>
      </c>
      <c r="K5" s="15" t="s">
        <v>420</v>
      </c>
      <c r="L5" s="247">
        <v>900</v>
      </c>
      <c r="M5" s="292">
        <v>45792</v>
      </c>
      <c r="N5" s="15">
        <f t="shared" ref="N5:N11" si="1">O5-M5</f>
        <v>66</v>
      </c>
      <c r="O5" s="292">
        <v>45858</v>
      </c>
      <c r="P5" s="15">
        <v>0</v>
      </c>
      <c r="Q5" s="15">
        <v>0</v>
      </c>
      <c r="R5" s="15">
        <v>0</v>
      </c>
      <c r="S5" s="15"/>
      <c r="T5" s="248"/>
      <c r="U5" s="16">
        <v>0</v>
      </c>
      <c r="V5" s="16"/>
      <c r="W5" s="16"/>
      <c r="X5" s="16"/>
      <c r="Y5" s="16"/>
      <c r="Z5" s="16"/>
      <c r="AA5" s="12">
        <f t="shared" ref="AA5:AA14" si="2">SUM(V5:Z5)</f>
        <v>0</v>
      </c>
      <c r="AB5" s="12"/>
    </row>
    <row r="6" spans="1:28" ht="45" customHeight="1">
      <c r="A6" s="139"/>
      <c r="B6" s="338"/>
      <c r="C6" s="216" t="s">
        <v>239</v>
      </c>
      <c r="D6" s="216">
        <v>2</v>
      </c>
      <c r="E6" s="250" t="s">
        <v>88</v>
      </c>
      <c r="F6" s="161">
        <v>58754</v>
      </c>
      <c r="G6" s="162">
        <v>0</v>
      </c>
      <c r="H6" s="161">
        <f t="shared" si="0"/>
        <v>58754</v>
      </c>
      <c r="I6" s="161">
        <v>700</v>
      </c>
      <c r="J6" s="15">
        <v>1</v>
      </c>
      <c r="K6" s="15" t="s">
        <v>421</v>
      </c>
      <c r="L6" s="247">
        <v>700</v>
      </c>
      <c r="M6" s="292">
        <v>45792</v>
      </c>
      <c r="N6" s="15">
        <f t="shared" si="1"/>
        <v>82</v>
      </c>
      <c r="O6" s="292">
        <v>45874</v>
      </c>
      <c r="P6" s="15">
        <v>0</v>
      </c>
      <c r="Q6" s="15">
        <v>0</v>
      </c>
      <c r="R6" s="15">
        <v>0</v>
      </c>
      <c r="S6" s="15"/>
      <c r="T6" s="248"/>
      <c r="U6" s="16">
        <v>0</v>
      </c>
      <c r="V6" s="16"/>
      <c r="W6" s="16"/>
      <c r="X6" s="16"/>
      <c r="Y6" s="16"/>
      <c r="Z6" s="16"/>
      <c r="AA6" s="12">
        <f t="shared" si="2"/>
        <v>0</v>
      </c>
      <c r="AB6" s="12"/>
    </row>
    <row r="7" spans="1:28" ht="45" customHeight="1">
      <c r="A7" s="139"/>
      <c r="B7" s="338"/>
      <c r="C7" s="216" t="s">
        <v>239</v>
      </c>
      <c r="D7" s="216">
        <v>3</v>
      </c>
      <c r="E7" s="250" t="s">
        <v>90</v>
      </c>
      <c r="F7" s="161">
        <v>33877</v>
      </c>
      <c r="G7" s="162">
        <v>0</v>
      </c>
      <c r="H7" s="161">
        <f t="shared" si="0"/>
        <v>33877</v>
      </c>
      <c r="I7" s="161">
        <v>700</v>
      </c>
      <c r="J7" s="15">
        <v>1</v>
      </c>
      <c r="K7" s="15" t="s">
        <v>422</v>
      </c>
      <c r="L7" s="247">
        <v>700</v>
      </c>
      <c r="M7" s="292">
        <v>45792</v>
      </c>
      <c r="N7" s="15">
        <f t="shared" si="1"/>
        <v>66</v>
      </c>
      <c r="O7" s="292">
        <v>45858</v>
      </c>
      <c r="P7" s="15">
        <v>0</v>
      </c>
      <c r="Q7" s="15">
        <v>0</v>
      </c>
      <c r="R7" s="15">
        <v>0</v>
      </c>
      <c r="S7" s="15"/>
      <c r="T7" s="248"/>
      <c r="U7" s="16">
        <v>0</v>
      </c>
      <c r="V7" s="16"/>
      <c r="W7" s="16"/>
      <c r="X7" s="16"/>
      <c r="Y7" s="16"/>
      <c r="Z7" s="16"/>
      <c r="AA7" s="12">
        <f t="shared" si="2"/>
        <v>0</v>
      </c>
      <c r="AB7" s="12"/>
    </row>
    <row r="8" spans="1:28" ht="45" customHeight="1">
      <c r="A8" s="139"/>
      <c r="B8" s="338"/>
      <c r="C8" s="216" t="s">
        <v>239</v>
      </c>
      <c r="D8" s="216">
        <v>4</v>
      </c>
      <c r="E8" s="250" t="s">
        <v>92</v>
      </c>
      <c r="F8" s="161">
        <v>28392</v>
      </c>
      <c r="G8" s="162">
        <v>0</v>
      </c>
      <c r="H8" s="161">
        <f t="shared" si="0"/>
        <v>28392</v>
      </c>
      <c r="I8" s="161">
        <v>700</v>
      </c>
      <c r="J8" s="15">
        <v>1</v>
      </c>
      <c r="K8" s="15" t="s">
        <v>423</v>
      </c>
      <c r="L8" s="247">
        <v>700</v>
      </c>
      <c r="M8" s="292">
        <v>45792</v>
      </c>
      <c r="N8" s="15">
        <f t="shared" si="1"/>
        <v>61</v>
      </c>
      <c r="O8" s="292">
        <v>45853</v>
      </c>
      <c r="P8" s="15">
        <v>0</v>
      </c>
      <c r="Q8" s="15">
        <v>0</v>
      </c>
      <c r="R8" s="15">
        <v>0</v>
      </c>
      <c r="S8" s="15"/>
      <c r="T8" s="248"/>
      <c r="U8" s="16">
        <v>0</v>
      </c>
      <c r="V8" s="16"/>
      <c r="W8" s="16"/>
      <c r="X8" s="16"/>
      <c r="Y8" s="16"/>
      <c r="Z8" s="16"/>
      <c r="AA8" s="12">
        <f t="shared" si="2"/>
        <v>0</v>
      </c>
      <c r="AB8" s="12"/>
    </row>
    <row r="9" spans="1:28" ht="45" customHeight="1">
      <c r="A9" s="139"/>
      <c r="B9" s="338"/>
      <c r="C9" s="216" t="s">
        <v>239</v>
      </c>
      <c r="D9" s="216">
        <v>5</v>
      </c>
      <c r="E9" s="250" t="s">
        <v>94</v>
      </c>
      <c r="F9" s="161">
        <v>26160</v>
      </c>
      <c r="G9" s="162">
        <v>0</v>
      </c>
      <c r="H9" s="161">
        <f t="shared" si="0"/>
        <v>26160</v>
      </c>
      <c r="I9" s="161">
        <v>700</v>
      </c>
      <c r="J9" s="15">
        <v>1</v>
      </c>
      <c r="K9" s="15" t="s">
        <v>424</v>
      </c>
      <c r="L9" s="247">
        <v>700</v>
      </c>
      <c r="M9" s="292">
        <v>45802</v>
      </c>
      <c r="N9" s="15">
        <f t="shared" si="1"/>
        <v>36</v>
      </c>
      <c r="O9" s="292">
        <v>45838</v>
      </c>
      <c r="P9" s="15">
        <v>0</v>
      </c>
      <c r="Q9" s="15">
        <v>0</v>
      </c>
      <c r="R9" s="15">
        <v>0</v>
      </c>
      <c r="S9" s="15"/>
      <c r="T9" s="248"/>
      <c r="U9" s="16">
        <v>0</v>
      </c>
      <c r="V9" s="16"/>
      <c r="W9" s="16"/>
      <c r="X9" s="16"/>
      <c r="Y9" s="16"/>
      <c r="Z9" s="16"/>
      <c r="AA9" s="12">
        <f t="shared" si="2"/>
        <v>0</v>
      </c>
      <c r="AB9" s="12"/>
    </row>
    <row r="10" spans="1:28" ht="45" customHeight="1">
      <c r="A10" s="139"/>
      <c r="B10" s="338"/>
      <c r="C10" s="216" t="s">
        <v>239</v>
      </c>
      <c r="D10" s="216">
        <v>6</v>
      </c>
      <c r="E10" s="250" t="s">
        <v>96</v>
      </c>
      <c r="F10" s="161">
        <v>14459</v>
      </c>
      <c r="G10" s="162">
        <v>0</v>
      </c>
      <c r="H10" s="161">
        <f t="shared" si="0"/>
        <v>14459</v>
      </c>
      <c r="I10" s="161"/>
      <c r="J10" s="15"/>
      <c r="K10" s="252" t="s">
        <v>425</v>
      </c>
      <c r="L10" s="247">
        <v>900</v>
      </c>
      <c r="M10" s="292">
        <v>45868</v>
      </c>
      <c r="N10" s="15">
        <f t="shared" si="1"/>
        <v>20</v>
      </c>
      <c r="O10" s="292">
        <v>45888</v>
      </c>
      <c r="P10" s="15">
        <v>0</v>
      </c>
      <c r="Q10" s="15">
        <v>0</v>
      </c>
      <c r="R10" s="15">
        <v>0</v>
      </c>
      <c r="S10" s="15"/>
      <c r="T10" s="248" t="s">
        <v>98</v>
      </c>
      <c r="U10" s="16">
        <v>0</v>
      </c>
      <c r="V10" s="16"/>
      <c r="W10" s="16"/>
      <c r="X10" s="16"/>
      <c r="Y10" s="16"/>
      <c r="Z10" s="16"/>
      <c r="AA10" s="12">
        <f t="shared" si="2"/>
        <v>0</v>
      </c>
      <c r="AB10" s="12"/>
    </row>
    <row r="11" spans="1:28" ht="45" customHeight="1">
      <c r="A11" s="139"/>
      <c r="B11" s="338"/>
      <c r="C11" s="216" t="s">
        <v>239</v>
      </c>
      <c r="D11" s="216">
        <v>7</v>
      </c>
      <c r="E11" s="250" t="s">
        <v>99</v>
      </c>
      <c r="F11" s="161">
        <v>11662</v>
      </c>
      <c r="G11" s="162">
        <v>0</v>
      </c>
      <c r="H11" s="161">
        <f t="shared" si="0"/>
        <v>11662</v>
      </c>
      <c r="I11" s="161"/>
      <c r="J11" s="15"/>
      <c r="K11" s="252" t="s">
        <v>426</v>
      </c>
      <c r="L11" s="247">
        <v>700</v>
      </c>
      <c r="M11" s="292">
        <v>45838</v>
      </c>
      <c r="N11" s="15">
        <f t="shared" si="1"/>
        <v>20</v>
      </c>
      <c r="O11" s="292">
        <v>45858</v>
      </c>
      <c r="P11" s="15">
        <v>0</v>
      </c>
      <c r="Q11" s="15">
        <v>0</v>
      </c>
      <c r="R11" s="15">
        <v>0</v>
      </c>
      <c r="S11" s="15"/>
      <c r="T11" s="248" t="s">
        <v>101</v>
      </c>
      <c r="U11" s="16">
        <v>0</v>
      </c>
      <c r="V11" s="16"/>
      <c r="W11" s="16"/>
      <c r="X11" s="16"/>
      <c r="Y11" s="16"/>
      <c r="Z11" s="16"/>
      <c r="AA11" s="12">
        <f t="shared" si="2"/>
        <v>0</v>
      </c>
      <c r="AB11" s="12"/>
    </row>
    <row r="12" spans="1:28" ht="45" customHeight="1">
      <c r="A12" s="139"/>
      <c r="B12" s="338"/>
      <c r="C12" s="216" t="s">
        <v>239</v>
      </c>
      <c r="D12" s="216">
        <v>8</v>
      </c>
      <c r="E12" s="250" t="s">
        <v>102</v>
      </c>
      <c r="F12" s="161">
        <v>1602</v>
      </c>
      <c r="G12" s="162">
        <v>0</v>
      </c>
      <c r="H12" s="161">
        <f t="shared" si="0"/>
        <v>1602</v>
      </c>
      <c r="I12" s="161">
        <v>0</v>
      </c>
      <c r="J12" s="15"/>
      <c r="K12" s="252" t="s">
        <v>427</v>
      </c>
      <c r="L12" s="247">
        <v>700</v>
      </c>
      <c r="M12" s="292">
        <v>45859</v>
      </c>
      <c r="N12" s="15">
        <v>3</v>
      </c>
      <c r="O12" s="292">
        <v>45862</v>
      </c>
      <c r="P12" s="15">
        <v>0</v>
      </c>
      <c r="Q12" s="15">
        <v>0</v>
      </c>
      <c r="R12" s="15">
        <v>0</v>
      </c>
      <c r="S12" s="15"/>
      <c r="T12" s="248" t="s">
        <v>104</v>
      </c>
      <c r="U12" s="16">
        <v>0</v>
      </c>
      <c r="V12" s="16"/>
      <c r="W12" s="16"/>
      <c r="X12" s="16"/>
      <c r="Y12" s="16"/>
      <c r="Z12" s="16"/>
      <c r="AA12" s="12">
        <f t="shared" si="2"/>
        <v>0</v>
      </c>
      <c r="AB12" s="12"/>
    </row>
    <row r="13" spans="1:28" ht="45" customHeight="1">
      <c r="A13" s="139"/>
      <c r="B13" s="339"/>
      <c r="C13" s="216" t="s">
        <v>239</v>
      </c>
      <c r="D13" s="216">
        <v>9</v>
      </c>
      <c r="E13" s="250" t="s">
        <v>105</v>
      </c>
      <c r="F13" s="161">
        <v>1075</v>
      </c>
      <c r="G13" s="162">
        <v>0</v>
      </c>
      <c r="H13" s="161">
        <f t="shared" si="0"/>
        <v>1075</v>
      </c>
      <c r="I13" s="161">
        <v>0</v>
      </c>
      <c r="J13" s="15"/>
      <c r="K13" s="252" t="s">
        <v>428</v>
      </c>
      <c r="L13" s="247">
        <v>700</v>
      </c>
      <c r="M13" s="292">
        <v>45854</v>
      </c>
      <c r="N13" s="15">
        <v>2</v>
      </c>
      <c r="O13" s="292">
        <v>45856</v>
      </c>
      <c r="P13" s="15">
        <v>0</v>
      </c>
      <c r="Q13" s="15">
        <v>0</v>
      </c>
      <c r="R13" s="15">
        <v>0</v>
      </c>
      <c r="S13" s="15"/>
      <c r="T13" s="248" t="s">
        <v>107</v>
      </c>
      <c r="U13" s="16">
        <v>0</v>
      </c>
      <c r="V13" s="16"/>
      <c r="W13" s="16"/>
      <c r="X13" s="16"/>
      <c r="Y13" s="16"/>
      <c r="Z13" s="16"/>
      <c r="AA13" s="12">
        <f t="shared" si="2"/>
        <v>0</v>
      </c>
      <c r="AB13" s="12"/>
    </row>
    <row r="14" spans="1:28" ht="31.5" customHeight="1">
      <c r="A14" s="139"/>
      <c r="B14" s="217"/>
      <c r="C14" s="217" t="s">
        <v>25</v>
      </c>
      <c r="D14" s="217"/>
      <c r="E14" s="217"/>
      <c r="F14" s="168">
        <f>SUM(F5:F13)</f>
        <v>237910</v>
      </c>
      <c r="G14" s="168">
        <f t="shared" ref="G14:U14" si="3">SUM(G5:G13)</f>
        <v>0</v>
      </c>
      <c r="H14" s="168">
        <f t="shared" si="3"/>
        <v>237910</v>
      </c>
      <c r="I14" s="168">
        <f t="shared" si="3"/>
        <v>3700</v>
      </c>
      <c r="J14" s="217">
        <f t="shared" si="3"/>
        <v>5</v>
      </c>
      <c r="K14" s="217">
        <f t="shared" si="3"/>
        <v>0</v>
      </c>
      <c r="L14" s="168">
        <f t="shared" si="3"/>
        <v>6700</v>
      </c>
      <c r="M14" s="294"/>
      <c r="N14" s="217"/>
      <c r="O14" s="294"/>
      <c r="P14" s="217">
        <f>SUM(P5:P13)</f>
        <v>0</v>
      </c>
      <c r="Q14" s="217">
        <f>SUM(Q5:Q13)</f>
        <v>0</v>
      </c>
      <c r="R14" s="217">
        <f>SUM(R5:R13)</f>
        <v>0</v>
      </c>
      <c r="S14" s="217"/>
      <c r="T14" s="255">
        <f t="shared" si="3"/>
        <v>0</v>
      </c>
      <c r="U14" s="97">
        <f t="shared" si="3"/>
        <v>0</v>
      </c>
      <c r="V14" s="9"/>
      <c r="W14" s="9"/>
      <c r="X14" s="9"/>
      <c r="Y14" s="9"/>
      <c r="Z14" s="9"/>
      <c r="AA14" s="9">
        <f t="shared" si="2"/>
        <v>0</v>
      </c>
      <c r="AB14" s="141"/>
    </row>
    <row r="16" spans="1:28" ht="33" customHeight="1"/>
    <row r="17" ht="33" customHeight="1"/>
    <row r="18" ht="33" customHeight="1"/>
    <row r="19" ht="33" customHeight="1"/>
    <row r="20" ht="33" customHeight="1"/>
    <row r="21" ht="33" customHeight="1"/>
    <row r="22" ht="33" customHeight="1"/>
    <row r="23" ht="33" customHeight="1"/>
    <row r="24" ht="33" customHeight="1"/>
    <row r="25" ht="33" customHeight="1"/>
    <row r="26" ht="33" customHeight="1"/>
    <row r="27" ht="33" customHeight="1"/>
    <row r="28" ht="33" customHeight="1"/>
    <row r="29" ht="33" customHeight="1"/>
    <row r="30" ht="33" customHeight="1"/>
    <row r="31" ht="33" customHeight="1"/>
    <row r="32" ht="33" customHeight="1"/>
  </sheetData>
  <mergeCells count="30">
    <mergeCell ref="B1:T1"/>
    <mergeCell ref="F2:F3"/>
    <mergeCell ref="B5:B13"/>
    <mergeCell ref="A2:A3"/>
    <mergeCell ref="B2:B3"/>
    <mergeCell ref="C2:C3"/>
    <mergeCell ref="D2:D3"/>
    <mergeCell ref="E2:E3"/>
    <mergeCell ref="T2:T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Q2:Q3"/>
    <mergeCell ref="S2:S3"/>
    <mergeCell ref="R2:R3"/>
    <mergeCell ref="P2:P3"/>
    <mergeCell ref="AA2:AA3"/>
    <mergeCell ref="AB2:AB3"/>
    <mergeCell ref="U2:U3"/>
    <mergeCell ref="V2:V3"/>
    <mergeCell ref="W2:W3"/>
    <mergeCell ref="X2:X3"/>
    <mergeCell ref="Y2:Y3"/>
    <mergeCell ref="Z2:Z3"/>
  </mergeCells>
  <printOptions horizontalCentered="1"/>
  <pageMargins left="0.19685039370078741" right="0.31496062992125984" top="0.74803149606299213" bottom="0.55118110236220474" header="0.31496062992125984" footer="0.31496062992125984"/>
  <pageSetup paperSize="9" scale="41" fitToHeight="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23</vt:i4>
      </vt:variant>
    </vt:vector>
  </HeadingPairs>
  <TitlesOfParts>
    <vt:vector size="37" baseType="lpstr">
      <vt:lpstr>Abstract</vt:lpstr>
      <vt:lpstr>Abstract (3)</vt:lpstr>
      <vt:lpstr>Abstract (2)</vt:lpstr>
      <vt:lpstr> Tharuni Associates</vt:lpstr>
      <vt:lpstr>Coastline (ELURU Cluster)</vt:lpstr>
      <vt:lpstr>Tharuni</vt:lpstr>
      <vt:lpstr> Green Tech (KADAPA Cluster)</vt:lpstr>
      <vt:lpstr>Srinivas (HINDUPUR Cluster)</vt:lpstr>
      <vt:lpstr>Srinivas setty(ADDANKICluster) </vt:lpstr>
      <vt:lpstr>Zigma </vt:lpstr>
      <vt:lpstr>Saurastra</vt:lpstr>
      <vt:lpstr> Tharuni Associates Old Cluster</vt:lpstr>
      <vt:lpstr>Sudhakar (2)</vt:lpstr>
      <vt:lpstr>Sudhakar</vt:lpstr>
      <vt:lpstr>' Green Tech (KADAPA Cluster)'!Print_Area</vt:lpstr>
      <vt:lpstr>' Tharuni Associates'!Print_Area</vt:lpstr>
      <vt:lpstr>' Tharuni Associates Old Cluster'!Print_Area</vt:lpstr>
      <vt:lpstr>Abstract!Print_Area</vt:lpstr>
      <vt:lpstr>'Abstract (2)'!Print_Area</vt:lpstr>
      <vt:lpstr>'Abstract (3)'!Print_Area</vt:lpstr>
      <vt:lpstr>'Coastline (ELURU Cluster)'!Print_Area</vt:lpstr>
      <vt:lpstr>Saurastra!Print_Area</vt:lpstr>
      <vt:lpstr>'Srinivas (HINDUPUR Cluster)'!Print_Area</vt:lpstr>
      <vt:lpstr>'Srinivas setty(ADDANKICluster) '!Print_Area</vt:lpstr>
      <vt:lpstr>Sudhakar!Print_Area</vt:lpstr>
      <vt:lpstr>'Sudhakar (2)'!Print_Area</vt:lpstr>
      <vt:lpstr>Tharuni!Print_Area</vt:lpstr>
      <vt:lpstr>'Zigma '!Print_Area</vt:lpstr>
      <vt:lpstr>' Green Tech (KADAPA Cluster)'!Print_Titles</vt:lpstr>
      <vt:lpstr>' Tharuni Associates'!Print_Titles</vt:lpstr>
      <vt:lpstr>' Tharuni Associates Old Cluster'!Print_Titles</vt:lpstr>
      <vt:lpstr>'Coastline (ELURU Cluster)'!Print_Titles</vt:lpstr>
      <vt:lpstr>Saurastra!Print_Titles</vt:lpstr>
      <vt:lpstr>'Srinivas (HINDUPUR Cluster)'!Print_Titles</vt:lpstr>
      <vt:lpstr>'Srinivas setty(ADDANKICluster) '!Print_Titles</vt:lpstr>
      <vt:lpstr>Tharuni!Print_Titles</vt:lpstr>
      <vt:lpstr>'Zigma 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 URBAN</dc:creator>
  <cp:lastModifiedBy>APUIAML</cp:lastModifiedBy>
  <cp:lastPrinted>2025-05-15T05:37:35Z</cp:lastPrinted>
  <dcterms:created xsi:type="dcterms:W3CDTF">2025-05-01T11:51:32Z</dcterms:created>
  <dcterms:modified xsi:type="dcterms:W3CDTF">2025-05-15T05:40:25Z</dcterms:modified>
</cp:coreProperties>
</file>